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álise exploratória" sheetId="2" r:id="rId5"/>
  </sheets>
  <definedNames/>
  <calcPr/>
</workbook>
</file>

<file path=xl/sharedStrings.xml><?xml version="1.0" encoding="utf-8"?>
<sst xmlns="http://schemas.openxmlformats.org/spreadsheetml/2006/main" count="1015" uniqueCount="516">
  <si>
    <t>source</t>
  </si>
  <si>
    <t>review_description</t>
  </si>
  <si>
    <t>rating</t>
  </si>
  <si>
    <t>review_date</t>
  </si>
  <si>
    <t>Data</t>
  </si>
  <si>
    <t>Hora</t>
  </si>
  <si>
    <t>Periodo_dia</t>
  </si>
  <si>
    <t>review_traduzido</t>
  </si>
  <si>
    <t>review_limpo</t>
  </si>
  <si>
    <t>Google Play</t>
  </si>
  <si>
    <t>Meh. Not the greatest experience on a Chromebook. Seems to be customized for phones only. Opens in a little screen that you can't expand or resize - for reasons that are a complete mystery to me. Judging from the fact that every other app I know of is resizeable, this seems like it was a conscious choice by the developers . Why you'd do something like this is beyond understanding and suggests a control freak approach. Not a great way to make a first impression.</t>
  </si>
  <si>
    <t>Pretty good for a first launch!! Its easy to use and self-explanatory and I'd say the algorithm is good as well. It has great *potential* but a few things need improvement: -the ability to use hashtags would make it easier to find topics and people you'd be interested in -an option for a following-only feed would be a major improvement (especially chronological order) -the ability to choose images from albums rather than recent photos -the ability to save photos to phone</t>
  </si>
  <si>
    <t>For a brand new app, it's very well optimized. However it's just missing quite a few features that apps like Twitter have. There is no way to have your timeline show threads from who you're following. It would also be nice to be able to switch accounts quickly like on Insta. I've also noticed that videos have a hard time playing audio sometimes. Overall, it's a decent first version that I hope will get more features as time goes on. I'll up my rating once the things I mentioned are addressed.</t>
  </si>
  <si>
    <t>Great app with a lot of potential! However, there is a lot that needs to be fixed. For example, the option to mute accounts is lagging/delayed. This feature is definitely needed at this stage, which is part of the next problem. Another issue I've noticed is the home page shows a lot of accounts I don't follow and have never heard of, and a lot of blue check accounts that I don't want to see. There is no way to filter them out to see the content I actually want, from people I follow.</t>
  </si>
  <si>
    <t>The app is good, but it needs a lot of functionality. For example, when searching a topic, you don't find anything related to that topic, meaning anything that comes to you is via your main page, which incase lowers a lot of outreach and possibility of finding content that relates to you. Hashtags could called Threads and make it easier to find topics and such. Needs lots of work. It can be a good app, but it feels rushed.</t>
  </si>
  <si>
    <t>Currently, it's very challenging to use. It's in dark mode and I want to change it to brighten it up. But apparently I can only change it through Instagram? Why? Dark mode needs to be improved. It's tough on the eyes and the UI is visually unbearable. Twitter nearly perfected the UI. I think it's a decent start but I can't use it for more than a couple of seconds even if I wanted to.</t>
  </si>
  <si>
    <t>I still don’t want to see content from people that I don’t specifically follow unless I explicitly search for it. And when I do search, I want to see an option for complete searches and not just user searches. This is a bare-bones poor clone of Twitter that seemingly is just getting some initial traction due to political bias. No thanks - fix it. Also, if you don’t provide a web desktop option to use the service, it’s a double whammy.</t>
  </si>
  <si>
    <t>Could be great if all pages loaded when you clicked on them. Sometimes they just don't. Posts usually don't load at all. And my biggest thing: if you follow someone on Threads, you automatically follow them on Instagram as well. Either they're two separate apps or they're not. I would really like to be able to have a different list of people I follow on each app.</t>
  </si>
  <si>
    <t>I'm liking the concept! There is room for improvement though. Everytime I try to attach a photo to a thread, the app crashes. I haven't been able to add a photo at all. I also can't seem to find a way to view a list of only the people I follow. There's always other folks mixed in the list. Finally, I can't seem to edit my posts. I make a lot of typos! I can edit my posts on Facebook and Insta but not here? Weird.</t>
  </si>
  <si>
    <t>Not bad! This is its first launch. There is still room for improvements... I would like to see a trending page, longer videos, and an edit button for any threads(posts) uploaded by the user. Improve the loading time. Add a pause button(and slow motion controls for videos). A quality selection on videos(1080p, 720p, 480p, etc).</t>
  </si>
  <si>
    <t>Over all, the UI of this app is good. Using it is easy and visually it is very clean. Unfortunately, it fails in the functionality department. My home feed is 99% random people and not the accounts I actually follow which defeats the purpose of following someone in the first place. I recommend having the home feed be just the posts from people I follow and a separate discover/search page that will show new accounts who post similar content to those I follow.</t>
  </si>
  <si>
    <t>Nice but crashed &amp; can't access photo folders. It crashed twice today so far in the middle of browsing. Also, for some reason, when I click the file button to attach a photo, it doesn't let me browse individual folders in my gallery...it shows my whole gallery which is inconvenient. Everything else is pretty okay and I expect it to get even better. Although another issue Meta should fix is that it shouldn't delete your Instagram if you decide to delete Threads lol please undo that.</t>
  </si>
  <si>
    <t>Pointless in following anyone. The feed algo won't show you the content you actually follow and want to see. I find myself opening this app wanting to like it but quickly get annoyed by seeing randomness. It's like you're invited to a party all your friends are at. Then you get there and it's nothing but strangers all trying to have incoherent, disjointed conversations with you at the same time. It's more stressful and annoying than engaging.</t>
  </si>
  <si>
    <t>Not quite ready for prime time. Needs a feed specifically for accounts you follow. If you have more than one Instagram account, Threads doesn't allow easy switching between accounts without involving logging out/logging in/security confirmation. This shouldn't need to be repeated over and over. Also, it is concerning that the app is blocked in the EU due to privacy violations. Use at your own risk.</t>
  </si>
  <si>
    <t>Very frustrating experience. Feed it's full of users I don't follow and don't care for their content. Switching between my company and private accounts forces you to complete sign out and reverify. Picture upload quality is compressed, Twitter images are much sharper. I am hopeful for this app, but it should have never been released as a finished product in it's current state.</t>
  </si>
  <si>
    <t>I like the simplicity of this app but there's definitely some bugs that need to get worked out. After choosing to sync with IG accounts I follow I weeded through them but about 1/3 that I unfollowed reappeared. I've done this 3x, closing out app to refresh, it keeps happening. Also, home page is super slow to refresh and posting a thread or reply is very slow to publish &amp; sometimes freezes. Also wish that when trying to post a pic/video that one's device folders would appear &amp; not just Gallery.</t>
  </si>
  <si>
    <t>It needs a lot of work. It constantly crashes, to the point where I can barely use it. It isn't auto-following everyone I follow on insta. I can't search for terms, which lead me to a topic I'm interested in and the layout feels quite lacking. It needs some sort of visual flare: animations, pops of colour, page transitions, etc... just something to make it all feel pleasing and tie it into a great package.</t>
  </si>
  <si>
    <t>My first thoughts: Since there is no web version yet, it is very difficult when using it upright on a tablet. But I'm going to try it on a few phones today and I'm sure it will work fine. If the web version comes, it will really be more useful than I expected. The leaks of this app first appeared in April, which means it could only release stable later this year, but when they wanted to turn the troubles on Twitter into an opportunity, they released the app with many missing features.</t>
  </si>
  <si>
    <t>It's cool, but there's a lot of QoL that can be done. Like putting the "Post" button at the top of the posting menu. Also, there's a bug where when you mention someone, if you type two letters of their name before the suggestions appear, the app crashes. I think the app has potential, but needs some polish. Also, kinda wish there was an option to make an account from scratch rather than import an Instagram account.</t>
  </si>
  <si>
    <t>It's great, but there's a lot of QoL that can be done. Like putting the "Publish" button at the top of the post menu. Also, there is a bug where when you mention someone, if you type two letters of their name before the suggestions appear, the app crashes. I think the app has potential, but it needs some polishing. Also, I wish there was an option to create an account from scratch instead of importing an Instagram account.</t>
  </si>
  <si>
    <t>I find the UI does not clearly separate the messages and particularly which messages are part of a conversation. I have also found the app gets stuck updating and randomly crashes. It would also be useful if when I block someone, they are also muted rather then having to select both. I have had to remove a lot of people and companies I don't want in my timeline.</t>
  </si>
  <si>
    <t>Firstly, I want to express my appreciation for the overall concept of Threads. It provides a convenient and private platform for sharing updates, photos, and videos with close friends. However, the integration of the Reels feature within the app has caused some inconvenience and cluttered the user experience.Separating the Reels section within the app would greatly enhance the user experience. It would allow for improved focus, easier navigation, enhanced privacy, and a streamlined interface.</t>
  </si>
  <si>
    <t>It's not bad so far. A handful of unsolicited requests, but they're easy to despatch of. Clean feel and just seems nice and neat around the edges. It's like a flowing conversation. As a moderate social media user, it does everything I need it to for the type of app it is. Some sound and freezing issues with some videos I have viewed, though I am sure they'll iron these things out over the next couple of months</t>
  </si>
  <si>
    <t>It's a good start but they have to add some thing before it can be great: 1. They need to add an option to see only people you follow instead of an annoying algorithm. 2. They need to let you mute all posts from languages you don't want or not know. 3. They also need to add option to change the name without changing the Instagram name. 4. Another useful think would be the ability to zoom on an image and staying zoomed without it snapping back to normal size. 5. They need a website.</t>
  </si>
  <si>
    <t>Constant crashing when trying to upload most photos, although there doesn't seem to be a pattern of image size or resolution, which causes it to crash or simply fail to upload. I have, however, been able to upload images up to 44MP, 33MB successfully uploaded. Would like the option to clear the random rubbish from my feed without having to keep muting them!</t>
  </si>
  <si>
    <t>The app's concept is great, but it's full of glitches! Whenever the content in the display changes, the full app becomes glitchy. Even on a small scroll, the problem appears. Let alone some button clicking! Maybe the issue is only applicable for a few type of users. But, please fix the bug. In spite of this app's being great, I have to stay neutral by giving 3 stars is just because of these bugs.</t>
  </si>
  <si>
    <t>I'm still wary of this app. But it's very promising. I love the interface design though there's still room for improvement. I personally experience lags while scrolling and I find that hard to navigate when the app keeps doing that. I also think it's better to implement the new emojis on the app but as well for instagram, too. Creating an account is a hassle if you just want to make a fandom one. And I find it a hassle to go to another app just to change my display name. I hope that'll change.</t>
  </si>
  <si>
    <t>Very easy to use because it's just like Twitter. But I'm starting to hate it because Instagram's best traits are being removed. Reactions for chats, and music for stories? Might as well just remove this app threads. Instagram is being loved through posting pictures but it is very convenient for having conversations with reactions if you don't know what to say. Music for stories is also important to express oneself. I just hope the effect on the Instagram app is just temporary.</t>
  </si>
  <si>
    <t>As soon as I opened the app, it went good, the login and all, but as soon as it loaded, I could not even use this app because it started acting so weird, like a bug or smth. All pages are overlapping on each other, I can't even interact with anything because as soon I do, the page starts to behave like a bug. Even reinstalling didn't help fix this issue</t>
  </si>
  <si>
    <t>Great App! Loved it from the very first day although I have the following challenges; 1. My keyboard does not stack with the UI page, it covers it and so I can't see what I'm typing. 2. Can't save images like every other user. 3. From 100+, Can't see the latest follower as an individual to see their profile; have to search. 4. UI gets a little confusing sometimes as there's no proper demarcation between one thread on my timeline and another. 5. Opening some threads crashes the app occasionally.</t>
  </si>
  <si>
    <t>It suddenly closes. I thought I just accidentally hit my home button but no. I was typing but overtime, it suddenly closes. There was even no draft of the text I was composing. Happened multiple times. I just updated this app and thought that it would fix the issue, but no. This is also the reason why I stopped using this the last time, I got frustrated because it kept refreshing(?) or closing and the thread I was composing is not even saved.</t>
  </si>
  <si>
    <t>This is clearly a very early and poorly tested version of the app that was pushed out to cash in at the right time. First, the app crashes a LOT. Simply opening certain people's threads closes the app every time, but works perfectly on other threads. This is pretty much a deal breaker. Second, I think it's fair to say a web version or desktop app should have been available from the beginning. The fact that it's missing just means it's all a side effect of rushing out this new platform.</t>
  </si>
  <si>
    <t>It's addicting but feels cramped and messy because there are unnecessary elements like showing the profiles in replies, but it depicts friendliness, so it's good. And I feel like the elements are too close to each other. The app is great because there is no ads, spam, and free from toxic, yet. I hope they can keep the environment safe and toxic free.</t>
  </si>
  <si>
    <t>I don't normally write reviews but I'm so annoyed with this app! I've tried to share a picture about 10 times, both by sharing from my gallery and directly uploading to the app and it's not working. I've tried updating the app and when that didn't work, uninstalling and reinstalling. I'm at a loss. Very frustrating.</t>
  </si>
  <si>
    <t>I think it is great but some features needs to be advanced. First the photo loading time is still slow, secondly I suggest that all Meta Apps could be synced inform of tab/browser where you can switch platforms easly. For example if you are in threads you can have switcheable icons or tabs to navigate to Instagram, Facebook, WhatsApp and vice versa. Fourthly, there should be filters through which people could determine thematic areas of interest including themes, topics, personalities, etc</t>
  </si>
  <si>
    <t>There's an annoying glitch that makes this app almost useless, whenever I change tab, such as from activity to feed or profile, their UI overlays on top of each other which makes reading anything is Impossible. I had to minimize and reopen the app in order to make the glitch gone, but only temporarily because the same issue will reappear if I try to change tab again. Please fix this!</t>
  </si>
  <si>
    <t>The application doesn't work and constantly says 'Sorry, something went wrong. Try Again'. This is frustrating. I tried to clean cache and data, reinstall, different internet and wifi connections, with and without vpn, but nothing works. I truly want to use it, but I can't. :( Fix it, please.</t>
  </si>
  <si>
    <t>Interesting App, but somehow the user experience is kinda less user-friendly when already has a lot of users. The threads are mixed up, and it would be great if there is a setting option for an account owner only who can see the "Replies" tab instead of showing it publicly (without changing it into a private account). And somehow when I try to modify the settings and navigate back, it always redirects to Instagram App instead, not navigating back to the Threads app.</t>
  </si>
  <si>
    <t>The lack of options when it come to seeing unwanted content you are not following is annoying. If I like certain things the app will bombard me with a bunch of similar content that I'm really not interested in. I try with this app but it got more and more frustrated as I keep on using it. I really wish there was an option to block certain things in my timeline not just in replies.</t>
  </si>
  <si>
    <t>Missing most basic yet most-desired features like saving media! It's intended to replace Twitter but lacks a simple save function for images and videos. People like to SHARE and people like to SAVE media. Every single person on the planet knows and understands this. It cannot and will NEVER replace Twitter as long as it is missing a feature everyone wants, period.</t>
  </si>
  <si>
    <t>So at the moment I have two issues with the app: the first is the feed - there needs to be an option for follow-only feed on something like that, something closer to the Instagram experience. The second issue is the crashes - I know this app is literally two days old but it crashed on me a few times already and it sucks. Other than that, works fine, nice app.</t>
  </si>
  <si>
    <t>Yes, the app is excellent. My experience with this app has been fantastic. I know it's a new challenge for Twitter. Here are my suggestions for the next update: 1. I highly recommend adding a scheduling feature. This would be incredibly useful for creators like me to plan and schedule their Threads in advance. 2. Another suggestion is to incorporate a direct messaging (DM) feature. This would enable users to have private conversations within the app.</t>
  </si>
  <si>
    <t>Great start for a positive space. Like many reviews so far there are things to add to the app to make it better. The search page is a bit bland maybe more like insta? A visual thing. Trending would be good on there too. And instead of the usual drab news stories why not the best most positive news stories circulating. The no ads is a winner for me though that will probably change. I have to say it is a breath of fresh air so far. But it needs to stay a positive place.</t>
  </si>
  <si>
    <t>1-we need a trending list for every region, just like Twitter. So that people can know what's going around the world. 2-when posting pics or videos, it doesn't give us the option to choose from different folders like Twitter does. 3-when typing a long reply, the view doesn't automatically adjust to show what we're typing. Instead, we have to scroll up to see the rest of what we're typing.</t>
  </si>
  <si>
    <t>Really needs a lot of improvement. It's a promising app. Hope you can fix the bugs. Add options to filter what we want to see in our home page. Add DM. Option to add more than one account just like in IG. It's frustrating to go back and forth. Oh well... Hope this app will improve.</t>
  </si>
  <si>
    <t>Very messy to use, filled with threads from irrelevant people, despite the data collection that meta has on all their apps which include health and fitness for some reason. This makes it extremely boring to use, as the algorithm doesn't appear to be able to show any of my interests that it has collected from instagram - seeing as the two apps share the same account. It would be better as part of the instagram app, such as reels, as a section inside there.</t>
  </si>
  <si>
    <t>Update: Threads cannot handle dark mode, and it is automatic. so after 9 p.m. it is impossible to use, at least on Android 9 ------- more than half the time, threads shows a garbled mess of letters on an Android phone. also, threads has no means to report this it sure would be nice if they had some sort of feature to send a picture and show them what it looks like, or simply have a way to message or report an app issue</t>
  </si>
  <si>
    <t>off to a great start. Obviously it's never gonna be a 5* app upon release, but so far my only gripe is that features which are planned for inclusion aren't there yet. Look forward to when this becomes a more rounded, 'complete' software product. Also, ability to save images would be nice.</t>
  </si>
  <si>
    <t>There's a glitch in the app. Pages are overlapping. Tries every possible aspect to resolve the issue by re-installing, clearing cache &amp; data but still unable to use the application properly. Very disappointing. Finally, uninstalled the application as for now. Whenever the app will improve, will download it again. Till then using that old Twitter.</t>
  </si>
  <si>
    <t>It's a good app and has more restrictions than what Twitter has to offer, but after I transferred my Instagram data, I hadn't been able to open up my Instagram. When I do open, I can only stay on chats that I have been notified in, and if I navigated away from the chat, it crashes on me. I've uninstalled it for a little while, but it still doesn't work. I don't know if it's a thread thing, an Instagram thing, or both, but it started when I downloaded Thread.</t>
  </si>
  <si>
    <t>as of now, i've experienced a few bugs depending on which device i use threads on. on my tablet, everytime i try to post my art the entire app crashes. on my phone, everytime i try to post more than one photo the post reads something along the lines of "post couldnt be uploaded". although i do have hope for threads, its very simplistic and easy to use.</t>
  </si>
  <si>
    <t>The data collection on this app is SINISTER. The user agreement has the same function as Facebook where they literally own your images and content, and can use it commercially. Now I can't delete it without deleting my instagram! If you are an artist, avoid this app at all costs. Everyone else, go into your phone data alloance settings and turn off all data allowances for the app. It won't stop the data mining but it might help. Very dangerous for user security.</t>
  </si>
  <si>
    <t>The first day on the app has been really good- I haven't noticed any bad bugs or experienced any crashes. Please add a following-only feed and an option to view in chronological order. That would make the app so much better. Pretty please 🙏 Since this is competing with a certain bird app, a trending page with current events/etc would be really nice and appreciated!</t>
  </si>
  <si>
    <t>I was excited for the app but once it is loaded, I could not even use this app because it started acting weird. All pages are overlapping each other. I can't even interact with anything because as soon as I do, the page starts to behave like a bug. I tried to reinstall but it didn't fix the issue.</t>
  </si>
  <si>
    <t>This version would be decent if we were talking about a beta, but it is the final version and it lacks many QoL improvements. There is no option to see only the threads of people you follow in chronological order, can't use hashtags, the algorithm doesn't take into account the profiles you follow or interact with and recommends anything, cannot perform keyword searches, some videos don't play audio, and many more bugs and non-existing options that should have been there in the first place.</t>
  </si>
  <si>
    <t>Slow, glitchy, and constant crashes! Whenever we try to post something it always ends up in the limbo, garbage experience! Update: no basic features even after month of launching, and glitches and slowness is still same, can't upload anything because it ends up in the limbo, no wonder why this app is losing the game against twitter.</t>
  </si>
  <si>
    <t>Very buggy, initially after getting it, it took over 60 hours before any content showed whatsoever on my feed, despite me following many people and my partner having loads on her feed. Recently, it took me about 48 hours to upload something on it while Instagram and other apps worked perfectly fine. Multiple attempts occurred both on wifi and on mobile data with no results. It'd be really cool if the bugs could get sprayed down some more, maybe get Daxter on it.</t>
  </si>
  <si>
    <t>Such a frustrating buggy experience. Looks promising for us photographers. No apparent restrictions on image size, crop or quality. But I cannot get it to load from within the app or share from my Pixel 7 folders. Weirdly it has just allowed me to post one image from my White border app. 🤷 Of the thousands of images I have to share it literally will only let me share this one image. Plus I experimented with sharing it again but the app refused and just closes. 🤦</t>
  </si>
  <si>
    <t>Well I installed the app out of curiosity and it seems interesting but whenever I open the app, it's all glitch. I'm unable to see a single word perfectly and everything is just messed up on screen. Hope you resolve such bugs and issues soon and be able to provide a great user experience.</t>
  </si>
  <si>
    <t>Its just not working. It was fine for a while but something happened and now whenever I try to check my notifications or write something, it says "sorry something went wrong". Tried reinstalling, didn't help, it's simply just broken. I was already disappointed in this half-baked trash that lacks even the most basic functions like hashtags, but at my current state, I'm unable to do anything but refresh the timeline which is filled with unfunny meme accounts and verified scum. Unusable. Zuck lost.</t>
  </si>
  <si>
    <t>For now, only 3 stars! Can see potential in this app, but agree with some about a few improvements. I'd like to see 2 FEEDS! One the current random FEED... to view everything that's happening and connect with new people. And a 2nd FEED (maybe a TAB), that shows the people you already FOLLOW, showing their POSTs... making it quick'n simple at a glance to see what friends are doing. We don't all have time to browse content of a random FEED for POSTs made by those we choose to FOLLOW.</t>
  </si>
  <si>
    <t>Just got the app, tried three times to make a post, and it failed each time. Tried different formats, low character counts, etc. and all in perfect service. It just failed to post. Maybe I'll come back when the app is actually usable.</t>
  </si>
  <si>
    <t>Starting was good like login and editing the bio. But after that when I opened the app to see what type of features and contents it contain. It started glitching and always it acts weird. Didn't expected this type of bad work from Meta. The application needs a lot of development. Looks like it's a launch without trial. Very disappoint. Want to delete my Threads a/c but for that Instagram a/c also will be deleted because thats the algo. Dissatisfied and Disappointed.</t>
  </si>
  <si>
    <t>As a starter this is okay but there are two deal breakers. One is the feed. You get stuff from accounts you don't follow and have no interest in and it cannot be changed. Second, if you log in with instagram, you can't change anything or deactivate profile on threads as it's synced. You have to change or just delete your entire instagram profile.</t>
  </si>
  <si>
    <t>- The UI is a bit clunky. Icons have really thick outlines that heavily compete with text visually. Lines between threads are too thin. - Video players are quite horrible. Sometimes audio never works, sometimes the video perpetually pauses on fullscreen / when tapping the thread. - Most threads I see are from accounts I don't follow. While I think that's good for discovering new accounts upon first launch, I don't see many threads from followed accounts.</t>
  </si>
  <si>
    <t>Continually running into a message, "Sorry, something went wrong. Try Again," on every page. It happened last night and I tried clearing cache, forcing stop, logging in and out. Only thing that fixed it was uninstall/reinstall. And now the same error is happening again. I don't want to have to reinstall this app every few hours.</t>
  </si>
  <si>
    <t>I think it's a decent start. Some features I think would be important going forward, though; the ability to search topics and tags rather than just people. To go along with this, the ability to follow specific topics would do much for the ability to curate a homepage. Also, having an in-app direct messaging system would do much to improve the experience. Other than that, and the fact that this app is still in its infancy, I can see a good potential for Threads as a platform.</t>
  </si>
  <si>
    <t>The app is going well and nice, easy to use, and friendly. But I recommend a delete, edit,and save option. A Delete option to be able to clean the activity or notification. To be able to edit a message or picture to add a caption when it's already posted, and a save and bookmark option. I personally need the delete option, I can't help but get anxiety when my activity is messy. I tried checking a post notification of an activist, but it swarmed up my activity history. Please add options.</t>
  </si>
  <si>
    <t>It's a good app. You can share anything, especially your current thoughts and whatnots. However, I suggest that there should be a choice of interests too so that the contents on home will be filtered with that interest. It will be much more fun to use it if people see what they actually like to see. Hoping for the improvement of algorithms.</t>
  </si>
  <si>
    <t>Not a bad app (it runs smoothly and interfaces well with Instagram) but definitely could be improved. The home page is flooded with completely untailored posts that have nothing to do with any of the accounts I follow. Without tags it is hard to find new accounts to follow based on what I am interest unless the keyword is in their username.</t>
  </si>
  <si>
    <t>Right now, it's a void. Very little of what you actually want to see shows up, and the rest is noise from bigger accounts (verified army) and ads. We'll see what it becomes eventually (your following does creep through every now and then, but not nearly enough). I do think the UI is clean though.</t>
  </si>
  <si>
    <t>App crashes constantly when uploading photos. And the image picker is so basic - can't even pick photos by choosing different folders. Sigh! I hope this gets improved. Other than that, this app has been great so far to browse. I really want to like this app, just fix the posting experience please.</t>
  </si>
  <si>
    <t>I liked the app a lot, but since a week ago it doesn't work properly on my device, and I get a message "something went wrong" whenever I try to view a profile, comments or activities. I tried reinstalling the app, deleting cache, restarting my phone, and resetting network settings but I still have this issue.</t>
  </si>
  <si>
    <t>(Notably I am the 1st person to REVIEW this app in English). Apperantly it's USELESS APP... it has Good dark interface, but there are numerous issues 👉 it crashes often without error message, too slow to even update profile section, Can't even upload single image (despite there is with high speed broadband connection), copy paste doesn't work .. "@" function (in bio) doesn't work .. not sure if all these issues will get resolved. Otherwise I am going to uninstall it and stop using for forever.</t>
  </si>
  <si>
    <t>While I do think the app has some potential, there are several problems. Some of them include the lack of photo filters when you upload photos, the inability to delete your Threads account without your Instagram account, the inability to use more than one account, and the app crashing several times when I log out, leading myself to delete data and cache rather frequently. I wish this app wasn't released prematurely and that Instagram gives more time to develop Threads as a more stable app.</t>
  </si>
  <si>
    <t>Signed up for my other account via Instagram. Spent time setting up. Tried to post 3 times but every time I pressed the 'post' button after writing the post &amp; adding images - it closed! Not impressed. Only using as I need to be across all social media but really not happy with my user experience on the first day of it going live, &amp; don't like you have to tie it to the Instagram. I'd prefer it to be a standalone platform, it feels like you're being forced to put all your eggs in the Meta basket!</t>
  </si>
  <si>
    <t>The idea behind this app is great! It's quite convenient that it's connected to Insta account. However, experience with it can be improved. Majorly, by changing algorithms of feed to only view Threads of accounts you follow, or by adding a feature to filter your feed manually, to choose whose threads to see. Hope this feedback will be taken into account 🙏🙏🙏</t>
  </si>
  <si>
    <t>10/10 for the UI, it looks cool and clean. But the feed is just infested with suggested content. At least on twitter you can separate the suggested content from the content of entities that you actually choose to follow. Might have some interest in Threads if they implement this feature, but for now... Bai</t>
  </si>
  <si>
    <t>It's pretty much Facebook's version of Twitter. Unfortunately the app is unstable and lacks basic features find in its parents app, like switching accounts. Whenever I open "threads" (replies to a post within the app) the app will crash every other time. It's quite embarrassing to have the main feature bugged. The app is an unoriginal idea and it needs significant improvements. If it worked, could sort feed, switch accounts, and post audio, I'd give 4⭐ I'm using Oxygen OS 13.1 (OnePlus 10 Pro)</t>
  </si>
  <si>
    <t>This app's fatal flaw is it's feed. Almost everytime I go on Threads, my feed is entirely made up of random people I do not follow and do not care about meaning I'll turn off the app almost immediately. This entire app would be saved by splitting the tabs into a following and a discovery one. Right now, it's not worth it.</t>
  </si>
  <si>
    <t>Good for early days, a bit glitchy and lots to build on still. In the middle of writing a post, the app closes down entirely and looses the content so I'm having to write it in my phone notes. If you write a long post, your phone keyboard is in the way as the Threads text box doesn't shift up the more you write, so you can't amend mistakes or text. I'm seeing a heck of a lot of posts from people I don't follow at all and have no interest in. A familiar, simple app though so I like it so far.</t>
  </si>
  <si>
    <t>Terrible in terms of privacy and lacking many essential features, such as a timeline for just those you follow. By using this (and other Meta apps too) you are giving away basically almost everything about you to a company with a horrible track record when it comes to properly handling user data. Try Mastodon instead, it's onboarding process has really improved recently and it has far more features.</t>
  </si>
  <si>
    <t>there's some flaws I've noticed . 1. Reply in thread goes far way bottom, not the below of the thread that meant to be replied 2. Text cursor doesn't follow my typing, need to scroll by myself if it's a long thread 3. I can't save images 4. can't 2x tap to zoom image, I must pinch it to zoom and it's doesn't stay still zooming the image, it always goes back to original size. 5. Video UI/UX is not very interactive and intuitive, can't tell the duration 6. No media bar in profile 7. No hastags</t>
  </si>
  <si>
    <t>So, immediate problems: The way to choose files is unsortable and awful. Writing replies to ANY post is frustrating because the keyboard will cover it. Curating your feed is difficult at best and impossible at worst, since at first it only shows verified account's posts— except you literally can't search for topics you enjoy to interact with those and curate your algorithm. I really hope it gets better.</t>
  </si>
  <si>
    <t>Going on two weeks since public launch now and this app is starting to suffer from lack of very common features (which honestly should have been standard at launch). No ability to filter your feed or search posts/tags. Account follower import seems to be messy for those with a larger following. It has some good things like in line thread adding good media display. But, these are not enough to keep the app afloat on their own.</t>
  </si>
  <si>
    <t>I wrote down words and tried to correct for wrong spelling or error in words. After I pressed delete or backwards button, I could no longer write any more words. I had to discard the current thread and tried to write a new thread. In the new one, the error was gone until I pressed delete text button. FYI, It happened in Andriod mobile app when I first wanted to post a new thread. I want you to fix this bug very soon.</t>
  </si>
  <si>
    <t>Worthless so far. I have no idea what the feed is doing. It's not showing me any of the accounts that I follow, and the rare one I do see the post is 20 hours old. There's no way to sort by suggested, followed, most recent, personal lists, anything. There's no hashtags, no way to really search for the content I want to follow. Hurry up and get on adding more features to make this thing functional.</t>
  </si>
  <si>
    <t>A great start, but it needs lots of improvements. Only being able to see posts by followers on your feed for one, an option to edit pictures and videos before you post them, it's also common for the app to crash while trying to upload pictures and videos.</t>
  </si>
  <si>
    <t>With a multitude of auto-playing videos right off the fly of the homepage, it's really difficult to focus on the "Threads" that're meant to be the defining feature of this platform. This is basically just Instagram, but with a higher character limit. The unnecessarily large size followed by the lack of data saving features makes this app pretty redundant considering the existence of Twitter.</t>
  </si>
  <si>
    <t>Impossible to use. It gets loaded with pics and text layered on each other infinite number of times and my whole screen turns into a mess. Guess it is not optimized or something. This is the only app that gives me such an issue, and Instagram itself works fine.</t>
  </si>
  <si>
    <t>The app looks promising and at its initial stage that's why there are some complicated parts of it but I do suggest some features such as, messaging feature just like in Instagram; photo cropping and editing feature when posting a picture; circles would also be good; and lastly, ability to look at someone's profile picture. Overall, the app was nice and already makes some people an online friends within just few days of launch</t>
  </si>
  <si>
    <t>So far I like it! It's very basic and I'm kinda disappointed at the lack of accessibility options such as being able to add alt text but... Overall it has a nostalgic vibe like when social media used to be fun, at least it is for me. Interested to see how it progresses.</t>
  </si>
  <si>
    <t>I've seen a lot of people had the same experience as me. But I'm gonna repeat it so someday it can be fixed. I CAN'T USE IT. Anytime i decide to simply scroll the screen the app explodes into clones of all the things on screen and nothing is visible anymore. PLEASE. LISTEN TO US.</t>
  </si>
  <si>
    <t>Should've launched a stable version. Full of bugs and glitches. Characters overlapping each other while scrolling through making it impossible to figure out. Thorough inspection required. Issues to be fixed at the earliest. Re-installation was futile.</t>
  </si>
  <si>
    <t>Off to a great start! This is a great alternative to other text-based social media! After installing I could import my Instagram profile pic, bio and followed accounts (some of whom are already on the new app). Timeline updates are fast and videos appear to be better quality than similar platforms. My only suggestion is I would like to see a more compact timeline UI or the ability to customize the size of posts so I can read more Threads per screen 😀</t>
  </si>
  <si>
    <t>Surprisingly really nice. Not going to lie. But the image and video quality is so bad. Like the compression is so so so terrible. If that was changed and we could have better video and image quality it would be so much better &lt;33 please add that lol otherwise its actually really nice. Also having a "following only" browse feature would be so cool too 👍👍 new feature req. Being able to switch between mult accs!!</t>
  </si>
  <si>
    <t>REALLY impressed!! WHAT I LIKED: so far i haven't experienced any bugs and the app feels very sorted, refined, thoroughly planned and well put together, i might increase my rating when they add some new interesting features, which im sure they will WHAT I DIDNT LIKE: The algorithm, its very random, i actually just want information from people i follow, or maybe a seperate for you page like on Instagram could work too, lacks some features but given the release time, I'll wait gor some.</t>
  </si>
  <si>
    <t>1)When I like something, nothing happens, tye command isn't taken (2)Not smooth at all (3)The colours are dead, make it more interesting and wholesome (4)When I try to Reload a page by swiping down, the symbol keeps on doing the reloading animations over and over again, but the page doesn't change (5) Having trouble using more than one account, like insta. If the option is not there to use multiple accounts, this app is dead</t>
  </si>
  <si>
    <t>App is clearly not ready for release. Integration with Instagram is great, however the biggest letdown is having the home feed being filled with randos, with no way to make it *only people I follow*. I'm patiently waiting for this issue to improve. Otherwise good concept, UI is great, user experience is okay</t>
  </si>
  <si>
    <t>For a new app it's great. But, it lacks dark mode which I and several people want/need. I know that they will be adding it, but the home page doesn't show who I'm following half the time and instead is showing other people I have little to no interest in. As well as this, the lack of tags seems to be a problem if it's not added soon. Other then that, a very good start and already better then Twitter.</t>
  </si>
  <si>
    <t>It's decent, but it definitely needs a few interface improvements. Hasn't crashed or anything, which is nice. However, a huge problem is that my entire feed is taken up by people I don't follow or have any interest in despite being logged in. Makes it completely useless</t>
  </si>
  <si>
    <t>Can't get through the setup process. I want to manually select who of my Insta followers to follow in Threads, and twice now I've spent a fair while going through the list only to have it shut down when I get to the end before I can continue to the next stage. It reverts back to the start, and I have to redo my profile and select everyone again only for the same thing to happen. I don't have time for this.</t>
  </si>
  <si>
    <t>Won't like me sign up. Can't create an account, get stuck after inserting the code that's sent, just won't go forward. Utterly pointless. Update: After hours of trying I've given up. Constantly getting error messages &amp; the runaround. Clearly still work to be done on this platform. So l'm going back to Twitter. Threads is useless. #twitter</t>
  </si>
  <si>
    <t>Bugs still not fixed and it has been a while now since launch. Pasting attempt, it highlights the first section when attempting to paste at end of message. New line half way through message creates a new thread in a thread. Large images still probably crash the phone. Cannot have feed for just followers. Hashtags don't do anything e.g. don't change colour, not searchable. Etc etc. Happy to update rating once fixed. S23Ultra 1Tb.</t>
  </si>
  <si>
    <t>I give 3 star because sometimes I can't upload a video, I have to try it next day, the service is not strong not constant, I like the interface but I suggest a private message, it would be very cool instead of switching to Instagram for private message. It really mess me up. I can't have a private with my friends. More mess😫</t>
  </si>
  <si>
    <t>It's a great start! I do feel like when adding photos we should have the ability to choose what album we pick from bc I have a ton of images on my phone and scrolling to hunt for them in 10k images isn't fun. Also I feel like there should be in app DMs as that's part of what makes things like Twitter so usable the ability to talk to our friends about threads or post. To what I DO love is the ability to add more than four photos at a time, the ability to write long multi post threads.</t>
  </si>
  <si>
    <t>There's a bug when using this app on Galaxy S23 Ultra. When i open the app, on home screen it's showing blank and only displays bottom icons . When i click on other icons they are responsive. I thought it was a slow network issue, tried to rest the phone but nothing. I hope this will be addressed via an update.</t>
  </si>
  <si>
    <t>has lots of potential! people are complaining that its missing aome basic features, which it is. but they were mostly focusing on making sure the app runs smoothly, which it does. has almost completely replaced taitter for me already and with some good quality of life upgrades it can be much better than twitter</t>
  </si>
  <si>
    <t>So far, so good. I like the layout and ease of use. And that any follower from IG that uses it automatically follows you. Choosing which image I want to post could be better. Instead of showing me ALL my photos, let me pick the folder to look it up. That's really my only complaint</t>
  </si>
  <si>
    <t>Worse than twitter in nearly every respect. When the hype dies down, everyone will be back on twitter in a week. Also keeps crashing every time when I click replies now. You have to create an Instagram account to sign up as well. Edit: also keeps crashing when I try and make a thread. At least it has quite a smooth interface (carbon copy of twitter though).</t>
  </si>
  <si>
    <t>Not a bad app, could use a couple extra features. The ability to not see re-threads (turn off retweets), ability to download photos, and If you really want to pass up Twitter, Let us edit our posts after they've been posted... Maybe add a "Close friends" sorting option as well like with Instagram.</t>
  </si>
  <si>
    <t>A good first step but many bugs still needing to be fixed. The most egregious is that the on screen keyboard overlays the input area so you can't see what you're typing. Since this is what I would consider a major bug, I'm rating this app accordingly.</t>
  </si>
  <si>
    <t>There's a lot to be desired for on this app I would like to see a "This person follows you" badge on someone's profile who follows me. A feed option of only accounts that I do follow. And most of all, being about to choose specific folders from my gallery to post pictures and videos from. The app is smooth, but uploading photos sometimes crashes it. Otherwise I can see this being a potential killer for Twitter.</t>
  </si>
  <si>
    <t>I recently tried out this app and it's not bad but requires some improvements. One major issue is the lack of a clear indication for new posts, making it difficult to stay updated. The app also needs a better layout with clear indications of posts to enhance user experience. Additionally, the mixing of posts and replies without clear separation adds confusion. Despite these drawbacks, the app has potential.</t>
  </si>
  <si>
    <t>Hello, I'm facing some problems with the theme of Threads. I was hoping to use a dark mode, but unfortunately, my phone's system lacks that option. Therefore, I kindly request if it would be possible for you to enhance the theme, considering that many others might also be experiencing similar difficulties, especially those who prefer a dark mode. I hope this feedback reaches you and serves as inspiration to address this matter. Thank you.</t>
  </si>
  <si>
    <t>Has potential but also has some issues. So I can see this platform becoming very fun to use in the future but it has some glaring issues. One of which being that anytime I try to upload multiple images, the app crashes almost instantly. There's also no Media tab and no way to trace what you've liked or commented on.</t>
  </si>
  <si>
    <t>So far it's pretty peaceful. I appreciate that there's a pop up telling me that I might be posting something that could be deemed a problem(even if they're wrong), instead of the way FB will just arbitrarily ban me. I am getting a "Threads failed to upload error." This is annoying since other apps are uploading just fine.</t>
  </si>
  <si>
    <t>Migration was supposed to be the great thing. I had to go find most of the people I follow. Notifications don't work even though they are turned on to the people I want to hear from. This is a rushed app. Not original. Feels like a partially completed term paper. Not impressed</t>
  </si>
  <si>
    <t>I can't post anything. It always just says "failed to upload". I've tried everything, updating everything, posting short things, restarting my phone, different networks and mobile, uninstalling and reinstalling multiple times and reporting the issues and no success or response. So it's basically unusabyfor me.</t>
  </si>
  <si>
    <t>Great app!!! However, I am experiencing bugs from time to time that limits my usage of the app. 😔 Sometimes my timeline won't refresh, sometimes it displays that I haven't posted threads yet even though I have, and I can't browse my notification bar because they cannot be clicked and are grouped together. I'll try to uninstall and install again, maybe that way I'll have a better experience when using the app. It has a big potential!!</t>
  </si>
  <si>
    <t>The app interface is bugged. I can't even read anything because when I scroll it, the interface becomes a mess. It's like the frames of the scrolling animation are getting stacked on top of each other making it impossible to distinguish anything.</t>
  </si>
  <si>
    <t>Good start, needs some key features. It auto populates your feed based on what it thinks you'd like, as opposed to who you follow. There also needs to be more filters, so you can really tailor your experience. But so far, it's clean, fun, and like early social media. Please don't let it be spoiled by ads, businesses, etc.</t>
  </si>
  <si>
    <t>Pointless. It's a Twitter lite without any of the fun. Heavy handed moderation and no searches or hashtags. It lacks any useful features and the content will be gone soon if they don't quickly release features and lighten up on their policies. I'll probably uninstall it in a week, not worth the extra battery drain and Facebook tracking in its current state.</t>
  </si>
  <si>
    <t>The idea of the app is fun. It feels like a safe space where people are sharing thoughts and ideas. There are a few bugs, sit crashes often and it has slowed down IG as well. But it's a new app. I'm not expecting perfection yet since it was only launched a week ago.</t>
  </si>
  <si>
    <t>The app is still new and I have installed the app for the first time. The setup was easy to do. One thing that I would love to see on the app is that you can upload videos on Threads and the other thing is that you can delete your profile and data because I have read that the only way to delete the data is to delete your Instagram account which I don't like because it's going to upset people when they want to delete their threads data.</t>
  </si>
  <si>
    <t>Excellent. The UI was clean and the navigations were easy. There was few minor bugs encountered. The app was stable and the experience was seamless. Very easy to reach out to connections and people. Very similar its competitor, twitter.</t>
  </si>
  <si>
    <t>Won't like me sign up. Can't create an account, get stuck after inserting the code that's sent, just won't go forward. Utterly pointless. Update: After hours of trying I've given up. Constantly getting error messages &amp; the runaround. Clearly still work to be done on this platform. So I'm going back to Twitter. Threads is useless.</t>
  </si>
  <si>
    <t>edit after a few days: Ok the randomness was fun for a bit, but its continued usability for me hinges completely on search. Search is still the biggest advantage of Twitter and the reason many are still unwilling to move. If they screw up search I am dropping this app like a hot potato. I'm loving Threads so far! 🌈🌟 but it can't replace Twitter for me until it has &gt;&gt;&gt; FULL-TEXT SEARCH WITH FILTERS &lt;&lt;&lt; We need a way to find stuff without waiting for the algorithm to drip-feed us.</t>
  </si>
  <si>
    <t>It's refreshing to be somewhere not [insert rival app here], but the app needs work: 1) Chrono order timeline (seeing the same non-followed accounts is boring). 2) In addition, if you want to stick w/ the current timeline (For You), fine, but give us a Following timeline as well. 3) For brands/social media managers that work on multiple accounts, please implement an easier way to switch accounts than having to log out then log in (it gets annoying). 4) Please add a way to schedule posts. Thanks!</t>
  </si>
  <si>
    <t>A Twitter clone that is in internal closed alpha stage. The app sucks big time. Lacks on features and polish. Recommender algorithm straight up sucks. It almost feels like non existent. I guess it wasnt something meta invested in wholeheartedly. Also the biggest bummer is the Instagram mindset of the users. People can't be forced to morph into the forum like UX it provides. Absolutely no reason to switch from Twitter or Mastodon. Also no data transparency.</t>
  </si>
  <si>
    <t>Its cool but here are some issues i see. First off you have no hashtags, you cant search topics, no dm feature, you cant add a backdrop picture. First week you could share a link and the thumbnail would show. Today it only show the link in preview and then minimizes to just the link when posted....something people are less likely to click on. Some people are not dealing with that issue. Cant claim you have an app that will allow more EXSPOSURE and things like that are missing or glitching out.</t>
  </si>
  <si>
    <t>Very clean app with user-friendly interface. But there are things that still needs to be fixed. There should be a place to turn off automatic video playing. And there should be a place to add multiple accounts using Facebook format.</t>
  </si>
  <si>
    <t>The fact that you can't make your dash chronological is bad enough, but the fact that there's absolutely no way to only see content from people you've chosen to follow? Ew. I don't want to see boring celebrity thoughts that are boosted just cuz they're ~verified~, I want to see my friends' art. Hoping you make some updates so I can give this one a better review later, but for how it is now I most likely won't end up using it.</t>
  </si>
  <si>
    <t>I just wish this app had translation capabilities. 😪 I follow some very successful and super nice people from Japan and South Korea. I'm trying to learn how to read both languages, but translation capabilities would make it a little easier.</t>
  </si>
  <si>
    <t>While it is similar to Twitter, it is not exactly the same. Threads has a lot to offer and at the same time a little too much. I don't require the threads of people I don't follow and also has some security issues like it is possible to upload explicit images publicly and offensively criticising the threads but at the same time it diversified our opinions. It can be added as an extension to insta, which can make it more user friendly and if used appropriately it is a great app opportunity</t>
  </si>
  <si>
    <t>Using Threads is a wonderful experience! Though with the flood of company/official accounts randomly on my timeline, it's too similar to other related app competitors. Accesibility with linked photos (ALT Text) is not there like how Instagram does, and there's no PC version to make it easier to bring in those who are used to the feel of making threads similar to, again, other competetor sites.</t>
  </si>
  <si>
    <t>Update fixes this issue🖤 - Good. Not Great I really can't believe in order to change my profile picture as a verified user I have to do it via Instagram and even when I do it from there it does not change. It is said that I need to subscribe and give ID in order for me to have a display picture. Kind dumb and unfair</t>
  </si>
  <si>
    <t>Absolutely great. For a first version this has been good so far. Keep it up, having just abandoned Twitter,this is a solid 'alternative'. The first version is stable,reliable and I've not run into any sort of questionable buggy issues. Keep it up! I love it,and I explored most situations relating to UI etc within the app. Truly ,keep it up META &amp; IG</t>
  </si>
  <si>
    <t>I like the app, although the UI isn't super intuitive. I'm sure improvements will be made there. My main issue is that the app is constantly crashing when I open a thread to view replies. This makes the app essentially unusable. My rating will go up or down depending on how long it takes them to fix this...</t>
  </si>
  <si>
    <t>It has potential. First of all the scrolling feels really sticky. Second, the search function doesn't let you search for threads only usernames. Lastly, similar to Instagram, there is no way to change the main feed's settings to only show posts from people you follow.</t>
  </si>
  <si>
    <t>The application is really good but it still needs some amendments like; 1) Smoothness: the app is somewhat slow when scrolling to the top feeds. 2) Ability to save: as usual, not everyone would like to screenshot something that he/she is supposed to save. 3) Ability to change name and tag. Way to go Meta. 4) Ability to translate from one language to another. 5) Videos don't have sounds in the owner's profile. 6) When commenting on a picture, you can't see what you are trying.</t>
  </si>
  <si>
    <t>I was really enjoying Threads until today, yes it definitely needs work with the feed and following but over time that will improve I'm sure. However, as of an hour ago, everytime I try to reply to a thread, it crashes as soon as I type the first letter? Hope you fix this ASAP! I really don't want to go back to Twitter! 😭 Update! Started working again after I posted this review! 🤣 Fingers crossed it keeps that way ☺ Further update! Same stupid crashing issue when trying to reply, grrr 😡</t>
  </si>
  <si>
    <t>I believe that this app has potential, but there are a few features missing that would make the experience better. One feature that should be implemented is an explore tab, where you can find threads from people you do not follow. There could also be a tab that shows you popular threads at the time.</t>
  </si>
  <si>
    <t>I have major issues logging in, whenever I switch it Instagram I instantly get logged out saying that the user might have changed the password when the password remains the same. The same thing happens when I open the threads app. Has a lot of potential otherwise. The app continuously keeps crashing as well as Instagram</t>
  </si>
  <si>
    <t>It's look like duplicate of Twitter application, but I believe you have to work on image click bug. Whenever we are clicking on any image then instead of zooming like in Twitter image is getting little bit up and down (like vibration). So just amend some parameters in image click it will improve your application.</t>
  </si>
  <si>
    <t>This is a pretty easy to use platform with a well made app. I dislike having to make an Instagram account to join Threads, but I did it anyways. Also, there seems to be a bug with the search function because it sometimes shows no results.</t>
  </si>
  <si>
    <t>I enjoy this app. The UI is clean, easy to navigate, and smooth, although it definitely needs a few more features for it to really compete. It would be nice to show only accounts you follow or create a "For You" page that shows you posts that relate to your interests.</t>
  </si>
  <si>
    <t>"Sorry, something went wrong." I've deleted the cache, reinstalled the app, reset my connection; nothing's worked. Shame. I like the app, unfortunately I have not been able to use it for over a week. Cannot do anything besides scroll the timeline because I keep getting the error.</t>
  </si>
  <si>
    <t>It probably would be a good app if it actually works. When I open it it glitches as soon as I scroll leaving all the posts I've scrolled past in the background. Even when I change tabs to look at my profile it remains. Uninstalling and reinstalling does nothing to solve the issue. Unusable app.</t>
  </si>
  <si>
    <t>Generally like it but there are almost constant issue with it loading &amp; refreshing. Would like some additional features added as well. It's new, so I expect there to be bugs, but it's getting incredibly frustrating.</t>
  </si>
  <si>
    <t>Well, lemme admit that it has such a good ui, &amp; ux as well... although the real challenge for now is the algorithm, its random rn, obviously its new... but i hope it'll be improved in next versions. The design team did such a great work. We would love to have a quick demo of design system published on Figma, or Instagram design. Best of luck.</t>
  </si>
  <si>
    <t>for an app that feels like it's in beta, it's decent enough. should be way more polished. I have found bugs in media uploading, already widely reported, but also in the titulary threads feature. sometimes duplicate posts show up if u delete something and repost it. other than that, it's a bit empty, needs voice clips, and a button to DM ppl</t>
  </si>
  <si>
    <t>So far so good. I know a new app will take multiple updated to implement all the changes needed, so I will give it time to let us choose folders and albums we want to post media from. Otherwise, it's a really easy to use app.</t>
  </si>
  <si>
    <t>It's alright for now,but let's see how it goes after the perfect algorithm kicks in and some features added. Would love it if u can seperate each tweet/ thread more clearly cuz it feels a bit"compact" and not "comfy" and better search too. Looking forward to how it goes.</t>
  </si>
  <si>
    <t>There are no reviews yet? Anyways, it's down on my end right now. Few suggestions: explore and trending (or "threadsetters") tab, edit button, likes and media tab, ability to save photos and videos, user generated alt text on photos, tagging users on photos/videos, cover photo, location tagging, and zooming/viewing of profile photos</t>
  </si>
  <si>
    <t>Cannot save pictures &amp; crashes posting pics! Twitter allows you to save any picture; Threads blocks downloads. On Twitter, I can easily post a picture; Threads crashes if I try to post a picture. Ridiculous! So far, this has been a pretty miserable app! I hope they fix it soon.</t>
  </si>
  <si>
    <t>It's good but has a few kinks. It needs settings like an in-app dark mode instead of it being tied to my phones settings. Along with features like direct messaging. Ads don't seem too intrusive but I'd like to see more in my feed from people I follow</t>
  </si>
  <si>
    <t>No Dark mode, by far the biggest crime No way to create an account inside the app, you have to have an already existing account No desktop version, for an app like this to thrive it gotta have that Upon logging in you are stuck in an infinite loading loop on the main page, only once you close and open the app again does it properly load The attach icon could be moved to the side instead of under the reply so I don't need to scroll each time I wanna attach a photo Fix this ASAP, till then have 1</t>
  </si>
  <si>
    <t>Threads has definitely grown on me, the algorithm has also gotten drastically better for me which helps a lot. It's only little problems I have with the app now. Wish there was an option to hide reposts from people I follow. Really wish we could pinch and zoom on images; and wish videos would unmute when opened. Otherwise, this is a tremendous first release. It seems to accomplish the goal of Twitter's For You page well and in a way that is enjoyable to use.</t>
  </si>
  <si>
    <t>The Thread app is a fantastic tool for staying organized and connected with your friends, family, and colleagues. With its sleek and intuitive interface, it provides a seamless messaging experience that keeps conversations focused and clutter-free. One of the standout features of the Thread app is its unique threading system. It allows you to create separate threads within a conversation, making it easy</t>
  </si>
  <si>
    <t>The app as a platform is great, besides the interface and stuff... but one only issue is that scrolling is low smooth plus I would like to suggest some ways to make Threads go incredibly stylish, such as the like button animation and the app's icon color matching for android 13+ However it's an excellent app that's looking to be perfect, thank you Marks crew 👌</t>
  </si>
  <si>
    <t>-Need quick account switch function, I have to log out an log in each time for my multiple accounts. -Feed algorithm is way too random, close friends threads should be prioritized over everything else -Obvious features missing such as text character limit counter, media tab in profile -Hope the app will be more flexible like Twitter, like be able to see people's profile pictures full, etc -At the moment, the app is giving me kind of claustrophobic feeling due to missing features and UI, boring.</t>
  </si>
  <si>
    <t>I dont know what happened but as soon as I log in into threads, its kind of a bug or something, my screen suddenly starts acting weird and the title and post begins to flicker. I reinstalled it many times but didn't worked. I can't even read a thing.</t>
  </si>
  <si>
    <t>This feels like a beta version of an app. Was rolled out way too soon with the hopes of cashing in on the temporary Twitter rate limit issue. The app is a mess right now - no following tab, no way to turn off reposts from followers, no search button for topics, TL not in chronological order, no way to save pictures, no GIFs, no DMs, no Trending topics. Will never replace Twitter if these issues aren't fixed.</t>
  </si>
  <si>
    <t>I understand it just released, but there's a lot to improve. Some things I think should be fixed/added: the option to search for tags or words; too many accounts I don't follow on my tl; chat system; stories; show the quotes for threads; allow us to select from gallery folders when selecting pics to post Edit: new issue, the app keeps closing whenever I try to post something</t>
  </si>
  <si>
    <t>Can't post 50mp photos in the app. The app crashes upon upload to a thread. But the standard sized photos seem to work fine. Would love to see more discovery options like using hashtags etc. I'm sure more things are in the works. The app works pretty fluid on my S23U. Nice!</t>
  </si>
  <si>
    <t>Great app, but I think 2 issues have to be fixed,, First, it's gonna be better if the pictures/photos are downloadable, Second, when writing using 2 languages like Arabic &amp; English in one thread, the order of the text gets messed up, so for a socialmedia where writing threads is the thing, I believe fixing this issue is necessary. Overall, creating this platform and this app is a great idea.</t>
  </si>
  <si>
    <t>I've only been using it for a day but so far so good. Feedback: the ability to save photos and post/reply with gifs. There's also no option to go through my folders in my gallery so when I pull up my gallery it's just all my photos and no way to access the different folders. The ability to sort the feed from either top or latest</t>
  </si>
  <si>
    <t>Has a display picture uploading bug. I've tried to change my profile pic on 3 different devices but its still stuck as the plain white default one. Aside form this bug, the app is great, nice and simple. I enjoyed Twitter a lot before. I'm curious to see how the Threads vs Twitter fight goes.</t>
  </si>
  <si>
    <t>The application works fine without problems, but there is a very noticeable minus there is no transfer in Threads, and you need to make two buttons, the first recommendation, the second on which you are subscribed, this is my personal opinion, otherwise 4 stars, I hope the developers will notice this, and by the way, me too programmer</t>
  </si>
  <si>
    <t>Where to start! As highly anticipated app and I'm glad this feature were to exist as part of Instagram but as soon I'm finished with getting started I'm met with all screen bug (flashing, misplaced repeated jittered clones of everything everywhere) I'd wish I could send an internal feedback on it with attachments but can't due to bugs. // device info: Android version: Android 9 (FuntouchOS_9.1) Software version: PD1930CF_EX_A_1.18.0</t>
  </si>
  <si>
    <t>Pretty good app apparently it's like classic Twitter. It could use a few tweaks and adjustments especially the ability to edit your thread and better audio support for videos as well as gif insertion, also a timeline just for the people you follow would be great too, but otherwise it's solid.</t>
  </si>
  <si>
    <t>I like the concept, and it's good to start. However, it needs to be easier to follow people in your feed without opening the post and harder to highlight text. I kept accidentally highlighting while scrolling and clicking on posts when trying to follow someone.</t>
  </si>
  <si>
    <t>Overall I love the app. However.... I have not been able to follow new people or follow back any of my new followers for over 3 days now and I can not get anyone to help with this issue. Ive even tried to become verified but guess what can't do that either. This is very very frustrating!!!!! 3 stars because of this issue could be 5 if someone from support could help me out.** 5 days now so I'm going to start dropping the stars.</t>
  </si>
  <si>
    <t>It's a good app ...but then things need to be corrected ... Work on typing, You need to see what you are typing ... Not just typing blindly.. ,,,while using the app replying a post with a photo media the media blocks your view and you can't see what you are typing ... Plus the post button should be easily accessible.. Work on interacting with your users that's why your notification is there. Send a notification to notify a user if the user have been limited to carryout some certain activities</t>
  </si>
  <si>
    <t>No interaction with people you follow. Period. You'll be lucky to see a post that isn't a business or verified account. No rhyme or reason to posts that the feed shows you. This is the same as the ad riddle Instagram platform but worse at this point in time. If you could filter by only people you follow, MAYBE this would salvageable. But as it is now this isn't worth using over Instagram or any other service. There's little to no functionality and it's not even close to chronological.</t>
  </si>
  <si>
    <t>App with Limited Login Options I recently tried out an app that caught my interest due to its promising features and positive reviews. However, my experience quickly turned sour when I realized that the app did not allow login with a Google ID. This limitation significantly hindered my ability to conveniently access the app and affected my overall user experience. One of the main advantages of using Google login is the convenience it offers. With just a few taps, I can seamlessly access.</t>
  </si>
  <si>
    <t>Overall, the app is good. Its performance is great for it being initial release. A few suggestions: -Ability to only see followed accounts on timeline -Trending page -Cover photo -Dark mode Pros: -My system font works on this app, while it doesn't work on other similar apps.</t>
  </si>
  <si>
    <t>Seemed like a great new alternative at first, but it still has Instagram's garbage moderation and is constantly crashing on me. You open it up and see nudity, slurs, and threats immediately and the moderation team just goes "nah its staying lol" and that's it. Still better than the alternative, but not by much</t>
  </si>
  <si>
    <t>App keeps crashing and is effecting my Instagram (it keeps crashing) when I delete Thread my Instagram works fine. But when I download Thread again both my apps glitches. Thread prevents me from mentioning anyone, the app closes and if I'm typing a long Thread the app will close. There is a bug in the system. Need an update ASAP.</t>
  </si>
  <si>
    <t>Missing features: - Selecting text while typing, we can't select to delete, cut, or copy ! - Right-text alignment for Arabic .. - The search bar is only for searching threaders not threads‘ content about a specific topic .. I faced an error: I turned on notifications for an account, then later turned them off, still sending notifications. Unfollowed then re-followed the account, notifications persist. I restricted the account yet receiving them !!</t>
  </si>
  <si>
    <t>This thing is joyless. It has the basic functions of insta but with words. No way to control what you see on you dashboard, or even order things chronologically. I will see one or two posts from people I follow before there's an endless stream of influencer and celebrity thoughts that I don't follow or care about. I tried it for a day and will not be using it again unless there are major changes and way more memes.</t>
  </si>
  <si>
    <t>it's on a good start to be a good socmed app, i just have some problems with it: 1. there is only a for you page, you have to see what the algorithm wants you to see and there's no way to only see posts from accounts you follow. 2. it could he more clear with the data it's taking. simply saying "other data" when explaining what data meta takes from us is not transparent. 3. the search section sucks, there is no trending page, no hashtags, and you can only search for accounts</t>
  </si>
  <si>
    <t>It functions almost exactly like Instagram except worse in the way that your feed is literally no one you follow, just a bunch of suggested people. There seems to be little to no option to toggle that, which at *least* IG does. Also come up with a more fun and silly name for resharing posts the way "retweet" exists? "Reposting" is a completely different concept. Like the right-click save + reupload kind. That would add like a modicum of personality, at least :/</t>
  </si>
  <si>
    <t>UPDATE: App works perfectly fine since the update. ORIGINAL REVIEW: The app runs fine, but I can't check out my account's Following list, as well as other accounts Following lists either to follow accounts I recognize from other platforms (the same Following list error/glitch has been happening on Instagram, too). Hopefully this error/glitch will be addressed soon in a future app update.</t>
  </si>
  <si>
    <t>Doesn't work at all. I'm unable to check notifications nor my profile ("Sorry, something went wrong." error). I also can't post anything ("Your thread failed to upload." error). Additionally threads in feed are displayed randomly, threads from people i follow are almost impossible to spot in between so spammy, unrelated content.</t>
  </si>
  <si>
    <t>It's a good start at competition for Twitter but more work is needed. I cannot search for specific posts, suggestions for who to follow is not something I have seen, and finally there should be a web version sooner than later. For most of us looking for a Twitter replacement, it's much faster to replicate a followers list on a full keyboard tha it is on mobile.</t>
  </si>
  <si>
    <t>I am facing an issue with this application. Whenever I am trying to reply or quote a video the application shuts off by itself and that video disappears. It's happening from the day one that I had downloaded threads. Please fix that problem. Thank you.</t>
  </si>
  <si>
    <t>Media consumption is mediocre, the default audio setting for videos are muted. You have to click the tiny mute icon to unmute it instead of just pressing your volume up button. Could you please fix that and make it like Instagram's controls? Every video I tap on, I end up skipping to the end because the hit box on the mute/unmute button is so tiny.</t>
  </si>
  <si>
    <t>there's no point in following user profiles because their content can't be seen on my homepage. instead my homepage is drowning in an ocean of junk content that the app has decided i should want to view, but that i don't care for at ALL. i can't even find threads using the search bar, only profiles. and following a profile is nearly useless anyway because their content is NOWHERE to be seen on my homescreen</t>
  </si>
  <si>
    <t>This app definitely has potential but I have one giant problem. It glitches insanely where if I scroll, the text and photos get dragged along with it. I dunno how to explain it, but I posted a screenshot of my experience with it on dammit.bekah though I think it's just a me problem.</t>
  </si>
  <si>
    <t>The app is very messy, there's a strange effect where I see every post as an afterimage, smeared across the screen. I look forward to seeing what the app is like, after the issue is resolved</t>
  </si>
  <si>
    <t>This app surprisingly is a lot like Twitter minus a lot of the negative stuff. But it's clean sleek you. I really shows you how little there is to do on either platform. You can't direct message anybody, it's even hard to see what my friends are actually saying. My whole feed is a bunch of people I've never met, I don't follow, and no one's reposting it that I follow. Overall a solid experience compared to Twitter but somehow this app makes you realize how boring it is.</t>
  </si>
  <si>
    <t>The app, I think, is cool. It still needs work. I wish when you're about to post a picture there was a way to choose what gallery album to go into. It gets annoying having to scroll through all my pictures to find what I need.</t>
  </si>
  <si>
    <t>Pretty good so far. I just have some minor problems. First: Push notifications for individual profiles don't seem to be working at the moment. I've turned push notifs on for multiple accounts, I've seen that they've posted multiple times now, and I never got a notification for any of those posts. Second: I don't like that the feed shows so many people that I don't follow</t>
  </si>
  <si>
    <t>It's pretty glitchy, not going to lie. I'm going to uninstall it for now because it keeps saying "Sorry, something went wrong. Try again later" no matter what i did, it just would not work, so I can't even use it anyways, what the point of using up storage space. I like the idea though, it's just too early. Maybe I'll reinstall it in a couple weeks? A month? 2 months? How long do you think it takes to get all the glitches out?</t>
  </si>
  <si>
    <t>I really love this app, but dear Devs, please help: I was in the zone with the bad internet, where I got an error saying that the feed cannot be loaded. But when I came home, the problem didn't disappear. And unfortunately, I still cannot post for some reason, see my threads and likes. I cleaned cache, reinstalled the app, checked the network access. How can I solve this?</t>
  </si>
  <si>
    <t>Bakwas app! I felt hopeless, after close the app! Too much negative news poling! App is crashing while something write here, Just like, If I add paragraph, losing the words, why? Fix this. And that's not finish. We can't save photos from posts that like most! More over, Videos are voiceless! Very bad experience!!</t>
  </si>
  <si>
    <t>Not perfect but could be great if they begin minor improvements like hashtags and more comprehensive search. Runs really smooth and UI is clean and simple. Hopefully it doesn't get too bloated and busy like Instagram. A lot better than the cess pool that is Twitter.</t>
  </si>
  <si>
    <t>Personally, I think the way u arranged the username and userID/accountID is very confusing: -In the Search page, the hierarchy of a profile goes from userID to username; but after u go into their profile page, the hierarchy is the complete opposite -Makes me wondering again which one is ID which one is name -It feels like u combine the interface of twitter and IG, but it turned out confusing instead -I suggest maybe try to arrange the consistency of the hierarchy next time u update the app? Tq</t>
  </si>
  <si>
    <t>The app is good, but the app is unnecessary. With a/an Facebook/Instagram/Twitter previously in use, I find minimal usage for a [new] version of the same apps. Also... you will delete your personal IG account when you delete Threads, which is not only redundant, but a directly violation of my intellectual rights, and there is no NDA, MOU/MOA, or any other contractual agreements within the terms and agreements, prior to you logging in, and/or your account being pre-setup by the [app], itself.</t>
  </si>
  <si>
    <t>I realize the app is in its infancy, but this thing is really inconvenient. I can only use the app from my phone to post. I can't use it on my laptop at all, not even taking something from my Instagram page and crossposting. Please fix this. Allow us to post from devices other than just phones. I have failing eyesight and this becomes a real problem for me because my phone screen (and anything I write using it) is so small.</t>
  </si>
  <si>
    <t>Meh, I'm on the fence about it. I know it's new but it has a bunch of things that needs fixing. The timeline, if that's what it's called, needs to show stuff from who I follow, not everyone. I'll check the replies for those comments. Need a dark mode option and ability to make fonts BIGGER and maybe a bold option as well. Also a definite need is when you open the app or refresh the thread, don't go all the way to the top. Keep the thread where I left off, thanks.</t>
  </si>
  <si>
    <t>Glad to be on board and excited to use the app, but on Android, we can only access our "gallery" and not photos from individual folders, which means I can't find any of the photos I want to share. Attempting to share multiple photos from the "photos" app results in the app crashing.</t>
  </si>
  <si>
    <t>The concept of the app is good. But the app needs some optimization. There are some glitches in the app And it's draining my device's battery. So after some times, I need to fixed my battery issues. Make threads more compatible. Please fixed this problems as soon as possible.</t>
  </si>
  <si>
    <t>Missing a bunch of things I would like (some of which they eventually plan to add). Since it is still in its infant phase there are some bugs and hiccups that need to be fixed such as the homepage glitching out while reloading, lack of order in which posts will arrive on the feed etc.</t>
  </si>
  <si>
    <t>The timeline is chaotic. There should be a way for individuals to control/choose what they wanna see and who they wanna read. Also, there should be a way to turn off automatic media (video) play. Other than these, the app is going to be an amazing one.</t>
  </si>
  <si>
    <t>This is likely the most overhyped program in the history of forever. The news feed desperately needs filters and there's just not a lot of organization or structure to it. It's basically just a reformatted version of Facebook.</t>
  </si>
  <si>
    <t>So far, so good. I would like there to be a viral feature or something that allows me to actually see the posts of the people who I'm following. All I've been seeing are random blue check marks all morning. Another problem is that the app keeps crashing when I try to see the replies to other people's posts. Every time. It's annoying. I know it's a new app, and I'm just saying that there needs to be a few fixes. Thank you for the new opportunity to grow.</t>
  </si>
  <si>
    <t>An excellent start to a new social network! The app runs smoothly on my Pixel, it hasn't crashed once for me. Yes, this Meta app collects data, but if you already have Facebook and Instagram installed on your phone, adding Threads doesn't make a difference. Love the interface, it's clean and easy on the eyes.</t>
  </si>
  <si>
    <t>A great first experience considering that it's a v1 app. thing to improve, app crashes are frequent, looks a little weird on large screens (tablets), and a lot of missing features. what makes it special tho is that it kinda reminded me of the first few years of Twitter.</t>
  </si>
  <si>
    <t>It's ok but it's missing a lot of features and some of the things it has already is pretty buggy. I can't get videos to play with sound on. Either you watch with no sound or it freezes immediately.</t>
  </si>
  <si>
    <t>There are way too many random people on my timeline. The algorithm is terrible because they don't even appear on my Instagram. They are not related to anything I interact with. I'd prefer it if the default tab were to be for mutuals only.</t>
  </si>
  <si>
    <t>I like how the app loads much faster and lighter than others, the ui is appealing But some things are much needed to be added to the app: 1.Trending 2.Search by post text 3.Saving images to gallery 4.Saving/Bookmarking threads 5.Dark mode for OLED screens (completly black), this may be optional "Two types of dark mode and one light mode or more to choose from" 6.When typing english words between arabic words text flips (I think this is a bug)</t>
  </si>
  <si>
    <t>This is a quick suggestion! While uploading files their is no option to navigate to sub directories... You only have an option to upload via gallery as a whole... I mean only all the media from the phone is visible.. No navigation option for subdirectory is available... Please incorporate the change.</t>
  </si>
  <si>
    <t>So far the hype is promising. However if you can adjust your "post" button after typing a message i have to click the "back" button to access the "post" button which will be hidden behind the keyboard. Kinda inconvenient - but of course it's not the finished product yet....</t>
  </si>
  <si>
    <t>Good app for early days but would like to see quick adoption of more standard features like a sort button on the home page, better search features, a dedicated friends list and better integration with the other meta apps. Great for a launch product though.</t>
  </si>
  <si>
    <t>So far a smooth interface, but these are to be worked on; a) App has no dark theme, it bugs when you try linking with Instagram settings. b) To be more interactive, users should read quotes. c) You can't save/download media. d) Having a trend table would widen the public discourse. e) The profile page looks bland, a header should be added, then a face lift. f) When typing, my keboard covers my text. I can't see what I type. g) a DM feature should be added. h) App settings made independent.</t>
  </si>
  <si>
    <t>Not bad as a new app.. however, it does need a few improvement of features as well as some new features... I hope also that it will be allowed to navigate through different accounts just like Instagram. I have multiple accounts for multiple purposes and I would like to have separate threads accounts that are easily navigated through.</t>
  </si>
  <si>
    <t>Overall a good experience so far, however could be improved. I have only used it for a day but inability to properly search by topics makes me feel like I see posts which are irrelevant to me than the posts which I can relate to. It would be helpful to have hashtags available but I understand that at the moment, the app is a new launch and still has a lot of development to go through. Hopefully will be able to give five stars in the future.</t>
  </si>
  <si>
    <t>Super buggy, attachments crash the app any time I try one as a reply, or if it was a screenshot in my gallery, or if it's a large image. Also my keyboard pops up and covers what I'm typing so I can't see typos. Super unpolished app.</t>
  </si>
  <si>
    <t>Pros -Friendly UI design -Easy account transfer -Complimentary addition to Instagram Cons -Default For You/Following Page mashed together -Search function searches users and not keywords, mentions, or tags -No messaging funtion through Threads -No "exploring" page (similar to that of Instagram's "Search" Page I'm sure the cons I listed are slated to be updated/changed/implemented; However cons such as these should have been considered before launch. Considering compeition.</t>
  </si>
  <si>
    <t>The user experience so far so good, clean and neat, and easy to navigate through, my biggest problem with it, that there's no Dark Mode so far, and the people following you can easily find and follow you back, which is a thing that I should choose instead of the system choosing it for me, I acknowledge it's an Instagram App, but when it to comes to the user choice, it's better to let the following stuff up the users themselves, not automatically you find the same list migrating to threads..</t>
  </si>
  <si>
    <t>It is a great app. but still need an improvement. it would be great if you message feature to share a thread to your friend because right now share through other app is the only way. maybe a feature to know people who follow you back and to view liked thread. last, add the ability to add gif to your thread.</t>
  </si>
  <si>
    <t>There's some features missing at the moment which is understandable and I look forward to future updates but there's a huge issue for me on this app. I try upload more than one photo it crashes and refuses to open for a few minutes hopefu this can be fixed</t>
  </si>
  <si>
    <t>I haven't run into many issues, mostly because I'm not much of a poster so I'm not adding photos and everything else, BUT the past couple of days my feed is full of accounts I don't follow. Sometimes it's because someone I follow commented or rethreaded it, but that's not usually the case anymore. I use the app to keep up with and engage with the people I actually follow, not everyone else</t>
  </si>
  <si>
    <t>It is good. It feels fun and addictive in some way. However, I feel that Twitter was better because it had tags and we could browse current events and news. These features unfortunately don't exist in Threads. I hope that tags and searching for news or specific topics would be added to the app.</t>
  </si>
  <si>
    <t>I am giving it a two star because I appreciate what you'll are trying to give us,but I wished that there could be more functions available in it. Like a translation option it will help us because some of the thing in it are from a different language so to understand that we need a translation option. I look forward for more development in this application and wish that you won't ignore this review and look into the matter deeply.</t>
  </si>
  <si>
    <t>Update: i tried to reinstall the app to find that they changed the system and prevent us from sign up with email and that we have to use the Instagram account !!! If i want to make account aside from insta why forceing me to not to do it ? I tried to sign up but in the last step when you have to agree to the policy i tap agree but my process end their, everything was good till this step , agree just start reload than nothing happened and than tap again and the same</t>
  </si>
  <si>
    <t>I absolutely loving my time in here. However, there needs to be a dedicated feed for people you follow and not just random people mixed in with followed. And for the mixed feed, it needs to be based on your interests. Right now the posts mixed in your feed are from completely random people with no rhyme or reason. Even people speaking different languages. A huge flaw in this app. It also needs a proper, fully functioning website.</t>
  </si>
  <si>
    <t>There is no need to build and launch this app. However, if zuke wasted a lot of money in copy paste work. The app is useless. It crashes, features doesn't work, @ is not working, design is not very user-friendly, and why it is connected to Instagram?</t>
  </si>
  <si>
    <t>User experience is very good compared to Twitter, but some features are missing, for example I can't on my profile people I m following, and I also can't see others following list, hope this feature will arrive soon, and the logo of the app is not looking professional. Hope they don't add promoted content too much, like Twitter.</t>
  </si>
  <si>
    <t>It was working fine then all of a sudden logged out and logged me out of Instagram. I was able to log back in to Instagram but not Threads. Trying to reinstall but now it's not installing. (?) Update: Was able to reinstall. I don't know what happened. Maybe a possible hack? Good thing I have some safety precautions in place.</t>
  </si>
  <si>
    <t>Love it so far but it needs improvement. It really needs hashtags. And I hate that celebs and business' are what you mainly see. I wanna see the smaller people. I want to be able to find artist. And I want a way to share my post to people who would be interested in it rather than hopeing a stranger likes it. The algorithm is working but it could use improvement.</t>
  </si>
  <si>
    <t>So far, so good. It's still in the early stages, and more features are being created as it's used, but so far, the experience has been great, and the community is supportive, positive, and helpful. There seems to be a concerted effort on the new users to block disinformation, hate speech, racism, and focus on sharing facts and real news.</t>
  </si>
  <si>
    <t>Needs filters for the newsfeed. I don't care about "things that might interest you"! I just want to see the posts of the people that I follow, that's IT! Overall, a nice app, but too much spam from the suggested content. Needs filters. Badly.</t>
  </si>
  <si>
    <t>Needs a TON of work, but I will hold out hope. There is no real search. No GIF keyboard. Some glaring bugs. Definitely released early, but with that in mind, it is quite smooth for what it does.</t>
  </si>
  <si>
    <t>Simplified is one of the many AI tools I have tried and is my favorite so far. I appreciate the rewrite tool (it is the one I use the most). Sometimes I can't get my thoughts together, but this tool perfectly organizes and cleans up those thoughts for me. I can rely on it to provide me with a professional and clean rewrite copy which I have used to update my resume. This is just one of the few things it does other than being able to continue your writing or (pun intended) simplify it.</t>
  </si>
  <si>
    <t>Good start. Missing some very useful features that are on the... bird app (and other social media platforms) like a followers/following only feed, and the UI could use some touching up, but otherwise, this is a good start for a new social media platform.</t>
  </si>
  <si>
    <t>I am happy with the app so far. I wish that there were a few other features, like a favorites list or following tab so that I could switch back and forth. It is nice to be able to see people with similar interests and not be buried under bots and other hateful content. I am looking forward to future updates.</t>
  </si>
  <si>
    <t>There is no option to edit typo mistakes. I can't see where to add a video. In fact, I can't see where to add or post anything! Managed it once but don't know how? My icons seem to be missing! Using tablet and tried phone! Doesn't flow for me! I'll wait until it works properly before I invest too much time with it!</t>
  </si>
  <si>
    <t>The app is mostly fine (just Instagram's version of Twitter basically), but my main issue is how there's no way to turn off suggested posts so all the people I follow just get drowned in a bunch of threads from people I don't care about. The only way I've figured out how to get rid of them is by muting individual accounts, but that's way too much effort.</t>
  </si>
  <si>
    <t>pretty good idea as an extension of instagram, though lately theres this bug happening where nothings loading, i cant check my notifications, threads, or refresh my feed because 'an error occurred.' i'm not sure if im the only one experiencing this, but i hope it gets fixed quickly.</t>
  </si>
  <si>
    <t>I can't even use it properly. When I started to scroll or at least go to the other tabs it started to glitch and overlaps everything. Please fix this bug in the next update, I can't have the same experience like what my other friends does.</t>
  </si>
  <si>
    <t>It would be great if I were able to follow back people. Their "spam trap" has me as a false positive. I have submitted a support ticket 3 times &amp; replied to their Thread about the problem several times, but no response. It's beyond frustrating and I'm almost ready to delete my account. If the problem gets fixed, I'll add more stars to my rating and change my review.</t>
  </si>
  <si>
    <t>what is wrong with having to press the speaker button if u want to upload a video huh?? the button is so tiny and most of the times users forgot to press that button... it's so stupid. Also, what is the purpose of following someone if we're gonna see random people's postings in our tl anyway?? Do not see where you are going with this honestly. Except for the smoothness of the UI, the UX is noticably worse than its' competitors.</t>
  </si>
  <si>
    <t>It is difficult to claim this is a "stand alone" application, as you need an Instagram account to access it. I do not use Instagram, and will probably not make any further attempt to use Threads either. First impression is... no impression at all.</t>
  </si>
  <si>
    <t>So far, so good! We need to be able to select what album we want to post a picture from. Right now, it doesn't give us that option. Also, when we reply to someone, it looks like it's all part of a thread instead of showing who we're replying to. Good start, little fixes here and there to make it work.</t>
  </si>
  <si>
    <t>First installed on my iPhone. Worked OK for a few days but then stopped showing notifications (just keeps saying try again). Refreshing doesn't help. Reinstalling doesn't help. Can't see comments on other posts. Tried the Android version and got exactly the same experience. Needs fixing</t>
  </si>
  <si>
    <t>I wish the photos/videos/reals not take up most of the page and makes it feels like another insta app ! Likes to be as close as Twitter copycat and let the priority rest on the text and people's posts mostly ! Wish there is an easier option to weed ourselves out of all those insta followers to follow us back here</t>
  </si>
  <si>
    <t>Glitches out at random moments and you have to reload the app. Maybe once it progresses it'll stabilise. Urgent need of a translate option. Also the option of saving a thread would be nice. Also pining threads would be a step in the right direction.</t>
  </si>
  <si>
    <t>A terrible app that nobody needed. Nothing works here as it should. The UI is cluttered, with ads all over the pages and the reels integration is a nightmare. Talking about Privacy in context to Meta is a lost cause so I won't dwell much on that.</t>
  </si>
  <si>
    <t>I hope that it will have a dark mode feature, and also to have messages, so atleast we can send photo, video or vm there. I also hope that there could be a feature where you can also put video and photo stories. Lastly, it is too hard to switch account, so I hope you can do something with it. Thank you.</t>
  </si>
  <si>
    <t>App feels really great community has taken it very well. But I will have to give 2 starts cus this app don't like my best photograph I took I can't upload it every single time I try to upload that particular photo and upload fails i don't know why but please fix this. And if you devs want to checkout the file that's causing problem fell free to reach out, I would love to help and have a better Twitter alternative. Anyways good work on UI and stuff👍</t>
  </si>
  <si>
    <t>Still very buggy and not usable. Threads disapear. Bio gets synced with IG even after correcting this a couple times. Also not happy with all the permanence of it. Want more control over the data and privacy and data ownership.</t>
  </si>
  <si>
    <t>It was great at the beginning. Now, text threads are failing to post. I reinstalled the app, cleared the cache, changed the internet connection, and still have the same problem. Very disappointing</t>
  </si>
  <si>
    <t>It was working perfectly until a few days ago and now I can't see anything in my activity tab, I can't post any new threads, I can't reply to any threads, I can only see the first post in a thread but none of the replies. I can still like threads and follow people and that's it. It's pretty much useless to have a social media app if I can't interact with any of my friends and followers. So disappointed. I really thought I had found a viable replacement for that trainwreck of a blue bird app.</t>
  </si>
  <si>
    <t>Problem1 : WHERE IS THE FOLLOWING TAB?? Problem2 : when I type in a text, and it lengthens , the text doesn't scroll up. Instead it gets covered underneath the on screen keyboard I'm typing on making it impossible for me to view the text while I'm typing it. Desired features : those 5 reaction from Facebook next to the standard Heart Like. And the no. Of views on a threads like Twitter has.</t>
  </si>
  <si>
    <t>It's just a Twitterised version of Instagram. Nothing more nothing else. And after a few weeks on its full of unwanted, unsavoury, bogus, fake-ish accounts that no one wanted and no one asked for. Since signing on all I've been doing is blocking and muting accounts. And the fact that it lacks so many features up until this day. Say what you will but I would rather stay in Twitter and Instagram.</t>
  </si>
  <si>
    <t>As soon as I got logged in on the app the entire thing is an unusable glitchy mess. I can't even see my screen, it's just pixels tearing in every direction. I'm guessing it hasn't even come close to being optimized for every device yet.</t>
  </si>
  <si>
    <t>Not only are serious security shortcomings prevalent, but placing "Post" &amp; other interactive buttons at the bottom of the page means they are obscured by QWERTY &amp; Google keypads on most smartphones. By comparison Twitter has all functions top of page.</t>
  </si>
  <si>
    <t>It's a new trending app ..it's good but I think that there is something you should fix it... like there is no conversation feature... sometimes it's lack when you scrolling ...in settings there should be set dark theme...if you have android version 10 or you have iOS 14 latest version then you can enable dark theme if you don't have you can't....but it is not so bad not so good...😃</t>
  </si>
  <si>
    <t>Threads, an Instagram app is a big no-no for me. The app is glitchy, slow, and boring. It's like a bad version of Twitter that nobody asked for. Why would I want to use another app to share text updates and join public conversations when I can already do that on Instagram or Twitter? The app also makes me nervous about my privacy and security, as it may share my data with third parties without telling me. Threads, an Instagram app is not worth my time or my phone's memory.</t>
  </si>
  <si>
    <t>Totally blank feed after following several top accounts. App just seems broken and doesn't do anything. No messages appear, no content. Searching for users works and following them works. But there are no feeds whatsoever after adding them.</t>
  </si>
  <si>
    <t>I just downloaded this tonight, but I already have a bunch of feelings. First, PLEASE give us a Following tab where all posts from people I follow show up in chronological order. If I want to find new people I'll use this crazy looking algorithm you have going, but in the meantime, I'm just hiding and blocking and not really engaging with the accounts I truly want to see. But so far, the app seems pretty user-friendly. When I actually see a post from someone I follow, of course.</t>
  </si>
  <si>
    <t>Not working! I uninstalled and installed it twice already but yet I can't upload photos. I mean I was able to the moment i installed it the first day but now just today it keeps saying failed to upload it's not a problem in my end i already do the basic troubleshooting on my phone too I restarted my phone restarted the network check other social apps aswell as yt and netflix everything is fine. Uploaded on ig &amp; fb it's already uploaded but the one on thread it's still not since 4am</t>
  </si>
  <si>
    <t>Basic features work as expected. But it's about time we get a big update with more complex features like Edit Thread, Translate Thread, Ability to pin Threads, better Feed page, video player optimization and working hastagd. A trending page would be nice too. But current app is very good. 4/5.</t>
  </si>
  <si>
    <t>Why you guys don't fix it's bugs when I first time downloaded it,it's login went good and then when I scroll it things are getting overlaped, I was not able to see a word , I deleted it and downloaded it again but the same problem occurs all the time , fix it as soon as possible</t>
  </si>
  <si>
    <t>I don't like that I can't edit an image before I post it. Also, when I want to post a picture, all of my gallery just spills out, no folders. It's stressful. Asides these, it's a great app Ps. Can we get dark mood🙂</t>
  </si>
  <si>
    <t>The app works fine, but you can't search topics by key phrases or hashtags which means the experience feels extremely curtated and walled off. The good parts about Twitter is that it made easy to discover new people to follow based on what they said as well as find authors and artists you wouldn't have found otherwise. Threads makes so you can't really do that. You can only follow people you already know exist and can't see art by people you don't follow or such.</t>
  </si>
  <si>
    <t>My review can improve over time, but it needs alot of improvement... It crashes alot and shows some annoying things on my screen. Alot of un delivered post keep appearing on my screen and it's annoying.. I wish I could share my screen so you can see it</t>
  </si>
  <si>
    <t>Great version of a certain social media app. Please add the ability to switch accounts though! I have multiple Instagram accounts which I can easily switch between, therefore I have multiple Threads accounts which I would like to be able to switch between.</t>
  </si>
  <si>
    <t>I get severe ghosting issues from the app. It goes away when I open the task switcher then return to the app but happens again when I do anything as simple as scroll. I'm sure it's the app cause all other apps aside from this are fine. My phone is a Sony Experia XZ Premium G8141 running Android 9 Build 47.2.A.10.107</t>
  </si>
  <si>
    <t>This is very alternative for the blue bird app. It's actually fun and less toxic but there's some features that are still missing 1. Following Tab, as much as I like seeing people's threads, I wanna see the one I followed. 2. Hashtags, I mean if you wanna trend something you gotta use that. 3. Trending, I'm sorry I'm so used to looking at what's the trends ATM 4. Functional Search button. Not only the person you can search but pretty much everything</t>
  </si>
  <si>
    <t>I really really liked this app . I downloaded it today and at evening it's starting to get glitching like whenever I'm scrolling the texts and pics are showing multiple times . I even uninstalled it and reinstalled it but the problem is still same , please fix it I hope to get a reply 😟</t>
  </si>
  <si>
    <t>Okay, I'll let you know the reason for my 3 stars. This app is okay, I just have a little problem with it. It has the same issue Instagram has. Its difficult to know those who are following you. On the followers list, they should be something like an icon that tells you someone is following back so one can easily unfollow those that aren't following back. Please make this update, it's really useful.</t>
  </si>
  <si>
    <t>After a few days of using the app here are the things I hope to be updated. 1. For you feed. I see random people more than people I actually follow. 2. Hashtags. I think this will help with reach and engage with people of your niche. 3. Dark Mode option. 4. Gallery tab. It's frustrating having to scroll down just to find an image I wanted to post. 5. Writing a reply. I cannot see anything I write because the keyboard blocks it while typing. 6. Algorithm. Everything is so random at the moment.</t>
  </si>
  <si>
    <t>It's good but not that good. Need more optimization and UI feels boring. What I want to see doesn't come in this app. What I want to see must come, like Instagram. Otherwise the app will become unusable for everyone and this app has mute, block, hide options not has "Not interested in this video" or threads" hope you understand what I'm trying to say here.</t>
  </si>
  <si>
    <t>so far, so good. there are still missing features in the app like DMs, camera, etc. (also the algo seems way off) but one thing i find disappointing is the dark mode feature. i've navigated the app to find the button to turn it on or off and sadly there isn't one. my phone (samsung android 9) has a theme on so it cannot turn to dark mode and it doesn't make apps turn to dark mode. please, please, please add a dark mode feature as it may help other users like me browse more comfortably!</t>
  </si>
  <si>
    <t>The graphics are phenomenal. Please add trends based on location and a follow/unfollow button on each thread ellipse button options, and also add DMs. Otherwise, a game changer this one. Kudos to the team! PS don't sell the blue check!</t>
  </si>
  <si>
    <t>App is overall good but you have to click everytime on 🔇 to get the video sound. This is too much irritating. I want sound version like insta. There we didn't need everytime click on sound to play sound. Everything is good 👍 Solve my problem &amp; I'll change my review to 5⭐. Thank You!</t>
  </si>
  <si>
    <t>its okay, hard to explore new content, there is no explore page yet. hard to find trending content/current content. the app is very bare bones at the moment but it does what it needs to. i would like to see trending content/ news content, and a way to explore new content without scrolling past new posts from accounts i currently follow on the home page</t>
  </si>
  <si>
    <t>I guess it's too early for this app to be released cuz it has a lot of issues and missing important features like: - the design is so random literally copy of Instagram with some Twitter things - profile page is so boring it doesn't even have header - how the heck there is no dark theme?? - ain't no way this app doesn't have direct messages - not even hashtags - the setting option are so little - too slow to share post or delete it - no gifs - recommending random people post not interested to</t>
  </si>
  <si>
    <t>Publicity highly misleading. Should be a stand-alone app but instead it's only available tied to your Instagram account. If it WERE stand-alone, I would most probably use it - the world needs an alternative to Twitter... AND to Instagram (even though they're both Meta). Uninstalled.</t>
  </si>
  <si>
    <t>The app so far looks good, but the one issue I have is that when I try to upload a photo, the app crashes. There are a lot features that the app needs at the moment that people mentioned (also a web version would good since I'm at my computer a lot), but it feels rushed.</t>
  </si>
  <si>
    <t>Good Start, but intermittent bugs. Today, as I was following people back, it would periodically start flashing this box that said, "Something went wrong, try again," that box would vanish &amp; then reappear like a strobe with no way to exit, other than force stopping the app. Then, once restarted, all the people I'd just followed would just show as new requests, even though I'd just followed them? Frustrating! These glitches all started since the update yesterday</t>
  </si>
  <si>
    <t>Decent app with the most basic of microblogging functionality. Only big due to the brand name - had this been any startup, this would have been dead in the water. Lacks basic functionality such as a web interface and user sign-ups without having to tie an Instagram account. Block feature is also not working as you can still see the posts of a blocker user.</t>
  </si>
  <si>
    <t>Like most people are saying, the app is decent. It does need more features. You can't save photos or videos from your feed. It also needs a view media only mode. I believe that eventually everybody will migrate from Twitter over to this app, once the updates &amp; new features come in.</t>
  </si>
  <si>
    <t>It's pretty bare as an app, but that also means you can only add-on features at this point, which is exciting. There's needs to be an easier way to go from Instagram to Threads. Having two apps is a bit much. It would be cool if they could both live in the same space</t>
  </si>
  <si>
    <t>A welcome option to get away from Twitter, but migration, though painless, comes without a few much needed aspects. Searching by keywords for posts about a subject can't be done. No option to see trending subjects either. And the app does not always keep its last position, resulting sometimes in restarting from the very beginning of your feed. The recent update fixed the jerky scrolling; everything else is pending more updates!</t>
  </si>
  <si>
    <t>I don't really see the appeal of this. Yeah it's a rival to twitter and whatnot but for now, it doesn't look too promising. Boring interface, no option for what's shown in our feed, no explore or trending page, even no hashtags. The moderation system works though, and the filters are good unlike twitter where it's way less moderated there. But overall twitter is still a better app in my opinion.</t>
  </si>
  <si>
    <t>I have been experiencing frequent crashes when trying to load replies and sometimes I don't see response from the like button. This app has great potential, right now what I'm looking for in the next update is a translate button.</t>
  </si>
  <si>
    <t>The app is glitching very much due to heavy amount of traffic. The written articles and captions are penetrating all over the tabs and screen. Couldn't perform specific tasks so please fix these issues as soon as possible.</t>
  </si>
  <si>
    <t>First Impression of the app is good, but it would been better if there was a multi account login feature like in Insta and if it was connected with Insta with a user name instead of showing a number in the profile. And it will be better there will be option to like in Insta, by double taping.</t>
  </si>
  <si>
    <t>There are many issues, first I can't edit my profile, it gives me error when pressing done button, second link to insta is not that great as pressing cancel on following on threads unfollowed people on insta, third I selected only few acc to follow from insta instead of every one on insta, but it's showing everyone following on insta as following on threads!</t>
  </si>
  <si>
    <t>The posts in here are the most mundane, vapid junk I've ever seen. It seriously feels as if AI is making all the posts. On top of that there's no way to refresh the main (and only!!) Feed with new content. You are stuck with the same feed throughout the day, which only incrementally gets new content added to it as the day goes on.</t>
  </si>
  <si>
    <t>Worst experience. Trying to upload the post since yesterday, 'Thread failed to upload' message pops up every time. Really frustrating. Did all the thing like , cleared cache, OS update n all. Still pathetic experience. These kind of things wasn't expected from a Meta product.</t>
  </si>
  <si>
    <t>Wish I'd done more research before downloading this app. Feed is filled with posts from people I don't follow and it's impossible to find posts from people I do. Now I can't delete it or Meta will also delete my Instagram account so that's how they trap you into keeping it. Turning off all notifications on this app and just won't use it since it's junk. Wish there was an option for zero stars!</t>
  </si>
  <si>
    <t>Want to like it so bad but it's not good. You can't search for anything but other accounts. You can't type in any words in the search bar and find other people talking about the same thing. Not trending topics. It's only a one timeline of people that threads suggests to you and its usually a celebrity or an influencer. The app isn't good.</t>
  </si>
  <si>
    <t>I got regretted when I created an account at this trash app. Also it stopped working just because I'm in the country that the app is not available. I used VPN to access and after 2-3 days, the posts stopped showing and says "something went wrong, try again" and I can't post as well, and even If I want to deactivate my account it says "failed to deactivate". What's wrong with this trashy app. There is Twitter and is enough, there is no need for creating a clone trash with same idea as Twitter.</t>
  </si>
  <si>
    <t>App crashes when attaching an image. I'm using a Samsung Galaxy S9 and I've seen others even on iPhone report this issue but no official acknowledgement of it seems to have released. I hope they fix this pretty quickly because it's a bit annoying.</t>
  </si>
  <si>
    <t>For now I give it 2 stars since the app interface just acting weirdly. Looks like the screen is gllitching all the time whenever I tried to scroll. Maybe because it's quite new app. Hopefully it got fixed soon. It's annoying to not be able to do anything.</t>
  </si>
  <si>
    <t>Currently there is not any web interface option for computers, which is a HUGE issue for me (as well as for many others in my industry). I only access the competition (Twitter) via web browsers on my computer. I follow businesses and services in my industry during work (multi monitors in common place in my industry). No interest in following from my phone's little 6.8" screen. Thanks for reading</t>
  </si>
  <si>
    <t>Such a waste! I don't think we need Threads. It has absolutely nothing to offer. Instagram is more than enough. It's just a weaker version of an ordinary social media app. Want to delete my account but that will instantly delete my Instagram account too. That's very bad and cheap tactics. I'm very disappointed. Shall delete my Instagram too.</t>
  </si>
  <si>
    <t>It's interesting so far, but a lot of us use desktop way more than mobile apps. It took a long time for Instagram to figure that out, but they finally gave a half-assed desktop version. Threads ought to do the same. Maybe even full-assed. And FB should break the moratorium on parsing Threads links when sharing our profiles. Can't we all get along??</t>
  </si>
  <si>
    <t>Threads is a fantastic blend of Twitter's essence and Instagram's seamless connectivity. With an emphasis on clean interface, it's a convenient way to stay connected with Instagram followers. If you're an Instagram enthusiast, Threads is definitely worth exploring.</t>
  </si>
  <si>
    <t>Can't post photos, app crashes every time. Tried all the workarounds found on line, no joy! It is a cluster mess to read, just random posts from random people with few of the people I am following. This needs a lot work.</t>
  </si>
  <si>
    <t>It kept crashing, especially when writing a new thread. I was repeatedly put off because of this and closed the app entirely. Hopefully it's fixed in a future update, I'll update my review once this app stops crashing.</t>
  </si>
  <si>
    <t>I found some issues while scrolling the screen. I am using Android 9 , but when I scroll the screen it flickers or freezes on the same screen. I kindly request the Threads Team to solve this issue... Otherwise I like the app so much✔️...</t>
  </si>
  <si>
    <t>I cannot get this app to send notifications and I cannot get rid of Twitter until it does. Uninstalled/reinstalled. Logged out/logged in. Played with notification settings in app and in phone settings. Turned off battery optimization for app. No notifications.</t>
  </si>
  <si>
    <t>Features requests &amp; bugs (so far) : - notification scrolling is very limited - only full gallery is available when looking for a file to attach - no ability to just switch accounts (you have to log out every time) - no dark mode (please for the love of my retinas!)</t>
  </si>
  <si>
    <t>It's decent thus far, it definitely needs a translate thread feature, you can't search keywords and there's no tags to find specific things, so there's no real way to 'grow' except for finding your friends on the app. You can post pictures and videos, quote threads and repost threads. There's no DM system, which is fair enough. I do expect the app to get better in coming updates, but for now it's kind of lacking.</t>
  </si>
  <si>
    <t>When I set my phone to dark mode the app starts glitching as I scroll, all the content keeps collapsing on top each other and it's unreadable but it works smoothly on light mode. Apparently I'm not the only one who has this issue.</t>
  </si>
  <si>
    <t>While uploading photos, it keeps getting kicked out of the app, while uploading photos, it shows that the photos are not coming in the form of files or positions, all of them come together, so many problems are faced.</t>
  </si>
  <si>
    <t>Not bad app, it does have less features than twitter (like polls and desktop site), but more stuff is probably going to be added one day. I'm just happy that people can (kinda) see my threads without having to pay a subscription. Though, I have a few annoyances. Like paid verification. That's Twitter's thing. I get that it has the ID stuff but still, can you at least make it where if you have alot of followers you can get verified without the fee??</t>
  </si>
  <si>
    <t>It's a good app for spending some of your time without losing the track of time and waste more time like in Instagram and YouTube. It is starting so it is not perfect I think it should have reel s and all plus it should have personalized content because a lot of content I see on thread I don't even care about so they could improve this with updates. It is smooth and not laggy like Twitter with which it is competing. But privacy is a problem because meta is not good privacy</t>
  </si>
  <si>
    <t>Only one account? So much for businesses being able to use it. It's 2023, you would think that this feature would be one of the first things added. Frustrating to say the least and am really not interested in trying this app anymore now that I realized that I can't have my business/fan pages on here and easily switch between them like Facebook/Instagram/YouTube/Twitter all have.</t>
  </si>
  <si>
    <t>It was good at first but when I came on the app today it kept on crashing even when I cleared its cache. Please fix it. Edit: It seems like my problem has been fixed for now. As I said, the app is great, missing some features like search but other than that it's pretty good.</t>
  </si>
  <si>
    <t>Looks very clumsy. Material design sucks. While trying to upload the media, unable to go to a specific folder in gallery app in Android. But works well in iOS. And no option to save images like Twitter. Why that specific option is not copied from Twitter?</t>
  </si>
  <si>
    <t>I think the Threads app is not bad for a starting point, although it does tend to crash frequently in the background, but that could be attributed to its early development stage. I believe it will have impressive progress in the future.</t>
  </si>
  <si>
    <t>It's a good start, but it could be better. Please fix how the bell notifications work. They don't really notify me when a person uploads. And please add hastags and a better way to see posts from people I follow. I barely see anything from people I follow. Also add a way to see reposts and a person's posts separately on their account. It looks kinda cluttered</t>
  </si>
  <si>
    <t>-More than half the images make the app crash. -Some of the images that don't make the app crash seem to upload initially but then fails to upload -Only some images can be uploaded others (both jpeg and similar size) make the app crash. -Being able to choose folders in the device to share media files would be good instead of the most recent pictures. -Switch the account function would be useful, currently</t>
  </si>
  <si>
    <t>It's only just launched so I think we should give it a chance to grow but there's virtually no customization. You can't limit your feed to only accounts you follow and you can't create or filter your own feed via hashtags or keywords. This makes for a very bland and homogenized platform. The feed feels disorganized and strewn together with things I don't care about and don't find interesting. I would much prefer something that could be configured and adjusted to my own tastes.</t>
  </si>
  <si>
    <t>Worst experience 😭😔, i have installed threads just now and its being really like threads 😞, the app has some bugs to be fixed. As i opened the app i the posts weren't clear and were over lapping each other, creating a mess on my screen. It needs to be fixed as early as possible.</t>
  </si>
  <si>
    <t>The thread app is good app as I heard from my friends.but when I installed and opened the app,it's is something coming like it's having a bug on that.i think meta can rectify that types of errors and not only for me,i saw many of the review that they are also having some bug while opening it, hence meta want to rectify as soon as possible.</t>
  </si>
  <si>
    <t>Quick, yes. I will need to be able to curate my feed at some point, but this initial flood of content is a goldmine for businesses! Threads Links from other apps (WhatsApp) don't open to the app. Rather, they open in Chrome! Loss of traffic.</t>
  </si>
  <si>
    <t>The app is very interesting and I personally really like it. I hope that more new features will be added in the future. Similarly, it would be better if there was a facility to save posts and apply hashtags.I also really like the colors used for the app. Already this application has exceeded a large number of users. So, I believe that in the future this will be a very secure, reliable, indispensable application for people.</t>
  </si>
  <si>
    <t>It's Good but I feel like it's going to need a little more to compete with Twitter. For example This app also needs a trending page similar to Twitter. You could also include something else that is original. I feel like it could have a little bit more to it. I know it just came out a couple days ago, but there needs to be something added if this is going to keep the hype up around the app.</t>
  </si>
  <si>
    <t>It's clearly rolled out in a haste, but I appreciate the people who worked on this app. There is no method to add more than one profiles which we can toggle between on Instagram. So if we have 2 profiles on Instagram u can only use one. Hope this will be resolved soon.</t>
  </si>
  <si>
    <t>So far so good. Seems to be working out some bugs, I keep getting kick out the app whenever I try to respond to comments. My phone also provided a pop-up stating that it has bugs. So I'm hoping that works itself out bc I really do enjoy it.</t>
  </si>
  <si>
    <t>Best and worst Twitter replacement. Interface is very fluid, intuitive and esthetically pleasing, but it keeps crashing frequently. Also, this is an extention of Meta's attempt at monopoly.</t>
  </si>
  <si>
    <t>Clean and Nice UI . I like it so far , but there are some points need to be fixed . 1- i follow Arabic and English content in my account, but the alignment is bad , if put the app language is English, the Arabic content will be a chaos and vice versa . 2- waiting for the follow and hashtags features, I'm ready to give it 5 stars after these points fixed .</t>
  </si>
  <si>
    <t>i think the app is a great start! one of the things that will be required in order to give space to fan accounts though is to have us be able to easily switch accounts in Threads. You can only sign in/sign out every time - we can't do it smoothly.</t>
  </si>
  <si>
    <t>3 stars for now. It may go up or down depending on future updates. I love that it's, so far, ad free, that it's easy to use and not as toxic as twitter(although I fully expect that to change). As simple as twitter. Imo, it needs an option to only see posts from those you follow, also a topic or group section where we can join current trending topics or interests we have, which is also a great way to follow others and pick up followers who are like-minded.</t>
  </si>
  <si>
    <t>I like it so far. The only feature I need is the ability to select photos from different albums in my phone instead of showing all photos in reverse chronological order.</t>
  </si>
  <si>
    <t>My honest review, is that how it is and the idea they have of the app is perfect, following threads and about conversation. I don't think it needs DMs, and Livestream. ITS FOR CONVERSATION AND SHARING IDEAS ONLY. EASY PEACY. Cause what's the point of adding more things, it's gonna get like twitter in the future or later on instagram. I mean, there are already apps for that, let's separate things. I do agree that it could have an option of seeing feed from everyone and another of followers.</t>
  </si>
  <si>
    <t>Love the app ... One thing I would like is the volume on the videos being easier to select as on .. and once it's on for one, stays on for all until I turn it off. Also, I know they have more to come like better search features. Oh, and if I could see more of who I follow on my feed, rather than your 'suggestions' ... That would be nice 👍 If you are Threads development reading this, I'm using Android,... Oh and GIFs. I have to use an app, save them and post them rather th. The keyboard on my 📱</t>
  </si>
  <si>
    <t>I'm grateful that someone has created an alternative to the mess that Twitter has become, and Threads is looking promising. It's early days yet, so I expect changes, but the App desperately needs the ability to show Threads from people I subscribe to, and in chronological order of their posts. The interface is clear-ish but definitely needs work. No ads yet! Unfortunately, I've been followed by 'Sexy Susan' who has zero followers and a risque profile pic so I think the bots are active already.</t>
  </si>
  <si>
    <t>Any time I scroll it blasts me with visual bugs out the walls to the point where it is blatantly unusable. The entire screen flashes, text leaves constant flashing after images when I scroll, changing tabs leaves a massive collage of broken symbols and images.</t>
  </si>
  <si>
    <t>Needs a lot of work. Most of the time I can't see threads nor notifications, I always get a something went wrong message. The scroll is too slow. No indication if someone is following you or not.</t>
  </si>
  <si>
    <t>Another phenomenal socmed platform by Meta! I just downloaded this yesterday and I am already comfortable with using it. The user interface is super easy to learn and get used to. Plus, the features are superb. You can literally upload Threads in one click. Furthermore, you can also reply to other people's post with text, image, and other interactions. They're all visible in one place, unlike to the other confusing and dizzying platform called Twitter. &lt;3 LOL</t>
  </si>
  <si>
    <t>It's a great app and it's really easy to navigate but there's still a lot to be done.. Add a Message Button, Add Tags in Search, Add in settings where one can disable or enable Public Replies, that should be private. Thanks</t>
  </si>
  <si>
    <t>As soon as got logged in on the app the entire thing is an unusable glitchy mess. I can't even see my screen, it's just pixels tearing in every direction. I'm guessing it hasn't even come close to being optimized for every device yet.</t>
  </si>
  <si>
    <t>I would really like it more if I could curate my feed. Facebook, insta, tumblr, reddit, are all positive experiences because I am able to customize my feed experience to my interests. I don't necessarily mind seeing things I didn't intentionally follow, but it should allow me to choose. I'm also really not interested in the inanity of those with massive followings. I much prefer actual conversations with people who aren't here To Produce Content.</t>
  </si>
  <si>
    <t>It's a new app, and I believe it still needs improvement. While typing, the keyboard covers the text, which makes it hard to see what someone is typing. Also, I think it make a lot of sense of I can see people that follows me on their profile.</t>
  </si>
  <si>
    <t>Honestly, it really does feel like Twitter, but less cursed. I've seen no real problems with it so far. One thing I think would be cool is instead of showing the little character at the bottom right of the screen to view our profile, it should be our profile picture. Not nitpicking, I just think that'd be a cool idea. Also being able to edit our comments and stuff would be cool as well. Still an amazing app, five stars well earned thus far.</t>
  </si>
  <si>
    <t>There is no editing tools. It is not possible to select some other folders while posting images, it is fixed to Gallery. Not clear view of threads. Maybe all later will come with some price on them :)))</t>
  </si>
  <si>
    <t>I genuinely like the Threads app. The only reason I'm not giving it 5 stars is because of some features i feel the app needs. Trending topics should have been there from the premiere. Also DMs, even if it's a button that links us to Instagram DM to complete the conversation. The app could also use the Spaces function. Overall, Threads is amazing.</t>
  </si>
  <si>
    <t>Here's my honest review: It's not a bad app, but there could be more features alike that could make the whole app more fun to use. Much like how Instagram allows you to switch accounts, maybe Threads could use the same feature. The only method to switching is by logging out currently. What I liked the most was the dark theme that it came with upon opening the app. Easy to get used to.</t>
  </si>
  <si>
    <t>Not a very stable application as of me typing, for example when I tag someone or type too much on my device, it crashes. A recommendation for the application is to have an option to pin our threads and the option to edit our threads. It will increase user experience.</t>
  </si>
  <si>
    <t>Evidently a rushed app to fill the gap left by twitter but it honestly does provide a better experience, if somewhat barenones. All it needs is a few feed options and that's kinda it. It shouldn't strive to do everything but instead focus in on text based content</t>
  </si>
  <si>
    <t>Greetings and blessings to the developer team the app is really good and the ideology is great some people might not love it but it's good. But ... I'm repeatedly facing an issue of not being able to login on insta and threads at the same time so i cannot repost my threads post on insta. This may be a bug but it's a big one and pretty much capable of irritating the user. I'd love if you fixed it.</t>
  </si>
  <si>
    <t>This app is excellent... But dear Meta, I'm having problem in app whenever I just open the app it opens but when is scroll down then it's start shaking and fluctuating.. I just uninstalled and restarted my phone but this problem is still same... So Dear Meta Cooperation.. Please give some solution for this problem 🙂 and if you want proof then give me your number, email or something to send you the actual problem's screen shot</t>
  </si>
  <si>
    <t>The interface looks simple and easy to use. But what I really hate is all the posts from whom-I-dont-even-know show up on my home page and I don't seem to find the way to get rid of them all. This is so annoying and the home page is literally useless for me. Please fix that.</t>
  </si>
  <si>
    <t>All you 1stars, give it time. It's a fresh app that isn't trying to do it all. Lead devs interact with users and have explained what's to come. It's fine if you want the X Corp app where every feature breaks on launch but much of what you want is coming - personalized TL, search, etc. Don't get me wrong Meta is sinister but they know how to build an app.</t>
  </si>
  <si>
    <t>I am enjoying using threads. I only wish I could tailor the post that appear on my homescreen to be more about what I like. Also, wish I could schedule or save posts I'm making for later. Also, I think it would be cool if you could try to make some widgets to be used on the homescreen of phones. Currently not having any luck of being noticed at all on the platform. Please make it easier somehow for smaller threads users to get noticed.</t>
  </si>
  <si>
    <t>App seems cool. But I would like to search topics and see more of the people I'm following. Also sometimes when I click on my following list, I get a " Sorry Couldn't complete request, try again later" Can you fix that.</t>
  </si>
  <si>
    <t>It works fine as a twitter substitute so far, but every time I try to upload images in my replies, I keep getting error messages saying that my post failed to upload. Yes, I cleared my cache and tried again. The problem still persists.</t>
  </si>
  <si>
    <t>Im here to giving feedback 1. Cant scroll down if trying to write too much, the writing even being unseen with keyboard mode on. 2. Cant double tap on words to make block on words. 3. The photo cant cropped after you insert on thread. 4. Why limitation still counting words even after threads. Thats all, fix that, ill back to twitter</t>
  </si>
  <si>
    <t>I see the HUGE potential in this App. Possible areas of improvement: 1. Hashtags? Easier to follow stuff. 2. Sync to Insta account. What I mean is that if I want to post something on Insta, it can automatically post the same thing on Threads (like the insta/Facebook sync) 3. Desktop version. I post some of my insta things from my laptop. PLEASE do the same for Threads. "Moving to Threads cause Twitter is dead."</t>
  </si>
  <si>
    <t>Add a better search engine. Add hashtags. Add a better way to share from the gallery albums..instead of one picture at a time. Add ability to customize profile pages with different colors and fonts. Just a few suggestions that would really help.</t>
  </si>
  <si>
    <t>Good interface but function not as good as twitter. I have a few suggestions: 1. Dark mode option. 2. Can change username even if linked to Instagram. 3. "Back" button should close the app directly. Why scroll back all the way to the top before closing? I wouldn't be able to continue where I left off, it's inconvenient. 4. What's the point of "following" if my timeline is full of people I don't follow? A few suggestions here and there is cool, but it's too much now it isn't fun anymore.</t>
  </si>
  <si>
    <t>it's a great start but still there's a bug, once you delete your post, the "reply" notification still there like living a mark and this app makes me feel touch move you are not allowed to make mistake. hope this can be help and make it more clean/smooth.</t>
  </si>
  <si>
    <t>Makes me sign up for an Instagram account, but doesn't give the option within the app. Then it tells me my IP address is an open proxy, tells me check their help, which has nothing about it. Like I'm jumping through hoops so they can steal all my data.</t>
  </si>
  <si>
    <t>Too much bugs. Please fix some bugs first. For example, when I click the delete button for fixing the word/line, all the other words will mix/collide and create some never ever known word.</t>
  </si>
  <si>
    <t>For some reason, a day after I used this app, a pop-up message says, 'You've been logged out of %1$s. The account owner may have changed the password.' It keeps popping up, and the app keeps closing. Please fix this issue.</t>
  </si>
  <si>
    <t>Threads features a clean and intuitive interface that is easy to navigate. The app's design is minimalistic, placing the focus on conversations and ensuring a distraction-free experience. From the moment I started using Threads, I found it effortless to locate and engage in conversations.</t>
  </si>
  <si>
    <t>A great app given the fact it's only been a few days since it launched but there are obviously some flaws into it. For example, when I want to post a picture, it often kicks me out of the app and takes hours for it to allow me to post that picture. I also usually can't see who just started following me, shows me my followers fine at first but once I surpass 50-ish followers, I stop receiving notifications and I can no longer see the usernames of those who follow me.</t>
  </si>
  <si>
    <t>Loads of improvements can happen. Picture attachments have only "Gallery" and do not support folders. I have a load of trash on my Home feed from random users I don't follow. Needs a followers/for you separation in that case. Also, dark mode.</t>
  </si>
  <si>
    <t>I had to delete my account and delete the app and start over. After ONE DAY, 2 posts and 7 likes, IT IS FAILING TO POST AGAIN!!! No warning. Please fix this!!! I am on a Samsung tablet and for the past few days my posts and quoted posts fail to upload. I need help and sending a message to @zuck and @meta does not go through, because all my posts are failing. I deleted and reinstalled this app, to no avail. It seems I can repost only.</t>
  </si>
  <si>
    <t>I wish there was an option to only see threads from people you follow (Right now it's like the "For You" page on Twitter when it needs the "Following" option), and the ability to sort chronologically! If those two things changed, this would absolutely be a 5* app&amp;beat Twitter by a mile. Right now, it's pretty "meh". Lots of room for improvement though!</t>
  </si>
  <si>
    <t>The app would have been cool if it was working properly and doesn't look like it glicthes. Like I can't read threads and look at photos, whenever I scroll the previous thread will be on the one I'm reading. So please fix it...</t>
  </si>
  <si>
    <t>Solid day 1 experience. Only a few bugs in that the search feature stopped working once or twice and there are some features that would be nice that are coming out soon (no release date, they do have it confirmed on the list of stuff coming though).</t>
  </si>
  <si>
    <t>For an app that just launched a few days ago, it's honestly pretty good!! However, there are a few things I'd like to see improved &amp; made: hashtags, folder to save threads, draft notes.</t>
  </si>
  <si>
    <t>Firstly, I want to express my appreciation for the overall concept of Threads. It provides a convenient and private platform for sharing updates, photos, and videos with close friends. However, the integration of the Reels feature within the app has caused some inconvenience and cluttered the user experience.Separating the Reels section within the app would greatly enhance the user experience. It would allow for improved focus, easier navigation, enhanced privacy, and a streamlined interface</t>
  </si>
  <si>
    <t>1. Although no ads in threads, but too much algorithmic content on feed which I don't really like. 2. You have to login with your Instagram account. You cannot create new account by email or phone number. 3. Once you created threads account you cannot delete it. If you want to delete, then you have to delete your Instagram account as well because threads account is interlinked with Instagram. 4. There is nothing new UI &amp; UX. Looks like Twitter. Almost same UI. 5. No Chat option. No Hashtag</t>
  </si>
  <si>
    <t>The home page needs a huge adjustment. There's no logic to the content I'm seeing. There needs to be a way to cater what you're seeing. I only want to see the people I follow, that's why I follow them. It's a mess. Additionally, there's essentially no data privacy, so be weary. Also....you can't delete your account? What a misstep.</t>
  </si>
  <si>
    <t>Yes, it's a new app. But Meta is not exactly an indie developer! There is literally no reason to be flooding us with Rando Accounts. That should have been basic functionality from Day 1. But like Instagram, seems Threads just wants to push random posts on us whether we like it or not. Until basic functions are in, I'll be sticking with Twitter.</t>
  </si>
  <si>
    <t>"Something went wrong please try again". Get this message all the time. Can't see replies, my profile and many other features. This message just pops up all the time. Also people I follow don't show up at the top of my feed. I get random recommendations at top. Back to Twitter until sorted.</t>
  </si>
  <si>
    <t>You cannot delete it unless you delete your instagram account too. The deep integration with instagram is perverse. It could have been a standalone app that does not require you to plug in into the metaverse by force but I guess that was asking too much.</t>
  </si>
  <si>
    <t>If there was less random stuff on feed, it would be a lot better, or if there was some way to organize it where you have a following feed and a for you feed. There's just too much random stuff.</t>
  </si>
  <si>
    <t>Its wonderful it's just needs a little bit more improvement, like multiple pictures the second time you post because I posted multiple pictures the first time and now I'm unable to post more pictures including just one but I am able to upload videos which I think is weird I am also able to make regular posts with words only</t>
  </si>
  <si>
    <t>Threads is a fantastic new app that enhances the Instagram experience and revolutionizes private messaging. It seamlessly integrates with Instagram, allowing users to stay connected with their closest friends and share moments in a more intimate and personalized way. The app's interface is sleek, intuitive, and easy to navigate User Shree_Morbekar</t>
  </si>
  <si>
    <t>PLEASE make it so you can separate your followers from the suggested algorithm stuff, it's so hard to find the content i ACTUALLY want to to see. this would be the first thing that should be updated/added. I don't like using it that much because of that</t>
  </si>
  <si>
    <t>First and foremost, the user interface of Threads is beautifully designed and user-friendly. Navigating through the app is a breeze, with intuitive controls and a clean layout that makes it easy to find what you're looking for. The app's attention to detail in terms of aesthetics is commendable, and it truly enhances the overall user experience</t>
  </si>
  <si>
    <t>I am experiencing a problem with video sounds. If the audio is muted video plays fine. When I turn the audio on, video stops playing. Both in feed and when I click on video and open it, it happens.</t>
  </si>
  <si>
    <t>All the things are quite well but where the edit button i the app? On starting the the app, it's previous refreshes remains on display. But after shaking for report, it becomes normal, no lag, no glitch.! What's the matter?</t>
  </si>
  <si>
    <t>Right now. This app sucks. No hashtags, no way of searching keywords. The only thing you can search is usernames. Your feed is loaded with a bunch of stuff you don't want to see. The app has potential but they rushed the launch. I'll give them a couple weeks to add some more features but right now there is no benefit for general users.</t>
  </si>
  <si>
    <t>App keeps crashing. If i scroll for a while or while writing a thread, it crashes. If i am responding to a thread which has a vertical photo/video, i cannot see what i am typing. It seems as if interns have made this app.</t>
  </si>
  <si>
    <t>Search function only searches accounts, not posts or keywords. Useless. The timeline is all influencers, sports, and celebrity accounts w/ high traffic. I barely see the posts from accounts I'm following! After muting unwanted accounts my timeline has not changed in the last 12 hours and I can only continuously scroll thru the same handful of posts from yesterday. No option to view posts I've liked or bookmark things to revisit later. I know it's early days but these are critical features.</t>
  </si>
  <si>
    <t>Why can't my name be name (not app nickname or whatever) be different than the one on my Instagram account. I use these apps for different reasons. What's even the point of this if it's just the same stuff as Instagram? Also I want to be able to view threads in chronological order and have the app save my spot when I leave it and come back. I don't want to be a slave to your mediocre algorithm.</t>
  </si>
  <si>
    <t>The potential for a good app is there, but it's not good yet. Most notably, the front page is filled almost exclusively with people you don't follow. App is literally unusable until a following-only feed is implemented.</t>
  </si>
  <si>
    <t>Not bad works great on my fold 4, but when switching between the displays, it asks to restart the app. It should handel multiple screens better than this. Still, it's better than Elon's crapwitter!</t>
  </si>
  <si>
    <t>Very weird and bad. My feed is full of randoms who confuse me and I don't care about anything they ever want to post. Lack most basic features like DMs and requires insane amount of private data. Also needs Instagram account and can't be removed without removing both accounts.</t>
  </si>
  <si>
    <t>It is a wonderful app. But I think tbey can still do better concerning picture uploading. Like I have to scroll through thousands of pictures to find the one I want to upload. It can be very frustrating.</t>
  </si>
  <si>
    <t>It has a constant visual bug on my device where the app's background gets smeared with whatever content is being displayed on the foreground, and it doesn't refresh back to black. ROG 2, Android 9</t>
  </si>
  <si>
    <t>Ik this is just the first day of its launch but I don't really like the formate here. I feel like I'm stuck in the same place that feels sofficating on the main page, and I can't see much of the content that I've followed and had to refollow the creators again. Congrats on the launched of the app, but hopefully this will change soon so the app will be much better than how it is now.</t>
  </si>
  <si>
    <t>A very lonely app if you don't already have several instagram followers. I would also appreciate a photo album option as I have 8000 photos on my phone and can't scroll through them all. I get that it's brand new but it seems very unfinished.</t>
  </si>
  <si>
    <t>I wish there is a chat option in threads too, so that we are able to share threads with one another on the same platform instead of copying the link and sharing it on instagram. Also, it would be better if we are able to download the video or the picture directly. I personally feel that maybe threads should be a part of instagram instead of being a complete seperate app.. Just like how reels are a part, threads should also be a part of instagram. That would be nice and easier.</t>
  </si>
  <si>
    <t>It has minimal UI and a typical user flow. There is a bug, though. When I try to upload images in the following thread, it shuts. I tried removing from recents, reinstalled, but stayed the same.</t>
  </si>
  <si>
    <t>Not bad for an initial launch. Looking forward to future versions, and hopefully a web interface that allows posting. Needs a lot of work, but will probably exceed Twitter's features and eventually popularity.</t>
  </si>
  <si>
    <t>This Applications interface is shuttering when I use to refresh the page and also it don't responded as I can expect. I thing it needs to improve their interfacen !! Yes I was very excited to use this app but it didn't work in my phone. Is it running fine with your device ?</t>
  </si>
  <si>
    <t>Lot of space to improve. Would love to have a much more advanced options to post a thread (text styling etc.), and a view that seperate people you follow and fyp. Need the save image and video button. Need the time mark in video player. Just experienced crashing when I go beyond a reply to a reply in a thread, hope yall will fix that ASAP. Need save button, hashtags and embed. For messages just link insta... Please don't seperate it. Need the option to choose what we see from a person we follow.</t>
  </si>
  <si>
    <t>Writing after day 1, it's about as smooth a launch as it could've hoped for. I am however having a problem where if I search for users too much (as one looking for accounts to follow will do), the search breaks and doesn't fix itself. I'm not sure whether this is a bug or a rate limit. It fixed after reinstallation but only once. I hope and expect more features will be added to the app in short order, too. E.g. DMs, customized account lists, Web version. Default home feed should be different.</t>
  </si>
  <si>
    <t>I feel like there's room for more features. Like the dark and light mode. One should be able to save pictures and also choose whether to auto play videos or not</t>
  </si>
  <si>
    <t>Threads needs a search feature for content. The search bar only searches for accounts. People should be able to use the search bar to find thread topics. If you want to see what's being said about a show or person, you should be able to search keywords to pull content related to your search. The app feels unusable without that simple feature.</t>
  </si>
  <si>
    <t>There's no option to disable Reels or videos autoplay on the app. This is the major reason why I don't use Instagram, its parent app. Too many unnecessary Reels or videos will consume a lot of data. I thought this would be different from Instagram, but it's all the same. I hate the autoplay.</t>
  </si>
  <si>
    <t>It's more like Facebook, in my opinion, but it doesn't allow for hashtags or topic searches. I prefer Twitter, most def. I want to delete it, but the app does not allow account deletion without also deleting my Instagram. Not happy with the app at all, really.</t>
  </si>
  <si>
    <t>Cool interface. Nice idea. However, I'm unable to browse different locations in my phone to add a photo or video to my post. This is significant issue and a turn off</t>
  </si>
  <si>
    <t>Sorry only two stars however gotta admit the app has huge potential but you need to do two things, first get rid of the annoying celebrities and influencers and brands that i don't follow nor any of the people on my following list interacted with from my timeline, second you need to disconnect the app from instagram or at least make the link between the two optional.</t>
  </si>
  <si>
    <t>The size of the application is huge. There is also no data saving mode with it, We can't stop autoplay videos. Get the lite version of this application as soon as possible.</t>
  </si>
  <si>
    <t>I like it, but the content us not sorted chronologically, so I keep seeing posts from two days ago mixed with more recent posts. Also, lots of post from corporations, celebrities and influencers keep being shown in the timeline (if we can call it like that), so I spend all my time muting and blocking, because those marketing agency contents are annoying to see.</t>
  </si>
  <si>
    <t>I am a big fan of this application. I've been getting tired of all the changes Elon has done to twitter. There is still a very steep growth curve, but im very excited. There are two features that I feel like would be really helpful to improve user experience. 1) as im writing my threads, if I exceed the number of threads my screen allows, I am unable to scroll down to see what im writing as my keyboard is blocking the view, and threads doesn't allow to scroll down. 2) threads scheduler!</t>
  </si>
  <si>
    <t>Good start, needs a lot of work. It is a good start but is missing basic features like; DMs, following feed, dark mode. It is also a bit slow to load.</t>
  </si>
  <si>
    <t>When I log into Threads, I automatically log out from Instagram and vice versa. There is no option to see posts only from accounts I follow. There is no option for posts that I am NOT INTERESTED in. It is new, and people like new things, but let me just say it, there is a huge need for improvement.</t>
  </si>
  <si>
    <t>Keeps closing when typing. I'm using a Huawei P30 and it just closes when typing, more often when typing @ then a name but it's mega frustrating. I'm giving it a 3 because of this. Otherwise it's a fantastic new app and the absence of DMs is an absolute winner and game changer.</t>
  </si>
  <si>
    <t>The amount of data this app requires from users is absurd. And the fact that you can't delete your threads account without deleting your instagram is horrible! The app itself is mainly text. If you're joining as a Twitter alternative, don't bother. You can't even search posts. There are no hashtags. I already want to delete threads just because of the extreme data mining. Europe has blocked it for those exact reasons.</t>
  </si>
  <si>
    <t>Lacks a lot of features so here's some feedback: Add a trending page in there. Make it so that the followers and following can be accessed separately, like on IG. Allow people to have different usernames from their IG handles. When there's a bunch of images, show them in a collage instead of showing one big image and then scrolling to the others like in IG. Also, let people zoom into pics without the images resizing themselves automatically. Don't compress images. Make it different from IG.</t>
  </si>
  <si>
    <t>Draining the battery and the app is missing a lot of features. They force you to use Instagram account for using the app. If I want to delete the account for Threads then I have to delete my Instagram account too. Please read details of the app it may collect before U download because they collect too much sensitive informations like financial and health also others details. The app working poorly because it keeps crashing when trying to post or comment and login push notification keep lagging.</t>
  </si>
  <si>
    <t>This app would've been a better version of Twitter but if one wants to delete the account, they need to delete their Instagram too. This is the worst implemention a company could have brought. Deactivating does not include your Instagram but still, you should be able to delete your account without deleting Instagram! At least this information needs to be in the registiration page OR the description of the app.</t>
  </si>
  <si>
    <t>Great app with lots of potential. The app's social features are also fantastic. I can connect with friends who are also using Thread's, create groups, and even send direct invites to plan lunch dates. It's a great way to stay connected and coordinate lunch outings with ease.</t>
  </si>
  <si>
    <t>One thing this app is good and it's on time where we'll get to see latest things more than Twitter. But one thing keeps me annoyed is that whenever I'm scrolling and a video pops out I always have to unmute and next video comes I still have to unmute like I just can't stop doing that. So that's the only problem I'm facing with this app so if that's fixed by next update I'm sure I'm gonna put 5 stars on that</t>
  </si>
  <si>
    <t>Everything else is OK , but When you go to gallery you have no option for going to your photo albums. If I have 500 photos in my gallery I have to scroll through every photo in my gallery to get the particular one. I think there should be an option for getting access to your photo albums in attachment.</t>
  </si>
  <si>
    <t>I'm still learning why I need the app &amp; how I can make it work for me... Haven't found my identity yet... However... Sometimes while leaving a thread of my own or commenting on someone else', I'll be randomly kicked out, as if I touched my minimize button, (which I haven't) &amp; it's gone out of the post I was in &amp; cleared what I typed. Most times I would loose the post completely... You can imagine how frustrating this is! 10 July, I had to re-type my own thread 4 times, as I kept being kicked out</t>
  </si>
  <si>
    <t>I want my video muted for private reasons and i hope insta/meta devs can make it slightly bigger so that i avoid pressing the video when pressing the unmute button, i hate it when it happens becoz the video gets enlarge, i like the auto play feature while scrolling, the mute/unmute button is just my problem. So i rate it 4/5, so far so good it feels like a new home, a new space to breath, new people to meet, internet feels new again. Thank you Instagram! Thank you Meta!</t>
  </si>
  <si>
    <t>I am not impressed. The app should have been separated from IG. Any restriction on one should never have to affect the other. Again, the whole idea of not having access to one's followers list at some point is annoying. Can we have a tab to mass-unfollow everyone who isn't following back. I need my time line to be filled with contents I choose to see from followers. It crashes a lot too.</t>
  </si>
  <si>
    <t>Definitely still enjoying this low stress and low drama experience on day 2. It has room to grow and improve, and a rollout of new features will help to retain users, but for something in its infancy, it's pretty great.</t>
  </si>
  <si>
    <t>It's okay. But I hope it has an option to simply switch account. Just like in IG where I can just double tap the profile icon then it switches. In threads, I need to logout first then switch account which is quite frustrating.</t>
  </si>
  <si>
    <t>I like the app, however there are some glitches and recommendations I have. For one, the reply function seems to be finicky, it on occasion force shuts down the app when I am trying to reply to a post (a thread?). Another recommendation is discoverability, I would love a tab where you can discover new people and what they're saying. Like a community or discover page, also a trending tab with news and the sorts would boost engagement.</t>
  </si>
  <si>
    <t>hope we can change the name/username without syncing on Instagram. unless there are reasons behind it, then it's fine. also, my profile picture doesn't show up for some reason.</t>
  </si>
  <si>
    <t>Great app... but some things need fixing. The app crashes anytime I try to upload a photo, probably 10mb or higher. Plus, the quite disorganised feed. Asides that great app and competition for Twitter</t>
  </si>
  <si>
    <t>I like the simplicity and the focus on conversation. Plus, no ads yet, which is why I gets 5 stars. There's no clear organization of threads. I like the panorama photo presentation, too, it's slick. Threads can't take credit for the quality of users, but I'm rather enjoying the pleasant and kind people I see on there.</t>
  </si>
  <si>
    <t>Nice app. But when I try to load a picture on my Threads draft, the app shuts down. I mean, it just closes 🤷‍♀️ Tried like another 20 times, but once I select a picture and click done, app closes. That's scary because I've lost hardwritten drafts because of that.</t>
  </si>
  <si>
    <t>I used to be a user few months ago and this was just like messenger. When I downloaded this again today, I hoped they would've saved the messaging option. It's a good app for the rivalry but I didn't expect them to completely remove the originality of the app. I hope the future updates of this app will consist a mixture of the old threads and the new one so we can DM the people along w this new sick update. Until then, I'll be using old version of this app just for my DMs lol.</t>
  </si>
  <si>
    <t>While typing out a post or reply the app force closes with no error message. And when it does this it has no temporary memory to start where you left off. Rather frusting if you plan on posting rather than scrolling</t>
  </si>
  <si>
    <t>Not too bad so far it feels a little barren in comparison to some other websites and apps but it has potential The quality control and filtering need some work And i'd like more control over the timeline of stuff I see but it's a start</t>
  </si>
  <si>
    <t>Threads is an amazing app for staying connected with your close friends on Instagram. You can share photos, videos, messages, and stories with your chosen group of people in a fast and fun way. You can also customize your camera with shortcuts and create your own status to let your friends know what you’re up to. Threads is the best app for keeping in touch with your besties.</t>
  </si>
  <si>
    <t>Threads is a useless trash app. They could have made the app completely separate from instagram, but nope. That's not complicated enough for them. I can't log into my account right now on either app.</t>
  </si>
  <si>
    <t>I don't know if this is a common issue, but I can't even scroll the app. It acts like there is a crash in the app. Suddenly the screen get black and words mixed together</t>
  </si>
  <si>
    <t>The only thing that's keeping me from giving this app Five stars is the fact that I can't post uncompressed photos that are larger than 10mbs at a rough guess. If I try to the app crashes or fails to post the image which is really disappointing</t>
  </si>
  <si>
    <t>Wow, I am absolutely blown away by the Instagram Thread app! It has revolutionized the way I communicate and share content with my friends and followers on Instagram. The app's interface is sleek, intuitive, and user-friendly, making it incredibly easy to create and manage threaded conversations. One of my favorite features of the app is the ability to organize my comments and replies into threads.</t>
  </si>
  <si>
    <t>I find it quite annoying that you cant log in with your Google ID and have to instead log in/create an account with Instagram! Also changing your username or name in general... you have to do it via Instagram. I would love to try the App out, but considering that I always have separate accounts accross different Social Medias, I have to wait, until Meta decides to review this issue, in which Im apparently not the only one.</t>
  </si>
  <si>
    <t>Pretty Solid App. Wish it didn't show me threads from people I don't follow, and an easier way to find people and subjects through searching. Very fun and simple to use. Surprisingly well managed and appropriate.</t>
  </si>
  <si>
    <t>There are many problems which I want to address. 1) No themed icon support on Android 2) you can't insert from clipboard if its an image. 3) you can't add gifs and only thing you can add is attachments and that opens gallery. 4) username can't be distinct from Instagram. I use Instagram and Twitter for different audiences so it doesn't help. 5)App doesn't support 60 fps video upload. 6) No button to jump to DM with any one.</t>
  </si>
  <si>
    <t>The developers have already said that this app is a work in progress. Let's hope it gets better than Twitter and simplifies text based posts. At the current stage, the user interface is easy and beautiful. A lot of famous Twitter profiles have already moved to Threads, so it's not lonely here. The biggest issue is that you see posts from accounts that you never followed! It's very very annoying.</t>
  </si>
  <si>
    <t>The app is kinda horrible when I used. When I tried to use this for an hour, it keeps crashing and stop working without any reason. It makes me feel frustrating, I hope meta can fix this problem.</t>
  </si>
  <si>
    <t>This app doesn't even have good features! It just got fame due to Twitter's outage. App UI is horrible! Doesn't even have stuff to do in here. Only good thing is that it uses your Instagram ID as login and you have the option to follow all the people you followed in Instagram, that's a neat feature! APP WILL DIE WITHIN 6 MONTHS!</t>
  </si>
  <si>
    <t>No windows options. Bizarre, for a text based app... typing on a keyboard is still the fastest no matter the speed of your thumbs! Also the searching... trending... aspects as documented eleswhere.</t>
  </si>
  <si>
    <t>The rest of the age will come to know experiment when it is necessary to be more and different even if all looked same yes (feature) could have been introduced in some new form. But he was not kept equal to his rival. It is expected that more good things will be seen in the future.</t>
  </si>
  <si>
    <t>I love the interface but my issue with this app is that almost all of the content I see in my timeline are from accounts I don't follow. I would really love it if the next update would give you an option to have your followings as the only posts you see in your timeline.</t>
  </si>
  <si>
    <t>Good app, still needs more features. For a base app that only released 1-2 days ago, it is pretty good. But there is a lack of features, such as polls. Although I'm sure they'll be adding that stuff later. Overall high quality and engaging app!</t>
  </si>
  <si>
    <t>Objectively better than the alternatives. It's really that simple. Mastodon was ok but everyone left. Twitter was great before it turned into a barely functional sewer fire. Can't tell you about Bluesky because it's been in closed beta since the beginning of time itself. By default, Threads is pretty good. I'd give it 5 stars if it had trending topics/tags and a desktop web app.</t>
  </si>
  <si>
    <t>ive tried mutliple times where i try to reply or start a new thread with a picture, but the picture does not load and instead crashes my app and kicks me out. i can only reply/post with words. no pictures at all.. please im just trying to post art wips on threads i dont want this to mess up on me any longer😭</t>
  </si>
  <si>
    <t>it's getting me frustrated. there are glitches everywhere. i have been restarting the app for several times and the glitches were still everywhere, can't even read a word because of those. kindly fix it, it's irritating.</t>
  </si>
  <si>
    <t>Super, very excellent app. The only bug I noticed is when typing comments, the UI doesn't adjust for the keyboard so that you may see what you're typing.</t>
  </si>
  <si>
    <t>I had high hopes for the app but unfortunately anytime I try to add a photo to my posts the whole thing just crashes. Although still very early, at launch this is a pretty discouraging bug to deal with.</t>
  </si>
  <si>
    <t>I like it. But it needs improvements: 1. Please add the Options to choose pics from another folder. Its so hard to find it just to scroll down all the way. 2. Add the login option for IG lite user like me. This app is good right now especially I can post longer messages, (of course it's name is thread hehe). Good job Meta 👍🏻</t>
  </si>
  <si>
    <t>Using Google Keyboard, the app does not scroll to let me see where I'm typing. The typing area overlaps underneath the keyboard, and I can't scroll to see it. The same happens on Instagram, actually. Please help me fix this. // The app keeps crashing</t>
  </si>
  <si>
    <t>Installed it thinking this time it would be different but it's way more unorganised than any other app. It's like everyone coming up, dumping on thread, need an update where we can see what we want, I don't know where our preference went, like they asked initially but it doesn't seem like they are even using it.</t>
  </si>
  <si>
    <t>It seems as audio doesn't work on vids uploaded by the android version.. me n other musicians that use androids our audio is muted and the button you click to get sound isn't there.. Audio only works for those that uploaded w ios devices!! This isn't fair to android users!!</t>
  </si>
  <si>
    <t>It's good but it have four problems 1) like instagram it doesn't have the feature to login many accounts at same time. 2) it doesn't have dark mode. 3) it doesn't have the feature to translate bio. 4) There is no edit thread option.</t>
  </si>
  <si>
    <t>It's a good app with a lot of potential, but for some reason I haven't been able to see my notifications or people's profiles (mine included!) since yesterday as it says "something went wrong".</t>
  </si>
  <si>
    <t>Nice ui, nice experience. But only problem is we can login to one account at a time. I mean there is not even account switch option. To login other account, we first have to logout from our current login and then go to Instagram switch account and then come to threads to login again. Not on the homepage or in the front but there should be account switch option in the settings.</t>
  </si>
  <si>
    <t>It's great so far! Just wish there was a few things added to it for a better experience: 1) make it easier to switch accounts without logging out first, 2) have a save / bookmark feature, 3) fine tune the feed because I'm seeing way more posts from random people I don't follow, compared with the people I do follow and want to interact with</t>
  </si>
  <si>
    <t>The app and all is cool interface is also aesthetic the things is everything is connected to instagram which doesn't gives the app its own personality like for example i can't select another username on the app so please kindly change this thing atleast make the app independent plus also introduce the messaging feature</t>
  </si>
  <si>
    <t>It's just too random with no control over who's post pops up on feed, kills the purpose of following/unfollowing folks. In a way, it's worse than seeing ads. It'd be usable if we could limit main feed posts to only the ones who we follow and then a separate explore/Activity section.</t>
  </si>
  <si>
    <t>I Want To Like it! I just find it really annoying that I keep seeing posts from people I don't follow or things I'm not interested in on my feed MORE than posts from the people I do follow and actually want to see and I have no way of stopping it from showing up. It has potential to be such a good app.</t>
  </si>
  <si>
    <t>Really pathetic app, can't even share my YouTube video link properly only link showsup and the thumbnail doesn't. I was showing up a couple days ago but now it's just the link. They should sync the facebook link debugger for threads as well.</t>
  </si>
  <si>
    <t>For some reason, this app needs access to the following information from your phone: Personal info (even though you'd be providing that yourself) Financial info (excuse me, what?) Health and fitness info (Why?) Messages (Emails, sms, etc) Photos and videos (I suppose it needs access when you want to upload) Files and docs (can you upload files and documents?) Calendar events (is there a built in calendar?) App interactions, installed apps etc Web browser history (What?) Gross</t>
  </si>
  <si>
    <t>I got bugs and can't use the app properly, the texts and the images starts to flow and my entire screen gets filled with the floating texts as I scroll through it. Please look into it</t>
  </si>
  <si>
    <t>twitter? don't know her. charice. okay but so far, i wish there would also be a media tab and that you can glide across these tabs instead of tapping. there's also no "pin to profile" feature yet. and as of now, i still can't post lyrics coming from spotify (both of them should work on that). i'll give it a 4.5 out of 5 (rounded up) as i know that this will still have a room for improvements. keep it up.</t>
  </si>
  <si>
    <t>So far my time on threads have been satisfactory. But this bad boy needs more features. Editing posts, saving photos posts, use of hashtags, direct messages, monetization, third party app linkage, logging without Instagram, and that's all I can say for now.</t>
  </si>
  <si>
    <t>So I tried getting onto the app today and it wouldn't let me and instead made me have to do an appeal with verification to prove its me. I submitted it and they just put a message saying thanks and to wait until the appeal is finished being reviewed to see whether or not I can regain access to my account. Says if they find its not me that it will be permanently disabled which is bs! Hope they fix this and let me back on my account!</t>
  </si>
  <si>
    <t>After 7-8 hours, I gave up. It's a lonely place if you're arriving blind without existing Instagram followers. A default feed full of influencers I can't relate to and if it's possible to search for posted content that interests me, I can't figure it out. I'll check back in a few months when it's more mature. Uninstalling for now.</t>
  </si>
  <si>
    <t>Very annoying that the first time you try to confirm your mobile number you are issued with an alpha numeric code and yet can only enter numeric on your phone!!!!!!! Made me want to uninstall right away. Issue codes that actually work. Plus bcos im on hols issuing the text to my UK number in another language. Very irritating.</t>
  </si>
  <si>
    <t>App keeps crashing whenever I try to upload a pic. Also, had a lot of notifications for follow requests. However, after individually accepting a couple, the rest of them disappear. :/</t>
  </si>
  <si>
    <t>I love the potential of this app and can see myself use it more, but the only way that's happening is if my feed only shows me accounts I follow rather than having somewhat of an explore page on my feed. It's really content and information overload and we already have that with Instagram unfortunately - I don't think I can handle more without deleting one or the other. Please no ads or random algorithms, just a chronological feed of accounts I follow. Also surprised how hashtags don't work here?</t>
  </si>
  <si>
    <t>I had high hopes for this app. Unfortunately there is way too many bugs that makes the user experience poor. Threads is also lacking on lots of features that Twitter currently has. The censorship and invasive data collection is also a big downside. The marketing made me believe threads would rival Twitter but I just don't see that happening. Threads needs a big revamping in order to actually compete with Twitter.</t>
  </si>
  <si>
    <t>Has great potential. Just needs an option to only display feeds you follow and an option for chronological order. Those would definitely make it an amazing app.</t>
  </si>
  <si>
    <t>at first I like it but I started having a problem. It keeps closing. I'm not even done composing my caption. I couldn't upload the photos that I wanted to post because it keeps on stopping. I refresh it, I log out and went online, I redownload the app but still I couldn't post what I wanted to post :&lt;</t>
  </si>
  <si>
    <t>For the devs, here are pointers on how you can improve the app: 1. Allow users to save pictures. 2. Only censor porn on profiles below 18. 3. Have a translation feature. 4. Do not repeat the same mistake as Twitter where accounts that the users aren't following are appearing on their feed. If y'all just wanna make a Twitter ripoff, at least make it a better version from the very start.</t>
  </si>
  <si>
    <t>This is very similar to the bird app, but without the rampant toxicity. It works well enough, but it does feel a bit light on features. Hopefully it will become better with time. Overall, I am really enjoying Threads.</t>
  </si>
  <si>
    <t>I really like it!! Though I have a suggestion that could really help a lot of us users. Please add another option for following where we could only see the threads of the person we follow. I really don't like my feed as it's really messy and too much people I don't follow. I wasn't really interested at all. Plus it's also hard to see my peeps threads because of those unnecessary threads at all.</t>
  </si>
  <si>
    <t>A subpar Twitter with less features, inability to save/share photos, and already being overrun by spam bots. Like it's been up for so little time, one would think they would have pulled all the kinks for fighting spam from their instagram, but no.</t>
  </si>
  <si>
    <t>Doesn't work! It says "something went wrong" in the app and I have tried absolutely everything to fix it but nothing seems to help. Very frustrating as i have already spent good 2 hours, uninstaling and clearing cache etc...nothing fixed it.</t>
  </si>
  <si>
    <t>It's amazing that there is a new app for safe spaces and I hope this app won't be a tool for bullying and such things, cause last time that's what they did to twitter. Now I have a problem with the search bar, and I hope in the future there will be an option in which you can search for topics you like or a certain topic you wanna engaged with!! Over all it's good!</t>
  </si>
  <si>
    <t>It's great, just wished it had dark mode and the ability to switch accounts without the app glitching out. I don't want to keep uninstalling to fix it.</t>
  </si>
  <si>
    <t>The user interface is really amazing, smooth and lag free unlike the twitter user interface. This is really a good thing as laggy, smoothless experience can really be so annoying</t>
  </si>
  <si>
    <t>I like the app very much but if you think it is going to replace Twitter keep dreaming it may be in a mess right now but it is not as tuff as Facebook if you like to add certain content that is for adults that is why Twitter is not going anywhere soon plus you need to fix it so does not use a lot of battery power in the background when it is not being used</t>
  </si>
  <si>
    <t>It's pretty ok so far. If it gets better in later updates I MIGHT move from Twitter. Off the top of my head a few improvements you can make is adding a timeline for accounts you follow &amp; let us make other customizable timelines, adding post search would be amazing. Normally I don't like Meta/Facebook products but honestly? As an artist I just want to get out of Twitter and still have a chance getting seen.</t>
  </si>
  <si>
    <t>Pretty good for first attempt. Needs some fixing and features. How about "lists" so I can sort who or what I'm following by genre or topic? I would like to be able to read sports info separately from entertainment info. Easier to follow people that way.</t>
  </si>
  <si>
    <t>Past few days, if I try to share a link to an article, instead of it looking like it should, with a preview image &amp; headline, all that shows up is a truncated URL.</t>
  </si>
  <si>
    <t>I really like the UI. I have never used Twitter(i do have a ac) coz most people I know don't use it. But since this is a part of Instagram most would start one. It would be really helpful if I could switch between different accounts just like in Instagram. It's a hassle to everytime log out, confirm the login and use the other account.</t>
  </si>
  <si>
    <t>To best honest Threads is fat better than other social media . I didn't notice anything wrong there but one thing I've noticed that there is a same problem like Elon's Twitter , after posting anything we can't edit that &amp; it was so much disappointing for me . When i was opening the account i thought there should be available that feature bt Alas! So you should add that feature.</t>
  </si>
  <si>
    <t>Meh. With nothing explicit really allowed, it's just Instagram with a more text-based UI. What's the point if it's just Instagram with a different look? Also, a translate feature would be nice.</t>
  </si>
  <si>
    <t>It has a lot of potential, I feel that its missing a few features such as a following/suggestions option on the FYP. an easier setup for being able to see and read replys, I find it difficult to see the replys for a specific post. Another feature I would recommend is a like count on the account page.</t>
  </si>
  <si>
    <t>No dark mode toggle. No alt text. No DMs. One main feed with public mixed in. No pinned posts. App feels very simple and basic with bare bones, which is less than most startups have had. This app is unusable.</t>
  </si>
  <si>
    <t>The app seems ok, but I don't intend to use it until I can limit my feed to people I follow. I don't want to see all that random content, it's mind numbing. Apparently this feature is "on the list". I'll take another look when it's done.</t>
  </si>
  <si>
    <t>This app is not user friendly and it's tough to understand the app structure and home page options but and also there are a lot of bugs. I hope you'll fix all the problems in next apdate.</t>
  </si>
  <si>
    <t>avaliações</t>
  </si>
  <si>
    <t>quantidade</t>
  </si>
  <si>
    <t>Palavras mais frequentes por avaliação</t>
  </si>
  <si>
    <t>Periodo do dia</t>
  </si>
  <si>
    <t>Manhã</t>
  </si>
  <si>
    <t>Tarde</t>
  </si>
  <si>
    <t>Noite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</si>
</sst>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h:mm:ss"/>
    <numFmt numFmtId="165" formatCode="yyyy-mm-dd"/>
    <numFmt numFmtId="166" formatCode="hh:mm:ss"/>
  </numFmts>
  <fonts count="6">
    <font>
      <sz val="10.0"/>
      <color rgb="FF000000"/>
      <name val="Arial"/>
      <scheme val="minor"/>
    </font>
    <font>
      <b/>
      <sz val="8.0"/>
      <color theme="1"/>
      <name val="Arial"/>
      <scheme val="minor"/>
    </font>
    <font>
      <sz val="8.0"/>
      <color theme="1"/>
      <name val="Arial"/>
      <scheme val="minor"/>
    </font>
    <font>
      <sz val="8.0"/>
      <color rgb="FF000000"/>
      <name val="Arial"/>
      <scheme val="minor"/>
    </font>
    <font>
      <color theme="1"/>
      <name val="Arial"/>
      <scheme val="minor"/>
    </font>
    <font>
      <sz val="9.0"/>
      <color rgb="FF000000"/>
      <name val="&quot;Google Sans Mono&quot;"/>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4">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164" xfId="0" applyAlignment="1" applyFont="1" applyNumberFormat="1">
      <alignment horizontal="center" readingOrder="0" vertical="center"/>
    </xf>
    <xf borderId="0" fillId="0" fontId="2" numFmtId="165" xfId="0" applyAlignment="1" applyFont="1" applyNumberFormat="1">
      <alignment horizontal="center" readingOrder="0" vertical="center"/>
    </xf>
    <xf borderId="0" fillId="0" fontId="2" numFmtId="166" xfId="0" applyAlignment="1" applyFont="1" applyNumberFormat="1">
      <alignment horizontal="center" readingOrder="0" vertical="center"/>
    </xf>
    <xf borderId="0" fillId="3" fontId="3" numFmtId="165" xfId="0" applyAlignment="1" applyFill="1" applyFont="1" applyNumberFormat="1">
      <alignment horizontal="center" vertical="center"/>
    </xf>
    <xf borderId="0" fillId="3" fontId="3" numFmtId="0" xfId="0" applyAlignment="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164" xfId="0" applyAlignment="1" applyFont="1" applyNumberFormat="1">
      <alignment horizontal="center" readingOrder="0" vertical="center"/>
    </xf>
    <xf borderId="0" fillId="0" fontId="2" numFmtId="165" xfId="0" applyAlignment="1" applyFont="1" applyNumberFormat="1">
      <alignment horizontal="center" vertical="center"/>
    </xf>
    <xf borderId="0" fillId="0" fontId="2" numFmtId="0" xfId="0" applyAlignment="1" applyFont="1">
      <alignment horizontal="center" shrinkToFit="0" vertical="center" wrapText="1"/>
    </xf>
    <xf borderId="0" fillId="3" fontId="2" numFmtId="165" xfId="0" applyAlignment="1" applyFont="1" applyNumberFormat="1">
      <alignment horizontal="center" vertical="center"/>
    </xf>
    <xf borderId="2" fillId="2" fontId="1" numFmtId="0" xfId="0" applyAlignment="1" applyBorder="1" applyFont="1">
      <alignment horizontal="center" readingOrder="0" vertical="center"/>
    </xf>
    <xf borderId="0" fillId="0" fontId="4" numFmtId="0" xfId="0" applyAlignment="1" applyFont="1">
      <alignment horizontal="center" vertical="center"/>
    </xf>
    <xf borderId="3" fillId="2" fontId="1" numFmtId="0" xfId="0" applyAlignment="1" applyBorder="1" applyFont="1">
      <alignment horizontal="center" readingOrder="0" vertical="center"/>
    </xf>
    <xf borderId="0" fillId="3" fontId="3" numFmtId="0" xfId="0" applyAlignment="1" applyFont="1">
      <alignment horizontal="center" vertical="center"/>
    </xf>
    <xf borderId="1" fillId="3" fontId="3" numFmtId="0" xfId="0" applyAlignment="1" applyBorder="1" applyFont="1">
      <alignment horizontal="center" vertical="center"/>
    </xf>
    <xf borderId="1" fillId="0" fontId="2" numFmtId="0" xfId="0" applyAlignment="1" applyBorder="1" applyFont="1">
      <alignment horizontal="center" shrinkToFit="0" vertical="center" wrapText="1"/>
    </xf>
    <xf borderId="0" fillId="3" fontId="5" numFmtId="0" xfId="0" applyAlignment="1" applyFont="1">
      <alignment horizontal="center" vertical="center"/>
    </xf>
    <xf borderId="1" fillId="3" fontId="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990000"/>
                </a:solidFill>
                <a:latin typeface="+mn-lt"/>
              </a:defRPr>
            </a:pPr>
            <a:r>
              <a:rPr b="1" sz="1600">
                <a:solidFill>
                  <a:srgbClr val="990000"/>
                </a:solidFill>
                <a:latin typeface="+mn-lt"/>
              </a:rPr>
              <a:t>Quantidade de review por nota atribuída</a:t>
            </a:r>
          </a:p>
        </c:rich>
      </c:tx>
      <c:overlay val="0"/>
    </c:title>
    <c:view3D>
      <c:rotX val="15"/>
      <c:rotY val="20"/>
      <c:depthPercent val="100"/>
      <c:rAngAx val="1"/>
    </c:view3D>
    <c:plotArea>
      <c:layout/>
      <c:bar3DChart>
        <c:barDir val="col"/>
        <c:grouping val="clustered"/>
        <c:ser>
          <c:idx val="0"/>
          <c:order val="0"/>
          <c:tx>
            <c:strRef>
              <c:f>'análise exploratória'!$B$1</c:f>
            </c:strRef>
          </c:tx>
          <c:spPr>
            <a:solidFill>
              <a:srgbClr val="E06666"/>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'análise exploratória'!$A$2:$A$6</c:f>
            </c:strRef>
          </c:cat>
          <c:val>
            <c:numRef>
              <c:f>'análise exploratória'!$B$2:$B$6</c:f>
              <c:numCache/>
            </c:numRef>
          </c:val>
        </c:ser>
        <c:axId val="1205487551"/>
        <c:axId val="179466359"/>
      </c:bar3DChart>
      <c:catAx>
        <c:axId val="1205487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Notas Atribuídas</a:t>
                </a:r>
              </a:p>
            </c:rich>
          </c:tx>
          <c:overlay val="0"/>
        </c:title>
        <c:numFmt formatCode="General" sourceLinked="1"/>
        <c:majorTickMark val="none"/>
        <c:minorTickMark val="none"/>
        <c:spPr/>
        <c:txPr>
          <a:bodyPr/>
          <a:lstStyle/>
          <a:p>
            <a:pPr lvl="0">
              <a:defRPr b="0">
                <a:solidFill>
                  <a:srgbClr val="000000"/>
                </a:solidFill>
                <a:latin typeface="+mn-lt"/>
              </a:defRPr>
            </a:pPr>
          </a:p>
        </c:txPr>
        <c:crossAx val="179466359"/>
      </c:catAx>
      <c:valAx>
        <c:axId val="179466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548755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CC0000"/>
                </a:solidFill>
                <a:latin typeface="+mn-lt"/>
              </a:defRPr>
            </a:pPr>
            <a:r>
              <a:rPr b="1" sz="1600">
                <a:solidFill>
                  <a:srgbClr val="CC0000"/>
                </a:solidFill>
                <a:latin typeface="+mn-lt"/>
              </a:rPr>
              <a:t>Quantidade de reclamação por período do dia</a:t>
            </a:r>
          </a:p>
        </c:rich>
      </c:tx>
      <c:overlay val="0"/>
    </c:title>
    <c:view3D>
      <c:rotX val="50"/>
      <c:perspective val="0"/>
    </c:view3D>
    <c:plotArea>
      <c:layout/>
      <c:pie3DChart>
        <c:varyColors val="1"/>
        <c:ser>
          <c:idx val="0"/>
          <c:order val="0"/>
          <c:tx>
            <c:strRef>
              <c:f>'análise exploratória'!$B$8</c:f>
            </c:strRef>
          </c:tx>
          <c:dPt>
            <c:idx val="0"/>
            <c:explosion val="0"/>
            <c:spPr>
              <a:solidFill>
                <a:srgbClr val="CC4125"/>
              </a:solidFill>
            </c:spPr>
          </c:dPt>
          <c:dPt>
            <c:idx val="1"/>
            <c:spPr>
              <a:solidFill>
                <a:srgbClr val="B6D7A8"/>
              </a:solidFill>
            </c:spPr>
          </c:dPt>
          <c:dPt>
            <c:idx val="2"/>
            <c:spPr>
              <a:solidFill>
                <a:srgbClr val="45818E"/>
              </a:solidFill>
            </c:spPr>
          </c:dPt>
          <c:dLbls>
            <c:showLegendKey val="0"/>
            <c:showVal val="0"/>
            <c:showCatName val="0"/>
            <c:showSerName val="0"/>
            <c:showPercent val="0"/>
            <c:showBubbleSize val="0"/>
            <c:showLeaderLines val="1"/>
          </c:dLbls>
          <c:cat>
            <c:strRef>
              <c:f>'análise exploratória'!$A$9:$A$11</c:f>
            </c:strRef>
          </c:cat>
          <c:val>
            <c:numRef>
              <c:f>'análise exploratória'!$B$9:$B$11</c:f>
              <c:numCache/>
            </c:numRef>
          </c:val>
        </c:ser>
        <c:dLbls>
          <c:showLegendKey val="0"/>
          <c:showVal val="0"/>
          <c:showCatName val="0"/>
          <c:showSerName val="0"/>
          <c:showPercent val="0"/>
          <c:showBubbleSize val="0"/>
        </c:dLbls>
      </c:pie3DChart>
    </c:plotArea>
    <c:legend>
      <c:legendPos val="r"/>
      <c:overlay val="0"/>
      <c:txPr>
        <a:bodyPr/>
        <a:lstStyle/>
        <a:p>
          <a:pPr lvl="0">
            <a:defRPr b="1">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xdr:colOff>
      <xdr:row>0</xdr:row>
      <xdr:rowOff>0</xdr:rowOff>
    </xdr:from>
    <xdr:ext cx="4410075" cy="27336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209550</xdr:colOff>
      <xdr:row>6</xdr:row>
      <xdr:rowOff>95250</xdr:rowOff>
    </xdr:from>
    <xdr:ext cx="4410075" cy="27336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32.63"/>
    <col customWidth="1" min="3" max="3" width="10.5"/>
    <col customWidth="1" min="4" max="4" width="14.25"/>
    <col customWidth="1" min="5" max="5" width="10.25"/>
    <col customWidth="1" min="6" max="6" width="8.0"/>
    <col customWidth="1" min="7" max="7" width="12.25"/>
    <col customWidth="1" min="8" max="8" width="38.13"/>
    <col customWidth="1" min="9" max="9" width="38.88"/>
    <col customWidth="1" min="10" max="27" width="35.25"/>
  </cols>
  <sheetData>
    <row r="1">
      <c r="A1" s="1" t="s">
        <v>0</v>
      </c>
      <c r="B1" s="1" t="s">
        <v>1</v>
      </c>
      <c r="C1" s="1" t="s">
        <v>2</v>
      </c>
      <c r="D1" s="1" t="s">
        <v>3</v>
      </c>
      <c r="E1" s="1" t="s">
        <v>4</v>
      </c>
      <c r="F1" s="1" t="s">
        <v>5</v>
      </c>
      <c r="G1" s="1" t="s">
        <v>6</v>
      </c>
      <c r="H1" s="2" t="s">
        <v>7</v>
      </c>
      <c r="I1" s="1" t="s">
        <v>8</v>
      </c>
      <c r="J1" s="3"/>
      <c r="K1" s="3"/>
      <c r="L1" s="3"/>
      <c r="M1" s="3"/>
      <c r="N1" s="3"/>
      <c r="O1" s="3"/>
      <c r="P1" s="3"/>
      <c r="Q1" s="3"/>
      <c r="R1" s="3"/>
      <c r="S1" s="3"/>
      <c r="T1" s="3"/>
      <c r="U1" s="3"/>
      <c r="V1" s="3"/>
      <c r="W1" s="3"/>
      <c r="X1" s="3"/>
      <c r="Y1" s="3"/>
      <c r="Z1" s="3"/>
      <c r="AA1" s="3"/>
    </row>
    <row r="2" ht="105.75" customHeight="1">
      <c r="A2" s="4" t="s">
        <v>9</v>
      </c>
      <c r="B2" s="5" t="s">
        <v>10</v>
      </c>
      <c r="C2" s="4">
        <v>2.0</v>
      </c>
      <c r="D2" s="6">
        <v>45115.59611111111</v>
      </c>
      <c r="E2" s="7" t="str">
        <f t="shared" ref="E2:E500" si="1">LEFT(D2, SEARCH(" ", D2)-1)</f>
        <v>2023-07-08</v>
      </c>
      <c r="F2" s="8" t="str">
        <f t="shared" ref="F2:F500" si="2">RIGHT(D2, SEARCH(" ", D2)-2)</f>
        <v> 14:18:24</v>
      </c>
      <c r="G2" s="9" t="str">
        <f t="shared" ref="G2:G500" si="3">IF(HOUR(F2) &lt; HOUR("12:00:00"), "Manhã", IF(HOUR(F2) &lt; HOUR("18:00:00"), "Tarde", "Noite"))</f>
        <v>Tarde</v>
      </c>
      <c r="H2" s="10" t="str">
        <f>IFERROR(__xludf.DUMMYFUNCTION("GOOGLETRANSLATE(B2, ""en"", ""pt-br"")"),"Meh. Não é a melhor experiência em um Chromebook. Parece ser personalizado apenas para telefones. Abre em uma pequena tela que você não pode expandir ou redimensionar - por razões que são um mistério completo para mim. A julgar pelo fato de que todos os o"&amp;"utros aplicativos que conheço são redimensionáveis, parece que foi uma escolha consciente dos desenvolvedores. Por que você faria algo assim está além da compreensão e sugere uma abordagem de Freak de controle. Não é uma ótima maneira de causar uma primei"&amp;"ra impressão.")</f>
        <v>Meh. Não é a melhor experiência em um Chromebook. Parece ser personalizado apenas para telefones. Abre em uma pequena tela que você não pode expandir ou redimensionar - por razões que são um mistério completo para mim. A julgar pelo fato de que todos os outros aplicativos que conheço são redimensionáveis, parece que foi uma escolha consciente dos desenvolvedores. Por que você faria algo assim está além da compreensão e sugere uma abordagem de Freak de controle. Não é uma ótima maneira de causar uma primeira impressão.</v>
      </c>
      <c r="I2" s="10" t="str">
        <f>IFERROR(__xludf.DUMMYFUNCTION("TRIM(REGEXREPLACE(H2,""[^a-zA-ZÀ-ú ]+"",""""))"),"Meh Não é a melhor experiência em um Chromebook Parece ser personalizado apenas para telefones Abre em uma pequena tela que você não pode expandir ou redimensionar por razões que são um mistério completo para mim A julgar pelo fato de que todos os outros "&amp;"aplicativos que conheço são redimensionáveis parece que foi uma escolha consciente dos desenvolvedores Por que você faria algo assim está além da compreensão e sugere uma abordagem de Freak de controle Não é uma ótima maneira de causar uma primeira impres"&amp;"são")</f>
        <v>Meh Não é a melhor experiência em um Chromebook Parece ser personalizado apenas para telefones Abre em uma pequena tela que você não pode expandir ou redimensionar por razões que são um mistério completo para mim A julgar pelo fato de que todos os outros aplicativos que conheço são redimensionáveis parece que foi uma escolha consciente dos desenvolvedores Por que você faria algo assim está além da compreensão e sugere uma abordagem de Freak de controle Não é uma ótima maneira de causar uma primeira impressão</v>
      </c>
      <c r="J2" s="3"/>
      <c r="K2" s="3"/>
      <c r="L2" s="3"/>
      <c r="M2" s="3"/>
      <c r="N2" s="3"/>
      <c r="O2" s="3"/>
      <c r="P2" s="3"/>
      <c r="Q2" s="3"/>
      <c r="R2" s="3"/>
      <c r="S2" s="3"/>
      <c r="T2" s="3"/>
      <c r="U2" s="3"/>
      <c r="V2" s="3"/>
      <c r="W2" s="3"/>
      <c r="X2" s="3"/>
      <c r="Y2" s="3"/>
      <c r="Z2" s="3"/>
      <c r="AA2" s="3"/>
    </row>
    <row r="3" ht="105.75" customHeight="1">
      <c r="A3" s="4" t="s">
        <v>9</v>
      </c>
      <c r="B3" s="5" t="s">
        <v>11</v>
      </c>
      <c r="C3" s="4">
        <v>3.0</v>
      </c>
      <c r="D3" s="6">
        <v>45126.87</v>
      </c>
      <c r="E3" s="7" t="str">
        <f t="shared" si="1"/>
        <v>2023-07-19</v>
      </c>
      <c r="F3" s="8" t="str">
        <f t="shared" si="2"/>
        <v> 20:52:48</v>
      </c>
      <c r="G3" s="9" t="str">
        <f t="shared" si="3"/>
        <v>Noite</v>
      </c>
      <c r="H3" s="10" t="str">
        <f>IFERROR(__xludf.DUMMYFUNCTION("GOOGLETRANSLATE(B3, ""en"", ""pt-br"")"),"Muito bom para um primeiro lançamento !! É fácil de usar e auto-explicativo e eu diria que o algoritmo também é bom. Ele tem um ótimo * potencial *, mas algumas coisas precisam de melhoria: -A capacidade de usar hashtags facilitaria o encontro de tópicos "&amp;"e pessoas em que você estaria interessado -uma opção para um feed somente seguinte seria uma grande melhoria (especialmente ordem cronológica) -A capacidade de escolher imagens de álbuns em vez de fotos recentes -a capacidade de salvar fotos para telefona"&amp;"r")</f>
        <v>Muito bom para um primeiro lançamento !! É fácil de usar e auto-explicativo e eu diria que o algoritmo também é bom. Ele tem um ótimo * potencial *, mas algumas coisas precisam de melhoria: -A capacidade de usar hashtags facilitaria o encontro de tópicos e pessoas em que você estaria interessado -uma opção para um feed somente seguinte seria uma grande melhoria (especialmente ordem cronológica) -A capacidade de escolher imagens de álbuns em vez de fotos recentes -a capacidade de salvar fotos para telefonar</v>
      </c>
      <c r="I3" s="10" t="str">
        <f>IFERROR(__xludf.DUMMYFUNCTION("TRIM(REGEXREPLACE(H3,""[^a-zA-ZÀ-ú ]+"",""""))"),"Muito bom para um primeiro lançamento É fácil de usar e autoexplicativo e eu diria que o algoritmo também é bom Ele tem um ótimo potencial mas algumas coisas precisam de melhoria A capacidade de usar hashtags facilitaria o encontro de tópicos e pessoas em"&amp;" que você estaria interessado uma opção para um feed somente seguinte seria uma grande melhoria especialmente ordem cronológica A capacidade de escolher imagens de álbuns em vez de fotos recentes a capacidade de salvar fotos para telefonar")</f>
        <v>Muito bom para um primeiro lançamento É fácil de usar e autoexplicativo e eu diria que o algoritmo também é bom Ele tem um ótimo potencial mas algumas coisas precisam de melhoria A capacidade de usar hashtags facilitaria o encontro de tópicos e pessoas em que você estaria interessado uma opção para um feed somente seguinte seria uma grande melhoria especialmente ordem cronológica A capacidade de escolher imagens de álbuns em vez de fotos recentes a capacidade de salvar fotos para telefonar</v>
      </c>
      <c r="J3" s="3"/>
      <c r="K3" s="3"/>
      <c r="L3" s="3"/>
      <c r="M3" s="3"/>
      <c r="N3" s="3"/>
      <c r="O3" s="3"/>
      <c r="P3" s="3"/>
      <c r="Q3" s="3"/>
      <c r="R3" s="3"/>
      <c r="S3" s="3"/>
      <c r="T3" s="3"/>
      <c r="U3" s="3"/>
      <c r="V3" s="3"/>
      <c r="W3" s="3"/>
      <c r="X3" s="3"/>
      <c r="Y3" s="3"/>
      <c r="Z3" s="3"/>
      <c r="AA3" s="3"/>
    </row>
    <row r="4" ht="105.75" customHeight="1">
      <c r="A4" s="4" t="s">
        <v>9</v>
      </c>
      <c r="B4" s="5" t="s">
        <v>12</v>
      </c>
      <c r="C4" s="4">
        <v>3.0</v>
      </c>
      <c r="D4" s="6">
        <v>45113.960543981484</v>
      </c>
      <c r="E4" s="7" t="str">
        <f t="shared" si="1"/>
        <v>2023-07-06</v>
      </c>
      <c r="F4" s="8" t="str">
        <f t="shared" si="2"/>
        <v> 23:03:11</v>
      </c>
      <c r="G4" s="9" t="str">
        <f t="shared" si="3"/>
        <v>Noite</v>
      </c>
      <c r="H4" s="10" t="str">
        <f>IFERROR(__xludf.DUMMYFUNCTION("GOOGLETRANSLATE(B4, ""en"", ""pt-br"")"),"Para um novo aplicativo, é muito bem otimizado. No entanto, está faltando alguns recursos que aplicativos como o Twitter têm. Não há como fazer com que sua linha do tempo mostre tópicos de quem você está seguindo. Também seria bom poder alternar contas ra"&amp;"pidamente, como no Insta. Também notei que os vídeos têm dificuldade em jogar áudio às vezes. No geral, é uma primeira versão decente que espero obter mais recursos com o passar do tempo. Vou aumentar minha classificação assim que as coisas que mencionei "&amp;"forem abordadas.")</f>
        <v>Para um novo aplicativo, é muito bem otimizado. No entanto, está faltando alguns recursos que aplicativos como o Twitter têm. Não há como fazer com que sua linha do tempo mostre tópicos de quem você está seguindo. Também seria bom poder alternar contas rapidamente, como no Insta. Também notei que os vídeos têm dificuldade em jogar áudio às vezes. No geral, é uma primeira versão decente que espero obter mais recursos com o passar do tempo. Vou aumentar minha classificação assim que as coisas que mencionei forem abordadas.</v>
      </c>
      <c r="I4" s="10" t="str">
        <f>IFERROR(__xludf.DUMMYFUNCTION("TRIM(REGEXREPLACE(H4,""[^a-zA-ZÀ-ú ]+"",""""))"),"Para um novo aplicativo é muito bem otimizado No entanto está faltando alguns recursos que aplicativos como o Twitter têm Não há como fazer com que sua linha do tempo mostre tópicos de quem você está seguindo Também seria bom poder alternar contas rapidam"&amp;"ente como no Insta Também notei que os vídeos têm dificuldade em jogar áudio às vezes No geral é uma primeira versão decente que espero obter mais recursos com o passar do tempo Vou aumentar minha classificação assim que as coisas que mencionei forem abor"&amp;"dadas")</f>
        <v>Para um novo aplicativo é muito bem otimizado No entanto está faltando alguns recursos que aplicativos como o Twitter têm Não há como fazer com que sua linha do tempo mostre tópicos de quem você está seguindo Também seria bom poder alternar contas rapidamente como no Insta Também notei que os vídeos têm dificuldade em jogar áudio às vezes No geral é uma primeira versão decente que espero obter mais recursos com o passar do tempo Vou aumentar minha classificação assim que as coisas que mencionei forem abordadas</v>
      </c>
      <c r="J4" s="3"/>
      <c r="K4" s="3"/>
      <c r="L4" s="3"/>
      <c r="M4" s="3"/>
      <c r="N4" s="3"/>
      <c r="O4" s="3"/>
      <c r="P4" s="3"/>
      <c r="Q4" s="3"/>
      <c r="R4" s="3"/>
      <c r="S4" s="3"/>
      <c r="T4" s="3"/>
      <c r="U4" s="3"/>
      <c r="V4" s="3"/>
      <c r="W4" s="3"/>
      <c r="X4" s="3"/>
      <c r="Y4" s="3"/>
      <c r="Z4" s="3"/>
      <c r="AA4" s="3"/>
    </row>
    <row r="5" ht="105.75" customHeight="1">
      <c r="A5" s="4" t="s">
        <v>9</v>
      </c>
      <c r="B5" s="5" t="s">
        <v>13</v>
      </c>
      <c r="C5" s="4">
        <v>3.0</v>
      </c>
      <c r="D5" s="6">
        <v>45117.037094907406</v>
      </c>
      <c r="E5" s="7" t="str">
        <f t="shared" si="1"/>
        <v>2023-07-10</v>
      </c>
      <c r="F5" s="8" t="str">
        <f t="shared" si="2"/>
        <v> 00:53:25</v>
      </c>
      <c r="G5" s="9" t="str">
        <f t="shared" si="3"/>
        <v>Manhã</v>
      </c>
      <c r="H5" s="10" t="str">
        <f>IFERROR(__xludf.DUMMYFUNCTION("GOOGLETRANSLATE(B5, ""en"", ""pt-br"")"),"Ótimo aplicativo com muito potencial! No entanto, há muito que precisa ser corrigido. Por exemplo, a opção de silenciar contas é atrasada/atrasada. Definitivamente, esse recurso é necessário nesta fase, que faz parte do próximo problema. Outra questão que"&amp;" notei é que a página inicial mostra muitas contas que eu não sigo e nunca ouvi falar, e muitas contas de verificação azul que não quero ver. Não há como filtrá -los para ver o conteúdo que eu realmente quero, de pessoas que sigo.")</f>
        <v>Ótimo aplicativo com muito potencial! No entanto, há muito que precisa ser corrigido. Por exemplo, a opção de silenciar contas é atrasada/atrasada. Definitivamente, esse recurso é necessário nesta fase, que faz parte do próximo problema. Outra questão que notei é que a página inicial mostra muitas contas que eu não sigo e nunca ouvi falar, e muitas contas de verificação azul que não quero ver. Não há como filtrá -los para ver o conteúdo que eu realmente quero, de pessoas que sigo.</v>
      </c>
      <c r="I5" s="10" t="str">
        <f>IFERROR(__xludf.DUMMYFUNCTION("TRIM(REGEXREPLACE(H5,""[^a-zA-ZÀ-ú ]+"",""""))"),"Ótimo aplicativo com muito potencial No entanto há muito que precisa ser corrigido Por exemplo a opção de silenciar contas é atrasadaatrasada Definitivamente esse recurso é necessário nesta fase que faz parte do próximo problema Outra questão que notei é "&amp;"que a página inicial mostra muitas contas que eu não sigo e nunca ouvi falar e muitas contas de verificação azul que não quero ver Não há como filtrá los para ver o conteúdo que eu realmente quero de pessoas que sigo")</f>
        <v>Ótimo aplicativo com muito potencial No entanto há muito que precisa ser corrigido Por exemplo a opção de silenciar contas é atrasadaatrasada Definitivamente esse recurso é necessário nesta fase que faz parte do próximo problema Outra questão que notei é que a página inicial mostra muitas contas que eu não sigo e nunca ouvi falar e muitas contas de verificação azul que não quero ver Não há como filtrá los para ver o conteúdo que eu realmente quero de pessoas que sigo</v>
      </c>
      <c r="J5" s="3"/>
      <c r="K5" s="3"/>
      <c r="L5" s="3"/>
      <c r="M5" s="3"/>
      <c r="N5" s="3"/>
      <c r="O5" s="3"/>
      <c r="P5" s="3"/>
      <c r="Q5" s="3"/>
      <c r="R5" s="3"/>
      <c r="S5" s="3"/>
      <c r="T5" s="3"/>
      <c r="U5" s="3"/>
      <c r="V5" s="3"/>
      <c r="W5" s="3"/>
      <c r="X5" s="3"/>
      <c r="Y5" s="3"/>
      <c r="Z5" s="3"/>
      <c r="AA5" s="3"/>
    </row>
    <row r="6" ht="105.75" customHeight="1">
      <c r="A6" s="4" t="s">
        <v>9</v>
      </c>
      <c r="B6" s="5" t="s">
        <v>14</v>
      </c>
      <c r="C6" s="4">
        <v>3.0</v>
      </c>
      <c r="D6" s="6">
        <v>45113.70674768519</v>
      </c>
      <c r="E6" s="7" t="str">
        <f t="shared" si="1"/>
        <v>2023-07-06</v>
      </c>
      <c r="F6" s="8" t="str">
        <f t="shared" si="2"/>
        <v> 16:57:43</v>
      </c>
      <c r="G6" s="9" t="str">
        <f t="shared" si="3"/>
        <v>Tarde</v>
      </c>
      <c r="H6" s="10" t="str">
        <f>IFERROR(__xludf.DUMMYFUNCTION("GOOGLETRANSLATE(B6, ""en"", ""pt-br"")"),"O aplicativo é bom, mas precisa de muita funcionalidade. Por exemplo, ao pesquisar um tópico, você não encontra nada relacionado a esse tópico, o que significa que qualquer coisa que chegue a você é através da sua página principal, o que está em que reduz"&amp;" muito o alcance e a possibilidade de encontrar conteúdo relacionado a você. As hashtags poderiam chamadas de threads e facilitar a localização de tópicos e outros. Precisa de muito trabalho. Pode ser um bom aplicativo, mas parece apressado.")</f>
        <v>O aplicativo é bom, mas precisa de muita funcionalidade. Por exemplo, ao pesquisar um tópico, você não encontra nada relacionado a esse tópico, o que significa que qualquer coisa que chegue a você é através da sua página principal, o que está em que reduz muito o alcance e a possibilidade de encontrar conteúdo relacionado a você. As hashtags poderiam chamadas de threads e facilitar a localização de tópicos e outros. Precisa de muito trabalho. Pode ser um bom aplicativo, mas parece apressado.</v>
      </c>
      <c r="I6" s="10" t="str">
        <f>IFERROR(__xludf.DUMMYFUNCTION("TRIM(REGEXREPLACE(H6,""[^a-zA-ZÀ-ú ]+"",""""))"),"O aplicativo é bom mas precisa de muita funcionalidade Por exemplo ao pesquisar um tópico você não encontra nada relacionado a esse tópico o que significa que qualquer coisa que chegue a você é através da sua página principal o que está em que reduz muito"&amp;" o alcance e a possibilidade de encontrar conteúdo relacionado a você As hashtags poderiam chamadas de threads e facilitar a localização de tópicos e outros Precisa de muito trabalho Pode ser um bom aplicativo mas parece apressado")</f>
        <v>O aplicativo é bom mas precisa de muita funcionalidade Por exemplo ao pesquisar um tópico você não encontra nada relacionado a esse tópico o que significa que qualquer coisa que chegue a você é através da sua página principal o que está em que reduz muito o alcance e a possibilidade de encontrar conteúdo relacionado a você As hashtags poderiam chamadas de threads e facilitar a localização de tópicos e outros Precisa de muito trabalho Pode ser um bom aplicativo mas parece apressado</v>
      </c>
      <c r="J6" s="3"/>
      <c r="K6" s="3"/>
      <c r="L6" s="3"/>
      <c r="M6" s="3"/>
      <c r="N6" s="3"/>
      <c r="O6" s="3"/>
      <c r="P6" s="3"/>
      <c r="Q6" s="3"/>
      <c r="R6" s="3"/>
      <c r="S6" s="3"/>
      <c r="T6" s="3"/>
      <c r="U6" s="3"/>
      <c r="V6" s="3"/>
      <c r="W6" s="3"/>
      <c r="X6" s="3"/>
      <c r="Y6" s="3"/>
      <c r="Z6" s="3"/>
      <c r="AA6" s="3"/>
    </row>
    <row r="7" ht="105.75" customHeight="1">
      <c r="A7" s="4" t="s">
        <v>9</v>
      </c>
      <c r="B7" s="5" t="s">
        <v>15</v>
      </c>
      <c r="C7" s="4">
        <v>2.0</v>
      </c>
      <c r="D7" s="6">
        <v>45125.93761574074</v>
      </c>
      <c r="E7" s="7" t="str">
        <f t="shared" si="1"/>
        <v>2023-07-18</v>
      </c>
      <c r="F7" s="8" t="str">
        <f t="shared" si="2"/>
        <v> 22:30:10</v>
      </c>
      <c r="G7" s="9" t="str">
        <f t="shared" si="3"/>
        <v>Noite</v>
      </c>
      <c r="H7" s="10" t="str">
        <f>IFERROR(__xludf.DUMMYFUNCTION("GOOGLETRANSLATE(B7, ""en"", ""pt-br"")"),"Atualmente, é muito desafiador usar. Está no modo escuro e quero alterá -lo para iluminá -lo. Mas aparentemente só posso alterá -lo através do Instagram? Por que? O modo escuro precisa ser melhorado. É difícil para os olhos e a interface do usuário é visu"&amp;"almente insuportável. Twitter quase aperfeiçoou a interface do usuário. Eu acho que é um começo decente, mas não posso usá -lo por mais de alguns segundos, mesmo que eu quisesse.")</f>
        <v>Atualmente, é muito desafiador usar. Está no modo escuro e quero alterá -lo para iluminá -lo. Mas aparentemente só posso alterá -lo através do Instagram? Por que? O modo escuro precisa ser melhorado. É difícil para os olhos e a interface do usuário é visualmente insuportável. Twitter quase aperfeiçoou a interface do usuário. Eu acho que é um começo decente, mas não posso usá -lo por mais de alguns segundos, mesmo que eu quisesse.</v>
      </c>
      <c r="I7" s="10" t="str">
        <f>IFERROR(__xludf.DUMMYFUNCTION("TRIM(REGEXREPLACE(H7,""[^a-zA-ZÀ-ú ]+"",""""))"),"Atualmente é muito desafiador usar Está no modo escuro e quero alterá lo para iluminá lo Mas aparentemente só posso alterá lo através do Instagram Por que O modo escuro precisa ser melhorado É difícil para os olhos e a interface do usuário é visualmente i"&amp;"nsuportável Twitter quase aperfeiçoou a interface do usuário Eu acho que é um começo decente mas não posso usá lo por mais de alguns segundos mesmo que eu quisesse")</f>
        <v>Atualmente é muito desafiador usar Está no modo escuro e quero alterá lo para iluminá lo Mas aparentemente só posso alterá lo através do Instagram Por que O modo escuro precisa ser melhorado É difícil para os olhos e a interface do usuário é visualmente insuportável Twitter quase aperfeiçoou a interface do usuário Eu acho que é um começo decente mas não posso usá lo por mais de alguns segundos mesmo que eu quisesse</v>
      </c>
      <c r="J7" s="3"/>
      <c r="K7" s="3"/>
      <c r="L7" s="3"/>
      <c r="M7" s="3"/>
      <c r="N7" s="3"/>
      <c r="O7" s="3"/>
      <c r="P7" s="3"/>
      <c r="Q7" s="3"/>
      <c r="R7" s="3"/>
      <c r="S7" s="3"/>
      <c r="T7" s="3"/>
      <c r="U7" s="3"/>
      <c r="V7" s="3"/>
      <c r="W7" s="3"/>
      <c r="X7" s="3"/>
      <c r="Y7" s="3"/>
      <c r="Z7" s="3"/>
      <c r="AA7" s="3"/>
    </row>
    <row r="8" ht="105.75" customHeight="1">
      <c r="A8" s="4" t="s">
        <v>9</v>
      </c>
      <c r="B8" s="5" t="s">
        <v>16</v>
      </c>
      <c r="C8" s="4">
        <v>1.0</v>
      </c>
      <c r="D8" s="6">
        <v>45126.81633101852</v>
      </c>
      <c r="E8" s="7" t="str">
        <f t="shared" si="1"/>
        <v>2023-07-19</v>
      </c>
      <c r="F8" s="8" t="str">
        <f t="shared" si="2"/>
        <v> 19:35:31</v>
      </c>
      <c r="G8" s="9" t="str">
        <f t="shared" si="3"/>
        <v>Noite</v>
      </c>
      <c r="H8" s="10" t="str">
        <f>IFERROR(__xludf.DUMMYFUNCTION("GOOGLETRANSLATE(B8, ""en"", ""pt-br"")"),"Ainda não quero ver o conteúdo de pessoas que não sigo especificamente, a menos que procure explicitamente por ele. E quando pesquisar, quero ver uma opção para pesquisas completas e não apenas pesquisas de usuário. Este é um clone ruim do Twitter que apa"&amp;"rentemente está apenas recebendo uma tração inicial devido a preconceito político. Não, obrigado - conserte. Além disso, se você não fornecer uma opção de desktop da web para usar o serviço, é um golpe duplo.")</f>
        <v>Ainda não quero ver o conteúdo de pessoas que não sigo especificamente, a menos que procure explicitamente por ele. E quando pesquisar, quero ver uma opção para pesquisas completas e não apenas pesquisas de usuário. Este é um clone ruim do Twitter que aparentemente está apenas recebendo uma tração inicial devido a preconceito político. Não, obrigado - conserte. Além disso, se você não fornecer uma opção de desktop da web para usar o serviço, é um golpe duplo.</v>
      </c>
      <c r="I8" s="10" t="str">
        <f>IFERROR(__xludf.DUMMYFUNCTION("TRIM(REGEXREPLACE(H8,""[^a-zA-ZÀ-ú ]+"",""""))"),"Ainda não quero ver o conteúdo de pessoas que não sigo especificamente a menos que procure explicitamente por ele E quando pesquisar quero ver uma opção para pesquisas completas e não apenas pesquisas de usuário Este é um clone ruim do Twitter que aparent"&amp;"emente está apenas recebendo uma tração inicial devido a preconceito político Não obrigado conserte Além disso se você não fornecer uma opção de desktop da web para usar o serviço é um golpe duplo")</f>
        <v>Ainda não quero ver o conteúdo de pessoas que não sigo especificamente a menos que procure explicitamente por ele E quando pesquisar quero ver uma opção para pesquisas completas e não apenas pesquisas de usuário Este é um clone ruim do Twitter que aparentemente está apenas recebendo uma tração inicial devido a preconceito político Não obrigado conserte Além disso se você não fornecer uma opção de desktop da web para usar o serviço é um golpe duplo</v>
      </c>
      <c r="J8" s="3"/>
      <c r="K8" s="3"/>
      <c r="L8" s="3"/>
      <c r="M8" s="3"/>
      <c r="N8" s="3"/>
      <c r="O8" s="3"/>
      <c r="P8" s="3"/>
      <c r="Q8" s="3"/>
      <c r="R8" s="3"/>
      <c r="S8" s="3"/>
      <c r="T8" s="3"/>
      <c r="U8" s="3"/>
      <c r="V8" s="3"/>
      <c r="W8" s="3"/>
      <c r="X8" s="3"/>
      <c r="Y8" s="3"/>
      <c r="Z8" s="3"/>
      <c r="AA8" s="3"/>
    </row>
    <row r="9" ht="105.75" customHeight="1">
      <c r="A9" s="4" t="s">
        <v>9</v>
      </c>
      <c r="B9" s="5" t="s">
        <v>17</v>
      </c>
      <c r="C9" s="4">
        <v>2.0</v>
      </c>
      <c r="D9" s="6">
        <v>45113.6078125</v>
      </c>
      <c r="E9" s="7" t="str">
        <f t="shared" si="1"/>
        <v>2023-07-06</v>
      </c>
      <c r="F9" s="8" t="str">
        <f t="shared" si="2"/>
        <v> 14:35:15</v>
      </c>
      <c r="G9" s="9" t="str">
        <f t="shared" si="3"/>
        <v>Tarde</v>
      </c>
      <c r="H9" s="10" t="str">
        <f>IFERROR(__xludf.DUMMYFUNCTION("GOOGLETRANSLATE(B9, ""en"", ""pt-br"")"),"Pode ser ótimo se todas as páginas carregadas quando você clicar nelas. Às vezes eles simplesmente não. As postagens geralmente não são carregadas. E a minha maior coisa: se você seguir alguém em threads, você também o siga automaticamente no Instagram. O"&amp;"u eles são dois aplicativos separados ou não. Eu realmente gostaria de ter uma lista diferente de pessoas que sigo em cada aplicativo.")</f>
        <v>Pode ser ótimo se todas as páginas carregadas quando você clicar nelas. Às vezes eles simplesmente não. As postagens geralmente não são carregadas. E a minha maior coisa: se você seguir alguém em threads, você também o siga automaticamente no Instagram. Ou eles são dois aplicativos separados ou não. Eu realmente gostaria de ter uma lista diferente de pessoas que sigo em cada aplicativo.</v>
      </c>
      <c r="I9" s="10" t="str">
        <f>IFERROR(__xludf.DUMMYFUNCTION("TRIM(REGEXREPLACE(H9,""[^a-zA-ZÀ-ú ]+"",""""))"),"Pode ser ótimo se todas as páginas carregadas quando você clicar nelas Às vezes eles simplesmente não As postagens geralmente não são carregadas E a minha maior coisa se você seguir alguém em threads você também o siga automaticamente no Instagram Ou eles"&amp;" são dois aplicativos separados ou não Eu realmente gostaria de ter uma lista diferente de pessoas que sigo em cada aplicativo")</f>
        <v>Pode ser ótimo se todas as páginas carregadas quando você clicar nelas Às vezes eles simplesmente não As postagens geralmente não são carregadas E a minha maior coisa se você seguir alguém em threads você também o siga automaticamente no Instagram Ou eles são dois aplicativos separados ou não Eu realmente gostaria de ter uma lista diferente de pessoas que sigo em cada aplicativo</v>
      </c>
      <c r="J9" s="3"/>
      <c r="K9" s="3"/>
      <c r="L9" s="3"/>
      <c r="M9" s="3"/>
      <c r="N9" s="3"/>
      <c r="O9" s="3"/>
      <c r="P9" s="3"/>
      <c r="Q9" s="3"/>
      <c r="R9" s="3"/>
      <c r="S9" s="3"/>
      <c r="T9" s="3"/>
      <c r="U9" s="3"/>
      <c r="V9" s="3"/>
      <c r="W9" s="3"/>
      <c r="X9" s="3"/>
      <c r="Y9" s="3"/>
      <c r="Z9" s="3"/>
      <c r="AA9" s="3"/>
    </row>
    <row r="10" ht="105.75" customHeight="1">
      <c r="A10" s="4" t="s">
        <v>9</v>
      </c>
      <c r="B10" s="5" t="s">
        <v>18</v>
      </c>
      <c r="C10" s="4">
        <v>3.0</v>
      </c>
      <c r="D10" s="6">
        <v>45116.14420138889</v>
      </c>
      <c r="E10" s="7" t="str">
        <f t="shared" si="1"/>
        <v>2023-07-09</v>
      </c>
      <c r="F10" s="8" t="str">
        <f t="shared" si="2"/>
        <v> 03:27:39</v>
      </c>
      <c r="G10" s="9" t="str">
        <f t="shared" si="3"/>
        <v>Manhã</v>
      </c>
      <c r="H10" s="10" t="str">
        <f>IFERROR(__xludf.DUMMYFUNCTION("GOOGLETRANSLATE(B10, ""en"", ""pt-br"")"),"Estou gostando do conceito! Há espaço para melhorias. Toda vez que tento anexar uma foto a um tópico, o aplicativo trava. Não consegui adicionar uma foto. Também não consigo encontrar uma maneira de ver uma lista apenas das pessoas que sigo. Sempre há out"&amp;"ras pessoas misturadas na lista. Finalmente, não consigo editar minhas postagens. Eu faço muitos erros de digitação! Posso editar minhas postagens no Facebook e Insta, mas não aqui? Esquisito.")</f>
        <v>Estou gostando do conceito! Há espaço para melhorias. Toda vez que tento anexar uma foto a um tópico, o aplicativo trava. Não consegui adicionar uma foto. Também não consigo encontrar uma maneira de ver uma lista apenas das pessoas que sigo. Sempre há outras pessoas misturadas na lista. Finalmente, não consigo editar minhas postagens. Eu faço muitos erros de digitação! Posso editar minhas postagens no Facebook e Insta, mas não aqui? Esquisito.</v>
      </c>
      <c r="I10" s="10" t="str">
        <f>IFERROR(__xludf.DUMMYFUNCTION("TRIM(REGEXREPLACE(H10,""[^a-zA-ZÀ-ú ]+"",""""))"),"Estou gostando do conceito Há espaço para melhorias Toda vez que tento anexar uma foto a um tópico o aplicativo trava Não consegui adicionar uma foto Também não consigo encontrar uma maneira de ver uma lista apenas das pessoas que sigo Sempre há outras pe"&amp;"ssoas misturadas na lista Finalmente não consigo editar minhas postagens Eu faço muitos erros de digitação Posso editar minhas postagens no Facebook e Insta mas não aqui Esquisito")</f>
        <v>Estou gostando do conceito Há espaço para melhorias Toda vez que tento anexar uma foto a um tópico o aplicativo trava Não consegui adicionar uma foto Também não consigo encontrar uma maneira de ver uma lista apenas das pessoas que sigo Sempre há outras pessoas misturadas na lista Finalmente não consigo editar minhas postagens Eu faço muitos erros de digitação Posso editar minhas postagens no Facebook e Insta mas não aqui Esquisito</v>
      </c>
      <c r="J10" s="3"/>
      <c r="K10" s="3"/>
      <c r="L10" s="3"/>
      <c r="M10" s="3"/>
      <c r="N10" s="3"/>
      <c r="O10" s="3"/>
      <c r="P10" s="3"/>
      <c r="Q10" s="3"/>
      <c r="R10" s="3"/>
      <c r="S10" s="3"/>
      <c r="T10" s="3"/>
      <c r="U10" s="3"/>
      <c r="V10" s="3"/>
      <c r="W10" s="3"/>
      <c r="X10" s="3"/>
      <c r="Y10" s="3"/>
      <c r="Z10" s="3"/>
      <c r="AA10" s="3"/>
    </row>
    <row r="11" ht="105.75" customHeight="1">
      <c r="A11" s="4" t="s">
        <v>9</v>
      </c>
      <c r="B11" s="5" t="s">
        <v>19</v>
      </c>
      <c r="C11" s="4">
        <v>5.0</v>
      </c>
      <c r="D11" s="6">
        <v>45113.98695601852</v>
      </c>
      <c r="E11" s="7" t="str">
        <f t="shared" si="1"/>
        <v>2023-07-06</v>
      </c>
      <c r="F11" s="8" t="str">
        <f t="shared" si="2"/>
        <v> 23:41:13</v>
      </c>
      <c r="G11" s="9" t="str">
        <f t="shared" si="3"/>
        <v>Noite</v>
      </c>
      <c r="H11" s="10" t="str">
        <f>IFERROR(__xludf.DUMMYFUNCTION("GOOGLETRANSLATE(B11, ""en"", ""pt-br"")"),"Nada mal! Este é o seu primeiro lançamento. Ainda há espaço para melhorias ... gostaria de ver uma página de tendências, vídeos mais longos e um botão Editar para qualquer threads (postagens) enviadas pelo usuário. Melhorar o tempo de carregamento. Adicio"&amp;"ne um botão de pausa (e controles de câmera lenta para vídeos). Uma seleção de qualidade em vídeos (1080p, 720p, 480p, etc).")</f>
        <v>Nada mal! Este é o seu primeiro lançamento. Ainda há espaço para melhorias ... gostaria de ver uma página de tendências, vídeos mais longos e um botão Editar para qualquer threads (postagens) enviadas pelo usuário. Melhorar o tempo de carregamento. Adicione um botão de pausa (e controles de câmera lenta para vídeos). Uma seleção de qualidade em vídeos (1080p, 720p, 480p, etc).</v>
      </c>
      <c r="I11" s="10" t="str">
        <f>IFERROR(__xludf.DUMMYFUNCTION("TRIM(REGEXREPLACE(H11,""[^a-zA-ZÀ-ú ]+"",""""))"),"Nada mal Este é o seu primeiro lançamento Ainda há espaço para melhorias gostaria de ver uma página de tendências vídeos mais longos e um botão Editar para qualquer threads postagens enviadas pelo usuário Melhorar o tempo de carregamento Adicione um botão"&amp;" de pausa e controles de câmera lenta para vídeos Uma seleção de qualidade em vídeos p p p etc")</f>
        <v>Nada mal Este é o seu primeiro lançamento Ainda há espaço para melhorias gostaria de ver uma página de tendências vídeos mais longos e um botão Editar para qualquer threads postagens enviadas pelo usuário Melhorar o tempo de carregamento Adicione um botão de pausa e controles de câmera lenta para vídeos Uma seleção de qualidade em vídeos p p p etc</v>
      </c>
      <c r="J11" s="3"/>
      <c r="K11" s="3"/>
      <c r="L11" s="3"/>
      <c r="M11" s="3"/>
      <c r="N11" s="3"/>
      <c r="O11" s="3"/>
      <c r="P11" s="3"/>
      <c r="Q11" s="3"/>
      <c r="R11" s="3"/>
      <c r="S11" s="3"/>
      <c r="T11" s="3"/>
      <c r="U11" s="3"/>
      <c r="V11" s="3"/>
      <c r="W11" s="3"/>
      <c r="X11" s="3"/>
      <c r="Y11" s="3"/>
      <c r="Z11" s="3"/>
      <c r="AA11" s="3"/>
    </row>
    <row r="12" ht="105.75" customHeight="1">
      <c r="A12" s="4" t="s">
        <v>9</v>
      </c>
      <c r="B12" s="5" t="s">
        <v>20</v>
      </c>
      <c r="C12" s="4">
        <v>2.0</v>
      </c>
      <c r="D12" s="6">
        <v>45116.04628472222</v>
      </c>
      <c r="E12" s="7" t="str">
        <f t="shared" si="1"/>
        <v>2023-07-09</v>
      </c>
      <c r="F12" s="8" t="str">
        <f t="shared" si="2"/>
        <v> 01:06:39</v>
      </c>
      <c r="G12" s="9" t="str">
        <f t="shared" si="3"/>
        <v>Manhã</v>
      </c>
      <c r="H12" s="10" t="str">
        <f>IFERROR(__xludf.DUMMYFUNCTION("GOOGLETRANSLATE(B12, ""en"", ""pt-br"")"),"Acima de tudo, a interface do usuário deste aplicativo é boa. Usá -lo é fácil e visualmente é muito limpo. Infelizmente, falha no departamento de funcionalidade. Meu feed doméstico é 99% de pessoas aleatórias e não as contas que eu realmente sigo, que der"&amp;"rota o objetivo de seguir alguém em primeiro lugar. Eu recomendo que o feed doméstico seja apenas as postagens de pessoas que sigo e uma página de descoberta/pesquisa separada que mostrará novas contas que publicam conteúdo semelhante aos que eu sigo.")</f>
        <v>Acima de tudo, a interface do usuário deste aplicativo é boa. Usá -lo é fácil e visualmente é muito limpo. Infelizmente, falha no departamento de funcionalidade. Meu feed doméstico é 99% de pessoas aleatórias e não as contas que eu realmente sigo, que derrota o objetivo de seguir alguém em primeiro lugar. Eu recomendo que o feed doméstico seja apenas as postagens de pessoas que sigo e uma página de descoberta/pesquisa separada que mostrará novas contas que publicam conteúdo semelhante aos que eu sigo.</v>
      </c>
      <c r="I12" s="10" t="str">
        <f>IFERROR(__xludf.DUMMYFUNCTION("TRIM(REGEXREPLACE(H12,""[^a-zA-ZÀ-ú ]+"",""""))"),"Acima de tudo a interface do usuário deste aplicativo é boa Usá lo é fácil e visualmente é muito limpo Infelizmente falha no departamento de funcionalidade Meu feed doméstico é de pessoas aleatórias e não as contas que eu realmente sigo que derrota o obje"&amp;"tivo de seguir alguém em primeiro lugar Eu recomendo que o feed doméstico seja apenas as postagens de pessoas que sigo e uma página de descobertapesquisa separada que mostrará novas contas que publicam conteúdo semelhante aos que eu sigo")</f>
        <v>Acima de tudo a interface do usuário deste aplicativo é boa Usá lo é fácil e visualmente é muito limpo Infelizmente falha no departamento de funcionalidade Meu feed doméstico é de pessoas aleatórias e não as contas que eu realmente sigo que derrota o objetivo de seguir alguém em primeiro lugar Eu recomendo que o feed doméstico seja apenas as postagens de pessoas que sigo e uma página de descobertapesquisa separada que mostrará novas contas que publicam conteúdo semelhante aos que eu sigo</v>
      </c>
      <c r="J12" s="3"/>
      <c r="K12" s="3"/>
      <c r="L12" s="3"/>
      <c r="M12" s="3"/>
      <c r="N12" s="3"/>
      <c r="O12" s="3"/>
      <c r="P12" s="3"/>
      <c r="Q12" s="3"/>
      <c r="R12" s="3"/>
      <c r="S12" s="3"/>
      <c r="T12" s="3"/>
      <c r="U12" s="3"/>
      <c r="V12" s="3"/>
      <c r="W12" s="3"/>
      <c r="X12" s="3"/>
      <c r="Y12" s="3"/>
      <c r="Z12" s="3"/>
      <c r="AA12" s="3"/>
    </row>
    <row r="13" ht="105.75" customHeight="1">
      <c r="A13" s="4" t="s">
        <v>9</v>
      </c>
      <c r="B13" s="5" t="s">
        <v>21</v>
      </c>
      <c r="C13" s="4">
        <v>3.0</v>
      </c>
      <c r="D13" s="6">
        <v>45114.538564814815</v>
      </c>
      <c r="E13" s="7" t="str">
        <f t="shared" si="1"/>
        <v>2023-07-07</v>
      </c>
      <c r="F13" s="8" t="str">
        <f t="shared" si="2"/>
        <v> 12:55:32</v>
      </c>
      <c r="G13" s="9" t="str">
        <f t="shared" si="3"/>
        <v>Tarde</v>
      </c>
      <c r="H13" s="10" t="str">
        <f>IFERROR(__xludf.DUMMYFUNCTION("GOOGLETRANSLATE(B13, ""en"", ""pt-br"")"),"Nice, mas caiu e não pode acessar pastas de fotos. Ele caiu duas vezes hoje até agora no meio da navegação. Além disso, por algum motivo, quando clico no botão de arquivo para anexar uma foto, ele não me permite navegar por pastas individuais na minha gal"&amp;"eria ... mostra minha galeria inteira, o que é inconveniente. Tudo o resto está bem e espero que melhore ainda melhor. Embora outro problema de que a Meta deva corrigir é que ele não deve excluir seu Instagram se você decidir excluir threads lol, desfrute"&amp;" disso.")</f>
        <v>Nice, mas caiu e não pode acessar pastas de fotos. Ele caiu duas vezes hoje até agora no meio da navegação. Além disso, por algum motivo, quando clico no botão de arquivo para anexar uma foto, ele não me permite navegar por pastas individuais na minha galeria ... mostra minha galeria inteira, o que é inconveniente. Tudo o resto está bem e espero que melhore ainda melhor. Embora outro problema de que a Meta deva corrigir é que ele não deve excluir seu Instagram se você decidir excluir threads lol, desfrute disso.</v>
      </c>
      <c r="I13" s="10" t="str">
        <f>IFERROR(__xludf.DUMMYFUNCTION("TRIM(REGEXREPLACE(H13,""[^a-zA-ZÀ-ú ]+"",""""))"),"Nice mas caiu e não pode acessar pastas de fotos Ele caiu duas vezes hoje até agora no meio da navegação Além disso por algum motivo quando clico no botão de arquivo para anexar uma foto ele não me permite navegar por pastas individuais na minha galeria m"&amp;"ostra minha galeria inteira o que é inconveniente Tudo o resto está bem e espero que melhore ainda melhor Embora outro problema de que a Meta deva corrigir é que ele não deve excluir seu Instagram se você decidir excluir threads lol desfrute disso")</f>
        <v>Nice mas caiu e não pode acessar pastas de fotos Ele caiu duas vezes hoje até agora no meio da navegação Além disso por algum motivo quando clico no botão de arquivo para anexar uma foto ele não me permite navegar por pastas individuais na minha galeria mostra minha galeria inteira o que é inconveniente Tudo o resto está bem e espero que melhore ainda melhor Embora outro problema de que a Meta deva corrigir é que ele não deve excluir seu Instagram se você decidir excluir threads lol desfrute disso</v>
      </c>
      <c r="J13" s="3"/>
      <c r="K13" s="3"/>
      <c r="L13" s="3"/>
      <c r="M13" s="3"/>
      <c r="N13" s="3"/>
      <c r="O13" s="3"/>
      <c r="P13" s="3"/>
      <c r="Q13" s="3"/>
      <c r="R13" s="3"/>
      <c r="S13" s="3"/>
      <c r="T13" s="3"/>
      <c r="U13" s="3"/>
      <c r="V13" s="3"/>
      <c r="W13" s="3"/>
      <c r="X13" s="3"/>
      <c r="Y13" s="3"/>
      <c r="Z13" s="3"/>
      <c r="AA13" s="3"/>
    </row>
    <row r="14" ht="105.75" customHeight="1">
      <c r="A14" s="4" t="s">
        <v>9</v>
      </c>
      <c r="B14" s="5" t="s">
        <v>22</v>
      </c>
      <c r="C14" s="4">
        <v>1.0</v>
      </c>
      <c r="D14" s="6">
        <v>45121.677199074074</v>
      </c>
      <c r="E14" s="7" t="str">
        <f t="shared" si="1"/>
        <v>2023-07-14</v>
      </c>
      <c r="F14" s="8" t="str">
        <f t="shared" si="2"/>
        <v> 16:15:10</v>
      </c>
      <c r="G14" s="9" t="str">
        <f t="shared" si="3"/>
        <v>Tarde</v>
      </c>
      <c r="H14" s="10" t="str">
        <f>IFERROR(__xludf.DUMMYFUNCTION("GOOGLETRANSLATE(B14, ""en"", ""pt-br"")"),"Inútil em seguir alguém. O Feed Algo não mostra o conteúdo que você realmente segue e deseja ver. Encontro -me abrindo este aplicativo querendo gostar, mas rapidamente fico irritado ao ver a aleatoriedade. É como se você fosse convidado para uma festa em "&amp;"que todos os seus amigos estão. Então você chega lá e não passa de estranhos todos tentando ter conversas incoerentes e desconexas com você ao mesmo tempo. É mais estressante e irritante do que envolvente.")</f>
        <v>Inútil em seguir alguém. O Feed Algo não mostra o conteúdo que você realmente segue e deseja ver. Encontro -me abrindo este aplicativo querendo gostar, mas rapidamente fico irritado ao ver a aleatoriedade. É como se você fosse convidado para uma festa em que todos os seus amigos estão. Então você chega lá e não passa de estranhos todos tentando ter conversas incoerentes e desconexas com você ao mesmo tempo. É mais estressante e irritante do que envolvente.</v>
      </c>
      <c r="I14" s="10" t="str">
        <f>IFERROR(__xludf.DUMMYFUNCTION("TRIM(REGEXREPLACE(H14,""[^a-zA-ZÀ-ú ]+"",""""))"),"Inútil em seguir alguém O Feed Algo não mostra o conteúdo que você realmente segue e deseja ver Encontro me abrindo este aplicativo querendo gostar mas rapidamente fico irritado ao ver a aleatoriedade É como se você fosse convidado para uma festa em que t"&amp;"odos os seus amigos estão Então você chega lá e não passa de estranhos todos tentando ter conversas incoerentes e desconexas com você ao mesmo tempo É mais estressante e irritante do que envolvente")</f>
        <v>Inútil em seguir alguém O Feed Algo não mostra o conteúdo que você realmente segue e deseja ver Encontro me abrindo este aplicativo querendo gostar mas rapidamente fico irritado ao ver a aleatoriedade É como se você fosse convidado para uma festa em que todos os seus amigos estão Então você chega lá e não passa de estranhos todos tentando ter conversas incoerentes e desconexas com você ao mesmo tempo É mais estressante e irritante do que envolvente</v>
      </c>
      <c r="J14" s="3"/>
      <c r="K14" s="3"/>
      <c r="L14" s="3"/>
      <c r="M14" s="3"/>
      <c r="N14" s="3"/>
      <c r="O14" s="3"/>
      <c r="P14" s="3"/>
      <c r="Q14" s="3"/>
      <c r="R14" s="3"/>
      <c r="S14" s="3"/>
      <c r="T14" s="3"/>
      <c r="U14" s="3"/>
      <c r="V14" s="3"/>
      <c r="W14" s="3"/>
      <c r="X14" s="3"/>
      <c r="Y14" s="3"/>
      <c r="Z14" s="3"/>
      <c r="AA14" s="3"/>
    </row>
    <row r="15" ht="105.75" customHeight="1">
      <c r="A15" s="4" t="s">
        <v>9</v>
      </c>
      <c r="B15" s="5" t="s">
        <v>23</v>
      </c>
      <c r="C15" s="4">
        <v>2.0</v>
      </c>
      <c r="D15" s="6">
        <v>45113.495162037034</v>
      </c>
      <c r="E15" s="7" t="str">
        <f t="shared" si="1"/>
        <v>2023-07-06</v>
      </c>
      <c r="F15" s="8" t="str">
        <f t="shared" si="2"/>
        <v> 11:53:02</v>
      </c>
      <c r="G15" s="9" t="str">
        <f t="shared" si="3"/>
        <v>Manhã</v>
      </c>
      <c r="H15" s="10" t="str">
        <f>IFERROR(__xludf.DUMMYFUNCTION("GOOGLETRANSLATE(B15, ""en"", ""pt-br"")"),"Não está pronto para o horário nobre. Precisa de um feed especificamente para as contas que você segue. Se você possui mais de uma conta do Instagram, os threads não permitem alternativa fácil entre as contas sem envolver o login/login/confirmação de segu"&amp;"rança. Isso não deve precisar ser repetido repetidamente. Além disso, é preocupante que o aplicativo esteja bloqueado na UE devido a violações de privacidade. Use por sua conta e risco.")</f>
        <v>Não está pronto para o horário nobre. Precisa de um feed especificamente para as contas que você segue. Se você possui mais de uma conta do Instagram, os threads não permitem alternativa fácil entre as contas sem envolver o login/login/confirmação de segurança. Isso não deve precisar ser repetido repetidamente. Além disso, é preocupante que o aplicativo esteja bloqueado na UE devido a violações de privacidade. Use por sua conta e risco.</v>
      </c>
      <c r="I15" s="10" t="str">
        <f>IFERROR(__xludf.DUMMYFUNCTION("TRIM(REGEXREPLACE(H15,""[^a-zA-ZÀ-ú ]+"",""""))"),"Não está pronto para o horário nobre Precisa de um feed especificamente para as contas que você segue Se você possui mais de uma conta do Instagram os threads não permitem alternativa fácil entre as contas sem envolver o loginloginconfirmação de segurança"&amp;" Isso não deve precisar ser repetido repetidamente Além disso é preocupante que o aplicativo esteja bloqueado na UE devido a violações de privacidade Use por sua conta e risco")</f>
        <v>Não está pronto para o horário nobre Precisa de um feed especificamente para as contas que você segue Se você possui mais de uma conta do Instagram os threads não permitem alternativa fácil entre as contas sem envolver o loginloginconfirmação de segurança Isso não deve precisar ser repetido repetidamente Além disso é preocupante que o aplicativo esteja bloqueado na UE devido a violações de privacidade Use por sua conta e risco</v>
      </c>
      <c r="J15" s="3"/>
      <c r="K15" s="3"/>
      <c r="L15" s="3"/>
      <c r="M15" s="3"/>
      <c r="N15" s="3"/>
      <c r="O15" s="3"/>
      <c r="P15" s="3"/>
      <c r="Q15" s="3"/>
      <c r="R15" s="3"/>
      <c r="S15" s="3"/>
      <c r="T15" s="3"/>
      <c r="U15" s="3"/>
      <c r="V15" s="3"/>
      <c r="W15" s="3"/>
      <c r="X15" s="3"/>
      <c r="Y15" s="3"/>
      <c r="Z15" s="3"/>
      <c r="AA15" s="3"/>
    </row>
    <row r="16" ht="105.75" customHeight="1">
      <c r="A16" s="4" t="s">
        <v>9</v>
      </c>
      <c r="B16" s="5" t="s">
        <v>24</v>
      </c>
      <c r="C16" s="4">
        <v>2.0</v>
      </c>
      <c r="D16" s="6">
        <v>45115.05810185185</v>
      </c>
      <c r="E16" s="7" t="str">
        <f t="shared" si="1"/>
        <v>2023-07-08</v>
      </c>
      <c r="F16" s="8" t="str">
        <f t="shared" si="2"/>
        <v> 01:23:40</v>
      </c>
      <c r="G16" s="9" t="str">
        <f t="shared" si="3"/>
        <v>Manhã</v>
      </c>
      <c r="H16" s="10" t="str">
        <f>IFERROR(__xludf.DUMMYFUNCTION("GOOGLETRANSLATE(B16, ""en"", ""pt-br"")"),"Experiência muito frustrante. Feed It está cheio de usuários que não sigo e não ligo para o conteúdo deles. Alternar entre minha empresa e contas privadas obriga você a concluir a assinatura e a reverificação. A qualidade do upload da imagem é compactada,"&amp;" as imagens do Twitter são muito mais nítidas. Estou esperançoso para este aplicativo, mas ele nunca deveria ter sido lançado como um produto acabado em seu estado atual.")</f>
        <v>Experiência muito frustrante. Feed It está cheio de usuários que não sigo e não ligo para o conteúdo deles. Alternar entre minha empresa e contas privadas obriga você a concluir a assinatura e a reverificação. A qualidade do upload da imagem é compactada, as imagens do Twitter são muito mais nítidas. Estou esperançoso para este aplicativo, mas ele nunca deveria ter sido lançado como um produto acabado em seu estado atual.</v>
      </c>
      <c r="I16" s="10" t="str">
        <f>IFERROR(__xludf.DUMMYFUNCTION("TRIM(REGEXREPLACE(H16,""[^a-zA-ZÀ-ú ]+"",""""))"),"Experiência muito frustrante Feed It está cheio de usuários que não sigo e não ligo para o conteúdo deles Alternar entre minha empresa e contas privadas obriga você a concluir a assinatura e a reverificação A qualidade do upload da imagem é compactada as "&amp;"imagens do Twitter são muito mais nítidas Estou esperançoso para este aplicativo mas ele nunca deveria ter sido lançado como um produto acabado em seu estado atual")</f>
        <v>Experiência muito frustrante Feed It está cheio de usuários que não sigo e não ligo para o conteúdo deles Alternar entre minha empresa e contas privadas obriga você a concluir a assinatura e a reverificação A qualidade do upload da imagem é compactada as imagens do Twitter são muito mais nítidas Estou esperançoso para este aplicativo mas ele nunca deveria ter sido lançado como um produto acabado em seu estado atual</v>
      </c>
      <c r="J16" s="3"/>
      <c r="K16" s="3"/>
      <c r="L16" s="3"/>
      <c r="M16" s="3"/>
      <c r="N16" s="3"/>
      <c r="O16" s="3"/>
      <c r="P16" s="3"/>
      <c r="Q16" s="3"/>
      <c r="R16" s="3"/>
      <c r="S16" s="3"/>
      <c r="T16" s="3"/>
      <c r="U16" s="3"/>
      <c r="V16" s="3"/>
      <c r="W16" s="3"/>
      <c r="X16" s="3"/>
      <c r="Y16" s="3"/>
      <c r="Z16" s="3"/>
      <c r="AA16" s="3"/>
    </row>
    <row r="17" ht="105.75" customHeight="1">
      <c r="A17" s="4" t="s">
        <v>9</v>
      </c>
      <c r="B17" s="5" t="s">
        <v>25</v>
      </c>
      <c r="C17" s="4">
        <v>3.0</v>
      </c>
      <c r="D17" s="6">
        <v>45113.64983796296</v>
      </c>
      <c r="E17" s="7" t="str">
        <f t="shared" si="1"/>
        <v>2023-07-06</v>
      </c>
      <c r="F17" s="8" t="str">
        <f t="shared" si="2"/>
        <v> 15:35:46</v>
      </c>
      <c r="G17" s="9" t="str">
        <f t="shared" si="3"/>
        <v>Tarde</v>
      </c>
      <c r="H17" s="10" t="str">
        <f>IFERROR(__xludf.DUMMYFUNCTION("GOOGLETRANSLATE(B17, ""en"", ""pt-br"")"),"Gosto da simplicidade deste aplicativo, mas definitivamente existem alguns bugs que precisam ser elaborados. Depois de optar por sincronizar com as contas do IG, eu sigo, as erguei através delas, mas cerca de 1/3 que deixei de seguir reapareceu. Eu fiz es"&amp;"te 3x, fechando o aplicativo para atualizar, continua acontecendo. Além disso, a página inicial é super lenta para atualizar e postar um tópico ou resposta é muito lento para publicar e às vezes congela. Desejo também que, ao tentar postar uma foto/vídeo "&amp;"que as pastas de dispositivos aparecessem e não apenas a galeria.")</f>
        <v>Gosto da simplicidade deste aplicativo, mas definitivamente existem alguns bugs que precisam ser elaborados. Depois de optar por sincronizar com as contas do IG, eu sigo, as erguei através delas, mas cerca de 1/3 que deixei de seguir reapareceu. Eu fiz este 3x, fechando o aplicativo para atualizar, continua acontecendo. Além disso, a página inicial é super lenta para atualizar e postar um tópico ou resposta é muito lento para publicar e às vezes congela. Desejo também que, ao tentar postar uma foto/vídeo que as pastas de dispositivos aparecessem e não apenas a galeria.</v>
      </c>
      <c r="I17" s="10" t="str">
        <f>IFERROR(__xludf.DUMMYFUNCTION("TRIM(REGEXREPLACE(H17,""[^a-zA-ZÀ-ú ]+"",""""))"),"Gosto da simplicidade deste aplicativo mas definitivamente existem alguns bugs que precisam ser elaborados Depois de optar por sincronizar com as contas do IG eu sigo as erguei através delas mas cerca de que deixei de seguir reapareceu Eu fiz este x fecha"&amp;"ndo o aplicativo para atualizar continua acontecendo Além disso a página inicial é super lenta para atualizar e postar um tópico ou resposta é muito lento para publicar e às vezes congela Desejo também que ao tentar postar uma fotovídeo que as pastas de d"&amp;"ispositivos aparecessem e não apenas a galeria")</f>
        <v>Gosto da simplicidade deste aplicativo mas definitivamente existem alguns bugs que precisam ser elaborados Depois de optar por sincronizar com as contas do IG eu sigo as erguei através delas mas cerca de que deixei de seguir reapareceu Eu fiz este x fechando o aplicativo para atualizar continua acontecendo Além disso a página inicial é super lenta para atualizar e postar um tópico ou resposta é muito lento para publicar e às vezes congela Desejo também que ao tentar postar uma fotovídeo que as pastas de dispositivos aparecessem e não apenas a galeria</v>
      </c>
      <c r="J17" s="3"/>
      <c r="K17" s="3"/>
      <c r="L17" s="3"/>
      <c r="M17" s="3"/>
      <c r="N17" s="3"/>
      <c r="O17" s="3"/>
      <c r="P17" s="3"/>
      <c r="Q17" s="3"/>
      <c r="R17" s="3"/>
      <c r="S17" s="3"/>
      <c r="T17" s="3"/>
      <c r="U17" s="3"/>
      <c r="V17" s="3"/>
      <c r="W17" s="3"/>
      <c r="X17" s="3"/>
      <c r="Y17" s="3"/>
      <c r="Z17" s="3"/>
      <c r="AA17" s="3"/>
    </row>
    <row r="18" ht="105.75" customHeight="1">
      <c r="A18" s="4" t="s">
        <v>9</v>
      </c>
      <c r="B18" s="5" t="s">
        <v>26</v>
      </c>
      <c r="C18" s="4">
        <v>2.0</v>
      </c>
      <c r="D18" s="6">
        <v>45121.0087037037</v>
      </c>
      <c r="E18" s="7" t="str">
        <f t="shared" si="1"/>
        <v>2023-07-14</v>
      </c>
      <c r="F18" s="8" t="str">
        <f t="shared" si="2"/>
        <v> 00:12:32</v>
      </c>
      <c r="G18" s="9" t="str">
        <f t="shared" si="3"/>
        <v>Manhã</v>
      </c>
      <c r="H18" s="10" t="str">
        <f>IFERROR(__xludf.DUMMYFUNCTION("GOOGLETRANSLATE(B18, ""en"", ""pt-br"")"),"Precisa de muito trabalho. Ele trava constantemente, a ponto de eu mal usá -lo. Não é de seguir a todos que sigo no Insta. Não posso procurar termos, que me levam a um tópico em que me interessa e o layout parece bastante falta. Ele precisa de algum tipo "&amp;"de explosão visual: animações, pops de cor, transições de página, etc ... apenas algo para fazer tudo parecer agradável e amarrá -lo em um ótimo pacote.")</f>
        <v>Precisa de muito trabalho. Ele trava constantemente, a ponto de eu mal usá -lo. Não é de seguir a todos que sigo no Insta. Não posso procurar termos, que me levam a um tópico em que me interessa e o layout parece bastante falta. Ele precisa de algum tipo de explosão visual: animações, pops de cor, transições de página, etc ... apenas algo para fazer tudo parecer agradável e amarrá -lo em um ótimo pacote.</v>
      </c>
      <c r="I18" s="10" t="str">
        <f>IFERROR(__xludf.DUMMYFUNCTION("TRIM(REGEXREPLACE(H18,""[^a-zA-ZÀ-ú ]+"",""""))"),"Precisa de muito trabalho Ele trava constantemente a ponto de eu mal usá lo Não é de seguir a todos que sigo no Insta Não posso procurar termos que me levam a um tópico em que me interessa e o layout parece bastante falta Ele precisa de algum tipo de expl"&amp;"osão visual animações pops de cor transições de página etc apenas algo para fazer tudo parecer agradável e amarrá lo em um ótimo pacote")</f>
        <v>Precisa de muito trabalho Ele trava constantemente a ponto de eu mal usá lo Não é de seguir a todos que sigo no Insta Não posso procurar termos que me levam a um tópico em que me interessa e o layout parece bastante falta Ele precisa de algum tipo de explosão visual animações pops de cor transições de página etc apenas algo para fazer tudo parecer agradável e amarrá lo em um ótimo pacote</v>
      </c>
      <c r="J18" s="3"/>
      <c r="K18" s="3"/>
      <c r="L18" s="3"/>
      <c r="M18" s="3"/>
      <c r="N18" s="3"/>
      <c r="O18" s="3"/>
      <c r="P18" s="3"/>
      <c r="Q18" s="3"/>
      <c r="R18" s="3"/>
      <c r="S18" s="3"/>
      <c r="T18" s="3"/>
      <c r="U18" s="3"/>
      <c r="V18" s="3"/>
      <c r="W18" s="3"/>
      <c r="X18" s="3"/>
      <c r="Y18" s="3"/>
      <c r="Z18" s="3"/>
      <c r="AA18" s="3"/>
    </row>
    <row r="19" ht="105.75" customHeight="1">
      <c r="A19" s="4" t="s">
        <v>9</v>
      </c>
      <c r="B19" s="5" t="s">
        <v>27</v>
      </c>
      <c r="C19" s="4">
        <v>3.0</v>
      </c>
      <c r="D19" s="6">
        <v>45113.33962962963</v>
      </c>
      <c r="E19" s="7" t="str">
        <f t="shared" si="1"/>
        <v>2023-07-06</v>
      </c>
      <c r="F19" s="8" t="str">
        <f t="shared" si="2"/>
        <v> 08:09:04</v>
      </c>
      <c r="G19" s="9" t="str">
        <f t="shared" si="3"/>
        <v>Manhã</v>
      </c>
      <c r="H19" s="10" t="str">
        <f>IFERROR(__xludf.DUMMYFUNCTION("GOOGLETRANSLATE(B19, ""en"", ""pt-br"")"),"Meus primeiros pensamentos: como ainda não há versão da web, é muito difícil quando a usá -la em um tablet. Mas vou experimentar em alguns telefones hoje e tenho certeza de que funcionará bem. Se a versão da Web chegar, será realmente mais útil do que eu "&amp;"esperava. Os vazamentos deste aplicativo apareceram pela primeira vez em abril, o que significa que só poderia lançar estábulo ainda este ano, mas quando eles queriam transformar os problemas no Twitter em uma oportunidade, eles lançaram o aplicativo com "&amp;"muitos recursos ausentes.")</f>
        <v>Meus primeiros pensamentos: como ainda não há versão da web, é muito difícil quando a usá -la em um tablet. Mas vou experimentar em alguns telefones hoje e tenho certeza de que funcionará bem. Se a versão da Web chegar, será realmente mais útil do que eu esperava. Os vazamentos deste aplicativo apareceram pela primeira vez em abril, o que significa que só poderia lançar estábulo ainda este ano, mas quando eles queriam transformar os problemas no Twitter em uma oportunidade, eles lançaram o aplicativo com muitos recursos ausentes.</v>
      </c>
      <c r="I19" s="10" t="str">
        <f>IFERROR(__xludf.DUMMYFUNCTION("TRIM(REGEXREPLACE(H19,""[^a-zA-ZÀ-ú ]+"",""""))"),"Meus primeiros pensamentos como ainda não há versão da web é muito difícil quando a usá la em um tablet Mas vou experimentar em alguns telefones hoje e tenho certeza de que funcionará bem Se a versão da Web chegar será realmente mais útil do que eu espera"&amp;"va Os vazamentos deste aplicativo apareceram pela primeira vez em abril o que significa que só poderia lançar estábulo ainda este ano mas quando eles queriam transformar os problemas no Twitter em uma oportunidade eles lançaram o aplicativo com muitos rec"&amp;"ursos ausentes")</f>
        <v>Meus primeiros pensamentos como ainda não há versão da web é muito difícil quando a usá la em um tablet Mas vou experimentar em alguns telefones hoje e tenho certeza de que funcionará bem Se a versão da Web chegar será realmente mais útil do que eu esperava Os vazamentos deste aplicativo apareceram pela primeira vez em abril o que significa que só poderia lançar estábulo ainda este ano mas quando eles queriam transformar os problemas no Twitter em uma oportunidade eles lançaram o aplicativo com muitos recursos ausentes</v>
      </c>
      <c r="J19" s="3"/>
      <c r="K19" s="3"/>
      <c r="L19" s="3"/>
      <c r="M19" s="3"/>
      <c r="N19" s="3"/>
      <c r="O19" s="3"/>
      <c r="P19" s="3"/>
      <c r="Q19" s="3"/>
      <c r="R19" s="3"/>
      <c r="S19" s="3"/>
      <c r="T19" s="3"/>
      <c r="U19" s="3"/>
      <c r="V19" s="3"/>
      <c r="W19" s="3"/>
      <c r="X19" s="3"/>
      <c r="Y19" s="3"/>
      <c r="Z19" s="3"/>
      <c r="AA19" s="3"/>
    </row>
    <row r="20" ht="105.75" customHeight="1">
      <c r="A20" s="4" t="s">
        <v>9</v>
      </c>
      <c r="B20" s="5" t="s">
        <v>28</v>
      </c>
      <c r="C20" s="4">
        <v>3.0</v>
      </c>
      <c r="D20" s="6">
        <v>45113.37130787037</v>
      </c>
      <c r="E20" s="7" t="str">
        <f t="shared" si="1"/>
        <v>2023-07-06</v>
      </c>
      <c r="F20" s="8" t="str">
        <f t="shared" si="2"/>
        <v> 08:54:41</v>
      </c>
      <c r="G20" s="9" t="str">
        <f t="shared" si="3"/>
        <v>Manhã</v>
      </c>
      <c r="H20" s="10" t="str">
        <f>IFERROR(__xludf.DUMMYFUNCTION("GOOGLETRANSLATE(B20, ""en"", ""pt-br"")"),"É legal, mas há muita QV que pode ser feita. Como colocar o botão ""postar"" na parte superior do menu de postagem. Além disso, há um bug em que quando você menciona alguém, se você digita duas letras do nome antes das sugestões aparecer, o aplicativo tra"&amp;"va. Eu acho que o aplicativo tem potencial, mas precisa de algum polimento. Além disso, gostaria que houvesse uma opção para fazer uma conta do zero, em vez de importar uma conta do Instagram.")</f>
        <v>É legal, mas há muita QV que pode ser feita. Como colocar o botão "postar" na parte superior do menu de postagem. Além disso, há um bug em que quando você menciona alguém, se você digita duas letras do nome antes das sugestões aparecer, o aplicativo trava. Eu acho que o aplicativo tem potencial, mas precisa de algum polimento. Além disso, gostaria que houvesse uma opção para fazer uma conta do zero, em vez de importar uma conta do Instagram.</v>
      </c>
      <c r="I20" s="10" t="str">
        <f>IFERROR(__xludf.DUMMYFUNCTION("TRIM(REGEXREPLACE(H20,""[^a-zA-ZÀ-ú ]+"",""""))"),"É legal mas há muita QV que pode ser feita Como colocar o botão postar na parte superior do menu de postagem Além disso há um bug em que quando você menciona alguém se você digita duas letras do nome antes das sugestões aparecer o aplicativo trava Eu acho"&amp;" que o aplicativo tem potencial mas precisa de algum polimento Além disso gostaria que houvesse uma opção para fazer uma conta do zero em vez de importar uma conta do Instagram")</f>
        <v>É legal mas há muita QV que pode ser feita Como colocar o botão postar na parte superior do menu de postagem Além disso há um bug em que quando você menciona alguém se você digita duas letras do nome antes das sugestões aparecer o aplicativo trava Eu acho que o aplicativo tem potencial mas precisa de algum polimento Além disso gostaria que houvesse uma opção para fazer uma conta do zero em vez de importar uma conta do Instagram</v>
      </c>
      <c r="J20" s="3"/>
      <c r="K20" s="3"/>
      <c r="L20" s="3"/>
      <c r="M20" s="3"/>
      <c r="N20" s="3"/>
      <c r="O20" s="3"/>
      <c r="P20" s="3"/>
      <c r="Q20" s="3"/>
      <c r="R20" s="3"/>
      <c r="S20" s="3"/>
      <c r="T20" s="3"/>
      <c r="U20" s="3"/>
      <c r="V20" s="3"/>
      <c r="W20" s="3"/>
      <c r="X20" s="3"/>
      <c r="Y20" s="3"/>
      <c r="Z20" s="3"/>
      <c r="AA20" s="3"/>
    </row>
    <row r="21" ht="105.75" customHeight="1">
      <c r="A21" s="4" t="s">
        <v>9</v>
      </c>
      <c r="B21" s="5" t="s">
        <v>29</v>
      </c>
      <c r="C21" s="4">
        <v>3.0</v>
      </c>
      <c r="D21" s="6">
        <v>45121.5321875</v>
      </c>
      <c r="E21" s="7" t="str">
        <f t="shared" si="1"/>
        <v>2023-07-14</v>
      </c>
      <c r="F21" s="8" t="str">
        <f t="shared" si="2"/>
        <v> 12:46:21</v>
      </c>
      <c r="G21" s="9" t="str">
        <f t="shared" si="3"/>
        <v>Tarde</v>
      </c>
      <c r="H21" s="10" t="str">
        <f>IFERROR(__xludf.DUMMYFUNCTION("GOOGLETRANSLATE(B21, ""en"", ""pt-br"")"),"É ótimo, mas há muita QV que pode ser feita. Como colocar o botão ""Publicar"" na parte superior do menu de postagem. Além disso, há um bug em que quando você menciona alguém, se você digita duas letras do nome antes das sugestões aparecer, o aplicativo t"&amp;"rava. Eu acho que o aplicativo tem potencial, mas precisa de algum polimento. Além disso, eu gostaria que houvesse uma opção para criar uma conta do zero, em vez de importar uma conta do Instagram.")</f>
        <v>É ótimo, mas há muita QV que pode ser feita. Como colocar o botão "Publicar" na parte superior do menu de postagem. Além disso, há um bug em que quando você menciona alguém, se você digita duas letras do nome antes das sugestões aparecer, o aplicativo trava. Eu acho que o aplicativo tem potencial, mas precisa de algum polimento. Além disso, eu gostaria que houvesse uma opção para criar uma conta do zero, em vez de importar uma conta do Instagram.</v>
      </c>
      <c r="I21" s="10" t="str">
        <f>IFERROR(__xludf.DUMMYFUNCTION("TRIM(REGEXREPLACE(H21,""[^a-zA-ZÀ-ú ]+"",""""))"),"É ótimo mas há muita QV que pode ser feita Como colocar o botão Publicar na parte superior do menu de postagem Além disso há um bug em que quando você menciona alguém se você digita duas letras do nome antes das sugestões aparecer o aplicativo trava Eu ac"&amp;"ho que o aplicativo tem potencial mas precisa de algum polimento Além disso eu gostaria que houvesse uma opção para criar uma conta do zero em vez de importar uma conta do Instagram")</f>
        <v>É ótimo mas há muita QV que pode ser feita Como colocar o botão Publicar na parte superior do menu de postagem Além disso há um bug em que quando você menciona alguém se você digita duas letras do nome antes das sugestões aparecer o aplicativo trava Eu acho que o aplicativo tem potencial mas precisa de algum polimento Além disso eu gostaria que houvesse uma opção para criar uma conta do zero em vez de importar uma conta do Instagram</v>
      </c>
      <c r="J21" s="3"/>
      <c r="K21" s="3"/>
      <c r="L21" s="3"/>
      <c r="M21" s="3"/>
      <c r="N21" s="3"/>
      <c r="O21" s="3"/>
      <c r="P21" s="3"/>
      <c r="Q21" s="3"/>
      <c r="R21" s="3"/>
      <c r="S21" s="3"/>
      <c r="T21" s="3"/>
      <c r="U21" s="3"/>
      <c r="V21" s="3"/>
      <c r="W21" s="3"/>
      <c r="X21" s="3"/>
      <c r="Y21" s="3"/>
      <c r="Z21" s="3"/>
      <c r="AA21" s="3"/>
    </row>
    <row r="22" ht="105.75" customHeight="1">
      <c r="A22" s="4" t="s">
        <v>9</v>
      </c>
      <c r="B22" s="5" t="s">
        <v>30</v>
      </c>
      <c r="C22" s="4">
        <v>2.0</v>
      </c>
      <c r="D22" s="6">
        <v>45114.85255787037</v>
      </c>
      <c r="E22" s="7" t="str">
        <f t="shared" si="1"/>
        <v>2023-07-07</v>
      </c>
      <c r="F22" s="8" t="str">
        <f t="shared" si="2"/>
        <v> 20:27:41</v>
      </c>
      <c r="G22" s="9" t="str">
        <f t="shared" si="3"/>
        <v>Noite</v>
      </c>
      <c r="H22" s="10" t="str">
        <f>IFERROR(__xludf.DUMMYFUNCTION("GOOGLETRANSLATE(B22, ""en"", ""pt-br"")"),"Acho que a interface do usuário não separa claramente as mensagens e, principalmente, quais mensagens fazem parte de uma conversa. Também descobri que o aplicativo fica preso e trava aleatoriamente. Também seria útil se, quando eu bloquear alguém, eles ta"&amp;"mbém estiverem silenciados, em vez de ter que selecionar os dois. Eu tive que remover muitas pessoas e empresas que não quero na minha linha do tempo.")</f>
        <v>Acho que a interface do usuário não separa claramente as mensagens e, principalmente, quais mensagens fazem parte de uma conversa. Também descobri que o aplicativo fica preso e trava aleatoriamente. Também seria útil se, quando eu bloquear alguém, eles também estiverem silenciados, em vez de ter que selecionar os dois. Eu tive que remover muitas pessoas e empresas que não quero na minha linha do tempo.</v>
      </c>
      <c r="I22" s="10" t="str">
        <f>IFERROR(__xludf.DUMMYFUNCTION("TRIM(REGEXREPLACE(H22,""[^a-zA-ZÀ-ú ]+"",""""))"),"Acho que a interface do usuário não separa claramente as mensagens e principalmente quais mensagens fazem parte de uma conversa Também descobri que o aplicativo fica preso e trava aleatoriamente Também seria útil se quando eu bloquear alguém eles também e"&amp;"stiverem silenciados em vez de ter que selecionar os dois Eu tive que remover muitas pessoas e empresas que não quero na minha linha do tempo")</f>
        <v>Acho que a interface do usuário não separa claramente as mensagens e principalmente quais mensagens fazem parte de uma conversa Também descobri que o aplicativo fica preso e trava aleatoriamente Também seria útil se quando eu bloquear alguém eles também estiverem silenciados em vez de ter que selecionar os dois Eu tive que remover muitas pessoas e empresas que não quero na minha linha do tempo</v>
      </c>
      <c r="J22" s="3"/>
      <c r="K22" s="3"/>
      <c r="L22" s="3"/>
      <c r="M22" s="3"/>
      <c r="N22" s="3"/>
      <c r="O22" s="3"/>
      <c r="P22" s="3"/>
      <c r="Q22" s="3"/>
      <c r="R22" s="3"/>
      <c r="S22" s="3"/>
      <c r="T22" s="3"/>
      <c r="U22" s="3"/>
      <c r="V22" s="3"/>
      <c r="W22" s="3"/>
      <c r="X22" s="3"/>
      <c r="Y22" s="3"/>
      <c r="Z22" s="3"/>
      <c r="AA22" s="3"/>
    </row>
    <row r="23" ht="105.75" customHeight="1">
      <c r="A23" s="4" t="s">
        <v>9</v>
      </c>
      <c r="B23" s="5" t="s">
        <v>31</v>
      </c>
      <c r="C23" s="4">
        <v>5.0</v>
      </c>
      <c r="D23" s="6">
        <v>45113.77722222222</v>
      </c>
      <c r="E23" s="7" t="str">
        <f t="shared" si="1"/>
        <v>2023-07-06</v>
      </c>
      <c r="F23" s="8" t="str">
        <f t="shared" si="2"/>
        <v> 18:39:12</v>
      </c>
      <c r="G23" s="9" t="str">
        <f t="shared" si="3"/>
        <v>Noite</v>
      </c>
      <c r="H23" s="10" t="str">
        <f>IFERROR(__xludf.DUMMYFUNCTION("GOOGLETRANSLATE(B23, ""en"", ""pt-br"")"),"Em primeiro lugar, quero expressar meu apreço pelo conceito geral de threads. Ele fornece uma plataforma conveniente e privada para compartilhar atualizações, fotos e vídeos com amigos íntimos. No entanto, a integração do recurso de bobinas no aplicativo "&amp;"causou algum inconveniente e desorganizou a experiência do usuário. Separando a seção de bobinas no aplicativo melhoraria bastante a experiência do usuário. Isso permitiria foco melhorado, navegação mais fácil, privacidade aprimorada e uma interface simpl"&amp;"ificada.")</f>
        <v>Em primeiro lugar, quero expressar meu apreço pelo conceito geral de threads. Ele fornece uma plataforma conveniente e privada para compartilhar atualizações, fotos e vídeos com amigos íntimos. No entanto, a integração do recurso de bobinas no aplicativo causou algum inconveniente e desorganizou a experiência do usuário. Separando a seção de bobinas no aplicativo melhoraria bastante a experiência do usuário. Isso permitiria foco melhorado, navegação mais fácil, privacidade aprimorada e uma interface simplificada.</v>
      </c>
      <c r="I23" s="10" t="str">
        <f>IFERROR(__xludf.DUMMYFUNCTION("TRIM(REGEXREPLACE(H23,""[^a-zA-ZÀ-ú ]+"",""""))"),"Em primeiro lugar quero expressar meu apreço pelo conceito geral de threads Ele fornece uma plataforma conveniente e privada para compartilhar atualizações fotos e vídeos com amigos íntimos No entanto a integração do recurso de bobinas no aplicativo causo"&amp;"u algum inconveniente e desorganizou a experiência do usuário Separando a seção de bobinas no aplicativo melhoraria bastante a experiência do usuário Isso permitiria foco melhorado navegação mais fácil privacidade aprimorada e uma interface simplificada")</f>
        <v>Em primeiro lugar quero expressar meu apreço pelo conceito geral de threads Ele fornece uma plataforma conveniente e privada para compartilhar atualizações fotos e vídeos com amigos íntimos No entanto a integração do recurso de bobinas no aplicativo causou algum inconveniente e desorganizou a experiência do usuário Separando a seção de bobinas no aplicativo melhoraria bastante a experiência do usuário Isso permitiria foco melhorado navegação mais fácil privacidade aprimorada e uma interface simplificada</v>
      </c>
      <c r="J23" s="3"/>
      <c r="K23" s="3"/>
      <c r="L23" s="3"/>
      <c r="M23" s="3"/>
      <c r="N23" s="3"/>
      <c r="O23" s="3"/>
      <c r="P23" s="3"/>
      <c r="Q23" s="3"/>
      <c r="R23" s="3"/>
      <c r="S23" s="3"/>
      <c r="T23" s="3"/>
      <c r="U23" s="3"/>
      <c r="V23" s="3"/>
      <c r="W23" s="3"/>
      <c r="X23" s="3"/>
      <c r="Y23" s="3"/>
      <c r="Z23" s="3"/>
      <c r="AA23" s="3"/>
    </row>
    <row r="24" ht="105.75" customHeight="1">
      <c r="A24" s="4" t="s">
        <v>9</v>
      </c>
      <c r="B24" s="5" t="s">
        <v>32</v>
      </c>
      <c r="C24" s="4">
        <v>4.0</v>
      </c>
      <c r="D24" s="6">
        <v>45114.83390046296</v>
      </c>
      <c r="E24" s="7" t="str">
        <f t="shared" si="1"/>
        <v>2023-07-07</v>
      </c>
      <c r="F24" s="8" t="str">
        <f t="shared" si="2"/>
        <v> 20:00:49</v>
      </c>
      <c r="G24" s="9" t="str">
        <f t="shared" si="3"/>
        <v>Noite</v>
      </c>
      <c r="H24" s="10" t="str">
        <f>IFERROR(__xludf.DUMMYFUNCTION("GOOGLETRANSLATE(B24, ""en"", ""pt-br"")"),"Não é ruim até agora. Um punhado de pedidos não solicitados, mas eles são fáceis de despachar. A sensação limpa e parece agradável e arrumada nas bordas. É como uma conversa esvoaçante. Como usuário moderado de mídia social, ele faz tudo o que preciso par"&amp;"a o tipo de aplicativo que é. Alguns problemas de som e congelamento com alguns vídeos que vi, embora eu tenha certeza de que eles irão passar essas coisas nos próximos meses")</f>
        <v>Não é ruim até agora. Um punhado de pedidos não solicitados, mas eles são fáceis de despachar. A sensação limpa e parece agradável e arrumada nas bordas. É como uma conversa esvoaçante. Como usuário moderado de mídia social, ele faz tudo o que preciso para o tipo de aplicativo que é. Alguns problemas de som e congelamento com alguns vídeos que vi, embora eu tenha certeza de que eles irão passar essas coisas nos próximos meses</v>
      </c>
      <c r="I24" s="10" t="str">
        <f>IFERROR(__xludf.DUMMYFUNCTION("TRIM(REGEXREPLACE(H24,""[^a-zA-ZÀ-ú ]+"",""""))"),"Não é ruim até agora Um punhado de pedidos não solicitados mas eles são fáceis de despachar A sensação limpa e parece agradável e arrumada nas bordas É como uma conversa esvoaçante Como usuário moderado de mídia social ele faz tudo o que preciso para o ti"&amp;"po de aplicativo que é Alguns problemas de som e congelamento com alguns vídeos que vi embora eu tenha certeza de que eles irão passar essas coisas nos próximos meses")</f>
        <v>Não é ruim até agora Um punhado de pedidos não solicitados mas eles são fáceis de despachar A sensação limpa e parece agradável e arrumada nas bordas É como uma conversa esvoaçante Como usuário moderado de mídia social ele faz tudo o que preciso para o tipo de aplicativo que é Alguns problemas de som e congelamento com alguns vídeos que vi embora eu tenha certeza de que eles irão passar essas coisas nos próximos meses</v>
      </c>
      <c r="J24" s="3"/>
      <c r="K24" s="3"/>
      <c r="L24" s="3"/>
      <c r="M24" s="3"/>
      <c r="N24" s="3"/>
      <c r="O24" s="3"/>
      <c r="P24" s="3"/>
      <c r="Q24" s="3"/>
      <c r="R24" s="3"/>
      <c r="S24" s="3"/>
      <c r="T24" s="3"/>
      <c r="U24" s="3"/>
      <c r="V24" s="3"/>
      <c r="W24" s="3"/>
      <c r="X24" s="3"/>
      <c r="Y24" s="3"/>
      <c r="Z24" s="3"/>
      <c r="AA24" s="3"/>
    </row>
    <row r="25" ht="105.75" customHeight="1">
      <c r="A25" s="4" t="s">
        <v>9</v>
      </c>
      <c r="B25" s="5" t="s">
        <v>33</v>
      </c>
      <c r="C25" s="4">
        <v>3.0</v>
      </c>
      <c r="D25" s="6">
        <v>45114.72623842592</v>
      </c>
      <c r="E25" s="7" t="str">
        <f t="shared" si="1"/>
        <v>2023-07-07</v>
      </c>
      <c r="F25" s="8" t="str">
        <f t="shared" si="2"/>
        <v> 17:25:47</v>
      </c>
      <c r="G25" s="9" t="str">
        <f t="shared" si="3"/>
        <v>Tarde</v>
      </c>
      <c r="H25" s="10" t="str">
        <f>IFERROR(__xludf.DUMMYFUNCTION("GOOGLETRANSLATE(B25, ""en"", ""pt-br"")"),"É um bom começo, mas eles precisam adicionar alguma coisa antes que possam ser ótimos: 1. Eles precisam adicionar uma opção para ver apenas as pessoas que você segue em vez de um algoritmo irritante. 2. Eles precisam permitir que você silencie todas as po"&amp;"stagens de idiomas que você não deseja ou não conhece. 3. Eles também precisam adicionar opção para alterar o nome sem alterar o nome do Instagram. 4. Outro pensamento útil seria a capacidade de aumentar o zoom em uma imagem e ficar em zoom sem ela voltar"&amp;" ao tamanho normal. 5. Eles precisam de um site.")</f>
        <v>É um bom começo, mas eles precisam adicionar alguma coisa antes que possam ser ótimos: 1. Eles precisam adicionar uma opção para ver apenas as pessoas que você segue em vez de um algoritmo irritante. 2. Eles precisam permitir que você silencie todas as postagens de idiomas que você não deseja ou não conhece. 3. Eles também precisam adicionar opção para alterar o nome sem alterar o nome do Instagram. 4. Outro pensamento útil seria a capacidade de aumentar o zoom em uma imagem e ficar em zoom sem ela voltar ao tamanho normal. 5. Eles precisam de um site.</v>
      </c>
      <c r="I25" s="10" t="str">
        <f>IFERROR(__xludf.DUMMYFUNCTION("TRIM(REGEXREPLACE(H25,""[^a-zA-ZÀ-ú ]+"",""""))"),"É um bom começo mas eles precisam adicionar alguma coisa antes que possam ser ótimos Eles precisam adicionar uma opção para ver apenas as pessoas que você segue em vez de um algoritmo irritante Eles precisam permitir que você silencie todas as postagens d"&amp;"e idiomas que você não deseja ou não conhece Eles também precisam adicionar opção para alterar o nome sem alterar o nome do Instagram Outro pensamento útil seria a capacidade de aumentar o zoom em uma imagem e ficar em zoom sem ela voltar ao tamanho norma"&amp;"l Eles precisam de um site")</f>
        <v>É um bom começo mas eles precisam adicionar alguma coisa antes que possam ser ótimos Eles precisam adicionar uma opção para ver apenas as pessoas que você segue em vez de um algoritmo irritante Eles precisam permitir que você silencie todas as postagens de idiomas que você não deseja ou não conhece Eles também precisam adicionar opção para alterar o nome sem alterar o nome do Instagram Outro pensamento útil seria a capacidade de aumentar o zoom em uma imagem e ficar em zoom sem ela voltar ao tamanho normal Eles precisam de um site</v>
      </c>
      <c r="J25" s="3"/>
      <c r="K25" s="3"/>
      <c r="L25" s="3"/>
      <c r="M25" s="3"/>
      <c r="N25" s="3"/>
      <c r="O25" s="3"/>
      <c r="P25" s="3"/>
      <c r="Q25" s="3"/>
      <c r="R25" s="3"/>
      <c r="S25" s="3"/>
      <c r="T25" s="3"/>
      <c r="U25" s="3"/>
      <c r="V25" s="3"/>
      <c r="W25" s="3"/>
      <c r="X25" s="3"/>
      <c r="Y25" s="3"/>
      <c r="Z25" s="3"/>
      <c r="AA25" s="3"/>
    </row>
    <row r="26" ht="105.75" customHeight="1">
      <c r="A26" s="4" t="s">
        <v>9</v>
      </c>
      <c r="B26" s="5" t="s">
        <v>34</v>
      </c>
      <c r="C26" s="4">
        <v>1.0</v>
      </c>
      <c r="D26" s="6">
        <v>45116.79472222222</v>
      </c>
      <c r="E26" s="7" t="str">
        <f t="shared" si="1"/>
        <v>2023-07-09</v>
      </c>
      <c r="F26" s="8" t="str">
        <f t="shared" si="2"/>
        <v> 19:04:24</v>
      </c>
      <c r="G26" s="9" t="str">
        <f t="shared" si="3"/>
        <v>Noite</v>
      </c>
      <c r="H26" s="10" t="str">
        <f>IFERROR(__xludf.DUMMYFUNCTION("GOOGLETRANSLATE(B26, ""en"", ""pt-br"")"),"Crashing constante ao tentar fazer upload da maioria das fotos, embora não pareça haver um padrão de tamanho ou resolução da imagem, o que faz com que ela trava ou simplesmente falhe em fazer o upload. No entanto, consegui fazer upload de imagens de até 4"&amp;"4MP, 33MB enviadas com sucesso. Gostaria da opção de limpar o lixo aleatório do meu feed sem ter que continuar silenciando -os!")</f>
        <v>Crashing constante ao tentar fazer upload da maioria das fotos, embora não pareça haver um padrão de tamanho ou resolução da imagem, o que faz com que ela trava ou simplesmente falhe em fazer o upload. No entanto, consegui fazer upload de imagens de até 44MP, 33MB enviadas com sucesso. Gostaria da opção de limpar o lixo aleatório do meu feed sem ter que continuar silenciando -os!</v>
      </c>
      <c r="I26" s="10" t="str">
        <f>IFERROR(__xludf.DUMMYFUNCTION("TRIM(REGEXREPLACE(H26,""[^a-zA-ZÀ-ú ]+"",""""))"),"Crashing constante ao tentar fazer upload da maioria das fotos embora não pareça haver um padrão de tamanho ou resolução da imagem o que faz com que ela trava ou simplesmente falhe em fazer o upload No entanto consegui fazer upload de imagens de até MP MB"&amp;" enviadas com sucesso Gostaria da opção de limpar o lixo aleatório do meu feed sem ter que continuar silenciando os")</f>
        <v>Crashing constante ao tentar fazer upload da maioria das fotos embora não pareça haver um padrão de tamanho ou resolução da imagem o que faz com que ela trava ou simplesmente falhe em fazer o upload No entanto consegui fazer upload de imagens de até MP MB enviadas com sucesso Gostaria da opção de limpar o lixo aleatório do meu feed sem ter que continuar silenciando os</v>
      </c>
      <c r="J26" s="3"/>
      <c r="K26" s="3"/>
      <c r="L26" s="3"/>
      <c r="M26" s="3"/>
      <c r="N26" s="3"/>
      <c r="O26" s="3"/>
      <c r="P26" s="3"/>
      <c r="Q26" s="3"/>
      <c r="R26" s="3"/>
      <c r="S26" s="3"/>
      <c r="T26" s="3"/>
      <c r="U26" s="3"/>
      <c r="V26" s="3"/>
      <c r="W26" s="3"/>
      <c r="X26" s="3"/>
      <c r="Y26" s="3"/>
      <c r="Z26" s="3"/>
      <c r="AA26" s="3"/>
    </row>
    <row r="27" ht="105.75" customHeight="1">
      <c r="A27" s="4" t="s">
        <v>9</v>
      </c>
      <c r="B27" s="5" t="s">
        <v>35</v>
      </c>
      <c r="C27" s="4">
        <v>3.0</v>
      </c>
      <c r="D27" s="6">
        <v>45113.56592592593</v>
      </c>
      <c r="E27" s="7" t="str">
        <f t="shared" si="1"/>
        <v>2023-07-06</v>
      </c>
      <c r="F27" s="8" t="str">
        <f t="shared" si="2"/>
        <v> 13:34:56</v>
      </c>
      <c r="G27" s="9" t="str">
        <f t="shared" si="3"/>
        <v>Tarde</v>
      </c>
      <c r="H27" s="10" t="str">
        <f>IFERROR(__xludf.DUMMYFUNCTION("GOOGLETRANSLATE(B27, ""en"", ""pt-br"")"),"O conceito do aplicativo é ótimo, mas está cheio de falhas! Sempre que o conteúdo do visor muda, o aplicativo completo se torna falha. Mesmo em um pequeno pergaminho, o problema aparece. Muito menos um botão clicando! Talvez o problema seja aplicável apen"&amp;"as a alguns tipos de usuários. Mas, por favor, corrija o bug. Apesar de esse aplicativo ser ótimo, tenho que permanecer neutro, dando 3 estrelas é apenas por causa desses bugs.")</f>
        <v>O conceito do aplicativo é ótimo, mas está cheio de falhas! Sempre que o conteúdo do visor muda, o aplicativo completo se torna falha. Mesmo em um pequeno pergaminho, o problema aparece. Muito menos um botão clicando! Talvez o problema seja aplicável apenas a alguns tipos de usuários. Mas, por favor, corrija o bug. Apesar de esse aplicativo ser ótimo, tenho que permanecer neutro, dando 3 estrelas é apenas por causa desses bugs.</v>
      </c>
      <c r="I27" s="10" t="str">
        <f>IFERROR(__xludf.DUMMYFUNCTION("TRIM(REGEXREPLACE(H27,""[^a-zA-ZÀ-ú ]+"",""""))"),"O conceito do aplicativo é ótimo mas está cheio de falhas Sempre que o conteúdo do visor muda o aplicativo completo se torna falha Mesmo em um pequeno pergaminho o problema aparece Muito menos um botão clicando Talvez o problema seja aplicável apenas a al"&amp;"guns tipos de usuários Mas por favor corrija o bug Apesar de esse aplicativo ser ótimo tenho que permanecer neutro dando estrelas é apenas por causa desses bugs")</f>
        <v>O conceito do aplicativo é ótimo mas está cheio de falhas Sempre que o conteúdo do visor muda o aplicativo completo se torna falha Mesmo em um pequeno pergaminho o problema aparece Muito menos um botão clicando Talvez o problema seja aplicável apenas a alguns tipos de usuários Mas por favor corrija o bug Apesar de esse aplicativo ser ótimo tenho que permanecer neutro dando estrelas é apenas por causa desses bugs</v>
      </c>
      <c r="J27" s="3"/>
      <c r="K27" s="3"/>
      <c r="L27" s="3"/>
      <c r="M27" s="3"/>
      <c r="N27" s="3"/>
      <c r="O27" s="3"/>
      <c r="P27" s="3"/>
      <c r="Q27" s="3"/>
      <c r="R27" s="3"/>
      <c r="S27" s="3"/>
      <c r="T27" s="3"/>
      <c r="U27" s="3"/>
      <c r="V27" s="3"/>
      <c r="W27" s="3"/>
      <c r="X27" s="3"/>
      <c r="Y27" s="3"/>
      <c r="Z27" s="3"/>
      <c r="AA27" s="3"/>
    </row>
    <row r="28" ht="105.75" customHeight="1">
      <c r="A28" s="4" t="s">
        <v>9</v>
      </c>
      <c r="B28" s="5" t="s">
        <v>36</v>
      </c>
      <c r="C28" s="4">
        <v>3.0</v>
      </c>
      <c r="D28" s="6">
        <v>45113.24990740741</v>
      </c>
      <c r="E28" s="7" t="str">
        <f t="shared" si="1"/>
        <v>2023-07-06</v>
      </c>
      <c r="F28" s="8" t="str">
        <f t="shared" si="2"/>
        <v> 05:59:52</v>
      </c>
      <c r="G28" s="9" t="str">
        <f t="shared" si="3"/>
        <v>Manhã</v>
      </c>
      <c r="H28" s="10" t="str">
        <f>IFERROR(__xludf.DUMMYFUNCTION("GOOGLETRANSLATE(B28, ""en"", ""pt-br"")"),"Ainda tenho cuidado com este aplicativo. Mas é muito promissor. Eu amo o design da interface, embora ainda haja espaço para melhorias. Pessoalmente, sinto atrasos enquanto rola e acho isso difícil de navegar quando o aplicativo continua fazendo isso. Eu t"&amp;"ambém acho melhor implementar os novos emojis no aplicativo, mas também para o Instagram também. Criar uma conta é um aborrecimento se você deseja apenas fazer um fandom. E acho um aborrecimento ir a outro aplicativo apenas para alterar meu nome de exibiç"&amp;"ão. Espero que isso mude.")</f>
        <v>Ainda tenho cuidado com este aplicativo. Mas é muito promissor. Eu amo o design da interface, embora ainda haja espaço para melhorias. Pessoalmente, sinto atrasos enquanto rola e acho isso difícil de navegar quando o aplicativo continua fazendo isso. Eu também acho melhor implementar os novos emojis no aplicativo, mas também para o Instagram também. Criar uma conta é um aborrecimento se você deseja apenas fazer um fandom. E acho um aborrecimento ir a outro aplicativo apenas para alterar meu nome de exibição. Espero que isso mude.</v>
      </c>
      <c r="I28" s="10" t="str">
        <f>IFERROR(__xludf.DUMMYFUNCTION("TRIM(REGEXREPLACE(H28,""[^a-zA-ZÀ-ú ]+"",""""))"),"Ainda tenho cuidado com este aplicativo Mas é muito promissor Eu amo o design da interface embora ainda haja espaço para melhorias Pessoalmente sinto atrasos enquanto rola e acho isso difícil de navegar quando o aplicativo continua fazendo isso Eu também "&amp;"acho melhor implementar os novos emojis no aplicativo mas também para o Instagram também Criar uma conta é um aborrecimento se você deseja apenas fazer um fandom E acho um aborrecimento ir a outro aplicativo apenas para alterar meu nome de exibição Espero"&amp;" que isso mude")</f>
        <v>Ainda tenho cuidado com este aplicativo Mas é muito promissor Eu amo o design da interface embora ainda haja espaço para melhorias Pessoalmente sinto atrasos enquanto rola e acho isso difícil de navegar quando o aplicativo continua fazendo isso Eu também acho melhor implementar os novos emojis no aplicativo mas também para o Instagram também Criar uma conta é um aborrecimento se você deseja apenas fazer um fandom E acho um aborrecimento ir a outro aplicativo apenas para alterar meu nome de exibição Espero que isso mude</v>
      </c>
      <c r="J28" s="3"/>
      <c r="K28" s="3"/>
      <c r="L28" s="3"/>
      <c r="M28" s="3"/>
      <c r="N28" s="3"/>
      <c r="O28" s="3"/>
      <c r="P28" s="3"/>
      <c r="Q28" s="3"/>
      <c r="R28" s="3"/>
      <c r="S28" s="3"/>
      <c r="T28" s="3"/>
      <c r="U28" s="3"/>
      <c r="V28" s="3"/>
      <c r="W28" s="3"/>
      <c r="X28" s="3"/>
      <c r="Y28" s="3"/>
      <c r="Z28" s="3"/>
      <c r="AA28" s="3"/>
    </row>
    <row r="29" ht="105.75" customHeight="1">
      <c r="A29" s="4" t="s">
        <v>9</v>
      </c>
      <c r="B29" s="5" t="s">
        <v>37</v>
      </c>
      <c r="C29" s="4">
        <v>2.0</v>
      </c>
      <c r="D29" s="6">
        <v>45114.53619212963</v>
      </c>
      <c r="E29" s="7" t="str">
        <f t="shared" si="1"/>
        <v>2023-07-07</v>
      </c>
      <c r="F29" s="8" t="str">
        <f t="shared" si="2"/>
        <v> 12:52:07</v>
      </c>
      <c r="G29" s="9" t="str">
        <f t="shared" si="3"/>
        <v>Tarde</v>
      </c>
      <c r="H29" s="10" t="str">
        <f>IFERROR(__xludf.DUMMYFUNCTION("GOOGLETRANSLATE(B29, ""en"", ""pt-br"")"),"Muito fácil de usar, porque é como o Twitter. Mas estou começando a odiar porque as melhores características do Instagram estão sendo removidas. Reações para bate -papos e música para histórias? Pode muito bem remover esses threads de aplicativos. O Insta"&amp;"gram está sendo amado por postar fotos, mas é muito conveniente ter conversas com reações se você não souber o que dizer. A música para histórias também é importante para se expressar. Só espero que o efeito no aplicativo do Instagram seja apenas temporár"&amp;"io.")</f>
        <v>Muito fácil de usar, porque é como o Twitter. Mas estou começando a odiar porque as melhores características do Instagram estão sendo removidas. Reações para bate -papos e música para histórias? Pode muito bem remover esses threads de aplicativos. O Instagram está sendo amado por postar fotos, mas é muito conveniente ter conversas com reações se você não souber o que dizer. A música para histórias também é importante para se expressar. Só espero que o efeito no aplicativo do Instagram seja apenas temporário.</v>
      </c>
      <c r="I29" s="10" t="str">
        <f>IFERROR(__xludf.DUMMYFUNCTION("TRIM(REGEXREPLACE(H29,""[^a-zA-ZÀ-ú ]+"",""""))"),"Muito fácil de usar porque é como o Twitter Mas estou começando a odiar porque as melhores características do Instagram estão sendo removidas Reações para bate papos e música para histórias Pode muito bem remover esses threads de aplicativos O Instagram e"&amp;"stá sendo amado por postar fotos mas é muito conveniente ter conversas com reações se você não souber o que dizer A música para histórias também é importante para se expressar Só espero que o efeito no aplicativo do Instagram seja apenas temporário")</f>
        <v>Muito fácil de usar porque é como o Twitter Mas estou começando a odiar porque as melhores características do Instagram estão sendo removidas Reações para bate papos e música para histórias Pode muito bem remover esses threads de aplicativos O Instagram está sendo amado por postar fotos mas é muito conveniente ter conversas com reações se você não souber o que dizer A música para histórias também é importante para se expressar Só espero que o efeito no aplicativo do Instagram seja apenas temporário</v>
      </c>
      <c r="J29" s="3"/>
      <c r="K29" s="3"/>
      <c r="L29" s="3"/>
      <c r="M29" s="3"/>
      <c r="N29" s="3"/>
      <c r="O29" s="3"/>
      <c r="P29" s="3"/>
      <c r="Q29" s="3"/>
      <c r="R29" s="3"/>
      <c r="S29" s="3"/>
      <c r="T29" s="3"/>
      <c r="U29" s="3"/>
      <c r="V29" s="3"/>
      <c r="W29" s="3"/>
      <c r="X29" s="3"/>
      <c r="Y29" s="3"/>
      <c r="Z29" s="3"/>
      <c r="AA29" s="3"/>
    </row>
    <row r="30" ht="105.75" customHeight="1">
      <c r="A30" s="4" t="s">
        <v>9</v>
      </c>
      <c r="B30" s="5" t="s">
        <v>38</v>
      </c>
      <c r="C30" s="4">
        <v>1.0</v>
      </c>
      <c r="D30" s="6">
        <v>45113.67616898148</v>
      </c>
      <c r="E30" s="7" t="str">
        <f t="shared" si="1"/>
        <v>2023-07-06</v>
      </c>
      <c r="F30" s="8" t="str">
        <f t="shared" si="2"/>
        <v> 16:13:41</v>
      </c>
      <c r="G30" s="9" t="str">
        <f t="shared" si="3"/>
        <v>Tarde</v>
      </c>
      <c r="H30" s="10" t="str">
        <f>IFERROR(__xludf.DUMMYFUNCTION("GOOGLETRANSLATE(B30, ""en"", ""pt-br"")"),"Assim que eu abri o aplicativo, foi bom, o login e tudo mais, mas assim que ele carregou, eu não conseguia nem usar esse aplicativo porque começou a agir tão estranho, como um bug ou smth. Todas as páginas estão sobrepostas uma à outra, nem consigo intera"&amp;"gir com nada porque, assim que faço, a página começa a se comportar como um bug. Mesmo reinstalar não ajudou a corrigir este problema")</f>
        <v>Assim que eu abri o aplicativo, foi bom, o login e tudo mais, mas assim que ele carregou, eu não conseguia nem usar esse aplicativo porque começou a agir tão estranho, como um bug ou smth. Todas as páginas estão sobrepostas uma à outra, nem consigo interagir com nada porque, assim que faço, a página começa a se comportar como um bug. Mesmo reinstalar não ajudou a corrigir este problema</v>
      </c>
      <c r="I30" s="10" t="str">
        <f>IFERROR(__xludf.DUMMYFUNCTION("TRIM(REGEXREPLACE(H30,""[^a-zA-ZÀ-ú ]+"",""""))"),"Assim que eu abri o aplicativo foi bom o login e tudo mais mas assim que ele carregou eu não conseguia nem usar esse aplicativo porque começou a agir tão estranho como um bug ou smth Todas as páginas estão sobrepostas uma à outra nem consigo interagir com"&amp;" nada porque assim que faço a página começa a se comportar como um bug Mesmo reinstalar não ajudou a corrigir este problema")</f>
        <v>Assim que eu abri o aplicativo foi bom o login e tudo mais mas assim que ele carregou eu não conseguia nem usar esse aplicativo porque começou a agir tão estranho como um bug ou smth Todas as páginas estão sobrepostas uma à outra nem consigo interagir com nada porque assim que faço a página começa a se comportar como um bug Mesmo reinstalar não ajudou a corrigir este problema</v>
      </c>
      <c r="J30" s="3"/>
      <c r="K30" s="3"/>
      <c r="L30" s="3"/>
      <c r="M30" s="3"/>
      <c r="N30" s="3"/>
      <c r="O30" s="3"/>
      <c r="P30" s="3"/>
      <c r="Q30" s="3"/>
      <c r="R30" s="3"/>
      <c r="S30" s="3"/>
      <c r="T30" s="3"/>
      <c r="U30" s="3"/>
      <c r="V30" s="3"/>
      <c r="W30" s="3"/>
      <c r="X30" s="3"/>
      <c r="Y30" s="3"/>
      <c r="Z30" s="3"/>
      <c r="AA30" s="3"/>
    </row>
    <row r="31" ht="105.75" customHeight="1">
      <c r="A31" s="4" t="s">
        <v>9</v>
      </c>
      <c r="B31" s="5" t="s">
        <v>39</v>
      </c>
      <c r="C31" s="4">
        <v>4.0</v>
      </c>
      <c r="D31" s="6">
        <v>45118.535</v>
      </c>
      <c r="E31" s="7" t="str">
        <f t="shared" si="1"/>
        <v>2023-07-11</v>
      </c>
      <c r="F31" s="8" t="str">
        <f t="shared" si="2"/>
        <v> 12:50:24</v>
      </c>
      <c r="G31" s="9" t="str">
        <f t="shared" si="3"/>
        <v>Tarde</v>
      </c>
      <c r="H31" s="10" t="str">
        <f>IFERROR(__xludf.DUMMYFUNCTION("GOOGLETRANSLATE(B31, ""en"", ""pt-br"")"),"Ótimo aplicativo! Adorei desde o primeiro dia, embora eu tenha os seguintes desafios; 1. Meu teclado não chega com a página da interface do usuário, ele o cobre e, portanto, não consigo ver o que estou digitando. 2. Não é possível salvar imagens como qual"&amp;"quer outro usuário. 3. De 100+, não consigo ver o mais recente seguidor como indivíduo para ver seu perfil; tem que pesquisar. 4. Às vezes, a interface do usuário fica um pouco confusa, pois não há demarcação adequada entre um tópico na minha linha do tem"&amp;"po e outro. 5. Abrir alguns tópicos trava o aplicativo ocasionalmente.")</f>
        <v>Ótimo aplicativo! Adorei desde o primeiro dia, embora eu tenha os seguintes desafios; 1. Meu teclado não chega com a página da interface do usuário, ele o cobre e, portanto, não consigo ver o que estou digitando. 2. Não é possível salvar imagens como qualquer outro usuário. 3. De 100+, não consigo ver o mais recente seguidor como indivíduo para ver seu perfil; tem que pesquisar. 4. Às vezes, a interface do usuário fica um pouco confusa, pois não há demarcação adequada entre um tópico na minha linha do tempo e outro. 5. Abrir alguns tópicos trava o aplicativo ocasionalmente.</v>
      </c>
      <c r="I31" s="10" t="str">
        <f>IFERROR(__xludf.DUMMYFUNCTION("TRIM(REGEXREPLACE(H31,""[^a-zA-ZÀ-ú ]+"",""""))"),"Ótimo aplicativo Adorei desde o primeiro dia embora eu tenha os seguintes desafios Meu teclado não chega com a página da interface do usuário ele o cobre e portanto não consigo ver o que estou digitando Não é possível salvar imagens como qualquer outro us"&amp;"uário De não consigo ver o mais recente seguidor como indivíduo para ver seu perfil tem que pesquisar Às vezes a interface do usuário fica um pouco confusa pois não há demarcação adequada entre um tópico na minha linha do tempo e outro Abrir alguns tópico"&amp;"s trava o aplicativo ocasionalmente")</f>
        <v>Ótimo aplicativo Adorei desde o primeiro dia embora eu tenha os seguintes desafios Meu teclado não chega com a página da interface do usuário ele o cobre e portanto não consigo ver o que estou digitando Não é possível salvar imagens como qualquer outro usuário De não consigo ver o mais recente seguidor como indivíduo para ver seu perfil tem que pesquisar Às vezes a interface do usuário fica um pouco confusa pois não há demarcação adequada entre um tópico na minha linha do tempo e outro Abrir alguns tópicos trava o aplicativo ocasionalmente</v>
      </c>
      <c r="J31" s="3"/>
      <c r="K31" s="3"/>
      <c r="L31" s="3"/>
      <c r="M31" s="3"/>
      <c r="N31" s="3"/>
      <c r="O31" s="3"/>
      <c r="P31" s="3"/>
      <c r="Q31" s="3"/>
      <c r="R31" s="3"/>
      <c r="S31" s="3"/>
      <c r="T31" s="3"/>
      <c r="U31" s="3"/>
      <c r="V31" s="3"/>
      <c r="W31" s="3"/>
      <c r="X31" s="3"/>
      <c r="Y31" s="3"/>
      <c r="Z31" s="3"/>
      <c r="AA31" s="3"/>
    </row>
    <row r="32" ht="105.75" customHeight="1">
      <c r="A32" s="4" t="s">
        <v>9</v>
      </c>
      <c r="B32" s="5" t="s">
        <v>40</v>
      </c>
      <c r="C32" s="4">
        <v>2.0</v>
      </c>
      <c r="D32" s="6">
        <v>45122.77590277778</v>
      </c>
      <c r="E32" s="7" t="str">
        <f t="shared" si="1"/>
        <v>2023-07-15</v>
      </c>
      <c r="F32" s="8" t="str">
        <f t="shared" si="2"/>
        <v> 18:37:18</v>
      </c>
      <c r="G32" s="9" t="str">
        <f t="shared" si="3"/>
        <v>Noite</v>
      </c>
      <c r="H32" s="10" t="str">
        <f>IFERROR(__xludf.DUMMYFUNCTION("GOOGLETRANSLATE(B32, ""en"", ""pt-br"")"),"De repente, fecha. Eu pensei que acidentalmente acertou meu botão de casa, mas não. Eu estava digitando, mas horas extras, de repente fecha. Não havia nem um rascunho do texto que eu estava compondo. Aconteceu várias vezes. Acabei de atualizar este aplica"&amp;"tivo e pensei que ele corrigiria o problema, mas não. Essa também é a razão pela qual parei de usar isso da última vez, fiquei frustrado porque continuava refrescante (?) Ou fechando e o tópico que eu estava compondo nem é salvo.")</f>
        <v>De repente, fecha. Eu pensei que acidentalmente acertou meu botão de casa, mas não. Eu estava digitando, mas horas extras, de repente fecha. Não havia nem um rascunho do texto que eu estava compondo. Aconteceu várias vezes. Acabei de atualizar este aplicativo e pensei que ele corrigiria o problema, mas não. Essa também é a razão pela qual parei de usar isso da última vez, fiquei frustrado porque continuava refrescante (?) Ou fechando e o tópico que eu estava compondo nem é salvo.</v>
      </c>
      <c r="I32" s="10" t="str">
        <f>IFERROR(__xludf.DUMMYFUNCTION("TRIM(REGEXREPLACE(H32,""[^a-zA-ZÀ-ú ]+"",""""))"),"De repente fecha Eu pensei que acidentalmente acertou meu botão de casa mas não Eu estava digitando mas horas extras de repente fecha Não havia nem um rascunho do texto que eu estava compondo Aconteceu várias vezes Acabei de atualizar este aplicativo e pe"&amp;"nsei que ele corrigiria o problema mas não Essa também é a razão pela qual parei de usar isso da última vez fiquei frustrado porque continuava refrescante Ou fechando e o tópico que eu estava compondo nem é salvo")</f>
        <v>De repente fecha Eu pensei que acidentalmente acertou meu botão de casa mas não Eu estava digitando mas horas extras de repente fecha Não havia nem um rascunho do texto que eu estava compondo Aconteceu várias vezes Acabei de atualizar este aplicativo e pensei que ele corrigiria o problema mas não Essa também é a razão pela qual parei de usar isso da última vez fiquei frustrado porque continuava refrescante Ou fechando e o tópico que eu estava compondo nem é salvo</v>
      </c>
      <c r="J32" s="3"/>
      <c r="K32" s="3"/>
      <c r="L32" s="3"/>
      <c r="M32" s="3"/>
      <c r="N32" s="3"/>
      <c r="O32" s="3"/>
      <c r="P32" s="3"/>
      <c r="Q32" s="3"/>
      <c r="R32" s="3"/>
      <c r="S32" s="3"/>
      <c r="T32" s="3"/>
      <c r="U32" s="3"/>
      <c r="V32" s="3"/>
      <c r="W32" s="3"/>
      <c r="X32" s="3"/>
      <c r="Y32" s="3"/>
      <c r="Z32" s="3"/>
      <c r="AA32" s="3"/>
    </row>
    <row r="33" ht="105.75" customHeight="1">
      <c r="A33" s="4" t="s">
        <v>9</v>
      </c>
      <c r="B33" s="5" t="s">
        <v>41</v>
      </c>
      <c r="C33" s="4">
        <v>2.0</v>
      </c>
      <c r="D33" s="6">
        <v>45114.53957175926</v>
      </c>
      <c r="E33" s="7" t="str">
        <f t="shared" si="1"/>
        <v>2023-07-07</v>
      </c>
      <c r="F33" s="8" t="str">
        <f t="shared" si="2"/>
        <v> 12:56:59</v>
      </c>
      <c r="G33" s="9" t="str">
        <f t="shared" si="3"/>
        <v>Tarde</v>
      </c>
      <c r="H33" s="10" t="str">
        <f>IFERROR(__xludf.DUMMYFUNCTION("GOOGLETRANSLATE(B33, ""en"", ""pt-br"")"),"Esta é claramente uma versão muito precoce e mal testada do aplicativo que foi empurrada para ganhar dinheiro na hora certa. Primeiro, o aplicativo trava muito. Simplesmente abrir os threads de certas pessoas fecha o aplicativo sempre, mas funciona perfei"&amp;"tamente em outros tópicos. Isso é praticamente um rompimento de acordo. Segundo, acho justo dizer que uma versão da web ou um aplicativo de desktop deveriam estar disponíveis desde o início. O fato de estar faltando apenas significa que tudo é um efeito c"&amp;"olateral de sair desta nova plataforma.")</f>
        <v>Esta é claramente uma versão muito precoce e mal testada do aplicativo que foi empurrada para ganhar dinheiro na hora certa. Primeiro, o aplicativo trava muito. Simplesmente abrir os threads de certas pessoas fecha o aplicativo sempre, mas funciona perfeitamente em outros tópicos. Isso é praticamente um rompimento de acordo. Segundo, acho justo dizer que uma versão da web ou um aplicativo de desktop deveriam estar disponíveis desde o início. O fato de estar faltando apenas significa que tudo é um efeito colateral de sair desta nova plataforma.</v>
      </c>
      <c r="I33" s="10" t="str">
        <f>IFERROR(__xludf.DUMMYFUNCTION("TRIM(REGEXREPLACE(H33,""[^a-zA-ZÀ-ú ]+"",""""))"),"Esta é claramente uma versão muito precoce e mal testada do aplicativo que foi empurrada para ganhar dinheiro na hora certa Primeiro o aplicativo trava muito Simplesmente abrir os threads de certas pessoas fecha o aplicativo sempre mas funciona perfeitame"&amp;"nte em outros tópicos Isso é praticamente um rompimento de acordo Segundo acho justo dizer que uma versão da web ou um aplicativo de desktop deveriam estar disponíveis desde o início O fato de estar faltando apenas significa que tudo é um efeito colateral"&amp;" de sair desta nova plataforma")</f>
        <v>Esta é claramente uma versão muito precoce e mal testada do aplicativo que foi empurrada para ganhar dinheiro na hora certa Primeiro o aplicativo trava muito Simplesmente abrir os threads de certas pessoas fecha o aplicativo sempre mas funciona perfeitamente em outros tópicos Isso é praticamente um rompimento de acordo Segundo acho justo dizer que uma versão da web ou um aplicativo de desktop deveriam estar disponíveis desde o início O fato de estar faltando apenas significa que tudo é um efeito colateral de sair desta nova plataforma</v>
      </c>
      <c r="J33" s="3"/>
      <c r="K33" s="3"/>
      <c r="L33" s="3"/>
      <c r="M33" s="3"/>
      <c r="N33" s="3"/>
      <c r="O33" s="3"/>
      <c r="P33" s="3"/>
      <c r="Q33" s="3"/>
      <c r="R33" s="3"/>
      <c r="S33" s="3"/>
      <c r="T33" s="3"/>
      <c r="U33" s="3"/>
      <c r="V33" s="3"/>
      <c r="W33" s="3"/>
      <c r="X33" s="3"/>
      <c r="Y33" s="3"/>
      <c r="Z33" s="3"/>
      <c r="AA33" s="3"/>
    </row>
    <row r="34" ht="105.75" customHeight="1">
      <c r="A34" s="4" t="s">
        <v>9</v>
      </c>
      <c r="B34" s="5" t="s">
        <v>42</v>
      </c>
      <c r="C34" s="4">
        <v>4.0</v>
      </c>
      <c r="D34" s="6">
        <v>45114.303460648145</v>
      </c>
      <c r="E34" s="7" t="str">
        <f t="shared" si="1"/>
        <v>2023-07-07</v>
      </c>
      <c r="F34" s="8" t="str">
        <f t="shared" si="2"/>
        <v> 07:16:59</v>
      </c>
      <c r="G34" s="9" t="str">
        <f t="shared" si="3"/>
        <v>Manhã</v>
      </c>
      <c r="H34" s="10" t="str">
        <f>IFERROR(__xludf.DUMMYFUNCTION("GOOGLETRANSLATE(B34, ""en"", ""pt-br"")"),"É viciante, mas parece apertado e bagunçado, porque há elementos desnecessários, como mostrar os perfis nas respostas, mas descreve a simpatia, então é bom. E sinto que os elementos estão muito próximos um do outro. O aplicativo é ótimo porque ainda não h"&amp;"á anúncios, spam e livre de tóxicos. Espero que eles possam manter o meio ambiente seguro e tóxico livre.")</f>
        <v>É viciante, mas parece apertado e bagunçado, porque há elementos desnecessários, como mostrar os perfis nas respostas, mas descreve a simpatia, então é bom. E sinto que os elementos estão muito próximos um do outro. O aplicativo é ótimo porque ainda não há anúncios, spam e livre de tóxicos. Espero que eles possam manter o meio ambiente seguro e tóxico livre.</v>
      </c>
      <c r="I34" s="10" t="str">
        <f>IFERROR(__xludf.DUMMYFUNCTION("TRIM(REGEXREPLACE(H34,""[^a-zA-ZÀ-ú ]+"",""""))"),"É viciante mas parece apertado e bagunçado porque há elementos desnecessários como mostrar os perfis nas respostas mas descreve a simpatia então é bom E sinto que os elementos estão muito próximos um do outro O aplicativo é ótimo porque ainda não há anúnc"&amp;"ios spam e livre de tóxicos Espero que eles possam manter o meio ambiente seguro e tóxico livre")</f>
        <v>É viciante mas parece apertado e bagunçado porque há elementos desnecessários como mostrar os perfis nas respostas mas descreve a simpatia então é bom E sinto que os elementos estão muito próximos um do outro O aplicativo é ótimo porque ainda não há anúncios spam e livre de tóxicos Espero que eles possam manter o meio ambiente seguro e tóxico livre</v>
      </c>
      <c r="J34" s="3"/>
      <c r="K34" s="3"/>
      <c r="L34" s="3"/>
      <c r="M34" s="3"/>
      <c r="N34" s="3"/>
      <c r="O34" s="3"/>
      <c r="P34" s="3"/>
      <c r="Q34" s="3"/>
      <c r="R34" s="3"/>
      <c r="S34" s="3"/>
      <c r="T34" s="3"/>
      <c r="U34" s="3"/>
      <c r="V34" s="3"/>
      <c r="W34" s="3"/>
      <c r="X34" s="3"/>
      <c r="Y34" s="3"/>
      <c r="Z34" s="3"/>
      <c r="AA34" s="3"/>
    </row>
    <row r="35" ht="105.75" customHeight="1">
      <c r="A35" s="4" t="s">
        <v>9</v>
      </c>
      <c r="B35" s="5" t="s">
        <v>43</v>
      </c>
      <c r="C35" s="4">
        <v>1.0</v>
      </c>
      <c r="D35" s="6">
        <v>45118.91569444445</v>
      </c>
      <c r="E35" s="7" t="str">
        <f t="shared" si="1"/>
        <v>2023-07-11</v>
      </c>
      <c r="F35" s="8" t="str">
        <f t="shared" si="2"/>
        <v> 21:58:36</v>
      </c>
      <c r="G35" s="9" t="str">
        <f t="shared" si="3"/>
        <v>Noite</v>
      </c>
      <c r="H35" s="10" t="str">
        <f>IFERROR(__xludf.DUMMYFUNCTION("GOOGLETRANSLATE(B35, ""en"", ""pt-br"")"),"Normalmente, não escrevo críticas, mas estou tão irritado com este aplicativo! Tentei compartilhar uma foto cerca de 10 vezes, compartilhando na minha galeria e enviando diretamente para o aplicativo e não está funcionando. Tentei atualizar o aplicativo e"&amp;" quando isso não funcionou, desinstalando e reinstalando. Estou perdido. Muito frustrante.")</f>
        <v>Normalmente, não escrevo críticas, mas estou tão irritado com este aplicativo! Tentei compartilhar uma foto cerca de 10 vezes, compartilhando na minha galeria e enviando diretamente para o aplicativo e não está funcionando. Tentei atualizar o aplicativo e quando isso não funcionou, desinstalando e reinstalando. Estou perdido. Muito frustrante.</v>
      </c>
      <c r="I35" s="10" t="str">
        <f>IFERROR(__xludf.DUMMYFUNCTION("TRIM(REGEXREPLACE(H35,""[^a-zA-ZÀ-ú ]+"",""""))"),"Normalmente não escrevo críticas mas estou tão irritado com este aplicativo Tentei compartilhar uma foto cerca de vezes compartilhando na minha galeria e enviando diretamente para o aplicativo e não está funcionando Tentei atualizar o aplicativo e quando "&amp;"isso não funcionou desinstalando e reinstalando Estou perdido Muito frustrante")</f>
        <v>Normalmente não escrevo críticas mas estou tão irritado com este aplicativo Tentei compartilhar uma foto cerca de vezes compartilhando na minha galeria e enviando diretamente para o aplicativo e não está funcionando Tentei atualizar o aplicativo e quando isso não funcionou desinstalando e reinstalando Estou perdido Muito frustrante</v>
      </c>
      <c r="J35" s="3"/>
      <c r="K35" s="3"/>
      <c r="L35" s="3"/>
      <c r="M35" s="3"/>
      <c r="N35" s="3"/>
      <c r="O35" s="3"/>
      <c r="P35" s="3"/>
      <c r="Q35" s="3"/>
      <c r="R35" s="3"/>
      <c r="S35" s="3"/>
      <c r="T35" s="3"/>
      <c r="U35" s="3"/>
      <c r="V35" s="3"/>
      <c r="W35" s="3"/>
      <c r="X35" s="3"/>
      <c r="Y35" s="3"/>
      <c r="Z35" s="3"/>
      <c r="AA35" s="3"/>
    </row>
    <row r="36" ht="105.75" customHeight="1">
      <c r="A36" s="4" t="s">
        <v>9</v>
      </c>
      <c r="B36" s="5" t="s">
        <v>44</v>
      </c>
      <c r="C36" s="4">
        <v>3.0</v>
      </c>
      <c r="D36" s="6">
        <v>45116.94311342593</v>
      </c>
      <c r="E36" s="7" t="str">
        <f t="shared" si="1"/>
        <v>2023-07-09</v>
      </c>
      <c r="F36" s="8" t="str">
        <f t="shared" si="2"/>
        <v> 22:38:05</v>
      </c>
      <c r="G36" s="9" t="str">
        <f t="shared" si="3"/>
        <v>Noite</v>
      </c>
      <c r="H36" s="10" t="str">
        <f>IFERROR(__xludf.DUMMYFUNCTION("GOOGLETRANSLATE(B36, ""en"", ""pt-br"")"),"Eu acho que é ótimo, mas alguns recursos precisam ser avançados. Primeiro, o tempo de carregamento da foto ainda é lento; em segundo lugar, sugiro que todos os meta -aplicativos possam ser sincronizados para informar sobre o Tab/navegador, onde você pode "&amp;"alternar as plataformas facilmente. Por exemplo, se você estiver em threads, poderá ter ícones ou guias comutadores para navegar para o Instagram, Facebook, WhatsApp e vice -versa. Em quarto lugar, deve haver filtros através dos quais as pessoas podem det"&amp;"erminar áreas de interesse temáticas, incluindo temas, tópicos, personalidades, etc.")</f>
        <v>Eu acho que é ótimo, mas alguns recursos precisam ser avançados. Primeiro, o tempo de carregamento da foto ainda é lento; em segundo lugar, sugiro que todos os meta -aplicativos possam ser sincronizados para informar sobre o Tab/navegador, onde você pode alternar as plataformas facilmente. Por exemplo, se você estiver em threads, poderá ter ícones ou guias comutadores para navegar para o Instagram, Facebook, WhatsApp e vice -versa. Em quarto lugar, deve haver filtros através dos quais as pessoas podem determinar áreas de interesse temáticas, incluindo temas, tópicos, personalidades, etc.</v>
      </c>
      <c r="I36" s="10" t="str">
        <f>IFERROR(__xludf.DUMMYFUNCTION("TRIM(REGEXREPLACE(H36,""[^a-zA-ZÀ-ú ]+"",""""))"),"Eu acho que é ótimo mas alguns recursos precisam ser avançados Primeiro o tempo de carregamento da foto ainda é lento em segundo lugar sugiro que todos os meta aplicativos possam ser sincronizados para informar sobre o Tabnavegador onde você pode alternar"&amp;" as plataformas facilmente Por exemplo se você estiver em threads poderá ter ícones ou guias comutadores para navegar para o Instagram Facebook WhatsApp e vice versa Em quarto lugar deve haver filtros através dos quais as pessoas podem determinar áreas de"&amp;" interesse temáticas incluindo temas tópicos personalidades etc")</f>
        <v>Eu acho que é ótimo mas alguns recursos precisam ser avançados Primeiro o tempo de carregamento da foto ainda é lento em segundo lugar sugiro que todos os meta aplicativos possam ser sincronizados para informar sobre o Tabnavegador onde você pode alternar as plataformas facilmente Por exemplo se você estiver em threads poderá ter ícones ou guias comutadores para navegar para o Instagram Facebook WhatsApp e vice versa Em quarto lugar deve haver filtros através dos quais as pessoas podem determinar áreas de interesse temáticas incluindo temas tópicos personalidades etc</v>
      </c>
      <c r="J36" s="3"/>
      <c r="K36" s="3"/>
      <c r="L36" s="3"/>
      <c r="M36" s="3"/>
      <c r="N36" s="3"/>
      <c r="O36" s="3"/>
      <c r="P36" s="3"/>
      <c r="Q36" s="3"/>
      <c r="R36" s="3"/>
      <c r="S36" s="3"/>
      <c r="T36" s="3"/>
      <c r="U36" s="3"/>
      <c r="V36" s="3"/>
      <c r="W36" s="3"/>
      <c r="X36" s="3"/>
      <c r="Y36" s="3"/>
      <c r="Z36" s="3"/>
      <c r="AA36" s="3"/>
    </row>
    <row r="37" ht="105.75" customHeight="1">
      <c r="A37" s="4" t="s">
        <v>9</v>
      </c>
      <c r="B37" s="5" t="s">
        <v>45</v>
      </c>
      <c r="C37" s="4">
        <v>1.0</v>
      </c>
      <c r="D37" s="6">
        <v>45116.16832175926</v>
      </c>
      <c r="E37" s="7" t="str">
        <f t="shared" si="1"/>
        <v>2023-07-09</v>
      </c>
      <c r="F37" s="8" t="str">
        <f t="shared" si="2"/>
        <v> 04:02:23</v>
      </c>
      <c r="G37" s="9" t="str">
        <f t="shared" si="3"/>
        <v>Manhã</v>
      </c>
      <c r="H37" s="10" t="str">
        <f>IFERROR(__xludf.DUMMYFUNCTION("GOOGLETRANSLATE(B37, ""en"", ""pt-br"")"),"Há uma falha irritante que torna esse aplicativo quase inútil, sempre que eu troco a guia, como a atividade para a alimentação ou o perfil, a interface do usuário se sobrepõe um sobre o outro, o que torna a leitura de tudo é impossível. Eu tive que minimi"&amp;"zar e reabrir o aplicativo para fazer a falha desaparecida, mas apenas temporariamente porque o mesmo problema reaparece se eu tentar alterar a guia novamente. Por favor, conserte isso!")</f>
        <v>Há uma falha irritante que torna esse aplicativo quase inútil, sempre que eu troco a guia, como a atividade para a alimentação ou o perfil, a interface do usuário se sobrepõe um sobre o outro, o que torna a leitura de tudo é impossível. Eu tive que minimizar e reabrir o aplicativo para fazer a falha desaparecida, mas apenas temporariamente porque o mesmo problema reaparece se eu tentar alterar a guia novamente. Por favor, conserte isso!</v>
      </c>
      <c r="I37" s="10" t="str">
        <f>IFERROR(__xludf.DUMMYFUNCTION("TRIM(REGEXREPLACE(H37,""[^a-zA-ZÀ-ú ]+"",""""))"),"Há uma falha irritante que torna esse aplicativo quase inútil sempre que eu troco a guia como a atividade para a alimentação ou o perfil a interface do usuário se sobrepõe um sobre o outro o que torna a leitura de tudo é impossível Eu tive que minimizar e"&amp;" reabrir o aplicativo para fazer a falha desaparecida mas apenas temporariamente porque o mesmo problema reaparece se eu tentar alterar a guia novamente Por favor conserte isso")</f>
        <v>Há uma falha irritante que torna esse aplicativo quase inútil sempre que eu troco a guia como a atividade para a alimentação ou o perfil a interface do usuário se sobrepõe um sobre o outro o que torna a leitura de tudo é impossível Eu tive que minimizar e reabrir o aplicativo para fazer a falha desaparecida mas apenas temporariamente porque o mesmo problema reaparece se eu tentar alterar a guia novamente Por favor conserte isso</v>
      </c>
      <c r="J37" s="3"/>
      <c r="K37" s="3"/>
      <c r="L37" s="3"/>
      <c r="M37" s="3"/>
      <c r="N37" s="3"/>
      <c r="O37" s="3"/>
      <c r="P37" s="3"/>
      <c r="Q37" s="3"/>
      <c r="R37" s="3"/>
      <c r="S37" s="3"/>
      <c r="T37" s="3"/>
      <c r="U37" s="3"/>
      <c r="V37" s="3"/>
      <c r="W37" s="3"/>
      <c r="X37" s="3"/>
      <c r="Y37" s="3"/>
      <c r="Z37" s="3"/>
      <c r="AA37" s="3"/>
    </row>
    <row r="38" ht="105.75" customHeight="1">
      <c r="A38" s="4" t="s">
        <v>9</v>
      </c>
      <c r="B38" s="5" t="s">
        <v>46</v>
      </c>
      <c r="C38" s="4">
        <v>1.0</v>
      </c>
      <c r="D38" s="6">
        <v>45127.84868055556</v>
      </c>
      <c r="E38" s="7" t="str">
        <f t="shared" si="1"/>
        <v>2023-07-20</v>
      </c>
      <c r="F38" s="8" t="str">
        <f t="shared" si="2"/>
        <v> 20:22:06</v>
      </c>
      <c r="G38" s="9" t="str">
        <f t="shared" si="3"/>
        <v>Noite</v>
      </c>
      <c r="H38" s="10" t="str">
        <f>IFERROR(__xludf.DUMMYFUNCTION("GOOGLETRANSLATE(B38, ""en"", ""pt-br"")"),"O aplicativo não funciona e diz constantemente: 'Desculpe, algo deu errado. Tente novamente'. Isso é frustrante. Tentei limpar o cache e os dados, reinstalar, diferentes conexões da Internet e Wi -Fi, com e sem VPN, mas nada funciona. Eu realmente quero u"&amp;"sá -lo, mas não posso. :( conserte, por favor.")</f>
        <v>O aplicativo não funciona e diz constantemente: 'Desculpe, algo deu errado. Tente novamente'. Isso é frustrante. Tentei limpar o cache e os dados, reinstalar, diferentes conexões da Internet e Wi -Fi, com e sem VPN, mas nada funciona. Eu realmente quero usá -lo, mas não posso. :( conserte, por favor.</v>
      </c>
      <c r="I38" s="10" t="str">
        <f>IFERROR(__xludf.DUMMYFUNCTION("TRIM(REGEXREPLACE(H38,""[^a-zA-ZÀ-ú ]+"",""""))"),"O aplicativo não funciona e diz constantemente Desculpe algo deu errado Tente novamente Isso é frustrante Tentei limpar o cache e os dados reinstalar diferentes conexões da Internet e Wi Fi com e sem VPN mas nada funciona Eu realmente quero usá lo mas não"&amp;" posso conserte por favor")</f>
        <v>O aplicativo não funciona e diz constantemente Desculpe algo deu errado Tente novamente Isso é frustrante Tentei limpar o cache e os dados reinstalar diferentes conexões da Internet e Wi Fi com e sem VPN mas nada funciona Eu realmente quero usá lo mas não posso conserte por favor</v>
      </c>
      <c r="J38" s="3"/>
      <c r="K38" s="3"/>
      <c r="L38" s="3"/>
      <c r="M38" s="3"/>
      <c r="N38" s="3"/>
      <c r="O38" s="3"/>
      <c r="P38" s="3"/>
      <c r="Q38" s="3"/>
      <c r="R38" s="3"/>
      <c r="S38" s="3"/>
      <c r="T38" s="3"/>
      <c r="U38" s="3"/>
      <c r="V38" s="3"/>
      <c r="W38" s="3"/>
      <c r="X38" s="3"/>
      <c r="Y38" s="3"/>
      <c r="Z38" s="3"/>
      <c r="AA38" s="3"/>
    </row>
    <row r="39" ht="105.75" customHeight="1">
      <c r="A39" s="4" t="s">
        <v>9</v>
      </c>
      <c r="B39" s="5" t="s">
        <v>47</v>
      </c>
      <c r="C39" s="4">
        <v>3.0</v>
      </c>
      <c r="D39" s="6">
        <v>45113.22025462963</v>
      </c>
      <c r="E39" s="7" t="str">
        <f t="shared" si="1"/>
        <v>2023-07-06</v>
      </c>
      <c r="F39" s="8" t="str">
        <f t="shared" si="2"/>
        <v> 05:17:10</v>
      </c>
      <c r="G39" s="9" t="str">
        <f t="shared" si="3"/>
        <v>Manhã</v>
      </c>
      <c r="H39" s="10" t="str">
        <f>IFERROR(__xludf.DUMMYFUNCTION("GOOGLETRANSLATE(B39, ""en"", ""pt-br"")"),"Aplicativo interessante, mas de alguma forma a experiência do usuário é meio menos fácil de usar quando já tem muitos usuários. Os threads são misturados, e seria ótimo se houver uma opção de configuração apenas para um proprietário de conta que possa ver"&amp;" a guia ""Respostas"" em vez de mostrá -la publicamente (sem transformá -la em uma conta privada). E, de alguma forma, quando tento modificar as configurações e navegar novamente, ele sempre redireciona para o aplicativo Instagram, sem voltar para o aplic"&amp;"ativo Threads.")</f>
        <v>Aplicativo interessante, mas de alguma forma a experiência do usuário é meio menos fácil de usar quando já tem muitos usuários. Os threads são misturados, e seria ótimo se houver uma opção de configuração apenas para um proprietário de conta que possa ver a guia "Respostas" em vez de mostrá -la publicamente (sem transformá -la em uma conta privada). E, de alguma forma, quando tento modificar as configurações e navegar novamente, ele sempre redireciona para o aplicativo Instagram, sem voltar para o aplicativo Threads.</v>
      </c>
      <c r="I39" s="10" t="str">
        <f>IFERROR(__xludf.DUMMYFUNCTION("TRIM(REGEXREPLACE(H39,""[^a-zA-ZÀ-ú ]+"",""""))"),"Aplicativo interessante mas de alguma forma a experiência do usuário é meio menos fácil de usar quando já tem muitos usuários Os threads são misturados e seria ótimo se houver uma opção de configuração apenas para um proprietário de conta que possa ver a "&amp;"guia Respostas em vez de mostrá la publicamente sem transformá la em uma conta privada E de alguma forma quando tento modificar as configurações e navegar novamente ele sempre redireciona para o aplicativo Instagram sem voltar para o aplicativo Threads")</f>
        <v>Aplicativo interessante mas de alguma forma a experiência do usuário é meio menos fácil de usar quando já tem muitos usuários Os threads são misturados e seria ótimo se houver uma opção de configuração apenas para um proprietário de conta que possa ver a guia Respostas em vez de mostrá la publicamente sem transformá la em uma conta privada E de alguma forma quando tento modificar as configurações e navegar novamente ele sempre redireciona para o aplicativo Instagram sem voltar para o aplicativo Threads</v>
      </c>
      <c r="J39" s="3"/>
      <c r="K39" s="3"/>
      <c r="L39" s="3"/>
      <c r="M39" s="3"/>
      <c r="N39" s="3"/>
      <c r="O39" s="3"/>
      <c r="P39" s="3"/>
      <c r="Q39" s="3"/>
      <c r="R39" s="3"/>
      <c r="S39" s="3"/>
      <c r="T39" s="3"/>
      <c r="U39" s="3"/>
      <c r="V39" s="3"/>
      <c r="W39" s="3"/>
      <c r="X39" s="3"/>
      <c r="Y39" s="3"/>
      <c r="Z39" s="3"/>
      <c r="AA39" s="3"/>
    </row>
    <row r="40" ht="105.75" customHeight="1">
      <c r="A40" s="4" t="s">
        <v>9</v>
      </c>
      <c r="B40" s="5" t="s">
        <v>48</v>
      </c>
      <c r="C40" s="4">
        <v>2.0</v>
      </c>
      <c r="D40" s="6">
        <v>45129.847592592596</v>
      </c>
      <c r="E40" s="7" t="str">
        <f t="shared" si="1"/>
        <v>2023-07-22</v>
      </c>
      <c r="F40" s="8" t="str">
        <f t="shared" si="2"/>
        <v> 20:20:32</v>
      </c>
      <c r="G40" s="9" t="str">
        <f t="shared" si="3"/>
        <v>Noite</v>
      </c>
      <c r="H40" s="10" t="str">
        <f>IFERROR(__xludf.DUMMYFUNCTION("GOOGLETRANSLATE(B40, ""en"", ""pt-br"")"),"A falta de opções quando se trata de ver conteúdo indesejado que você não está seguindo é irritante. Se eu gosto de certas coisas, o aplicativo me bombardeará com um monte de conteúdo semelhante que eu realmente não estou interessado. Tento com este aplic"&amp;"ativo, mas ficou cada vez mais frustrado ao continuar usando. Eu realmente gostaria que houvesse uma opção para bloquear certas coisas na minha linha do tempo, não apenas nas respostas.")</f>
        <v>A falta de opções quando se trata de ver conteúdo indesejado que você não está seguindo é irritante. Se eu gosto de certas coisas, o aplicativo me bombardeará com um monte de conteúdo semelhante que eu realmente não estou interessado. Tento com este aplicativo, mas ficou cada vez mais frustrado ao continuar usando. Eu realmente gostaria que houvesse uma opção para bloquear certas coisas na minha linha do tempo, não apenas nas respostas.</v>
      </c>
      <c r="I40" s="10" t="str">
        <f>IFERROR(__xludf.DUMMYFUNCTION("TRIM(REGEXREPLACE(H40,""[^a-zA-ZÀ-ú ]+"",""""))"),"A falta de opções quando se trata de ver conteúdo indesejado que você não está seguindo é irritante Se eu gosto de certas coisas o aplicativo me bombardeará com um monte de conteúdo semelhante que eu realmente não estou interessado Tento com este aplicati"&amp;"vo mas ficou cada vez mais frustrado ao continuar usando Eu realmente gostaria que houvesse uma opção para bloquear certas coisas na minha linha do tempo não apenas nas respostas")</f>
        <v>A falta de opções quando se trata de ver conteúdo indesejado que você não está seguindo é irritante Se eu gosto de certas coisas o aplicativo me bombardeará com um monte de conteúdo semelhante que eu realmente não estou interessado Tento com este aplicativo mas ficou cada vez mais frustrado ao continuar usando Eu realmente gostaria que houvesse uma opção para bloquear certas coisas na minha linha do tempo não apenas nas respostas</v>
      </c>
      <c r="J40" s="3"/>
      <c r="K40" s="3"/>
      <c r="L40" s="3"/>
      <c r="M40" s="3"/>
      <c r="N40" s="3"/>
      <c r="O40" s="3"/>
      <c r="P40" s="3"/>
      <c r="Q40" s="3"/>
      <c r="R40" s="3"/>
      <c r="S40" s="3"/>
      <c r="T40" s="3"/>
      <c r="U40" s="3"/>
      <c r="V40" s="3"/>
      <c r="W40" s="3"/>
      <c r="X40" s="3"/>
      <c r="Y40" s="3"/>
      <c r="Z40" s="3"/>
      <c r="AA40" s="3"/>
    </row>
    <row r="41" ht="105.75" customHeight="1">
      <c r="A41" s="4" t="s">
        <v>9</v>
      </c>
      <c r="B41" s="5" t="s">
        <v>49</v>
      </c>
      <c r="C41" s="4">
        <v>2.0</v>
      </c>
      <c r="D41" s="6">
        <v>45116.016851851855</v>
      </c>
      <c r="E41" s="7" t="str">
        <f t="shared" si="1"/>
        <v>2023-07-09</v>
      </c>
      <c r="F41" s="8" t="str">
        <f t="shared" si="2"/>
        <v> 00:24:16</v>
      </c>
      <c r="G41" s="9" t="str">
        <f t="shared" si="3"/>
        <v>Manhã</v>
      </c>
      <c r="H41" s="10" t="str">
        <f>IFERROR(__xludf.DUMMYFUNCTION("GOOGLETRANSLATE(B41, ""en"", ""pt-br"")"),"Faltando recursos mais básicos, porém mais desejados, como salvar a mídia! Destina -se a substituir o Twitter, mas não possui uma função de salvamento simples para imagens e vídeos. As pessoas gostam de compartilhar e as pessoas gostam de salvar a mídia. "&amp;"Cada pessoa no planeta conhece e entende isso. Ele não pode e nunca substituirá o Twitter, desde que esteja faltando um recurso que todos desejam, ponto final.")</f>
        <v>Faltando recursos mais básicos, porém mais desejados, como salvar a mídia! Destina -se a substituir o Twitter, mas não possui uma função de salvamento simples para imagens e vídeos. As pessoas gostam de compartilhar e as pessoas gostam de salvar a mídia. Cada pessoa no planeta conhece e entende isso. Ele não pode e nunca substituirá o Twitter, desde que esteja faltando um recurso que todos desejam, ponto final.</v>
      </c>
      <c r="I41" s="10" t="str">
        <f>IFERROR(__xludf.DUMMYFUNCTION("TRIM(REGEXREPLACE(H41,""[^a-zA-ZÀ-ú ]+"",""""))"),"Faltando recursos mais básicos porém mais desejados como salvar a mídia Destina se a substituir o Twitter mas não possui uma função de salvamento simples para imagens e vídeos As pessoas gostam de compartilhar e as pessoas gostam de salvar a mídia Cada pe"&amp;"ssoa no planeta conhece e entende isso Ele não pode e nunca substituirá o Twitter desde que esteja faltando um recurso que todos desejam ponto final")</f>
        <v>Faltando recursos mais básicos porém mais desejados como salvar a mídia Destina se a substituir o Twitter mas não possui uma função de salvamento simples para imagens e vídeos As pessoas gostam de compartilhar e as pessoas gostam de salvar a mídia Cada pessoa no planeta conhece e entende isso Ele não pode e nunca substituirá o Twitter desde que esteja faltando um recurso que todos desejam ponto final</v>
      </c>
      <c r="J41" s="3"/>
      <c r="K41" s="3"/>
      <c r="L41" s="3"/>
      <c r="M41" s="3"/>
      <c r="N41" s="3"/>
      <c r="O41" s="3"/>
      <c r="P41" s="3"/>
      <c r="Q41" s="3"/>
      <c r="R41" s="3"/>
      <c r="S41" s="3"/>
      <c r="T41" s="3"/>
      <c r="U41" s="3"/>
      <c r="V41" s="3"/>
      <c r="W41" s="3"/>
      <c r="X41" s="3"/>
      <c r="Y41" s="3"/>
      <c r="Z41" s="3"/>
      <c r="AA41" s="3"/>
    </row>
    <row r="42" ht="105.75" customHeight="1">
      <c r="A42" s="4" t="s">
        <v>9</v>
      </c>
      <c r="B42" s="5" t="s">
        <v>50</v>
      </c>
      <c r="C42" s="4">
        <v>3.0</v>
      </c>
      <c r="D42" s="6">
        <v>45114.58422453704</v>
      </c>
      <c r="E42" s="7" t="str">
        <f t="shared" si="1"/>
        <v>2023-07-07</v>
      </c>
      <c r="F42" s="8" t="str">
        <f t="shared" si="2"/>
        <v> 14:01:17</v>
      </c>
      <c r="G42" s="9" t="str">
        <f t="shared" si="3"/>
        <v>Tarde</v>
      </c>
      <c r="H42" s="10" t="str">
        <f>IFERROR(__xludf.DUMMYFUNCTION("GOOGLETRANSLATE(B42, ""en"", ""pt-br"")"),"Então, no momento, tenho dois problemas com o aplicativo: o primeiro é o feed - é preciso haver uma opção para se alimentar de algo assim, algo mais próximo da experiência do Instagram. A segunda edição é o acidente - eu sei que esse aplicativo tem litera"&amp;"lmente dois dias, mas já caiu em mim algumas vezes e é péssimo. Fora isso, funciona bem, bom aplicativo.")</f>
        <v>Então, no momento, tenho dois problemas com o aplicativo: o primeiro é o feed - é preciso haver uma opção para se alimentar de algo assim, algo mais próximo da experiência do Instagram. A segunda edição é o acidente - eu sei que esse aplicativo tem literalmente dois dias, mas já caiu em mim algumas vezes e é péssimo. Fora isso, funciona bem, bom aplicativo.</v>
      </c>
      <c r="I42" s="10" t="str">
        <f>IFERROR(__xludf.DUMMYFUNCTION("TRIM(REGEXREPLACE(H42,""[^a-zA-ZÀ-ú ]+"",""""))"),"Então no momento tenho dois problemas com o aplicativo o primeiro é o feed é preciso haver uma opção para se alimentar de algo assim algo mais próximo da experiência do Instagram A segunda edição é o acidente eu sei que esse aplicativo tem literalmente do"&amp;"is dias mas já caiu em mim algumas vezes e é péssimo Fora isso funciona bem bom aplicativo")</f>
        <v>Então no momento tenho dois problemas com o aplicativo o primeiro é o feed é preciso haver uma opção para se alimentar de algo assim algo mais próximo da experiência do Instagram A segunda edição é o acidente eu sei que esse aplicativo tem literalmente dois dias mas já caiu em mim algumas vezes e é péssimo Fora isso funciona bem bom aplicativo</v>
      </c>
      <c r="J42" s="3"/>
      <c r="K42" s="3"/>
      <c r="L42" s="3"/>
      <c r="M42" s="3"/>
      <c r="N42" s="3"/>
      <c r="O42" s="3"/>
      <c r="P42" s="3"/>
      <c r="Q42" s="3"/>
      <c r="R42" s="3"/>
      <c r="S42" s="3"/>
      <c r="T42" s="3"/>
      <c r="U42" s="3"/>
      <c r="V42" s="3"/>
      <c r="W42" s="3"/>
      <c r="X42" s="3"/>
      <c r="Y42" s="3"/>
      <c r="Z42" s="3"/>
      <c r="AA42" s="3"/>
    </row>
    <row r="43" ht="105.75" customHeight="1">
      <c r="A43" s="4" t="s">
        <v>9</v>
      </c>
      <c r="B43" s="5" t="s">
        <v>51</v>
      </c>
      <c r="C43" s="4">
        <v>4.0</v>
      </c>
      <c r="D43" s="6">
        <v>45113.4431712963</v>
      </c>
      <c r="E43" s="7" t="str">
        <f t="shared" si="1"/>
        <v>2023-07-06</v>
      </c>
      <c r="F43" s="8" t="str">
        <f t="shared" si="2"/>
        <v> 10:38:10</v>
      </c>
      <c r="G43" s="9" t="str">
        <f t="shared" si="3"/>
        <v>Manhã</v>
      </c>
      <c r="H43" s="10" t="str">
        <f>IFERROR(__xludf.DUMMYFUNCTION("GOOGLETRANSLATE(B43, ""en"", ""pt-br"")"),"Sim, o aplicativo é excelente. Minha experiência com este aplicativo foi fantástica. Eu sei que é um novo desafio para o Twitter. Aqui estão minhas sugestões para a próxima atualização: 1. Eu recomendo adicionar um recurso de agendamento. Isso seria incri"&amp;"velmente útil para criadores como eu planejar e agendar seus tópicos com antecedência. 2. Outra sugestão é incorporar um recurso de mensagens diretas (DM). Isso permitiria que os usuários tivessem conversas privadas dentro do aplicativo.")</f>
        <v>Sim, o aplicativo é excelente. Minha experiência com este aplicativo foi fantástica. Eu sei que é um novo desafio para o Twitter. Aqui estão minhas sugestões para a próxima atualização: 1. Eu recomendo adicionar um recurso de agendamento. Isso seria incrivelmente útil para criadores como eu planejar e agendar seus tópicos com antecedência. 2. Outra sugestão é incorporar um recurso de mensagens diretas (DM). Isso permitiria que os usuários tivessem conversas privadas dentro do aplicativo.</v>
      </c>
      <c r="I43" s="10" t="str">
        <f>IFERROR(__xludf.DUMMYFUNCTION("TRIM(REGEXREPLACE(H43,""[^a-zA-ZÀ-ú ]+"",""""))"),"Sim o aplicativo é excelente Minha experiência com este aplicativo foi fantástica Eu sei que é um novo desafio para o Twitter Aqui estão minhas sugestões para a próxima atualização Eu recomendo adicionar um recurso de agendamento Isso seria incrivelmente "&amp;"útil para criadores como eu planejar e agendar seus tópicos com antecedência Outra sugestão é incorporar um recurso de mensagens diretas DM Isso permitiria que os usuários tivessem conversas privadas dentro do aplicativo")</f>
        <v>Sim o aplicativo é excelente Minha experiência com este aplicativo foi fantástica Eu sei que é um novo desafio para o Twitter Aqui estão minhas sugestões para a próxima atualização Eu recomendo adicionar um recurso de agendamento Isso seria incrivelmente útil para criadores como eu planejar e agendar seus tópicos com antecedência Outra sugestão é incorporar um recurso de mensagens diretas DM Isso permitiria que os usuários tivessem conversas privadas dentro do aplicativo</v>
      </c>
      <c r="J43" s="3"/>
      <c r="K43" s="3"/>
      <c r="L43" s="3"/>
      <c r="M43" s="3"/>
      <c r="N43" s="3"/>
      <c r="O43" s="3"/>
      <c r="P43" s="3"/>
      <c r="Q43" s="3"/>
      <c r="R43" s="3"/>
      <c r="S43" s="3"/>
      <c r="T43" s="3"/>
      <c r="U43" s="3"/>
      <c r="V43" s="3"/>
      <c r="W43" s="3"/>
      <c r="X43" s="3"/>
      <c r="Y43" s="3"/>
      <c r="Z43" s="3"/>
      <c r="AA43" s="3"/>
    </row>
    <row r="44" ht="105.75" customHeight="1">
      <c r="A44" s="4" t="s">
        <v>9</v>
      </c>
      <c r="B44" s="5" t="s">
        <v>52</v>
      </c>
      <c r="C44" s="4">
        <v>3.0</v>
      </c>
      <c r="D44" s="6">
        <v>45120.682708333334</v>
      </c>
      <c r="E44" s="7" t="str">
        <f t="shared" si="1"/>
        <v>2023-07-13</v>
      </c>
      <c r="F44" s="8" t="str">
        <f t="shared" si="2"/>
        <v> 16:23:06</v>
      </c>
      <c r="G44" s="9" t="str">
        <f t="shared" si="3"/>
        <v>Tarde</v>
      </c>
      <c r="H44" s="10" t="str">
        <f>IFERROR(__xludf.DUMMYFUNCTION("GOOGLETRANSLATE(B44, ""en"", ""pt-br"")"),"Ótimo começo para um espaço positivo. Como muitas críticas até agora, há coisas para adicionar ao aplicativo para melhorar. A página de pesquisa é um pouco branda, talvez mais como Insta? Uma coisa visual. A tendência seria boa lá também. E em vez das not"&amp;"ícias monótonas habituais, por que não as melhores notícias mais positivas que circulavam. O NO ADS é um vencedor para mim, embora isso provavelmente mude. Devo dizer que é uma lufada de ar fresco até agora. Mas precisa permanecer um lugar positivo.")</f>
        <v>Ótimo começo para um espaço positivo. Como muitas críticas até agora, há coisas para adicionar ao aplicativo para melhorar. A página de pesquisa é um pouco branda, talvez mais como Insta? Uma coisa visual. A tendência seria boa lá também. E em vez das notícias monótonas habituais, por que não as melhores notícias mais positivas que circulavam. O NO ADS é um vencedor para mim, embora isso provavelmente mude. Devo dizer que é uma lufada de ar fresco até agora. Mas precisa permanecer um lugar positivo.</v>
      </c>
      <c r="I44" s="10" t="str">
        <f>IFERROR(__xludf.DUMMYFUNCTION("TRIM(REGEXREPLACE(H44,""[^a-zA-ZÀ-ú ]+"",""""))"),"Ótimo começo para um espaço positivo Como muitas críticas até agora há coisas para adicionar ao aplicativo para melhorar A página de pesquisa é um pouco branda talvez mais como Insta Uma coisa visual A tendência seria boa lá também E em vez das notícias m"&amp;"onótonas habituais por que não as melhores notícias mais positivas que circulavam O NO ADS é um vencedor para mim embora isso provavelmente mude Devo dizer que é uma lufada de ar fresco até agora Mas precisa permanecer um lugar positivo")</f>
        <v>Ótimo começo para um espaço positivo Como muitas críticas até agora há coisas para adicionar ao aplicativo para melhorar A página de pesquisa é um pouco branda talvez mais como Insta Uma coisa visual A tendência seria boa lá também E em vez das notícias monótonas habituais por que não as melhores notícias mais positivas que circulavam O NO ADS é um vencedor para mim embora isso provavelmente mude Devo dizer que é uma lufada de ar fresco até agora Mas precisa permanecer um lugar positivo</v>
      </c>
      <c r="J44" s="3"/>
      <c r="K44" s="3"/>
      <c r="L44" s="3"/>
      <c r="M44" s="3"/>
      <c r="N44" s="3"/>
      <c r="O44" s="3"/>
      <c r="P44" s="3"/>
      <c r="Q44" s="3"/>
      <c r="R44" s="3"/>
      <c r="S44" s="3"/>
      <c r="T44" s="3"/>
      <c r="U44" s="3"/>
      <c r="V44" s="3"/>
      <c r="W44" s="3"/>
      <c r="X44" s="3"/>
      <c r="Y44" s="3"/>
      <c r="Z44" s="3"/>
      <c r="AA44" s="3"/>
    </row>
    <row r="45" ht="105.75" customHeight="1">
      <c r="A45" s="4" t="s">
        <v>9</v>
      </c>
      <c r="B45" s="5" t="s">
        <v>53</v>
      </c>
      <c r="C45" s="4">
        <v>3.0</v>
      </c>
      <c r="D45" s="6">
        <v>45113.45820601852</v>
      </c>
      <c r="E45" s="7" t="str">
        <f t="shared" si="1"/>
        <v>2023-07-06</v>
      </c>
      <c r="F45" s="8" t="str">
        <f t="shared" si="2"/>
        <v> 10:59:49</v>
      </c>
      <c r="G45" s="9" t="str">
        <f t="shared" si="3"/>
        <v>Manhã</v>
      </c>
      <c r="H45" s="10" t="str">
        <f>IFERROR(__xludf.DUMMYFUNCTION("GOOGLETRANSLATE(B45, ""en"", ""pt-br"")"),"1, precisamos de uma lista de tendências para todas as regiões, assim como o Twitter. Para que as pessoas possam saber o que está acontecendo ao redor do mundo. 2-que postagem de fotos ou vídeos, não nos dá a opção de escolher entre diferentes pastas como"&amp;" o Twitter. 3-quando digitando uma resposta longa, a visualização não se ajusta automaticamente para mostrar o que estamos digitando. Em vez disso, temos que rolar para cima para ver o restante do que estamos digitando.")</f>
        <v>1, precisamos de uma lista de tendências para todas as regiões, assim como o Twitter. Para que as pessoas possam saber o que está acontecendo ao redor do mundo. 2-que postagem de fotos ou vídeos, não nos dá a opção de escolher entre diferentes pastas como o Twitter. 3-quando digitando uma resposta longa, a visualização não se ajusta automaticamente para mostrar o que estamos digitando. Em vez disso, temos que rolar para cima para ver o restante do que estamos digitando.</v>
      </c>
      <c r="I45" s="10" t="str">
        <f>IFERROR(__xludf.DUMMYFUNCTION("TRIM(REGEXREPLACE(H45,""[^a-zA-ZÀ-ú ]+"",""""))"),"precisamos de uma lista de tendências para todas as regiões assim como o Twitter Para que as pessoas possam saber o que está acontecendo ao redor do mundo que postagem de fotos ou vídeos não nos dá a opção de escolher entre diferentes pastas como o Twitte"&amp;"r quando digitando uma resposta longa a visualização não se ajusta automaticamente para mostrar o que estamos digitando Em vez disso temos que rolar para cima para ver o restante do que estamos digitando")</f>
        <v>precisamos de uma lista de tendências para todas as regiões assim como o Twitter Para que as pessoas possam saber o que está acontecendo ao redor do mundo que postagem de fotos ou vídeos não nos dá a opção de escolher entre diferentes pastas como o Twitter quando digitando uma resposta longa a visualização não se ajusta automaticamente para mostrar o que estamos digitando Em vez disso temos que rolar para cima para ver o restante do que estamos digitando</v>
      </c>
      <c r="J45" s="3"/>
      <c r="K45" s="3"/>
      <c r="L45" s="3"/>
      <c r="M45" s="3"/>
      <c r="N45" s="3"/>
      <c r="O45" s="3"/>
      <c r="P45" s="3"/>
      <c r="Q45" s="3"/>
      <c r="R45" s="3"/>
      <c r="S45" s="3"/>
      <c r="T45" s="3"/>
      <c r="U45" s="3"/>
      <c r="V45" s="3"/>
      <c r="W45" s="3"/>
      <c r="X45" s="3"/>
      <c r="Y45" s="3"/>
      <c r="Z45" s="3"/>
      <c r="AA45" s="3"/>
    </row>
    <row r="46" ht="105.75" customHeight="1">
      <c r="A46" s="4" t="s">
        <v>9</v>
      </c>
      <c r="B46" s="5" t="s">
        <v>54</v>
      </c>
      <c r="C46" s="4">
        <v>2.0</v>
      </c>
      <c r="D46" s="6">
        <v>45115.62541666667</v>
      </c>
      <c r="E46" s="7" t="str">
        <f t="shared" si="1"/>
        <v>2023-07-08</v>
      </c>
      <c r="F46" s="8" t="str">
        <f t="shared" si="2"/>
        <v> 15:00:36</v>
      </c>
      <c r="G46" s="9" t="str">
        <f t="shared" si="3"/>
        <v>Tarde</v>
      </c>
      <c r="H46" s="10" t="str">
        <f>IFERROR(__xludf.DUMMYFUNCTION("GOOGLETRANSLATE(B46, ""en"", ""pt-br"")"),"Realmente precisa de muitas melhorias. É um aplicativo promissor. Espero que você possa corrigir os bugs. Adicione opções para filtrar o que queremos ver em nossa página inicial. Adicione DM. Opção para adicionar mais de uma conta como no IG. É frustrante"&amp;" ir e voltar. Bem ... espero que este aplicativo melhore.")</f>
        <v>Realmente precisa de muitas melhorias. É um aplicativo promissor. Espero que você possa corrigir os bugs. Adicione opções para filtrar o que queremos ver em nossa página inicial. Adicione DM. Opção para adicionar mais de uma conta como no IG. É frustrante ir e voltar. Bem ... espero que este aplicativo melhore.</v>
      </c>
      <c r="I46" s="10" t="str">
        <f>IFERROR(__xludf.DUMMYFUNCTION("TRIM(REGEXREPLACE(H46,""[^a-zA-ZÀ-ú ]+"",""""))"),"Realmente precisa de muitas melhorias É um aplicativo promissor Espero que você possa corrigir os bugs Adicione opções para filtrar o que queremos ver em nossa página inicial Adicione DM Opção para adicionar mais de uma conta como no IG É frustrante ir e "&amp;"voltar Bem espero que este aplicativo melhore")</f>
        <v>Realmente precisa de muitas melhorias É um aplicativo promissor Espero que você possa corrigir os bugs Adicione opções para filtrar o que queremos ver em nossa página inicial Adicione DM Opção para adicionar mais de uma conta como no IG É frustrante ir e voltar Bem espero que este aplicativo melhore</v>
      </c>
      <c r="J46" s="3"/>
      <c r="K46" s="3"/>
      <c r="L46" s="3"/>
      <c r="M46" s="3"/>
      <c r="N46" s="3"/>
      <c r="O46" s="3"/>
      <c r="P46" s="3"/>
      <c r="Q46" s="3"/>
      <c r="R46" s="3"/>
      <c r="S46" s="3"/>
      <c r="T46" s="3"/>
      <c r="U46" s="3"/>
      <c r="V46" s="3"/>
      <c r="W46" s="3"/>
      <c r="X46" s="3"/>
      <c r="Y46" s="3"/>
      <c r="Z46" s="3"/>
      <c r="AA46" s="3"/>
    </row>
    <row r="47" ht="105.75" customHeight="1">
      <c r="A47" s="4" t="s">
        <v>9</v>
      </c>
      <c r="B47" s="5" t="s">
        <v>55</v>
      </c>
      <c r="C47" s="4">
        <v>1.0</v>
      </c>
      <c r="D47" s="6">
        <v>45114.01457175926</v>
      </c>
      <c r="E47" s="7" t="str">
        <f t="shared" si="1"/>
        <v>2023-07-07</v>
      </c>
      <c r="F47" s="8" t="str">
        <f t="shared" si="2"/>
        <v> 00:20:59</v>
      </c>
      <c r="G47" s="9" t="str">
        <f t="shared" si="3"/>
        <v>Manhã</v>
      </c>
      <c r="H47" s="10" t="str">
        <f>IFERROR(__xludf.DUMMYFUNCTION("GOOGLETRANSLATE(B47, ""en"", ""pt-br"")"),"Muito confuso de usar, cheio de tópicos de pessoas irrelevantes, apesar da coleta de dados que a Meta tem em todos os seus aplicativos, que incluem saúde e condicionamento físico por algum motivo. Isso torna extremamente chato usar, pois o algoritmo não p"&amp;"arece ser capaz de mostrar nenhum dos meus interesses que ele coletou no Instagram - visto que os dois aplicativos compartilham a mesma conta. Seria melhor como parte do aplicativo do Instagram, como bobinas, como uma seção lá dentro.")</f>
        <v>Muito confuso de usar, cheio de tópicos de pessoas irrelevantes, apesar da coleta de dados que a Meta tem em todos os seus aplicativos, que incluem saúde e condicionamento físico por algum motivo. Isso torna extremamente chato usar, pois o algoritmo não parece ser capaz de mostrar nenhum dos meus interesses que ele coletou no Instagram - visto que os dois aplicativos compartilham a mesma conta. Seria melhor como parte do aplicativo do Instagram, como bobinas, como uma seção lá dentro.</v>
      </c>
      <c r="I47" s="10" t="str">
        <f>IFERROR(__xludf.DUMMYFUNCTION("TRIM(REGEXREPLACE(H47,""[^a-zA-ZÀ-ú ]+"",""""))"),"Muito confuso de usar cheio de tópicos de pessoas irrelevantes apesar da coleta de dados que a Meta tem em todos os seus aplicativos que incluem saúde e condicionamento físico por algum motivo Isso torna extremamente chato usar pois o algoritmo não parece"&amp;" ser capaz de mostrar nenhum dos meus interesses que ele coletou no Instagram visto que os dois aplicativos compartilham a mesma conta Seria melhor como parte do aplicativo do Instagram como bobinas como uma seção lá dentro")</f>
        <v>Muito confuso de usar cheio de tópicos de pessoas irrelevantes apesar da coleta de dados que a Meta tem em todos os seus aplicativos que incluem saúde e condicionamento físico por algum motivo Isso torna extremamente chato usar pois o algoritmo não parece ser capaz de mostrar nenhum dos meus interesses que ele coletou no Instagram visto que os dois aplicativos compartilham a mesma conta Seria melhor como parte do aplicativo do Instagram como bobinas como uma seção lá dentro</v>
      </c>
      <c r="J47" s="3"/>
      <c r="K47" s="3"/>
      <c r="L47" s="3"/>
      <c r="M47" s="3"/>
      <c r="N47" s="3"/>
      <c r="O47" s="3"/>
      <c r="P47" s="3"/>
      <c r="Q47" s="3"/>
      <c r="R47" s="3"/>
      <c r="S47" s="3"/>
      <c r="T47" s="3"/>
      <c r="U47" s="3"/>
      <c r="V47" s="3"/>
      <c r="W47" s="3"/>
      <c r="X47" s="3"/>
      <c r="Y47" s="3"/>
      <c r="Z47" s="3"/>
      <c r="AA47" s="3"/>
    </row>
    <row r="48" ht="105.75" customHeight="1">
      <c r="A48" s="4" t="s">
        <v>9</v>
      </c>
      <c r="B48" s="5" t="s">
        <v>56</v>
      </c>
      <c r="C48" s="4">
        <v>1.0</v>
      </c>
      <c r="D48" s="6">
        <v>45116.0546875</v>
      </c>
      <c r="E48" s="7" t="str">
        <f t="shared" si="1"/>
        <v>2023-07-09</v>
      </c>
      <c r="F48" s="8" t="str">
        <f t="shared" si="2"/>
        <v> 01:18:45</v>
      </c>
      <c r="G48" s="9" t="str">
        <f t="shared" si="3"/>
        <v>Manhã</v>
      </c>
      <c r="H48" s="10" t="str">
        <f>IFERROR(__xludf.DUMMYFUNCTION("GOOGLETRANSLATE(B48, ""en"", ""pt-br"")"),"Atualização: os threads não podem lidar com o modo escuro e é automático. Então, depois das 21h É impossível de usar, pelo menos no Android 9 ------- Mais da metade do tempo, threads mostra uma bagunça ilegal de letras em um telefone Android. Além disso, "&amp;"threads não tem como relatar isso, com certeza seria bom se eles tivessem algum tipo de recurso para enviar uma foto e mostrar a eles como é, ou simplesmente ter uma maneira de enviar uma mensagem ou relatar um problema de aplicativo")</f>
        <v>Atualização: os threads não podem lidar com o modo escuro e é automático. Então, depois das 21h É impossível de usar, pelo menos no Android 9 ------- Mais da metade do tempo, threads mostra uma bagunça ilegal de letras em um telefone Android. Além disso, threads não tem como relatar isso, com certeza seria bom se eles tivessem algum tipo de recurso para enviar uma foto e mostrar a eles como é, ou simplesmente ter uma maneira de enviar uma mensagem ou relatar um problema de aplicativo</v>
      </c>
      <c r="I48" s="10" t="str">
        <f>IFERROR(__xludf.DUMMYFUNCTION("TRIM(REGEXREPLACE(H48,""[^a-zA-ZÀ-ú ]+"",""""))"),"Atualização os threads não podem lidar com o modo escuro e é automático Então depois das h É impossível de usar pelo menos no Android Mais da metade do tempo threads mostra uma bagunça ilegal de letras em um telefone Android Além disso threads não tem com"&amp;"o relatar isso com certeza seria bom se eles tivessem algum tipo de recurso para enviar uma foto e mostrar a eles como é ou simplesmente ter uma maneira de enviar uma mensagem ou relatar um problema de aplicativo")</f>
        <v>Atualização os threads não podem lidar com o modo escuro e é automático Então depois das h É impossível de usar pelo menos no Android Mais da metade do tempo threads mostra uma bagunça ilegal de letras em um telefone Android Além disso threads não tem como relatar isso com certeza seria bom se eles tivessem algum tipo de recurso para enviar uma foto e mostrar a eles como é ou simplesmente ter uma maneira de enviar uma mensagem ou relatar um problema de aplicativo</v>
      </c>
      <c r="J48" s="3"/>
      <c r="K48" s="3"/>
      <c r="L48" s="3"/>
      <c r="M48" s="3"/>
      <c r="N48" s="3"/>
      <c r="O48" s="3"/>
      <c r="P48" s="3"/>
      <c r="Q48" s="3"/>
      <c r="R48" s="3"/>
      <c r="S48" s="3"/>
      <c r="T48" s="3"/>
      <c r="U48" s="3"/>
      <c r="V48" s="3"/>
      <c r="W48" s="3"/>
      <c r="X48" s="3"/>
      <c r="Y48" s="3"/>
      <c r="Z48" s="3"/>
      <c r="AA48" s="3"/>
    </row>
    <row r="49" ht="105.75" customHeight="1">
      <c r="A49" s="4" t="s">
        <v>9</v>
      </c>
      <c r="B49" s="5" t="s">
        <v>57</v>
      </c>
      <c r="C49" s="4">
        <v>3.0</v>
      </c>
      <c r="D49" s="6">
        <v>45114.6740162037</v>
      </c>
      <c r="E49" s="7" t="str">
        <f t="shared" si="1"/>
        <v>2023-07-07</v>
      </c>
      <c r="F49" s="8" t="str">
        <f t="shared" si="2"/>
        <v> 16:10:35</v>
      </c>
      <c r="G49" s="9" t="str">
        <f t="shared" si="3"/>
        <v>Tarde</v>
      </c>
      <c r="H49" s="10" t="str">
        <f>IFERROR(__xludf.DUMMYFUNCTION("GOOGLETRANSLATE(B49, ""en"", ""pt-br"")"),"Estou fora para um bom começo. Obviamente, nunca será um aplicativo de 5* após o lançamento, mas até agora minha única reclamação é que os recursos planejados para inclusão ainda não existem. Esperamos ansiosamente quando isso se torna um produto de softw"&amp;"are 'completo' mais arredondado. Além disso, a capacidade de salvar imagens seria boa.")</f>
        <v>Estou fora para um bom começo. Obviamente, nunca será um aplicativo de 5* após o lançamento, mas até agora minha única reclamação é que os recursos planejados para inclusão ainda não existem. Esperamos ansiosamente quando isso se torna um produto de software 'completo' mais arredondado. Além disso, a capacidade de salvar imagens seria boa.</v>
      </c>
      <c r="I49" s="10" t="str">
        <f>IFERROR(__xludf.DUMMYFUNCTION("TRIM(REGEXREPLACE(H49,""[^a-zA-ZÀ-ú ]+"",""""))"),"Estou fora para um bom começo Obviamente nunca será um aplicativo de após o lançamento mas até agora minha única reclamação é que os recursos planejados para inclusão ainda não existem Esperamos ansiosamente quando isso se torna um produto de software com"&amp;"pleto mais arredondado Além disso a capacidade de salvar imagens seria boa")</f>
        <v>Estou fora para um bom começo Obviamente nunca será um aplicativo de após o lançamento mas até agora minha única reclamação é que os recursos planejados para inclusão ainda não existem Esperamos ansiosamente quando isso se torna um produto de software completo mais arredondado Além disso a capacidade de salvar imagens seria boa</v>
      </c>
      <c r="J49" s="3"/>
      <c r="K49" s="3"/>
      <c r="L49" s="3"/>
      <c r="M49" s="3"/>
      <c r="N49" s="3"/>
      <c r="O49" s="3"/>
      <c r="P49" s="3"/>
      <c r="Q49" s="3"/>
      <c r="R49" s="3"/>
      <c r="S49" s="3"/>
      <c r="T49" s="3"/>
      <c r="U49" s="3"/>
      <c r="V49" s="3"/>
      <c r="W49" s="3"/>
      <c r="X49" s="3"/>
      <c r="Y49" s="3"/>
      <c r="Z49" s="3"/>
      <c r="AA49" s="3"/>
    </row>
    <row r="50" ht="105.75" customHeight="1">
      <c r="A50" s="4" t="s">
        <v>9</v>
      </c>
      <c r="B50" s="5" t="s">
        <v>58</v>
      </c>
      <c r="C50" s="4">
        <v>1.0</v>
      </c>
      <c r="D50" s="6">
        <v>45118.591886574075</v>
      </c>
      <c r="E50" s="7" t="str">
        <f t="shared" si="1"/>
        <v>2023-07-11</v>
      </c>
      <c r="F50" s="8" t="str">
        <f t="shared" si="2"/>
        <v> 14:12:19</v>
      </c>
      <c r="G50" s="9" t="str">
        <f t="shared" si="3"/>
        <v>Tarde</v>
      </c>
      <c r="H50" s="10" t="str">
        <f>IFERROR(__xludf.DUMMYFUNCTION("GOOGLETRANSLATE(B50, ""en"", ""pt-br"")"),"Há uma falha no aplicativo. As páginas estão sobrepostas. Tenta todos os aspectos possíveis para resolver o problema reinstalando, limpando o cache e os dados, mas ainda não pode usar o aplicativo corretamente. Muito decepcionante. Finalmente, desinstalou"&amp;" o aplicativo como por enquanto. Sempre que o aplicativo melhorar, o baixará novamente. Até então, usando aquele antigo Twitter.")</f>
        <v>Há uma falha no aplicativo. As páginas estão sobrepostas. Tenta todos os aspectos possíveis para resolver o problema reinstalando, limpando o cache e os dados, mas ainda não pode usar o aplicativo corretamente. Muito decepcionante. Finalmente, desinstalou o aplicativo como por enquanto. Sempre que o aplicativo melhorar, o baixará novamente. Até então, usando aquele antigo Twitter.</v>
      </c>
      <c r="I50" s="10" t="str">
        <f>IFERROR(__xludf.DUMMYFUNCTION("TRIM(REGEXREPLACE(H50,""[^a-zA-ZÀ-ú ]+"",""""))"),"Há uma falha no aplicativo As páginas estão sobrepostas Tenta todos os aspectos possíveis para resolver o problema reinstalando limpando o cache e os dados mas ainda não pode usar o aplicativo corretamente Muito decepcionante Finalmente desinstalou o apli"&amp;"cativo como por enquanto Sempre que o aplicativo melhorar o baixará novamente Até então usando aquele antigo Twitter")</f>
        <v>Há uma falha no aplicativo As páginas estão sobrepostas Tenta todos os aspectos possíveis para resolver o problema reinstalando limpando o cache e os dados mas ainda não pode usar o aplicativo corretamente Muito decepcionante Finalmente desinstalou o aplicativo como por enquanto Sempre que o aplicativo melhorar o baixará novamente Até então usando aquele antigo Twitter</v>
      </c>
      <c r="J50" s="3"/>
      <c r="K50" s="3"/>
      <c r="L50" s="3"/>
      <c r="M50" s="3"/>
      <c r="N50" s="3"/>
      <c r="O50" s="3"/>
      <c r="P50" s="3"/>
      <c r="Q50" s="3"/>
      <c r="R50" s="3"/>
      <c r="S50" s="3"/>
      <c r="T50" s="3"/>
      <c r="U50" s="3"/>
      <c r="V50" s="3"/>
      <c r="W50" s="3"/>
      <c r="X50" s="3"/>
      <c r="Y50" s="3"/>
      <c r="Z50" s="3"/>
      <c r="AA50" s="3"/>
    </row>
    <row r="51" ht="105.75" customHeight="1">
      <c r="A51" s="4" t="s">
        <v>9</v>
      </c>
      <c r="B51" s="5" t="s">
        <v>59</v>
      </c>
      <c r="C51" s="4">
        <v>3.0</v>
      </c>
      <c r="D51" s="6">
        <v>45114.83461805555</v>
      </c>
      <c r="E51" s="7" t="str">
        <f t="shared" si="1"/>
        <v>2023-07-07</v>
      </c>
      <c r="F51" s="8" t="str">
        <f t="shared" si="2"/>
        <v> 20:01:51</v>
      </c>
      <c r="G51" s="9" t="str">
        <f t="shared" si="3"/>
        <v>Noite</v>
      </c>
      <c r="H51" s="10" t="str">
        <f>IFERROR(__xludf.DUMMYFUNCTION("GOOGLETRANSLATE(B51, ""en"", ""pt-br"")"),"É um bom aplicativo e tem mais restrições do que o que o Twitter tem a oferecer, mas depois que eu transferi meus dados do Instagram, não consegui abrir meu Instagram. Quando eu abro, só posso ficar em bate -papos em que fui notificado e, se eu naveguei p"&amp;"ara longe do bate -papo, ele trava em mim. Eu o desinstalei por um tempo, mas ainda não funciona. Não sei se é uma coisa do tópico, uma coisa do Instagram ou ambos, mas começou quando eu baixei o thread.")</f>
        <v>É um bom aplicativo e tem mais restrições do que o que o Twitter tem a oferecer, mas depois que eu transferi meus dados do Instagram, não consegui abrir meu Instagram. Quando eu abro, só posso ficar em bate -papos em que fui notificado e, se eu naveguei para longe do bate -papo, ele trava em mim. Eu o desinstalei por um tempo, mas ainda não funciona. Não sei se é uma coisa do tópico, uma coisa do Instagram ou ambos, mas começou quando eu baixei o thread.</v>
      </c>
      <c r="I51" s="10" t="str">
        <f>IFERROR(__xludf.DUMMYFUNCTION("TRIM(REGEXREPLACE(H51,""[^a-zA-ZÀ-ú ]+"",""""))"),"É um bom aplicativo e tem mais restrições do que o que o Twitter tem a oferecer mas depois que eu transferi meus dados do Instagram não consegui abrir meu Instagram Quando eu abro só posso ficar em bate papos em que fui notificado e se eu naveguei para lo"&amp;"nge do bate papo ele trava em mim Eu o desinstalei por um tempo mas ainda não funciona Não sei se é uma coisa do tópico uma coisa do Instagram ou ambos mas começou quando eu baixei o thread")</f>
        <v>É um bom aplicativo e tem mais restrições do que o que o Twitter tem a oferecer mas depois que eu transferi meus dados do Instagram não consegui abrir meu Instagram Quando eu abro só posso ficar em bate papos em que fui notificado e se eu naveguei para longe do bate papo ele trava em mim Eu o desinstalei por um tempo mas ainda não funciona Não sei se é uma coisa do tópico uma coisa do Instagram ou ambos mas começou quando eu baixei o thread</v>
      </c>
      <c r="J51" s="3"/>
      <c r="K51" s="3"/>
      <c r="L51" s="3"/>
      <c r="M51" s="3"/>
      <c r="N51" s="3"/>
      <c r="O51" s="3"/>
      <c r="P51" s="3"/>
      <c r="Q51" s="3"/>
      <c r="R51" s="3"/>
      <c r="S51" s="3"/>
      <c r="T51" s="3"/>
      <c r="U51" s="3"/>
      <c r="V51" s="3"/>
      <c r="W51" s="3"/>
      <c r="X51" s="3"/>
      <c r="Y51" s="3"/>
      <c r="Z51" s="3"/>
      <c r="AA51" s="3"/>
    </row>
    <row r="52" ht="105.75" customHeight="1">
      <c r="A52" s="4" t="s">
        <v>9</v>
      </c>
      <c r="B52" s="5" t="s">
        <v>60</v>
      </c>
      <c r="C52" s="4">
        <v>3.0</v>
      </c>
      <c r="D52" s="6">
        <v>45115.77858796297</v>
      </c>
      <c r="E52" s="7" t="str">
        <f t="shared" si="1"/>
        <v>2023-07-08</v>
      </c>
      <c r="F52" s="8" t="str">
        <f t="shared" si="2"/>
        <v> 18:41:10</v>
      </c>
      <c r="G52" s="9" t="str">
        <f t="shared" si="3"/>
        <v>Noite</v>
      </c>
      <c r="H52" s="10" t="str">
        <f>IFERROR(__xludf.DUMMYFUNCTION("GOOGLETRANSLATE(B52, ""en"", ""pt-br"")"),"A partir de agora, experimentei alguns bugs, dependendo do dispositivo em que uso threads. No meu tablet, toda vez que tento postar minha arte, todo o aplicativo trava. No meu telefone, toda vez que tento postar mais de uma foto, a postagem lê algo como "&amp;"""Post não poderia ser carregado"". Embora eu tenha esperança de tópicos, é muito simplista e fácil de usar.")</f>
        <v>A partir de agora, experimentei alguns bugs, dependendo do dispositivo em que uso threads. No meu tablet, toda vez que tento postar minha arte, todo o aplicativo trava. No meu telefone, toda vez que tento postar mais de uma foto, a postagem lê algo como "Post não poderia ser carregado". Embora eu tenha esperança de tópicos, é muito simplista e fácil de usar.</v>
      </c>
      <c r="I52" s="10" t="str">
        <f>IFERROR(__xludf.DUMMYFUNCTION("TRIM(REGEXREPLACE(H52,""[^a-zA-ZÀ-ú ]+"",""""))"),"A partir de agora experimentei alguns bugs dependendo do dispositivo em que uso threads No meu tablet toda vez que tento postar minha arte todo o aplicativo trava No meu telefone toda vez que tento postar mais de uma foto a postagem lê algo como Post não "&amp;"poderia ser carregado Embora eu tenha esperança de tópicos é muito simplista e fácil de usar")</f>
        <v>A partir de agora experimentei alguns bugs dependendo do dispositivo em que uso threads No meu tablet toda vez que tento postar minha arte todo o aplicativo trava No meu telefone toda vez que tento postar mais de uma foto a postagem lê algo como Post não poderia ser carregado Embora eu tenha esperança de tópicos é muito simplista e fácil de usar</v>
      </c>
      <c r="J52" s="3"/>
      <c r="K52" s="3"/>
      <c r="L52" s="3"/>
      <c r="M52" s="3"/>
      <c r="N52" s="3"/>
      <c r="O52" s="3"/>
      <c r="P52" s="3"/>
      <c r="Q52" s="3"/>
      <c r="R52" s="3"/>
      <c r="S52" s="3"/>
      <c r="T52" s="3"/>
      <c r="U52" s="3"/>
      <c r="V52" s="3"/>
      <c r="W52" s="3"/>
      <c r="X52" s="3"/>
      <c r="Y52" s="3"/>
      <c r="Z52" s="3"/>
      <c r="AA52" s="3"/>
    </row>
    <row r="53" ht="105.75" customHeight="1">
      <c r="A53" s="4" t="s">
        <v>9</v>
      </c>
      <c r="B53" s="5" t="s">
        <v>61</v>
      </c>
      <c r="C53" s="4">
        <v>1.0</v>
      </c>
      <c r="D53" s="6">
        <v>45115.479525462964</v>
      </c>
      <c r="E53" s="7" t="str">
        <f t="shared" si="1"/>
        <v>2023-07-08</v>
      </c>
      <c r="F53" s="8" t="str">
        <f t="shared" si="2"/>
        <v> 11:30:31</v>
      </c>
      <c r="G53" s="9" t="str">
        <f t="shared" si="3"/>
        <v>Manhã</v>
      </c>
      <c r="H53" s="10" t="str">
        <f>IFERROR(__xludf.DUMMYFUNCTION("GOOGLETRANSLATE(B53, ""en"", ""pt-br"")"),"A coleta de dados neste aplicativo é sinistra. O contrato de usuário tem a mesma função do Facebook, onde eles literalmente possuem suas imagens e conteúdo e pode usá -la comercialmente. Agora não posso excluí -lo sem excluir meu Instagram! Se você é um a"&amp;"rtista, evite este aplicativo a todo custo. Todo mundo, vá para as configurações de Alloance de dados do telefone e desative todas as permissões de dados para o aplicativo. Não interrompe a mineração de dados, mas pode ajudar. Muito perigoso para seguranç"&amp;"a do usuário.")</f>
        <v>A coleta de dados neste aplicativo é sinistra. O contrato de usuário tem a mesma função do Facebook, onde eles literalmente possuem suas imagens e conteúdo e pode usá -la comercialmente. Agora não posso excluí -lo sem excluir meu Instagram! Se você é um artista, evite este aplicativo a todo custo. Todo mundo, vá para as configurações de Alloance de dados do telefone e desative todas as permissões de dados para o aplicativo. Não interrompe a mineração de dados, mas pode ajudar. Muito perigoso para segurança do usuário.</v>
      </c>
      <c r="I53" s="10" t="str">
        <f>IFERROR(__xludf.DUMMYFUNCTION("TRIM(REGEXREPLACE(H53,""[^a-zA-ZÀ-ú ]+"",""""))"),"A coleta de dados neste aplicativo é sinistra O contrato de usuário tem a mesma função do Facebook onde eles literalmente possuem suas imagens e conteúdo e pode usá la comercialmente Agora não posso excluí lo sem excluir meu Instagram Se você é um artista"&amp;" evite este aplicativo a todo custo Todo mundo vá para as configurações de Alloance de dados do telefone e desative todas as permissões de dados para o aplicativo Não interrompe a mineração de dados mas pode ajudar Muito perigoso para segurança do usuário")</f>
        <v>A coleta de dados neste aplicativo é sinistra O contrato de usuário tem a mesma função do Facebook onde eles literalmente possuem suas imagens e conteúdo e pode usá la comercialmente Agora não posso excluí lo sem excluir meu Instagram Se você é um artista evite este aplicativo a todo custo Todo mundo vá para as configurações de Alloance de dados do telefone e desative todas as permissões de dados para o aplicativo Não interrompe a mineração de dados mas pode ajudar Muito perigoso para segurança do usuário</v>
      </c>
      <c r="J53" s="3"/>
      <c r="K53" s="3"/>
      <c r="L53" s="3"/>
      <c r="M53" s="3"/>
      <c r="N53" s="3"/>
      <c r="O53" s="3"/>
      <c r="P53" s="3"/>
      <c r="Q53" s="3"/>
      <c r="R53" s="3"/>
      <c r="S53" s="3"/>
      <c r="T53" s="3"/>
      <c r="U53" s="3"/>
      <c r="V53" s="3"/>
      <c r="W53" s="3"/>
      <c r="X53" s="3"/>
      <c r="Y53" s="3"/>
      <c r="Z53" s="3"/>
      <c r="AA53" s="3"/>
    </row>
    <row r="54" ht="105.75" customHeight="1">
      <c r="A54" s="4" t="s">
        <v>9</v>
      </c>
      <c r="B54" s="5" t="s">
        <v>62</v>
      </c>
      <c r="C54" s="4">
        <v>5.0</v>
      </c>
      <c r="D54" s="6">
        <v>45113.55131944444</v>
      </c>
      <c r="E54" s="7" t="str">
        <f t="shared" si="1"/>
        <v>2023-07-06</v>
      </c>
      <c r="F54" s="8" t="str">
        <f t="shared" si="2"/>
        <v> 13:13:54</v>
      </c>
      <c r="G54" s="9" t="str">
        <f t="shared" si="3"/>
        <v>Tarde</v>
      </c>
      <c r="H54" s="10" t="str">
        <f>IFERROR(__xludf.DUMMYFUNCTION("GOOGLETRANSLATE(B54, ""en"", ""pt-br"")"),"O primeiro dia no aplicativo foi realmente bom- não notei nenhum bug ruim ou experimentei nenhum acidente. Adicione um feed somente seguinte e uma opção para visualizar em ordem cronológica. Isso tornaria o aplicativo muito melhor. Basta, por favor 🙏 🙏 "&amp;"Como isso está competindo com um determinado aplicativo de pássaros, uma página de tendência com eventos atuais/etc seria muito agradável e apreciada!")</f>
        <v>O primeiro dia no aplicativo foi realmente bom- não notei nenhum bug ruim ou experimentei nenhum acidente. Adicione um feed somente seguinte e uma opção para visualizar em ordem cronológica. Isso tornaria o aplicativo muito melhor. Basta, por favor 🙏 🙏 Como isso está competindo com um determinado aplicativo de pássaros, uma página de tendência com eventos atuais/etc seria muito agradável e apreciada!</v>
      </c>
      <c r="I54" s="10" t="str">
        <f>IFERROR(__xludf.DUMMYFUNCTION("TRIM(REGEXREPLACE(H54,""[^a-zA-ZÀ-ú ]+"",""""))"),"O primeiro dia no aplicativo foi realmente bom não notei nenhum bug ruim ou experimentei nenhum acidente Adicione um feed somente seguinte e uma opção para visualizar em ordem cronológica Isso tornaria o aplicativo muito melhor Basta por favor Como isso e"&amp;"stá competindo com um determinado aplicativo de pássaros uma página de tendência com eventos atuaisetc seria muito agradável e apreciada")</f>
        <v>O primeiro dia no aplicativo foi realmente bom não notei nenhum bug ruim ou experimentei nenhum acidente Adicione um feed somente seguinte e uma opção para visualizar em ordem cronológica Isso tornaria o aplicativo muito melhor Basta por favor Como isso está competindo com um determinado aplicativo de pássaros uma página de tendência com eventos atuaisetc seria muito agradável e apreciada</v>
      </c>
      <c r="J54" s="3"/>
      <c r="K54" s="3"/>
      <c r="L54" s="3"/>
      <c r="M54" s="3"/>
      <c r="N54" s="3"/>
      <c r="O54" s="3"/>
      <c r="P54" s="3"/>
      <c r="Q54" s="3"/>
      <c r="R54" s="3"/>
      <c r="S54" s="3"/>
      <c r="T54" s="3"/>
      <c r="U54" s="3"/>
      <c r="V54" s="3"/>
      <c r="W54" s="3"/>
      <c r="X54" s="3"/>
      <c r="Y54" s="3"/>
      <c r="Z54" s="3"/>
      <c r="AA54" s="3"/>
    </row>
    <row r="55" ht="105.75" customHeight="1">
      <c r="A55" s="4" t="s">
        <v>9</v>
      </c>
      <c r="B55" s="5" t="s">
        <v>63</v>
      </c>
      <c r="C55" s="4">
        <v>1.0</v>
      </c>
      <c r="D55" s="6">
        <v>45119.62091435185</v>
      </c>
      <c r="E55" s="7" t="str">
        <f t="shared" si="1"/>
        <v>2023-07-12</v>
      </c>
      <c r="F55" s="8" t="str">
        <f t="shared" si="2"/>
        <v> 14:54:07</v>
      </c>
      <c r="G55" s="9" t="str">
        <f t="shared" si="3"/>
        <v>Tarde</v>
      </c>
      <c r="H55" s="10" t="str">
        <f>IFERROR(__xludf.DUMMYFUNCTION("GOOGLETRANSLATE(B55, ""en"", ""pt-br"")"),"Fiquei empolgado com o aplicativo, mas uma vez que ele é carregado, eu nem pude usar esse aplicativo porque começou a agir estranho. Todas as páginas estão se sobrepõe. Não consigo nem interagir com nada porque, assim que eu fizer, a página começa a se co"&amp;"mportar como um bug. Tentei reinstalar, mas isso não corrigiu o problema.")</f>
        <v>Fiquei empolgado com o aplicativo, mas uma vez que ele é carregado, eu nem pude usar esse aplicativo porque começou a agir estranho. Todas as páginas estão se sobrepõe. Não consigo nem interagir com nada porque, assim que eu fizer, a página começa a se comportar como um bug. Tentei reinstalar, mas isso não corrigiu o problema.</v>
      </c>
      <c r="I55" s="10" t="str">
        <f>IFERROR(__xludf.DUMMYFUNCTION("TRIM(REGEXREPLACE(H55,""[^a-zA-ZÀ-ú ]+"",""""))"),"Fiquei empolgado com o aplicativo mas uma vez que ele é carregado eu nem pude usar esse aplicativo porque começou a agir estranho Todas as páginas estão se sobrepõe Não consigo nem interagir com nada porque assim que eu fizer a página começa a se comporta"&amp;"r como um bug Tentei reinstalar mas isso não corrigiu o problema")</f>
        <v>Fiquei empolgado com o aplicativo mas uma vez que ele é carregado eu nem pude usar esse aplicativo porque começou a agir estranho Todas as páginas estão se sobrepõe Não consigo nem interagir com nada porque assim que eu fizer a página começa a se comportar como um bug Tentei reinstalar mas isso não corrigiu o problema</v>
      </c>
      <c r="J55" s="3"/>
      <c r="K55" s="3"/>
      <c r="L55" s="3"/>
      <c r="M55" s="3"/>
      <c r="N55" s="3"/>
      <c r="O55" s="3"/>
      <c r="P55" s="3"/>
      <c r="Q55" s="3"/>
      <c r="R55" s="3"/>
      <c r="S55" s="3"/>
      <c r="T55" s="3"/>
      <c r="U55" s="3"/>
      <c r="V55" s="3"/>
      <c r="W55" s="3"/>
      <c r="X55" s="3"/>
      <c r="Y55" s="3"/>
      <c r="Z55" s="3"/>
      <c r="AA55" s="3"/>
    </row>
    <row r="56" ht="105.75" customHeight="1">
      <c r="A56" s="4" t="s">
        <v>9</v>
      </c>
      <c r="B56" s="5" t="s">
        <v>64</v>
      </c>
      <c r="C56" s="4">
        <v>2.0</v>
      </c>
      <c r="D56" s="6">
        <v>45119.703993055555</v>
      </c>
      <c r="E56" s="7" t="str">
        <f t="shared" si="1"/>
        <v>2023-07-12</v>
      </c>
      <c r="F56" s="8" t="str">
        <f t="shared" si="2"/>
        <v> 16:53:45</v>
      </c>
      <c r="G56" s="9" t="str">
        <f t="shared" si="3"/>
        <v>Tarde</v>
      </c>
      <c r="H56" s="10" t="str">
        <f>IFERROR(__xludf.DUMMYFUNCTION("GOOGLETRANSLATE(B56, ""en"", ""pt-br"")"),"Esta versão seria decente se estivéssemos falando sobre uma versão beta, mas é a versão final e carece de muitas melhorias na QV. Não há opção para ver apenas os tópicos das pessoas que você segue em ordem cronológica, não pode usar hashtags, o algoritmo "&amp;"não leva em consideração os perfis que você segue ou interage e recomenda qualquer coisa, não pode executar pesquisas de palavras -chave, alguns vídeos não T reproduz áudio e muito mais bugs e opções inexistentes que deveriam estar lá em primeiro lugar.")</f>
        <v>Esta versão seria decente se estivéssemos falando sobre uma versão beta, mas é a versão final e carece de muitas melhorias na QV. Não há opção para ver apenas os tópicos das pessoas que você segue em ordem cronológica, não pode usar hashtags, o algoritmo não leva em consideração os perfis que você segue ou interage e recomenda qualquer coisa, não pode executar pesquisas de palavras -chave, alguns vídeos não T reproduz áudio e muito mais bugs e opções inexistentes que deveriam estar lá em primeiro lugar.</v>
      </c>
      <c r="I56" s="10" t="str">
        <f>IFERROR(__xludf.DUMMYFUNCTION("TRIM(REGEXREPLACE(H56,""[^a-zA-ZÀ-ú ]+"",""""))"),"Esta versão seria decente se estivéssemos falando sobre uma versão beta mas é a versão final e carece de muitas melhorias na QV Não há opção para ver apenas os tópicos das pessoas que você segue em ordem cronológica não pode usar hashtags o algoritmo não "&amp;"leva em consideração os perfis que você segue ou interage e recomenda qualquer coisa não pode executar pesquisas de palavras chave alguns vídeos não T reproduz áudio e muito mais bugs e opções inexistentes que deveriam estar lá em primeiro lugar")</f>
        <v>Esta versão seria decente se estivéssemos falando sobre uma versão beta mas é a versão final e carece de muitas melhorias na QV Não há opção para ver apenas os tópicos das pessoas que você segue em ordem cronológica não pode usar hashtags o algoritmo não leva em consideração os perfis que você segue ou interage e recomenda qualquer coisa não pode executar pesquisas de palavras chave alguns vídeos não T reproduz áudio e muito mais bugs e opções inexistentes que deveriam estar lá em primeiro lugar</v>
      </c>
      <c r="J56" s="3"/>
      <c r="K56" s="3"/>
      <c r="L56" s="3"/>
      <c r="M56" s="3"/>
      <c r="N56" s="3"/>
      <c r="O56" s="3"/>
      <c r="P56" s="3"/>
      <c r="Q56" s="3"/>
      <c r="R56" s="3"/>
      <c r="S56" s="3"/>
      <c r="T56" s="3"/>
      <c r="U56" s="3"/>
      <c r="V56" s="3"/>
      <c r="W56" s="3"/>
      <c r="X56" s="3"/>
      <c r="Y56" s="3"/>
      <c r="Z56" s="3"/>
      <c r="AA56" s="3"/>
    </row>
    <row r="57" ht="105.75" customHeight="1">
      <c r="A57" s="4" t="s">
        <v>9</v>
      </c>
      <c r="B57" s="5" t="s">
        <v>65</v>
      </c>
      <c r="C57" s="4">
        <v>1.0</v>
      </c>
      <c r="D57" s="6">
        <v>45128.46472222222</v>
      </c>
      <c r="E57" s="7" t="str">
        <f t="shared" si="1"/>
        <v>2023-07-21</v>
      </c>
      <c r="F57" s="8" t="str">
        <f t="shared" si="2"/>
        <v> 11:09:12</v>
      </c>
      <c r="G57" s="9" t="str">
        <f t="shared" si="3"/>
        <v>Manhã</v>
      </c>
      <c r="H57" s="10" t="str">
        <f>IFERROR(__xludf.DUMMYFUNCTION("GOOGLETRANSLATE(B57, ""en"", ""pt-br"")"),"Acidentes lentos, falhas e constantes! Sempre que tentamos postar algo, ele sempre acaba no limbo, experiência de lixo! ATUALIZAÇÃO: Não há recursos básicos, mesmo após o mês de lançamento, e falhas e lentidão ainda são iguais, não podem fazer upload de n"&amp;"ada porque acaba no limbo, não é de admirar por que esse aplicativo está perdendo o jogo contra o Twitter.")</f>
        <v>Acidentes lentos, falhas e constantes! Sempre que tentamos postar algo, ele sempre acaba no limbo, experiência de lixo! ATUALIZAÇÃO: Não há recursos básicos, mesmo após o mês de lançamento, e falhas e lentidão ainda são iguais, não podem fazer upload de nada porque acaba no limbo, não é de admirar por que esse aplicativo está perdendo o jogo contra o Twitter.</v>
      </c>
      <c r="I57" s="10" t="str">
        <f>IFERROR(__xludf.DUMMYFUNCTION("TRIM(REGEXREPLACE(H57,""[^a-zA-ZÀ-ú ]+"",""""))"),"Acidentes lentos falhas e constantes Sempre que tentamos postar algo ele sempre acaba no limbo experiência de lixo ATUALIZAÇÃO Não há recursos básicos mesmo após o mês de lançamento e falhas e lentidão ainda são iguais não podem fazer upload de nada porqu"&amp;"e acaba no limbo não é de admirar por que esse aplicativo está perdendo o jogo contra o Twitter")</f>
        <v>Acidentes lentos falhas e constantes Sempre que tentamos postar algo ele sempre acaba no limbo experiência de lixo ATUALIZAÇÃO Não há recursos básicos mesmo após o mês de lançamento e falhas e lentidão ainda são iguais não podem fazer upload de nada porque acaba no limbo não é de admirar por que esse aplicativo está perdendo o jogo contra o Twitter</v>
      </c>
      <c r="J57" s="3"/>
      <c r="K57" s="3"/>
      <c r="L57" s="3"/>
      <c r="M57" s="3"/>
      <c r="N57" s="3"/>
      <c r="O57" s="3"/>
      <c r="P57" s="3"/>
      <c r="Q57" s="3"/>
      <c r="R57" s="3"/>
      <c r="S57" s="3"/>
      <c r="T57" s="3"/>
      <c r="U57" s="3"/>
      <c r="V57" s="3"/>
      <c r="W57" s="3"/>
      <c r="X57" s="3"/>
      <c r="Y57" s="3"/>
      <c r="Z57" s="3"/>
      <c r="AA57" s="3"/>
    </row>
    <row r="58" ht="105.75" customHeight="1">
      <c r="A58" s="4" t="s">
        <v>9</v>
      </c>
      <c r="B58" s="5" t="s">
        <v>66</v>
      </c>
      <c r="C58" s="4">
        <v>2.0</v>
      </c>
      <c r="D58" s="6">
        <v>45120.26021990741</v>
      </c>
      <c r="E58" s="7" t="str">
        <f t="shared" si="1"/>
        <v>2023-07-13</v>
      </c>
      <c r="F58" s="8" t="str">
        <f t="shared" si="2"/>
        <v> 06:14:43</v>
      </c>
      <c r="G58" s="9" t="str">
        <f t="shared" si="3"/>
        <v>Manhã</v>
      </c>
      <c r="H58" s="10" t="str">
        <f>IFERROR(__xludf.DUMMYFUNCTION("GOOGLETRANSLATE(B58, ""en"", ""pt-br"")"),"Muito buggy, inicialmente depois de obtê -lo, levou mais de 60 horas para que qualquer conteúdo aparecesse no meu feed, apesar de eu seguir muitas pessoas e meu parceiro tendo um carga em seu feed. Recentemente, levei cerca de 48 horas para fazer upload d"&amp;"e algo nele enquanto o Instagram e outros aplicativos funcionavam perfeitamente bem. Múltiplas tentativas ocorreram tanto no WiFi quanto em dados móveis sem resultados. Seria muito legal se os insetos pudessem ser pulverizados um pouco mais, talvez o Daxt"&amp;"er nele.")</f>
        <v>Muito buggy, inicialmente depois de obtê -lo, levou mais de 60 horas para que qualquer conteúdo aparecesse no meu feed, apesar de eu seguir muitas pessoas e meu parceiro tendo um carga em seu feed. Recentemente, levei cerca de 48 horas para fazer upload de algo nele enquanto o Instagram e outros aplicativos funcionavam perfeitamente bem. Múltiplas tentativas ocorreram tanto no WiFi quanto em dados móveis sem resultados. Seria muito legal se os insetos pudessem ser pulverizados um pouco mais, talvez o Daxter nele.</v>
      </c>
      <c r="I58" s="10" t="str">
        <f>IFERROR(__xludf.DUMMYFUNCTION("TRIM(REGEXREPLACE(H58,""[^a-zA-ZÀ-ú ]+"",""""))"),"Muito buggy inicialmente depois de obtê lo levou mais de horas para que qualquer conteúdo aparecesse no meu feed apesar de eu seguir muitas pessoas e meu parceiro tendo um carga em seu feed Recentemente levei cerca de horas para fazer upload de algo nele "&amp;"enquanto o Instagram e outros aplicativos funcionavam perfeitamente bem Múltiplas tentativas ocorreram tanto no WiFi quanto em dados móveis sem resultados Seria muito legal se os insetos pudessem ser pulverizados um pouco mais talvez o Daxter nele")</f>
        <v>Muito buggy inicialmente depois de obtê lo levou mais de horas para que qualquer conteúdo aparecesse no meu feed apesar de eu seguir muitas pessoas e meu parceiro tendo um carga em seu feed Recentemente levei cerca de horas para fazer upload de algo nele enquanto o Instagram e outros aplicativos funcionavam perfeitamente bem Múltiplas tentativas ocorreram tanto no WiFi quanto em dados móveis sem resultados Seria muito legal se os insetos pudessem ser pulverizados um pouco mais talvez o Daxter nele</v>
      </c>
      <c r="J58" s="3"/>
      <c r="K58" s="3"/>
      <c r="L58" s="3"/>
      <c r="M58" s="3"/>
      <c r="N58" s="3"/>
      <c r="O58" s="3"/>
      <c r="P58" s="3"/>
      <c r="Q58" s="3"/>
      <c r="R58" s="3"/>
      <c r="S58" s="3"/>
      <c r="T58" s="3"/>
      <c r="U58" s="3"/>
      <c r="V58" s="3"/>
      <c r="W58" s="3"/>
      <c r="X58" s="3"/>
      <c r="Y58" s="3"/>
      <c r="Z58" s="3"/>
      <c r="AA58" s="3"/>
    </row>
    <row r="59" ht="105.75" customHeight="1">
      <c r="A59" s="4" t="s">
        <v>9</v>
      </c>
      <c r="B59" s="5" t="s">
        <v>67</v>
      </c>
      <c r="C59" s="4">
        <v>1.0</v>
      </c>
      <c r="D59" s="6">
        <v>45115.279710648145</v>
      </c>
      <c r="E59" s="7" t="str">
        <f t="shared" si="1"/>
        <v>2023-07-08</v>
      </c>
      <c r="F59" s="8" t="str">
        <f t="shared" si="2"/>
        <v> 06:42:47</v>
      </c>
      <c r="G59" s="9" t="str">
        <f t="shared" si="3"/>
        <v>Manhã</v>
      </c>
      <c r="H59" s="10" t="str">
        <f>IFERROR(__xludf.DUMMYFUNCTION("GOOGLETRANSLATE(B59, ""en"", ""pt-br"")"),"Uma experiência de buggy tão frustrante. Parece promissor para nós, fotógrafos. Não há restrições aparentes ao tamanho, cultura ou qualidade da imagem. Mas não consigo carregar de dentro do aplicativo ou compartilhar nas minhas pastas Pixel 7. Estranhamen"&amp;"te, isso só me permitiu postar uma imagem do meu aplicativo de fronteira branca. 🤷 Das milhares de imagens, tenho que compartilhá -las literalmente só me permitem compartilhar essa imagem. Além disso, experimentei compartilhá -lo novamente, mas o aplicat"&amp;"ivo recusou e apenas fecha. 🤦")</f>
        <v>Uma experiência de buggy tão frustrante. Parece promissor para nós, fotógrafos. Não há restrições aparentes ao tamanho, cultura ou qualidade da imagem. Mas não consigo carregar de dentro do aplicativo ou compartilhar nas minhas pastas Pixel 7. Estranhamente, isso só me permitiu postar uma imagem do meu aplicativo de fronteira branca. 🤷 Das milhares de imagens, tenho que compartilhá -las literalmente só me permitem compartilhar essa imagem. Além disso, experimentei compartilhá -lo novamente, mas o aplicativo recusou e apenas fecha. 🤦</v>
      </c>
      <c r="I59" s="10" t="str">
        <f>IFERROR(__xludf.DUMMYFUNCTION("TRIM(REGEXREPLACE(H59,""[^a-zA-ZÀ-ú ]+"",""""))"),"Uma experiência de buggy tão frustrante Parece promissor para nós fotógrafos Não há restrições aparentes ao tamanho cultura ou qualidade da imagem Mas não consigo carregar de dentro do aplicativo ou compartilhar nas minhas pastas Pixel Estranhamente isso "&amp;"só me permitiu postar uma imagem do meu aplicativo de fronteira branca Das milhares de imagens tenho que compartilhá las literalmente só me permitem compartilhar essa imagem Além disso experimentei compartilhá lo novamente mas o aplicativo recusou e apena"&amp;"s fecha")</f>
        <v>Uma experiência de buggy tão frustrante Parece promissor para nós fotógrafos Não há restrições aparentes ao tamanho cultura ou qualidade da imagem Mas não consigo carregar de dentro do aplicativo ou compartilhar nas minhas pastas Pixel Estranhamente isso só me permitiu postar uma imagem do meu aplicativo de fronteira branca Das milhares de imagens tenho que compartilhá las literalmente só me permitem compartilhar essa imagem Além disso experimentei compartilhá lo novamente mas o aplicativo recusou e apenas fecha</v>
      </c>
      <c r="J59" s="3"/>
      <c r="K59" s="3"/>
      <c r="L59" s="3"/>
      <c r="M59" s="3"/>
      <c r="N59" s="3"/>
      <c r="O59" s="3"/>
      <c r="P59" s="3"/>
      <c r="Q59" s="3"/>
      <c r="R59" s="3"/>
      <c r="S59" s="3"/>
      <c r="T59" s="3"/>
      <c r="U59" s="3"/>
      <c r="V59" s="3"/>
      <c r="W59" s="3"/>
      <c r="X59" s="3"/>
      <c r="Y59" s="3"/>
      <c r="Z59" s="3"/>
      <c r="AA59" s="3"/>
    </row>
    <row r="60" ht="105.75" customHeight="1">
      <c r="A60" s="4" t="s">
        <v>9</v>
      </c>
      <c r="B60" s="5" t="s">
        <v>68</v>
      </c>
      <c r="C60" s="4">
        <v>1.0</v>
      </c>
      <c r="D60" s="6">
        <v>45117.75168981482</v>
      </c>
      <c r="E60" s="7" t="str">
        <f t="shared" si="1"/>
        <v>2023-07-10</v>
      </c>
      <c r="F60" s="8" t="str">
        <f t="shared" si="2"/>
        <v> 18:02:26</v>
      </c>
      <c r="G60" s="9" t="str">
        <f t="shared" si="3"/>
        <v>Noite</v>
      </c>
      <c r="H60" s="10" t="str">
        <f>IFERROR(__xludf.DUMMYFUNCTION("GOOGLETRANSLATE(B60, ""en"", ""pt-br"")"),"Bem, eu instalei o aplicativo por curiosidade e parece interessante, mas sempre que abro o aplicativo, é tudo uma falha. Não consigo ver uma única palavra perfeitamente e tudo está bagunçado na tela. Espero que você resolva esses bugs e problemas em breve"&amp;" e possa fornecer uma ótima experiência do usuário.")</f>
        <v>Bem, eu instalei o aplicativo por curiosidade e parece interessante, mas sempre que abro o aplicativo, é tudo uma falha. Não consigo ver uma única palavra perfeitamente e tudo está bagunçado na tela. Espero que você resolva esses bugs e problemas em breve e possa fornecer uma ótima experiência do usuário.</v>
      </c>
      <c r="I60" s="10" t="str">
        <f>IFERROR(__xludf.DUMMYFUNCTION("TRIM(REGEXREPLACE(H60,""[^a-zA-ZÀ-ú ]+"",""""))"),"Bem eu instalei o aplicativo por curiosidade e parece interessante mas sempre que abro o aplicativo é tudo uma falha Não consigo ver uma única palavra perfeitamente e tudo está bagunçado na tela Espero que você resolva esses bugs e problemas em breve e po"&amp;"ssa fornecer uma ótima experiência do usuário")</f>
        <v>Bem eu instalei o aplicativo por curiosidade e parece interessante mas sempre que abro o aplicativo é tudo uma falha Não consigo ver uma única palavra perfeitamente e tudo está bagunçado na tela Espero que você resolva esses bugs e problemas em breve e possa fornecer uma ótima experiência do usuário</v>
      </c>
      <c r="J60" s="3"/>
      <c r="K60" s="3"/>
      <c r="L60" s="3"/>
      <c r="M60" s="3"/>
      <c r="N60" s="3"/>
      <c r="O60" s="3"/>
      <c r="P60" s="3"/>
      <c r="Q60" s="3"/>
      <c r="R60" s="3"/>
      <c r="S60" s="3"/>
      <c r="T60" s="3"/>
      <c r="U60" s="3"/>
      <c r="V60" s="3"/>
      <c r="W60" s="3"/>
      <c r="X60" s="3"/>
      <c r="Y60" s="3"/>
      <c r="Z60" s="3"/>
      <c r="AA60" s="3"/>
    </row>
    <row r="61" ht="105.75" customHeight="1">
      <c r="A61" s="4" t="s">
        <v>9</v>
      </c>
      <c r="B61" s="5" t="s">
        <v>69</v>
      </c>
      <c r="C61" s="4">
        <v>1.0</v>
      </c>
      <c r="D61" s="6">
        <v>45122.079050925924</v>
      </c>
      <c r="E61" s="7" t="str">
        <f t="shared" si="1"/>
        <v>2023-07-15</v>
      </c>
      <c r="F61" s="8" t="str">
        <f t="shared" si="2"/>
        <v> 01:53:50</v>
      </c>
      <c r="G61" s="9" t="str">
        <f t="shared" si="3"/>
        <v>Manhã</v>
      </c>
      <c r="H61" s="10" t="str">
        <f>IFERROR(__xludf.DUMMYFUNCTION("GOOGLETRANSLATE(B61, ""en"", ""pt-br"")"),"Simplesmente não está funcionando. Foi bom por um tempo, mas algo aconteceu e agora sempre que tento verificar minhas notificações ou escrever algo, ele diz ""desculpe, algo deu errado"". Tentei reinstalar, não ajudou, está simplesmente quebrado. Eu já es"&amp;"tava decepcionado com esse lixo meio cozido que não possui até as funções mais básicas como hashtags, mas no meu estado atual, não consigo fazer nada além de refrescar a linha do tempo que está cheia de contas sem graça e escória verificada. Inutilizável."&amp;" Zuck perdeu.")</f>
        <v>Simplesmente não está funcionando. Foi bom por um tempo, mas algo aconteceu e agora sempre que tento verificar minhas notificações ou escrever algo, ele diz "desculpe, algo deu errado". Tentei reinstalar, não ajudou, está simplesmente quebrado. Eu já estava decepcionado com esse lixo meio cozido que não possui até as funções mais básicas como hashtags, mas no meu estado atual, não consigo fazer nada além de refrescar a linha do tempo que está cheia de contas sem graça e escória verificada. Inutilizável. Zuck perdeu.</v>
      </c>
      <c r="I61" s="10" t="str">
        <f>IFERROR(__xludf.DUMMYFUNCTION("TRIM(REGEXREPLACE(H61,""[^a-zA-ZÀ-ú ]+"",""""))"),"Simplesmente não está funcionando Foi bom por um tempo mas algo aconteceu e agora sempre que tento verificar minhas notificações ou escrever algo ele diz desculpe algo deu errado Tentei reinstalar não ajudou está simplesmente quebrado Eu já estava decepci"&amp;"onado com esse lixo meio cozido que não possui até as funções mais básicas como hashtags mas no meu estado atual não consigo fazer nada além de refrescar a linha do tempo que está cheia de contas sem graça e escória verificada Inutilizável Zuck perdeu")</f>
        <v>Simplesmente não está funcionando Foi bom por um tempo mas algo aconteceu e agora sempre que tento verificar minhas notificações ou escrever algo ele diz desculpe algo deu errado Tentei reinstalar não ajudou está simplesmente quebrado Eu já estava decepcionado com esse lixo meio cozido que não possui até as funções mais básicas como hashtags mas no meu estado atual não consigo fazer nada além de refrescar a linha do tempo que está cheia de contas sem graça e escória verificada Inutilizável Zuck perdeu</v>
      </c>
      <c r="J61" s="3"/>
      <c r="K61" s="3"/>
      <c r="L61" s="3"/>
      <c r="M61" s="3"/>
      <c r="N61" s="3"/>
      <c r="O61" s="3"/>
      <c r="P61" s="3"/>
      <c r="Q61" s="3"/>
      <c r="R61" s="3"/>
      <c r="S61" s="3"/>
      <c r="T61" s="3"/>
      <c r="U61" s="3"/>
      <c r="V61" s="3"/>
      <c r="W61" s="3"/>
      <c r="X61" s="3"/>
      <c r="Y61" s="3"/>
      <c r="Z61" s="3"/>
      <c r="AA61" s="3"/>
    </row>
    <row r="62" ht="105.75" customHeight="1">
      <c r="A62" s="4" t="s">
        <v>9</v>
      </c>
      <c r="B62" s="5" t="s">
        <v>70</v>
      </c>
      <c r="C62" s="4">
        <v>3.0</v>
      </c>
      <c r="D62" s="6">
        <v>45114.311898148146</v>
      </c>
      <c r="E62" s="7" t="str">
        <f t="shared" si="1"/>
        <v>2023-07-07</v>
      </c>
      <c r="F62" s="8" t="str">
        <f t="shared" si="2"/>
        <v> 07:29:08</v>
      </c>
      <c r="G62" s="9" t="str">
        <f t="shared" si="3"/>
        <v>Manhã</v>
      </c>
      <c r="H62" s="10" t="str">
        <f>IFERROR(__xludf.DUMMYFUNCTION("GOOGLETRANSLATE(B62, ""en"", ""pt-br"")"),"Por enquanto, apenas 3 estrelas! Pode ver o potencial neste aplicativo, mas concordar com alguns sobre algumas melhorias. Eu gostaria de ver 2 feeds! Um feed aleatório atual ... para ver tudo o que está acontecendo e se conectar com novas pessoas. E um se"&amp;"gundo feed (talvez uma guia), que mostra as pessoas que você já segue, mostrando suas postagens ... tornando -o rápido de uma olhada em ver o que os amigos estão fazendo. Nem todos temos tempo para navegar no conteúdo de um feed aleatório para postagens f"&amp;"eitas por aqueles que escolhemos seguir.")</f>
        <v>Por enquanto, apenas 3 estrelas! Pode ver o potencial neste aplicativo, mas concordar com alguns sobre algumas melhorias. Eu gostaria de ver 2 feeds! Um feed aleatório atual ... para ver tudo o que está acontecendo e se conectar com novas pessoas. E um segundo feed (talvez uma guia), que mostra as pessoas que você já segue, mostrando suas postagens ... tornando -o rápido de uma olhada em ver o que os amigos estão fazendo. Nem todos temos tempo para navegar no conteúdo de um feed aleatório para postagens feitas por aqueles que escolhemos seguir.</v>
      </c>
      <c r="I62" s="10" t="str">
        <f>IFERROR(__xludf.DUMMYFUNCTION("TRIM(REGEXREPLACE(H62,""[^a-zA-ZÀ-ú ]+"",""""))"),"Por enquanto apenas estrelas Pode ver o potencial neste aplicativo mas concordar com alguns sobre algumas melhorias Eu gostaria de ver feeds Um feed aleatório atual para ver tudo o que está acontecendo e se conectar com novas pessoas E um segundo feed tal"&amp;"vez uma guia que mostra as pessoas que você já segue mostrando suas postagens tornando o rápido de uma olhada em ver o que os amigos estão fazendo Nem todos temos tempo para navegar no conteúdo de um feed aleatório para postagens feitas por aqueles que es"&amp;"colhemos seguir")</f>
        <v>Por enquanto apenas estrelas Pode ver o potencial neste aplicativo mas concordar com alguns sobre algumas melhorias Eu gostaria de ver feeds Um feed aleatório atual para ver tudo o que está acontecendo e se conectar com novas pessoas E um segundo feed talvez uma guia que mostra as pessoas que você já segue mostrando suas postagens tornando o rápido de uma olhada em ver o que os amigos estão fazendo Nem todos temos tempo para navegar no conteúdo de um feed aleatório para postagens feitas por aqueles que escolhemos seguir</v>
      </c>
      <c r="J62" s="3"/>
      <c r="K62" s="3"/>
      <c r="L62" s="3"/>
      <c r="M62" s="3"/>
      <c r="N62" s="3"/>
      <c r="O62" s="3"/>
      <c r="P62" s="3"/>
      <c r="Q62" s="3"/>
      <c r="R62" s="3"/>
      <c r="S62" s="3"/>
      <c r="T62" s="3"/>
      <c r="U62" s="3"/>
      <c r="V62" s="3"/>
      <c r="W62" s="3"/>
      <c r="X62" s="3"/>
      <c r="Y62" s="3"/>
      <c r="Z62" s="3"/>
      <c r="AA62" s="3"/>
    </row>
    <row r="63" ht="105.75" customHeight="1">
      <c r="A63" s="4" t="s">
        <v>9</v>
      </c>
      <c r="B63" s="5" t="s">
        <v>71</v>
      </c>
      <c r="C63" s="4">
        <v>1.0</v>
      </c>
      <c r="D63" s="6">
        <v>45115.93378472222</v>
      </c>
      <c r="E63" s="7" t="str">
        <f t="shared" si="1"/>
        <v>2023-07-08</v>
      </c>
      <c r="F63" s="8" t="str">
        <f t="shared" si="2"/>
        <v> 22:24:39</v>
      </c>
      <c r="G63" s="9" t="str">
        <f t="shared" si="3"/>
        <v>Noite</v>
      </c>
      <c r="H63" s="10" t="str">
        <f>IFERROR(__xludf.DUMMYFUNCTION("GOOGLETRANSLATE(B63, ""en"", ""pt-br"")"),"Acabei de receber o aplicativo, tentou três vezes para fazer uma postagem, e ele falhou a cada vez. Tentei diferentes formatos, baixas contagens de caracteres, etc. e tudo em serviço perfeito. Apenas não conseguiu postar. Talvez eu volte quando o aplicati"&amp;"vo for realmente utilizável.")</f>
        <v>Acabei de receber o aplicativo, tentou três vezes para fazer uma postagem, e ele falhou a cada vez. Tentei diferentes formatos, baixas contagens de caracteres, etc. e tudo em serviço perfeito. Apenas não conseguiu postar. Talvez eu volte quando o aplicativo for realmente utilizável.</v>
      </c>
      <c r="I63" s="10" t="str">
        <f>IFERROR(__xludf.DUMMYFUNCTION("TRIM(REGEXREPLACE(H63,""[^a-zA-ZÀ-ú ]+"",""""))"),"Acabei de receber o aplicativo tentou três vezes para fazer uma postagem e ele falhou a cada vez Tentei diferentes formatos baixas contagens de caracteres etc e tudo em serviço perfeito Apenas não conseguiu postar Talvez eu volte quando o aplicativo for r"&amp;"ealmente utilizável")</f>
        <v>Acabei de receber o aplicativo tentou três vezes para fazer uma postagem e ele falhou a cada vez Tentei diferentes formatos baixas contagens de caracteres etc e tudo em serviço perfeito Apenas não conseguiu postar Talvez eu volte quando o aplicativo for realmente utilizável</v>
      </c>
      <c r="J63" s="3"/>
      <c r="K63" s="3"/>
      <c r="L63" s="3"/>
      <c r="M63" s="3"/>
      <c r="N63" s="3"/>
      <c r="O63" s="3"/>
      <c r="P63" s="3"/>
      <c r="Q63" s="3"/>
      <c r="R63" s="3"/>
      <c r="S63" s="3"/>
      <c r="T63" s="3"/>
      <c r="U63" s="3"/>
      <c r="V63" s="3"/>
      <c r="W63" s="3"/>
      <c r="X63" s="3"/>
      <c r="Y63" s="3"/>
      <c r="Z63" s="3"/>
      <c r="AA63" s="3"/>
    </row>
    <row r="64" ht="105.75" customHeight="1">
      <c r="A64" s="4" t="s">
        <v>9</v>
      </c>
      <c r="B64" s="5" t="s">
        <v>72</v>
      </c>
      <c r="C64" s="4">
        <v>1.0</v>
      </c>
      <c r="D64" s="6">
        <v>45117.174988425926</v>
      </c>
      <c r="E64" s="7" t="str">
        <f t="shared" si="1"/>
        <v>2023-07-10</v>
      </c>
      <c r="F64" s="8" t="str">
        <f t="shared" si="2"/>
        <v> 04:11:59</v>
      </c>
      <c r="G64" s="9" t="str">
        <f t="shared" si="3"/>
        <v>Manhã</v>
      </c>
      <c r="H64" s="10" t="str">
        <f>IFERROR(__xludf.DUMMYFUNCTION("GOOGLETRANSLATE(B64, ""en"", ""pt-br"")"),"Iniciar foi bom como login e edição da biografia. Mas depois disso, quando abri o aplicativo para ver que tipo de recursos e conteúdos ele contém. Começou a falhar e sempre age estranho. Não esperava esse tipo de trabalho ruim da Meta. O aplicativo precis"&amp;"a de muito desenvolvimento. Parece que é um lançamento sem julgamento. Muito decepcionado. Deseja excluir meus threads A/C, mas para esse Instagram A/C também serão excluídos porque esse é o Algo. Insatisfeito e decepcionado.")</f>
        <v>Iniciar foi bom como login e edição da biografia. Mas depois disso, quando abri o aplicativo para ver que tipo de recursos e conteúdos ele contém. Começou a falhar e sempre age estranho. Não esperava esse tipo de trabalho ruim da Meta. O aplicativo precisa de muito desenvolvimento. Parece que é um lançamento sem julgamento. Muito decepcionado. Deseja excluir meus threads A/C, mas para esse Instagram A/C também serão excluídos porque esse é o Algo. Insatisfeito e decepcionado.</v>
      </c>
      <c r="I64" s="10" t="str">
        <f>IFERROR(__xludf.DUMMYFUNCTION("TRIM(REGEXREPLACE(H64,""[^a-zA-ZÀ-ú ]+"",""""))"),"Iniciar foi bom como login e edição da biografia Mas depois disso quando abri o aplicativo para ver que tipo de recursos e conteúdos ele contém Começou a falhar e sempre age estranho Não esperava esse tipo de trabalho ruim da Meta O aplicativo precisa de "&amp;"muito desenvolvimento Parece que é um lançamento sem julgamento Muito decepcionado Deseja excluir meus threads AC mas para esse Instagram AC também serão excluídos porque esse é o Algo Insatisfeito e decepcionado")</f>
        <v>Iniciar foi bom como login e edição da biografia Mas depois disso quando abri o aplicativo para ver que tipo de recursos e conteúdos ele contém Começou a falhar e sempre age estranho Não esperava esse tipo de trabalho ruim da Meta O aplicativo precisa de muito desenvolvimento Parece que é um lançamento sem julgamento Muito decepcionado Deseja excluir meus threads AC mas para esse Instagram AC também serão excluídos porque esse é o Algo Insatisfeito e decepcionado</v>
      </c>
      <c r="J64" s="3"/>
      <c r="K64" s="3"/>
      <c r="L64" s="3"/>
      <c r="M64" s="3"/>
      <c r="N64" s="3"/>
      <c r="O64" s="3"/>
      <c r="P64" s="3"/>
      <c r="Q64" s="3"/>
      <c r="R64" s="3"/>
      <c r="S64" s="3"/>
      <c r="T64" s="3"/>
      <c r="U64" s="3"/>
      <c r="V64" s="3"/>
      <c r="W64" s="3"/>
      <c r="X64" s="3"/>
      <c r="Y64" s="3"/>
      <c r="Z64" s="3"/>
      <c r="AA64" s="3"/>
    </row>
    <row r="65" ht="105.75" customHeight="1">
      <c r="A65" s="4" t="s">
        <v>9</v>
      </c>
      <c r="B65" s="5" t="s">
        <v>73</v>
      </c>
      <c r="C65" s="4">
        <v>2.0</v>
      </c>
      <c r="D65" s="6">
        <v>45114.07875</v>
      </c>
      <c r="E65" s="7" t="str">
        <f t="shared" si="1"/>
        <v>2023-07-07</v>
      </c>
      <c r="F65" s="8" t="str">
        <f t="shared" si="2"/>
        <v> 01:53:24</v>
      </c>
      <c r="G65" s="9" t="str">
        <f t="shared" si="3"/>
        <v>Manhã</v>
      </c>
      <c r="H65" s="10" t="str">
        <f>IFERROR(__xludf.DUMMYFUNCTION("GOOGLETRANSLATE(B65, ""en"", ""pt-br"")"),"Como iniciante, tudo bem, mas há dois quebrantes de negócios. Um é o feed. Você obtém coisas de contas que não segue e não tem interesse e elas não podem ser alteradas. Segundo, se você efetuar login no Instagram, não poderá alterar nada ou desativar o pe"&amp;"rfil nos threads à medida que ele é sincronizado. Você precisa alterar ou apenas excluir todo o seu perfil do Instagram.")</f>
        <v>Como iniciante, tudo bem, mas há dois quebrantes de negócios. Um é o feed. Você obtém coisas de contas que não segue e não tem interesse e elas não podem ser alteradas. Segundo, se você efetuar login no Instagram, não poderá alterar nada ou desativar o perfil nos threads à medida que ele é sincronizado. Você precisa alterar ou apenas excluir todo o seu perfil do Instagram.</v>
      </c>
      <c r="I65" s="10" t="str">
        <f>IFERROR(__xludf.DUMMYFUNCTION("TRIM(REGEXREPLACE(H65,""[^a-zA-ZÀ-ú ]+"",""""))"),"Como iniciante tudo bem mas há dois quebrantes de negócios Um é o feed Você obtém coisas de contas que não segue e não tem interesse e elas não podem ser alteradas Segundo se você efetuar login no Instagram não poderá alterar nada ou desativar o perfil no"&amp;"s threads à medida que ele é sincronizado Você precisa alterar ou apenas excluir todo o seu perfil do Instagram")</f>
        <v>Como iniciante tudo bem mas há dois quebrantes de negócios Um é o feed Você obtém coisas de contas que não segue e não tem interesse e elas não podem ser alteradas Segundo se você efetuar login no Instagram não poderá alterar nada ou desativar o perfil nos threads à medida que ele é sincronizado Você precisa alterar ou apenas excluir todo o seu perfil do Instagram</v>
      </c>
      <c r="J65" s="3"/>
      <c r="K65" s="3"/>
      <c r="L65" s="3"/>
      <c r="M65" s="3"/>
      <c r="N65" s="3"/>
      <c r="O65" s="3"/>
      <c r="P65" s="3"/>
      <c r="Q65" s="3"/>
      <c r="R65" s="3"/>
      <c r="S65" s="3"/>
      <c r="T65" s="3"/>
      <c r="U65" s="3"/>
      <c r="V65" s="3"/>
      <c r="W65" s="3"/>
      <c r="X65" s="3"/>
      <c r="Y65" s="3"/>
      <c r="Z65" s="3"/>
      <c r="AA65" s="3"/>
    </row>
    <row r="66" ht="105.75" customHeight="1">
      <c r="A66" s="4" t="s">
        <v>9</v>
      </c>
      <c r="B66" s="5" t="s">
        <v>74</v>
      </c>
      <c r="C66" s="4">
        <v>3.0</v>
      </c>
      <c r="D66" s="6">
        <v>45116.54703703704</v>
      </c>
      <c r="E66" s="7" t="str">
        <f t="shared" si="1"/>
        <v>2023-07-09</v>
      </c>
      <c r="F66" s="8" t="str">
        <f t="shared" si="2"/>
        <v> 13:07:44</v>
      </c>
      <c r="G66" s="9" t="str">
        <f t="shared" si="3"/>
        <v>Tarde</v>
      </c>
      <c r="H66" s="10" t="str">
        <f>IFERROR(__xludf.DUMMYFUNCTION("GOOGLETRANSLATE(B66, ""en"", ""pt-br"")"),"- A interface do usuário é um pouco desajeitada. Os ícones têm esboços realmente grossos que competem fortemente com o texto visualmente. As linhas entre os threads são muito finas. - Os jogadores de vídeo são bastante horríveis. Às vezes, o áudio nunca f"&amp;"unciona, às vezes o vídeo faz uma pausa perpetuamente na tela cheia / ao tocar no thread. - A maioria dos tópicos que vejo são de contas que não sigo. Embora eu ache que isso seja bom para descobrir novas contas após o primeiro lançamento, não vejo muitos"&amp;" threads das contas seguidas.")</f>
        <v>- A interface do usuário é um pouco desajeitada. Os ícones têm esboços realmente grossos que competem fortemente com o texto visualmente. As linhas entre os threads são muito finas. - Os jogadores de vídeo são bastante horríveis. Às vezes, o áudio nunca funciona, às vezes o vídeo faz uma pausa perpetuamente na tela cheia / ao tocar no thread. - A maioria dos tópicos que vejo são de contas que não sigo. Embora eu ache que isso seja bom para descobrir novas contas após o primeiro lançamento, não vejo muitos threads das contas seguidas.</v>
      </c>
      <c r="I66" s="10" t="str">
        <f>IFERROR(__xludf.DUMMYFUNCTION("TRIM(REGEXREPLACE(H66,""[^a-zA-ZÀ-ú ]+"",""""))"),"A interface do usuário é um pouco desajeitada Os ícones têm esboços realmente grossos que competem fortemente com o texto visualmente As linhas entre os threads são muito finas Os jogadores de vídeo são bastante horríveis Às vezes o áudio nunca funciona à"&amp;"s vezes o vídeo faz uma pausa perpetuamente na tela cheia ao tocar no thread A maioria dos tópicos que vejo são de contas que não sigo Embora eu ache que isso seja bom para descobrir novas contas após o primeiro lançamento não vejo muitos threads das cont"&amp;"as seguidas")</f>
        <v>A interface do usuário é um pouco desajeitada Os ícones têm esboços realmente grossos que competem fortemente com o texto visualmente As linhas entre os threads são muito finas Os jogadores de vídeo são bastante horríveis Às vezes o áudio nunca funciona às vezes o vídeo faz uma pausa perpetuamente na tela cheia ao tocar no thread A maioria dos tópicos que vejo são de contas que não sigo Embora eu ache que isso seja bom para descobrir novas contas após o primeiro lançamento não vejo muitos threads das contas seguidas</v>
      </c>
      <c r="J66" s="3"/>
      <c r="K66" s="3"/>
      <c r="L66" s="3"/>
      <c r="M66" s="3"/>
      <c r="N66" s="3"/>
      <c r="O66" s="3"/>
      <c r="P66" s="3"/>
      <c r="Q66" s="3"/>
      <c r="R66" s="3"/>
      <c r="S66" s="3"/>
      <c r="T66" s="3"/>
      <c r="U66" s="3"/>
      <c r="V66" s="3"/>
      <c r="W66" s="3"/>
      <c r="X66" s="3"/>
      <c r="Y66" s="3"/>
      <c r="Z66" s="3"/>
      <c r="AA66" s="3"/>
    </row>
    <row r="67" ht="105.75" customHeight="1">
      <c r="A67" s="4" t="s">
        <v>9</v>
      </c>
      <c r="B67" s="5" t="s">
        <v>75</v>
      </c>
      <c r="C67" s="4">
        <v>3.0</v>
      </c>
      <c r="D67" s="6">
        <v>45113.66239583334</v>
      </c>
      <c r="E67" s="7" t="str">
        <f t="shared" si="1"/>
        <v>2023-07-06</v>
      </c>
      <c r="F67" s="8" t="str">
        <f t="shared" si="2"/>
        <v> 15:53:51</v>
      </c>
      <c r="G67" s="9" t="str">
        <f t="shared" si="3"/>
        <v>Tarde</v>
      </c>
      <c r="H67" s="10" t="str">
        <f>IFERROR(__xludf.DUMMYFUNCTION("GOOGLETRANSLATE(B67, ""en"", ""pt-br"")"),"Continuamente encontrando uma mensagem: ""Desculpe, algo deu errado. Tente novamente"", em todas as páginas. Aconteceu ontem à noite e tentei limpar o cache, forçando a parada, fazendo login e saída. A única coisa que consertou foi desinstalar/reinstalar."&amp;" E agora o mesmo erro está acontecendo novamente. Não quero reinstalar este aplicativo a cada poucas horas.")</f>
        <v>Continuamente encontrando uma mensagem: "Desculpe, algo deu errado. Tente novamente", em todas as páginas. Aconteceu ontem à noite e tentei limpar o cache, forçando a parada, fazendo login e saída. A única coisa que consertou foi desinstalar/reinstalar. E agora o mesmo erro está acontecendo novamente. Não quero reinstalar este aplicativo a cada poucas horas.</v>
      </c>
      <c r="I67" s="10" t="str">
        <f>IFERROR(__xludf.DUMMYFUNCTION("TRIM(REGEXREPLACE(H67,""[^a-zA-ZÀ-ú ]+"",""""))"),"Continuamente encontrando uma mensagem Desculpe algo deu errado Tente novamente em todas as páginas Aconteceu ontem à noite e tentei limpar o cache forçando a parada fazendo login e saída A única coisa que consertou foi desinstalarreinstalar E agora o mes"&amp;"mo erro está acontecendo novamente Não quero reinstalar este aplicativo a cada poucas horas")</f>
        <v>Continuamente encontrando uma mensagem Desculpe algo deu errado Tente novamente em todas as páginas Aconteceu ontem à noite e tentei limpar o cache forçando a parada fazendo login e saída A única coisa que consertou foi desinstalarreinstalar E agora o mesmo erro está acontecendo novamente Não quero reinstalar este aplicativo a cada poucas horas</v>
      </c>
      <c r="J67" s="3"/>
      <c r="K67" s="3"/>
      <c r="L67" s="3"/>
      <c r="M67" s="3"/>
      <c r="N67" s="3"/>
      <c r="O67" s="3"/>
      <c r="P67" s="3"/>
      <c r="Q67" s="3"/>
      <c r="R67" s="3"/>
      <c r="S67" s="3"/>
      <c r="T67" s="3"/>
      <c r="U67" s="3"/>
      <c r="V67" s="3"/>
      <c r="W67" s="3"/>
      <c r="X67" s="3"/>
      <c r="Y67" s="3"/>
      <c r="Z67" s="3"/>
      <c r="AA67" s="3"/>
    </row>
    <row r="68" ht="105.75" customHeight="1">
      <c r="A68" s="4" t="s">
        <v>9</v>
      </c>
      <c r="B68" s="5" t="s">
        <v>76</v>
      </c>
      <c r="C68" s="4">
        <v>4.0</v>
      </c>
      <c r="D68" s="6">
        <v>45116.768217592595</v>
      </c>
      <c r="E68" s="7" t="str">
        <f t="shared" si="1"/>
        <v>2023-07-09</v>
      </c>
      <c r="F68" s="8" t="str">
        <f t="shared" si="2"/>
        <v> 18:26:14</v>
      </c>
      <c r="G68" s="9" t="str">
        <f t="shared" si="3"/>
        <v>Noite</v>
      </c>
      <c r="H68" s="10" t="str">
        <f>IFERROR(__xludf.DUMMYFUNCTION("GOOGLETRANSLATE(B68, ""en"", ""pt-br"")"),"Eu acho que é um começo decente. Algumas características que eu acho que seriam importantes daqui para frente; A capacidade de pesquisar tópicos e tags em vez de apenas pessoas. Para acompanhar isso, a capacidade de seguir tópicos específicos faria muito "&amp;"pela capacidade de curar uma página inicial. Além disso, ter um sistema de mensagens diretas no aplicativo faria muito para melhorar a experiência. Fora isso, e o fato de esse aplicativo ainda estar em sua infância, posso ver um bom potencial para threads"&amp;" como uma plataforma.")</f>
        <v>Eu acho que é um começo decente. Algumas características que eu acho que seriam importantes daqui para frente; A capacidade de pesquisar tópicos e tags em vez de apenas pessoas. Para acompanhar isso, a capacidade de seguir tópicos específicos faria muito pela capacidade de curar uma página inicial. Além disso, ter um sistema de mensagens diretas no aplicativo faria muito para melhorar a experiência. Fora isso, e o fato de esse aplicativo ainda estar em sua infância, posso ver um bom potencial para threads como uma plataforma.</v>
      </c>
      <c r="I68" s="10" t="str">
        <f>IFERROR(__xludf.DUMMYFUNCTION("TRIM(REGEXREPLACE(H68,""[^a-zA-ZÀ-ú ]+"",""""))"),"Eu acho que é um começo decente Algumas características que eu acho que seriam importantes daqui para frente A capacidade de pesquisar tópicos e tags em vez de apenas pessoas Para acompanhar isso a capacidade de seguir tópicos específicos faria muito pela"&amp;" capacidade de curar uma página inicial Além disso ter um sistema de mensagens diretas no aplicativo faria muito para melhorar a experiência Fora isso e o fato de esse aplicativo ainda estar em sua infância posso ver um bom potencial para threads como uma"&amp;" plataforma")</f>
        <v>Eu acho que é um começo decente Algumas características que eu acho que seriam importantes daqui para frente A capacidade de pesquisar tópicos e tags em vez de apenas pessoas Para acompanhar isso a capacidade de seguir tópicos específicos faria muito pela capacidade de curar uma página inicial Além disso ter um sistema de mensagens diretas no aplicativo faria muito para melhorar a experiência Fora isso e o fato de esse aplicativo ainda estar em sua infância posso ver um bom potencial para threads como uma plataforma</v>
      </c>
      <c r="J68" s="3"/>
      <c r="K68" s="3"/>
      <c r="L68" s="3"/>
      <c r="M68" s="3"/>
      <c r="N68" s="3"/>
      <c r="O68" s="3"/>
      <c r="P68" s="3"/>
      <c r="Q68" s="3"/>
      <c r="R68" s="3"/>
      <c r="S68" s="3"/>
      <c r="T68" s="3"/>
      <c r="U68" s="3"/>
      <c r="V68" s="3"/>
      <c r="W68" s="3"/>
      <c r="X68" s="3"/>
      <c r="Y68" s="3"/>
      <c r="Z68" s="3"/>
      <c r="AA68" s="3"/>
    </row>
    <row r="69" ht="105.75" customHeight="1">
      <c r="A69" s="4" t="s">
        <v>9</v>
      </c>
      <c r="B69" s="5" t="s">
        <v>77</v>
      </c>
      <c r="C69" s="4">
        <v>4.0</v>
      </c>
      <c r="D69" s="6">
        <v>45123.56869212963</v>
      </c>
      <c r="E69" s="7" t="str">
        <f t="shared" si="1"/>
        <v>2023-07-16</v>
      </c>
      <c r="F69" s="8" t="str">
        <f t="shared" si="2"/>
        <v> 13:38:55</v>
      </c>
      <c r="G69" s="9" t="str">
        <f t="shared" si="3"/>
        <v>Tarde</v>
      </c>
      <c r="H69" s="10" t="str">
        <f>IFERROR(__xludf.DUMMYFUNCTION("GOOGLETRANSLATE(B69, ""en"", ""pt-br"")"),"O aplicativo está indo bem e agradável, fácil de usar e amigável. Mas eu recomendo uma opção Excluir, editar e salvar. Uma opção de exclusão para poder limpar a atividade ou notificação. Para poder editar uma mensagem ou imagem para adicionar uma legenda "&amp;"quando já estiver publicada e uma opção de salvar e favorecer. Pessoalmente, preciso da opção Excluir, não posso deixar de ficar de ansiedade quando minha atividade estiver confusa. Tentei verificar uma notificação post de um ativista, mas ele enxamei meu"&amp;" histórico de atividades. Adicione opções.")</f>
        <v>O aplicativo está indo bem e agradável, fácil de usar e amigável. Mas eu recomendo uma opção Excluir, editar e salvar. Uma opção de exclusão para poder limpar a atividade ou notificação. Para poder editar uma mensagem ou imagem para adicionar uma legenda quando já estiver publicada e uma opção de salvar e favorecer. Pessoalmente, preciso da opção Excluir, não posso deixar de ficar de ansiedade quando minha atividade estiver confusa. Tentei verificar uma notificação post de um ativista, mas ele enxamei meu histórico de atividades. Adicione opções.</v>
      </c>
      <c r="I69" s="10" t="str">
        <f>IFERROR(__xludf.DUMMYFUNCTION("TRIM(REGEXREPLACE(H69,""[^a-zA-ZÀ-ú ]+"",""""))"),"O aplicativo está indo bem e agradável fácil de usar e amigável Mas eu recomendo uma opção Excluir editar e salvar Uma opção de exclusão para poder limpar a atividade ou notificação Para poder editar uma mensagem ou imagem para adicionar uma legenda quand"&amp;"o já estiver publicada e uma opção de salvar e favorecer Pessoalmente preciso da opção Excluir não posso deixar de ficar de ansiedade quando minha atividade estiver confusa Tentei verificar uma notificação post de um ativista mas ele enxamei meu histórico"&amp;" de atividades Adicione opções")</f>
        <v>O aplicativo está indo bem e agradável fácil de usar e amigável Mas eu recomendo uma opção Excluir editar e salvar Uma opção de exclusão para poder limpar a atividade ou notificação Para poder editar uma mensagem ou imagem para adicionar uma legenda quando já estiver publicada e uma opção de salvar e favorecer Pessoalmente preciso da opção Excluir não posso deixar de ficar de ansiedade quando minha atividade estiver confusa Tentei verificar uma notificação post de um ativista mas ele enxamei meu histórico de atividades Adicione opções</v>
      </c>
      <c r="J69" s="3"/>
      <c r="K69" s="3"/>
      <c r="L69" s="3"/>
      <c r="M69" s="3"/>
      <c r="N69" s="3"/>
      <c r="O69" s="3"/>
      <c r="P69" s="3"/>
      <c r="Q69" s="3"/>
      <c r="R69" s="3"/>
      <c r="S69" s="3"/>
      <c r="T69" s="3"/>
      <c r="U69" s="3"/>
      <c r="V69" s="3"/>
      <c r="W69" s="3"/>
      <c r="X69" s="3"/>
      <c r="Y69" s="3"/>
      <c r="Z69" s="3"/>
      <c r="AA69" s="3"/>
    </row>
    <row r="70" ht="105.75" customHeight="1">
      <c r="A70" s="4" t="s">
        <v>9</v>
      </c>
      <c r="B70" s="5" t="s">
        <v>78</v>
      </c>
      <c r="C70" s="4">
        <v>4.0</v>
      </c>
      <c r="D70" s="6">
        <v>45113.55811342593</v>
      </c>
      <c r="E70" s="7" t="str">
        <f t="shared" si="1"/>
        <v>2023-07-06</v>
      </c>
      <c r="F70" s="8" t="str">
        <f t="shared" si="2"/>
        <v> 13:23:41</v>
      </c>
      <c r="G70" s="9" t="str">
        <f t="shared" si="3"/>
        <v>Tarde</v>
      </c>
      <c r="H70" s="10" t="str">
        <f>IFERROR(__xludf.DUMMYFUNCTION("GOOGLETRANSLATE(B70, ""en"", ""pt-br"")"),"É um bom aplicativo. Você pode compartilhar qualquer coisa, especialmente seus pensamentos atuais e outros enfeites. No entanto, sugiro que também haja uma escolha de interesses para que o conteúdo em casa seja filtrado com esse interesse. Será muito mais"&amp;" divertido usá -lo se as pessoas verem o que realmente gostam de ver. Esperando a melhoria dos algoritmos.")</f>
        <v>É um bom aplicativo. Você pode compartilhar qualquer coisa, especialmente seus pensamentos atuais e outros enfeites. No entanto, sugiro que também haja uma escolha de interesses para que o conteúdo em casa seja filtrado com esse interesse. Será muito mais divertido usá -lo se as pessoas verem o que realmente gostam de ver. Esperando a melhoria dos algoritmos.</v>
      </c>
      <c r="I70" s="10" t="str">
        <f>IFERROR(__xludf.DUMMYFUNCTION("TRIM(REGEXREPLACE(H70,""[^a-zA-ZÀ-ú ]+"",""""))"),"É um bom aplicativo Você pode compartilhar qualquer coisa especialmente seus pensamentos atuais e outros enfeites No entanto sugiro que também haja uma escolha de interesses para que o conteúdo em casa seja filtrado com esse interesse Será muito mais dive"&amp;"rtido usá lo se as pessoas verem o que realmente gostam de ver Esperando a melhoria dos algoritmos")</f>
        <v>É um bom aplicativo Você pode compartilhar qualquer coisa especialmente seus pensamentos atuais e outros enfeites No entanto sugiro que também haja uma escolha de interesses para que o conteúdo em casa seja filtrado com esse interesse Será muito mais divertido usá lo se as pessoas verem o que realmente gostam de ver Esperando a melhoria dos algoritmos</v>
      </c>
      <c r="J70" s="3"/>
      <c r="K70" s="3"/>
      <c r="L70" s="3"/>
      <c r="M70" s="3"/>
      <c r="N70" s="3"/>
      <c r="O70" s="3"/>
      <c r="P70" s="3"/>
      <c r="Q70" s="3"/>
      <c r="R70" s="3"/>
      <c r="S70" s="3"/>
      <c r="T70" s="3"/>
      <c r="U70" s="3"/>
      <c r="V70" s="3"/>
      <c r="W70" s="3"/>
      <c r="X70" s="3"/>
      <c r="Y70" s="3"/>
      <c r="Z70" s="3"/>
      <c r="AA70" s="3"/>
    </row>
    <row r="71" ht="105.75" customHeight="1">
      <c r="A71" s="4" t="s">
        <v>9</v>
      </c>
      <c r="B71" s="5" t="s">
        <v>79</v>
      </c>
      <c r="C71" s="4">
        <v>2.0</v>
      </c>
      <c r="D71" s="6">
        <v>45119.62556712963</v>
      </c>
      <c r="E71" s="7" t="str">
        <f t="shared" si="1"/>
        <v>2023-07-12</v>
      </c>
      <c r="F71" s="8" t="str">
        <f t="shared" si="2"/>
        <v> 15:00:49</v>
      </c>
      <c r="G71" s="9" t="str">
        <f t="shared" si="3"/>
        <v>Tarde</v>
      </c>
      <c r="H71" s="10" t="str">
        <f>IFERROR(__xludf.DUMMYFUNCTION("GOOGLETRANSLATE(B71, ""en"", ""pt-br"")"),"Não é um aplicativo ruim (ele funciona bem e interfina bem o Instagram), mas definitivamente pode ser melhorado. A página inicial é inundada com postagens completamente não comodorizadas que não têm nada a ver com nenhuma das contas que sigo. Sem tags, é "&amp;"difícil encontrar novas contas a seguir com base no interesse, a menos que a palavra -chave esteja em seu nome de usuário.")</f>
        <v>Não é um aplicativo ruim (ele funciona bem e interfina bem o Instagram), mas definitivamente pode ser melhorado. A página inicial é inundada com postagens completamente não comodorizadas que não têm nada a ver com nenhuma das contas que sigo. Sem tags, é difícil encontrar novas contas a seguir com base no interesse, a menos que a palavra -chave esteja em seu nome de usuário.</v>
      </c>
      <c r="I71" s="10" t="str">
        <f>IFERROR(__xludf.DUMMYFUNCTION("TRIM(REGEXREPLACE(H71,""[^a-zA-ZÀ-ú ]+"",""""))"),"Não é um aplicativo ruim ele funciona bem e interfina bem o Instagram mas definitivamente pode ser melhorado A página inicial é inundada com postagens completamente não comodorizadas que não têm nada a ver com nenhuma das contas que sigo Sem tags é difíci"&amp;"l encontrar novas contas a seguir com base no interesse a menos que a palavra chave esteja em seu nome de usuário")</f>
        <v>Não é um aplicativo ruim ele funciona bem e interfina bem o Instagram mas definitivamente pode ser melhorado A página inicial é inundada com postagens completamente não comodorizadas que não têm nada a ver com nenhuma das contas que sigo Sem tags é difícil encontrar novas contas a seguir com base no interesse a menos que a palavra chave esteja em seu nome de usuário</v>
      </c>
      <c r="J71" s="3"/>
      <c r="K71" s="3"/>
      <c r="L71" s="3"/>
      <c r="M71" s="3"/>
      <c r="N71" s="3"/>
      <c r="O71" s="3"/>
      <c r="P71" s="3"/>
      <c r="Q71" s="3"/>
      <c r="R71" s="3"/>
      <c r="S71" s="3"/>
      <c r="T71" s="3"/>
      <c r="U71" s="3"/>
      <c r="V71" s="3"/>
      <c r="W71" s="3"/>
      <c r="X71" s="3"/>
      <c r="Y71" s="3"/>
      <c r="Z71" s="3"/>
      <c r="AA71" s="3"/>
    </row>
    <row r="72" ht="105.75" customHeight="1">
      <c r="A72" s="4" t="s">
        <v>9</v>
      </c>
      <c r="B72" s="5" t="s">
        <v>80</v>
      </c>
      <c r="C72" s="4">
        <v>2.0</v>
      </c>
      <c r="D72" s="6">
        <v>45113.66637731482</v>
      </c>
      <c r="E72" s="7" t="str">
        <f t="shared" si="1"/>
        <v>2023-07-06</v>
      </c>
      <c r="F72" s="8" t="str">
        <f t="shared" si="2"/>
        <v> 15:59:35</v>
      </c>
      <c r="G72" s="9" t="str">
        <f t="shared" si="3"/>
        <v>Tarde</v>
      </c>
      <c r="H72" s="10" t="str">
        <f>IFERROR(__xludf.DUMMYFUNCTION("GOOGLETRANSLATE(B72, ""en"", ""pt-br"")"),"No momento, é um vazio. Muito pouco do que você realmente quer ver aparece, e o resto é ruído de contas maiores (exército verificado) e anúncios. Vamos ver o que se torna eventualmente (o seu seguimento passa de vez em quando, mas não o suficiente). Eu ac"&amp;"ho que a interface do usuário está limpa.")</f>
        <v>No momento, é um vazio. Muito pouco do que você realmente quer ver aparece, e o resto é ruído de contas maiores (exército verificado) e anúncios. Vamos ver o que se torna eventualmente (o seu seguimento passa de vez em quando, mas não o suficiente). Eu acho que a interface do usuário está limpa.</v>
      </c>
      <c r="I72" s="10" t="str">
        <f>IFERROR(__xludf.DUMMYFUNCTION("TRIM(REGEXREPLACE(H72,""[^a-zA-ZÀ-ú ]+"",""""))"),"No momento é um vazio Muito pouco do que você realmente quer ver aparece e o resto é ruído de contas maiores exército verificado e anúncios Vamos ver o que se torna eventualmente o seu seguimento passa de vez em quando mas não o suficiente Eu acho que a i"&amp;"nterface do usuário está limpa")</f>
        <v>No momento é um vazio Muito pouco do que você realmente quer ver aparece e o resto é ruído de contas maiores exército verificado e anúncios Vamos ver o que se torna eventualmente o seu seguimento passa de vez em quando mas não o suficiente Eu acho que a interface do usuário está limpa</v>
      </c>
      <c r="J72" s="3"/>
      <c r="K72" s="3"/>
      <c r="L72" s="3"/>
      <c r="M72" s="3"/>
      <c r="N72" s="3"/>
      <c r="O72" s="3"/>
      <c r="P72" s="3"/>
      <c r="Q72" s="3"/>
      <c r="R72" s="3"/>
      <c r="S72" s="3"/>
      <c r="T72" s="3"/>
      <c r="U72" s="3"/>
      <c r="V72" s="3"/>
      <c r="W72" s="3"/>
      <c r="X72" s="3"/>
      <c r="Y72" s="3"/>
      <c r="Z72" s="3"/>
      <c r="AA72" s="3"/>
    </row>
    <row r="73" ht="105.75" customHeight="1">
      <c r="A73" s="4" t="s">
        <v>9</v>
      </c>
      <c r="B73" s="5" t="s">
        <v>81</v>
      </c>
      <c r="C73" s="4">
        <v>2.0</v>
      </c>
      <c r="D73" s="6">
        <v>45113.22319444444</v>
      </c>
      <c r="E73" s="7" t="str">
        <f t="shared" si="1"/>
        <v>2023-07-06</v>
      </c>
      <c r="F73" s="8" t="str">
        <f t="shared" si="2"/>
        <v> 05:21:24</v>
      </c>
      <c r="G73" s="9" t="str">
        <f t="shared" si="3"/>
        <v>Manhã</v>
      </c>
      <c r="H73" s="10" t="str">
        <f>IFERROR(__xludf.DUMMYFUNCTION("GOOGLETRANSLATE(B73, ""en"", ""pt-br"")"),"O aplicativo trava constantemente ao fazer o upload de fotos. E o seletor de imagem é tão básico - não consegue nem escolher fotos escolhendo diferentes pastas. Suspirar! Espero que isso seja melhorado. Fora isso, este aplicativo tem sido ótimo até agora "&amp;"para navegar. Eu realmente quero gostar deste aplicativo, basta consertar a experiência de postagem, por favor.")</f>
        <v>O aplicativo trava constantemente ao fazer o upload de fotos. E o seletor de imagem é tão básico - não consegue nem escolher fotos escolhendo diferentes pastas. Suspirar! Espero que isso seja melhorado. Fora isso, este aplicativo tem sido ótimo até agora para navegar. Eu realmente quero gostar deste aplicativo, basta consertar a experiência de postagem, por favor.</v>
      </c>
      <c r="I73" s="10" t="str">
        <f>IFERROR(__xludf.DUMMYFUNCTION("TRIM(REGEXREPLACE(H73,""[^a-zA-ZÀ-ú ]+"",""""))"),"O aplicativo trava constantemente ao fazer o upload de fotos E o seletor de imagem é tão básico não consegue nem escolher fotos escolhendo diferentes pastas Suspirar Espero que isso seja melhorado Fora isso este aplicativo tem sido ótimo até agora para na"&amp;"vegar Eu realmente quero gostar deste aplicativo basta consertar a experiência de postagem por favor")</f>
        <v>O aplicativo trava constantemente ao fazer o upload de fotos E o seletor de imagem é tão básico não consegue nem escolher fotos escolhendo diferentes pastas Suspirar Espero que isso seja melhorado Fora isso este aplicativo tem sido ótimo até agora para navegar Eu realmente quero gostar deste aplicativo basta consertar a experiência de postagem por favor</v>
      </c>
      <c r="J73" s="3"/>
      <c r="K73" s="3"/>
      <c r="L73" s="3"/>
      <c r="M73" s="3"/>
      <c r="N73" s="3"/>
      <c r="O73" s="3"/>
      <c r="P73" s="3"/>
      <c r="Q73" s="3"/>
      <c r="R73" s="3"/>
      <c r="S73" s="3"/>
      <c r="T73" s="3"/>
      <c r="U73" s="3"/>
      <c r="V73" s="3"/>
      <c r="W73" s="3"/>
      <c r="X73" s="3"/>
      <c r="Y73" s="3"/>
      <c r="Z73" s="3"/>
      <c r="AA73" s="3"/>
    </row>
    <row r="74" ht="105.75" customHeight="1">
      <c r="A74" s="4" t="s">
        <v>9</v>
      </c>
      <c r="B74" s="5" t="s">
        <v>82</v>
      </c>
      <c r="C74" s="4">
        <v>3.0</v>
      </c>
      <c r="D74" s="6">
        <v>45128.66725694444</v>
      </c>
      <c r="E74" s="7" t="str">
        <f t="shared" si="1"/>
        <v>2023-07-21</v>
      </c>
      <c r="F74" s="8" t="str">
        <f t="shared" si="2"/>
        <v> 16:00:51</v>
      </c>
      <c r="G74" s="9" t="str">
        <f t="shared" si="3"/>
        <v>Tarde</v>
      </c>
      <c r="H74" s="10" t="str">
        <f>IFERROR(__xludf.DUMMYFUNCTION("GOOGLETRANSLATE(B74, ""en"", ""pt-br"")"),"Gostei muito do aplicativo, mas desde uma semana ele não funciona corretamente no meu dispositivo, e recebo uma mensagem ""algo deu errado"" sempre que tento ver um perfil, comentários ou atividades. Tentei reinstalar o aplicativo, excluir o cache, reinic"&amp;"iar meu telefone e redefinir as configurações de rede, mas ainda tenho esse problema.")</f>
        <v>Gostei muito do aplicativo, mas desde uma semana ele não funciona corretamente no meu dispositivo, e recebo uma mensagem "algo deu errado" sempre que tento ver um perfil, comentários ou atividades. Tentei reinstalar o aplicativo, excluir o cache, reiniciar meu telefone e redefinir as configurações de rede, mas ainda tenho esse problema.</v>
      </c>
      <c r="I74" s="10" t="str">
        <f>IFERROR(__xludf.DUMMYFUNCTION("TRIM(REGEXREPLACE(H74,""[^a-zA-ZÀ-ú ]+"",""""))"),"Gostei muito do aplicativo mas desde uma semana ele não funciona corretamente no meu dispositivo e recebo uma mensagem algo deu errado sempre que tento ver um perfil comentários ou atividades Tentei reinstalar o aplicativo excluir o cache reiniciar meu te"&amp;"lefone e redefinir as configurações de rede mas ainda tenho esse problema")</f>
        <v>Gostei muito do aplicativo mas desde uma semana ele não funciona corretamente no meu dispositivo e recebo uma mensagem algo deu errado sempre que tento ver um perfil comentários ou atividades Tentei reinstalar o aplicativo excluir o cache reiniciar meu telefone e redefinir as configurações de rede mas ainda tenho esse problema</v>
      </c>
      <c r="J74" s="3"/>
      <c r="K74" s="3"/>
      <c r="L74" s="3"/>
      <c r="M74" s="3"/>
      <c r="N74" s="3"/>
      <c r="O74" s="3"/>
      <c r="P74" s="3"/>
      <c r="Q74" s="3"/>
      <c r="R74" s="3"/>
      <c r="S74" s="3"/>
      <c r="T74" s="3"/>
      <c r="U74" s="3"/>
      <c r="V74" s="3"/>
      <c r="W74" s="3"/>
      <c r="X74" s="3"/>
      <c r="Y74" s="3"/>
      <c r="Z74" s="3"/>
      <c r="AA74" s="3"/>
    </row>
    <row r="75" ht="105.75" customHeight="1">
      <c r="A75" s="4" t="s">
        <v>9</v>
      </c>
      <c r="B75" s="5" t="s">
        <v>83</v>
      </c>
      <c r="C75" s="4">
        <v>1.0</v>
      </c>
      <c r="D75" s="6">
        <v>45113.27074074074</v>
      </c>
      <c r="E75" s="7" t="str">
        <f t="shared" si="1"/>
        <v>2023-07-06</v>
      </c>
      <c r="F75" s="8" t="str">
        <f t="shared" si="2"/>
        <v> 06:29:52</v>
      </c>
      <c r="G75" s="9" t="str">
        <f t="shared" si="3"/>
        <v>Manhã</v>
      </c>
      <c r="H75" s="10" t="str">
        <f>IFERROR(__xludf.DUMMYFUNCTION("GOOGLETRANSLATE(B75, ""en"", ""pt-br"")"),"(Notalmente sou a primeira pessoa a revisar este aplicativo em inglês). Apertantemente, é um aplicativo inútil ... tem uma boa interface escura, mas existem inúmeros problemas 👉 Falha frequentemente sem mensagem de erro, muito lenta para atualizar a seçã"&amp;"o de perfil, nem pode enviar uma imagem única (apesar de haver com conexão de banda larga de alta velocidade ), a pasta de cópia não funciona .. ""@"" função (em bio) não funciona .. não tenho certeza se todos esses problemas serão resolvidos. Caso contrá"&amp;"rio, vou desinstalá -lo e parar de usar para sempre.")</f>
        <v>(Notalmente sou a primeira pessoa a revisar este aplicativo em inglês). Apertantemente, é um aplicativo inútil ... tem uma boa interface escura, mas existem inúmeros problemas 👉 Falha frequentemente sem mensagem de erro, muito lenta para atualizar a seção de perfil, nem pode enviar uma imagem única (apesar de haver com conexão de banda larga de alta velocidade ), a pasta de cópia não funciona .. "@" função (em bio) não funciona .. não tenho certeza se todos esses problemas serão resolvidos. Caso contrário, vou desinstalá -lo e parar de usar para sempre.</v>
      </c>
      <c r="I75" s="10" t="str">
        <f>IFERROR(__xludf.DUMMYFUNCTION("TRIM(REGEXREPLACE(H75,""[^a-zA-ZÀ-ú ]+"",""""))"),"Notalmente sou a primeira pessoa a revisar este aplicativo em inglês Apertantemente é um aplicativo inútil tem uma boa interface escura mas existem inúmeros problemas Falha frequentemente sem mensagem de erro muito lenta para atualizar a seção de perfil n"&amp;"em pode enviar uma imagem única apesar de haver com conexão de banda larga de alta velocidade a pasta de cópia não funciona função em bio não funciona não tenho certeza se todos esses problemas serão resolvidos Caso contrário vou desinstalá lo e parar de "&amp;"usar para sempre")</f>
        <v>Notalmente sou a primeira pessoa a revisar este aplicativo em inglês Apertantemente é um aplicativo inútil tem uma boa interface escura mas existem inúmeros problemas Falha frequentemente sem mensagem de erro muito lenta para atualizar a seção de perfil nem pode enviar uma imagem única apesar de haver com conexão de banda larga de alta velocidade a pasta de cópia não funciona função em bio não funciona não tenho certeza se todos esses problemas serão resolvidos Caso contrário vou desinstalá lo e parar de usar para sempre</v>
      </c>
      <c r="J75" s="3"/>
      <c r="K75" s="3"/>
      <c r="L75" s="3"/>
      <c r="M75" s="3"/>
      <c r="N75" s="3"/>
      <c r="O75" s="3"/>
      <c r="P75" s="3"/>
      <c r="Q75" s="3"/>
      <c r="R75" s="3"/>
      <c r="S75" s="3"/>
      <c r="T75" s="3"/>
      <c r="U75" s="3"/>
      <c r="V75" s="3"/>
      <c r="W75" s="3"/>
      <c r="X75" s="3"/>
      <c r="Y75" s="3"/>
      <c r="Z75" s="3"/>
      <c r="AA75" s="3"/>
    </row>
    <row r="76" ht="105.75" customHeight="1">
      <c r="A76" s="4" t="s">
        <v>9</v>
      </c>
      <c r="B76" s="5" t="s">
        <v>84</v>
      </c>
      <c r="C76" s="4">
        <v>2.0</v>
      </c>
      <c r="D76" s="6">
        <v>45113.38821759259</v>
      </c>
      <c r="E76" s="7" t="str">
        <f t="shared" si="1"/>
        <v>2023-07-06</v>
      </c>
      <c r="F76" s="8" t="str">
        <f t="shared" si="2"/>
        <v> 09:19:02</v>
      </c>
      <c r="G76" s="9" t="str">
        <f t="shared" si="3"/>
        <v>Manhã</v>
      </c>
      <c r="H76" s="10" t="str">
        <f>IFERROR(__xludf.DUMMYFUNCTION("GOOGLETRANSLATE(B76, ""en"", ""pt-br"")"),"Embora eu ache que o aplicativo tenha algum potencial, existem vários problemas. Alguns deles incluem a falta de filtros de fotos quando você envia fotos, a incapacidade de excluir a conta dos threads sem a sua conta do Instagram, a incapacidade de usar m"&amp;"ais de uma conta e o aplicativo travando várias vezes quando faço o login, levando -me a excluir dados e cache com bastante frequência. Eu gostaria que este aplicativo não fosse lançado prematuramente e que o Instagram dê mais tempo para desenvolver threa"&amp;"ds como um aplicativo mais estável.")</f>
        <v>Embora eu ache que o aplicativo tenha algum potencial, existem vários problemas. Alguns deles incluem a falta de filtros de fotos quando você envia fotos, a incapacidade de excluir a conta dos threads sem a sua conta do Instagram, a incapacidade de usar mais de uma conta e o aplicativo travando várias vezes quando faço o login, levando -me a excluir dados e cache com bastante frequência. Eu gostaria que este aplicativo não fosse lançado prematuramente e que o Instagram dê mais tempo para desenvolver threads como um aplicativo mais estável.</v>
      </c>
      <c r="I76" s="10" t="str">
        <f>IFERROR(__xludf.DUMMYFUNCTION("TRIM(REGEXREPLACE(H76,""[^a-zA-ZÀ-ú ]+"",""""))"),"Embora eu ache que o aplicativo tenha algum potencial existem vários problemas Alguns deles incluem a falta de filtros de fotos quando você envia fotos a incapacidade de excluir a conta dos threads sem a sua conta do Instagram a incapacidade de usar mais "&amp;"de uma conta e o aplicativo travando várias vezes quando faço o login levando me a excluir dados e cache com bastante frequência Eu gostaria que este aplicativo não fosse lançado prematuramente e que o Instagram dê mais tempo para desenvolver threads como"&amp;" um aplicativo mais estável")</f>
        <v>Embora eu ache que o aplicativo tenha algum potencial existem vários problemas Alguns deles incluem a falta de filtros de fotos quando você envia fotos a incapacidade de excluir a conta dos threads sem a sua conta do Instagram a incapacidade de usar mais de uma conta e o aplicativo travando várias vezes quando faço o login levando me a excluir dados e cache com bastante frequência Eu gostaria que este aplicativo não fosse lançado prematuramente e que o Instagram dê mais tempo para desenvolver threads como um aplicativo mais estável</v>
      </c>
      <c r="J76" s="3"/>
      <c r="K76" s="3"/>
      <c r="L76" s="3"/>
      <c r="M76" s="3"/>
      <c r="N76" s="3"/>
      <c r="O76" s="3"/>
      <c r="P76" s="3"/>
      <c r="Q76" s="3"/>
      <c r="R76" s="3"/>
      <c r="S76" s="3"/>
      <c r="T76" s="3"/>
      <c r="U76" s="3"/>
      <c r="V76" s="3"/>
      <c r="W76" s="3"/>
      <c r="X76" s="3"/>
      <c r="Y76" s="3"/>
      <c r="Z76" s="3"/>
      <c r="AA76" s="3"/>
    </row>
    <row r="77" ht="105.75" customHeight="1">
      <c r="A77" s="4" t="s">
        <v>9</v>
      </c>
      <c r="B77" s="5" t="s">
        <v>85</v>
      </c>
      <c r="C77" s="4">
        <v>1.0</v>
      </c>
      <c r="D77" s="6">
        <v>45113.422789351855</v>
      </c>
      <c r="E77" s="7" t="str">
        <f t="shared" si="1"/>
        <v>2023-07-06</v>
      </c>
      <c r="F77" s="8" t="str">
        <f t="shared" si="2"/>
        <v> 10:08:49</v>
      </c>
      <c r="G77" s="9" t="str">
        <f t="shared" si="3"/>
        <v>Manhã</v>
      </c>
      <c r="H77" s="10" t="str">
        <f>IFERROR(__xludf.DUMMYFUNCTION("GOOGLETRANSLATE(B77, ""en"", ""pt-br"")"),"Inscrito na minha outra conta via Instagram. Passou um tempo configurando. Tentei postar 3 vezes, mas toda vez que pressionava o botão 'Post' depois de escrever a postagem e adicionar imagens - ele fechou! Não estou impressionado. Somente usando como prec"&amp;"iso estar em todas as mídias sociais, mas realmente não estou feliz com minha experiência de usuário no primeiro dia em que vai ao vivo, e não como você precisa amarrá -lo ao Instagram. Eu preferiria que fosse uma plataforma independente, parece que você "&amp;"está sendo forçado a colocar todos os seus ovos na meta cesta!")</f>
        <v>Inscrito na minha outra conta via Instagram. Passou um tempo configurando. Tentei postar 3 vezes, mas toda vez que pressionava o botão 'Post' depois de escrever a postagem e adicionar imagens - ele fechou! Não estou impressionado. Somente usando como preciso estar em todas as mídias sociais, mas realmente não estou feliz com minha experiência de usuário no primeiro dia em que vai ao vivo, e não como você precisa amarrá -lo ao Instagram. Eu preferiria que fosse uma plataforma independente, parece que você está sendo forçado a colocar todos os seus ovos na meta cesta!</v>
      </c>
      <c r="I77" s="10" t="str">
        <f>IFERROR(__xludf.DUMMYFUNCTION("TRIM(REGEXREPLACE(H77,""[^a-zA-ZÀ-ú ]+"",""""))"),"Inscrito na minha outra conta via Instagram Passou um tempo configurando Tentei postar vezes mas toda vez que pressionava o botão Post depois de escrever a postagem e adicionar imagens ele fechou Não estou impressionado Somente usando como preciso estar e"&amp;"m todas as mídias sociais mas realmente não estou feliz com minha experiência de usuário no primeiro dia em que vai ao vivo e não como você precisa amarrá lo ao Instagram Eu preferiria que fosse uma plataforma independente parece que você está sendo força"&amp;"do a colocar todos os seus ovos na meta cesta")</f>
        <v>Inscrito na minha outra conta via Instagram Passou um tempo configurando Tentei postar vezes mas toda vez que pressionava o botão Post depois de escrever a postagem e adicionar imagens ele fechou Não estou impressionado Somente usando como preciso estar em todas as mídias sociais mas realmente não estou feliz com minha experiência de usuário no primeiro dia em que vai ao vivo e não como você precisa amarrá lo ao Instagram Eu preferiria que fosse uma plataforma independente parece que você está sendo forçado a colocar todos os seus ovos na meta cesta</v>
      </c>
      <c r="J77" s="3"/>
      <c r="K77" s="3"/>
      <c r="L77" s="3"/>
      <c r="M77" s="3"/>
      <c r="N77" s="3"/>
      <c r="O77" s="3"/>
      <c r="P77" s="3"/>
      <c r="Q77" s="3"/>
      <c r="R77" s="3"/>
      <c r="S77" s="3"/>
      <c r="T77" s="3"/>
      <c r="U77" s="3"/>
      <c r="V77" s="3"/>
      <c r="W77" s="3"/>
      <c r="X77" s="3"/>
      <c r="Y77" s="3"/>
      <c r="Z77" s="3"/>
      <c r="AA77" s="3"/>
    </row>
    <row r="78" ht="105.75" customHeight="1">
      <c r="A78" s="4" t="s">
        <v>9</v>
      </c>
      <c r="B78" s="5" t="s">
        <v>86</v>
      </c>
      <c r="C78" s="4">
        <v>3.0</v>
      </c>
      <c r="D78" s="6">
        <v>45115.37150462963</v>
      </c>
      <c r="E78" s="7" t="str">
        <f t="shared" si="1"/>
        <v>2023-07-08</v>
      </c>
      <c r="F78" s="8" t="str">
        <f t="shared" si="2"/>
        <v> 08:54:58</v>
      </c>
      <c r="G78" s="9" t="str">
        <f t="shared" si="3"/>
        <v>Manhã</v>
      </c>
      <c r="H78" s="10" t="str">
        <f>IFERROR(__xludf.DUMMYFUNCTION("GOOGLETRANSLATE(B78, ""en"", ""pt-br"")"),"A ideia por trás deste aplicativo é ótima! É bastante conveniente que esteja conectado à conta Insta. No entanto, a experiência com ele pode ser melhorada. Principalmente, alterando os algoritmos do feed para visualizar apenas os threads de contas que voc"&amp;"ê segue ou adicionando um recurso para filtrar seu feed manualmente, para escolher cujos threads para ver. Espero que esse feedback seja levado em consideração 🙏🙏🙏")</f>
        <v>A ideia por trás deste aplicativo é ótima! É bastante conveniente que esteja conectado à conta Insta. No entanto, a experiência com ele pode ser melhorada. Principalmente, alterando os algoritmos do feed para visualizar apenas os threads de contas que você segue ou adicionando um recurso para filtrar seu feed manualmente, para escolher cujos threads para ver. Espero que esse feedback seja levado em consideração 🙏🙏🙏</v>
      </c>
      <c r="I78" s="10" t="str">
        <f>IFERROR(__xludf.DUMMYFUNCTION("TRIM(REGEXREPLACE(H78,""[^a-zA-ZÀ-ú ]+"",""""))"),"A ideia por trás deste aplicativo é ótima É bastante conveniente que esteja conectado à conta Insta No entanto a experiência com ele pode ser melhorada Principalmente alterando os algoritmos do feed para visualizar apenas os threads de contas que você seg"&amp;"ue ou adicionando um recurso para filtrar seu feed manualmente para escolher cujos threads para ver Espero que esse feedback seja levado em consideração")</f>
        <v>A ideia por trás deste aplicativo é ótima É bastante conveniente que esteja conectado à conta Insta No entanto a experiência com ele pode ser melhorada Principalmente alterando os algoritmos do feed para visualizar apenas os threads de contas que você segue ou adicionando um recurso para filtrar seu feed manualmente para escolher cujos threads para ver Espero que esse feedback seja levado em consideração</v>
      </c>
      <c r="J78" s="3"/>
      <c r="K78" s="3"/>
      <c r="L78" s="3"/>
      <c r="M78" s="3"/>
      <c r="N78" s="3"/>
      <c r="O78" s="3"/>
      <c r="P78" s="3"/>
      <c r="Q78" s="3"/>
      <c r="R78" s="3"/>
      <c r="S78" s="3"/>
      <c r="T78" s="3"/>
      <c r="U78" s="3"/>
      <c r="V78" s="3"/>
      <c r="W78" s="3"/>
      <c r="X78" s="3"/>
      <c r="Y78" s="3"/>
      <c r="Z78" s="3"/>
      <c r="AA78" s="3"/>
    </row>
    <row r="79" ht="105.75" customHeight="1">
      <c r="A79" s="4" t="s">
        <v>9</v>
      </c>
      <c r="B79" s="5" t="s">
        <v>87</v>
      </c>
      <c r="C79" s="4">
        <v>3.0</v>
      </c>
      <c r="D79" s="6">
        <v>45125.929375</v>
      </c>
      <c r="E79" s="7" t="str">
        <f t="shared" si="1"/>
        <v>2023-07-18</v>
      </c>
      <c r="F79" s="8" t="str">
        <f t="shared" si="2"/>
        <v> 22:18:18</v>
      </c>
      <c r="G79" s="9" t="str">
        <f t="shared" si="3"/>
        <v>Noite</v>
      </c>
      <c r="H79" s="10" t="str">
        <f>IFERROR(__xludf.DUMMYFUNCTION("GOOGLETRANSLATE(B79, ""en"", ""pt-br"")"),"10/10 Para a interface do usuário, parece legal e limpo. Mas o feed está infestado de conteúdo sugerido. Pelo menos no Twitter, você pode separar o conteúdo sugerido do conteúdo das entidades que você realmente escolhe seguir. Pode ter algum interesse em "&amp;"tópicos se eles implementarem esse recurso, mas por enquanto ... Bai")</f>
        <v>10/10 Para a interface do usuário, parece legal e limpo. Mas o feed está infestado de conteúdo sugerido. Pelo menos no Twitter, você pode separar o conteúdo sugerido do conteúdo das entidades que você realmente escolhe seguir. Pode ter algum interesse em tópicos se eles implementarem esse recurso, mas por enquanto ... Bai</v>
      </c>
      <c r="I79" s="10" t="str">
        <f>IFERROR(__xludf.DUMMYFUNCTION("TRIM(REGEXREPLACE(H79,""[^a-zA-ZÀ-ú ]+"",""""))"),"Para a interface do usuário parece legal e limpo Mas o feed está infestado de conteúdo sugerido Pelo menos no Twitter você pode separar o conteúdo sugerido do conteúdo das entidades que você realmente escolhe seguir Pode ter algum interesse em tópicos se "&amp;"eles implementarem esse recurso mas por enquanto Bai")</f>
        <v>Para a interface do usuário parece legal e limpo Mas o feed está infestado de conteúdo sugerido Pelo menos no Twitter você pode separar o conteúdo sugerido do conteúdo das entidades que você realmente escolhe seguir Pode ter algum interesse em tópicos se eles implementarem esse recurso mas por enquanto Bai</v>
      </c>
      <c r="J79" s="3"/>
      <c r="K79" s="3"/>
      <c r="L79" s="3"/>
      <c r="M79" s="3"/>
      <c r="N79" s="3"/>
      <c r="O79" s="3"/>
      <c r="P79" s="3"/>
      <c r="Q79" s="3"/>
      <c r="R79" s="3"/>
      <c r="S79" s="3"/>
      <c r="T79" s="3"/>
      <c r="U79" s="3"/>
      <c r="V79" s="3"/>
      <c r="W79" s="3"/>
      <c r="X79" s="3"/>
      <c r="Y79" s="3"/>
      <c r="Z79" s="3"/>
      <c r="AA79" s="3"/>
    </row>
    <row r="80" ht="105.75" customHeight="1">
      <c r="A80" s="4" t="s">
        <v>9</v>
      </c>
      <c r="B80" s="5" t="s">
        <v>88</v>
      </c>
      <c r="C80" s="4">
        <v>2.0</v>
      </c>
      <c r="D80" s="6">
        <v>45114.48721064815</v>
      </c>
      <c r="E80" s="7" t="str">
        <f t="shared" si="1"/>
        <v>2023-07-07</v>
      </c>
      <c r="F80" s="8" t="str">
        <f t="shared" si="2"/>
        <v> 11:41:35</v>
      </c>
      <c r="G80" s="9" t="str">
        <f t="shared" si="3"/>
        <v>Manhã</v>
      </c>
      <c r="H80" s="10" t="str">
        <f>IFERROR(__xludf.DUMMYFUNCTION("GOOGLETRANSLATE(B80, ""en"", ""pt-br"")"),"É praticamente a versão do Facebook do Twitter. Infelizmente, o aplicativo é instável e não possui recursos básicos encontrados no aplicativo de seus pais, como a troca de contas. Sempre que abro ""threads"" (responde a uma postagem no aplicativo), o apli"&amp;"cativo trava todas as vezes. É muito embaraçoso ter o recurso principal com cortado. O aplicativo é uma ideia não original e precisa de melhorias significativas. Se funcionasse, poderia classificar o feed, mudar de conta e postar áudio, eu daria 4⭐ Estou "&amp;"usando o Oxygen OS 13.1 (OnePlus 10 Pro)")</f>
        <v>É praticamente a versão do Facebook do Twitter. Infelizmente, o aplicativo é instável e não possui recursos básicos encontrados no aplicativo de seus pais, como a troca de contas. Sempre que abro "threads" (responde a uma postagem no aplicativo), o aplicativo trava todas as vezes. É muito embaraçoso ter o recurso principal com cortado. O aplicativo é uma ideia não original e precisa de melhorias significativas. Se funcionasse, poderia classificar o feed, mudar de conta e postar áudio, eu daria 4⭐ Estou usando o Oxygen OS 13.1 (OnePlus 10 Pro)</v>
      </c>
      <c r="I80" s="10" t="str">
        <f>IFERROR(__xludf.DUMMYFUNCTION("TRIM(REGEXREPLACE(H80,""[^a-zA-ZÀ-ú ]+"",""""))"),"É praticamente a versão do Facebook do Twitter Infelizmente o aplicativo é instável e não possui recursos básicos encontrados no aplicativo de seus pais como a troca de contas Sempre que abro threads responde a uma postagem no aplicativo o aplicativo trav"&amp;"a todas as vezes É muito embaraçoso ter o recurso principal com cortado O aplicativo é uma ideia não original e precisa de melhorias significativas Se funcionasse poderia classificar o feed mudar de conta e postar áudio eu daria Estou usando o Oxygen OS O"&amp;"nePlus Pro")</f>
        <v>É praticamente a versão do Facebook do Twitter Infelizmente o aplicativo é instável e não possui recursos básicos encontrados no aplicativo de seus pais como a troca de contas Sempre que abro threads responde a uma postagem no aplicativo o aplicativo trava todas as vezes É muito embaraçoso ter o recurso principal com cortado O aplicativo é uma ideia não original e precisa de melhorias significativas Se funcionasse poderia classificar o feed mudar de conta e postar áudio eu daria Estou usando o Oxygen OS OnePlus Pro</v>
      </c>
      <c r="J80" s="3"/>
      <c r="K80" s="3"/>
      <c r="L80" s="3"/>
      <c r="M80" s="3"/>
      <c r="N80" s="3"/>
      <c r="O80" s="3"/>
      <c r="P80" s="3"/>
      <c r="Q80" s="3"/>
      <c r="R80" s="3"/>
      <c r="S80" s="3"/>
      <c r="T80" s="3"/>
      <c r="U80" s="3"/>
      <c r="V80" s="3"/>
      <c r="W80" s="3"/>
      <c r="X80" s="3"/>
      <c r="Y80" s="3"/>
      <c r="Z80" s="3"/>
      <c r="AA80" s="3"/>
    </row>
    <row r="81" ht="105.75" customHeight="1">
      <c r="A81" s="4" t="s">
        <v>9</v>
      </c>
      <c r="B81" s="5" t="s">
        <v>89</v>
      </c>
      <c r="C81" s="4">
        <v>2.0</v>
      </c>
      <c r="D81" s="6">
        <v>45130.448645833334</v>
      </c>
      <c r="E81" s="7" t="str">
        <f t="shared" si="1"/>
        <v>2023-07-23</v>
      </c>
      <c r="F81" s="8" t="str">
        <f t="shared" si="2"/>
        <v> 10:46:03</v>
      </c>
      <c r="G81" s="9" t="str">
        <f t="shared" si="3"/>
        <v>Manhã</v>
      </c>
      <c r="H81" s="10" t="str">
        <f>IFERROR(__xludf.DUMMYFUNCTION("GOOGLETRANSLATE(B81, ""en"", ""pt-br"")"),"A falha fatal deste aplicativo é o feed. Quase toda vez que eu entro em tópicos, meu feed é totalmente composto de pessoas aleatórias que não sigo e não me importo com o significado, desligarei o aplicativo quase imediatamente. Todo esse aplicativo seria "&amp;"salvo dividindo as guias em uma seguinte e uma descoberta. No momento, não vale a pena.")</f>
        <v>A falha fatal deste aplicativo é o feed. Quase toda vez que eu entro em tópicos, meu feed é totalmente composto de pessoas aleatórias que não sigo e não me importo com o significado, desligarei o aplicativo quase imediatamente. Todo esse aplicativo seria salvo dividindo as guias em uma seguinte e uma descoberta. No momento, não vale a pena.</v>
      </c>
      <c r="I81" s="10" t="str">
        <f>IFERROR(__xludf.DUMMYFUNCTION("TRIM(REGEXREPLACE(H81,""[^a-zA-ZÀ-ú ]+"",""""))"),"A falha fatal deste aplicativo é o feed Quase toda vez que eu entro em tópicos meu feed é totalmente composto de pessoas aleatórias que não sigo e não me importo com o significado desligarei o aplicativo quase imediatamente Todo esse aplicativo seria salv"&amp;"o dividindo as guias em uma seguinte e uma descoberta No momento não vale a pena")</f>
        <v>A falha fatal deste aplicativo é o feed Quase toda vez que eu entro em tópicos meu feed é totalmente composto de pessoas aleatórias que não sigo e não me importo com o significado desligarei o aplicativo quase imediatamente Todo esse aplicativo seria salvo dividindo as guias em uma seguinte e uma descoberta No momento não vale a pena</v>
      </c>
      <c r="J81" s="3"/>
      <c r="K81" s="3"/>
      <c r="L81" s="3"/>
      <c r="M81" s="3"/>
      <c r="N81" s="3"/>
      <c r="O81" s="3"/>
      <c r="P81" s="3"/>
      <c r="Q81" s="3"/>
      <c r="R81" s="3"/>
      <c r="S81" s="3"/>
      <c r="T81" s="3"/>
      <c r="U81" s="3"/>
      <c r="V81" s="3"/>
      <c r="W81" s="3"/>
      <c r="X81" s="3"/>
      <c r="Y81" s="3"/>
      <c r="Z81" s="3"/>
      <c r="AA81" s="3"/>
    </row>
    <row r="82" ht="105.75" customHeight="1">
      <c r="A82" s="4" t="s">
        <v>9</v>
      </c>
      <c r="B82" s="5" t="s">
        <v>90</v>
      </c>
      <c r="C82" s="4">
        <v>3.0</v>
      </c>
      <c r="D82" s="6">
        <v>45116.41556712963</v>
      </c>
      <c r="E82" s="7" t="str">
        <f t="shared" si="1"/>
        <v>2023-07-09</v>
      </c>
      <c r="F82" s="8" t="str">
        <f t="shared" si="2"/>
        <v> 09:58:25</v>
      </c>
      <c r="G82" s="9" t="str">
        <f t="shared" si="3"/>
        <v>Manhã</v>
      </c>
      <c r="H82" s="10" t="str">
        <f>IFERROR(__xludf.DUMMYFUNCTION("GOOGLETRANSLATE(B82, ""en"", ""pt-br"")"),"Bom para os primeiros dias, um pouco falhas e muito para construir ainda. No meio da redação de uma postagem, o aplicativo fecha completamente e perde o conteúdo, por isso estou tendo que escrevê -lo nas minhas anotações. Se você escrever uma postagem lon"&amp;"ga, o teclado do seu telefone está no caminho, pois a caixa de texto Threads não muda quanto mais você escreve, para que você não possa alterar erros ou texto. Estou vendo muitas postagens de pessoas que não sigo e não tenho interesse. Um aplicativo famil"&amp;"iar e familiar, por isso gosto até agora.")</f>
        <v>Bom para os primeiros dias, um pouco falhas e muito para construir ainda. No meio da redação de uma postagem, o aplicativo fecha completamente e perde o conteúdo, por isso estou tendo que escrevê -lo nas minhas anotações. Se você escrever uma postagem longa, o teclado do seu telefone está no caminho, pois a caixa de texto Threads não muda quanto mais você escreve, para que você não possa alterar erros ou texto. Estou vendo muitas postagens de pessoas que não sigo e não tenho interesse. Um aplicativo familiar e familiar, por isso gosto até agora.</v>
      </c>
      <c r="I82" s="10" t="str">
        <f>IFERROR(__xludf.DUMMYFUNCTION("TRIM(REGEXREPLACE(H82,""[^a-zA-ZÀ-ú ]+"",""""))"),"Bom para os primeiros dias um pouco falhas e muito para construir ainda No meio da redação de uma postagem o aplicativo fecha completamente e perde o conteúdo por isso estou tendo que escrevê lo nas minhas anotações Se você escrever uma postagem longa o t"&amp;"eclado do seu telefone está no caminho pois a caixa de texto Threads não muda quanto mais você escreve para que você não possa alterar erros ou texto Estou vendo muitas postagens de pessoas que não sigo e não tenho interesse Um aplicativo familiar e famil"&amp;"iar por isso gosto até agora")</f>
        <v>Bom para os primeiros dias um pouco falhas e muito para construir ainda No meio da redação de uma postagem o aplicativo fecha completamente e perde o conteúdo por isso estou tendo que escrevê lo nas minhas anotações Se você escrever uma postagem longa o teclado do seu telefone está no caminho pois a caixa de texto Threads não muda quanto mais você escreve para que você não possa alterar erros ou texto Estou vendo muitas postagens de pessoas que não sigo e não tenho interesse Um aplicativo familiar e familiar por isso gosto até agora</v>
      </c>
      <c r="J82" s="3"/>
      <c r="K82" s="3"/>
      <c r="L82" s="3"/>
      <c r="M82" s="3"/>
      <c r="N82" s="3"/>
      <c r="O82" s="3"/>
      <c r="P82" s="3"/>
      <c r="Q82" s="3"/>
      <c r="R82" s="3"/>
      <c r="S82" s="3"/>
      <c r="T82" s="3"/>
      <c r="U82" s="3"/>
      <c r="V82" s="3"/>
      <c r="W82" s="3"/>
      <c r="X82" s="3"/>
      <c r="Y82" s="3"/>
      <c r="Z82" s="3"/>
      <c r="AA82" s="3"/>
    </row>
    <row r="83" ht="105.75" customHeight="1">
      <c r="A83" s="4" t="s">
        <v>9</v>
      </c>
      <c r="B83" s="5" t="s">
        <v>91</v>
      </c>
      <c r="C83" s="4">
        <v>1.0</v>
      </c>
      <c r="D83" s="6">
        <v>45114.04121527778</v>
      </c>
      <c r="E83" s="7" t="str">
        <f t="shared" si="1"/>
        <v>2023-07-07</v>
      </c>
      <c r="F83" s="8" t="str">
        <f t="shared" si="2"/>
        <v> 00:59:21</v>
      </c>
      <c r="G83" s="9" t="str">
        <f t="shared" si="3"/>
        <v>Manhã</v>
      </c>
      <c r="H83" s="10" t="str">
        <f>IFERROR(__xludf.DUMMYFUNCTION("GOOGLETRANSLATE(B83, ""en"", ""pt-br"")"),"Terrível em termos de privacidade e falta de muitos recursos essenciais, como uma linha do tempo apenas para aqueles que você segue. Ao usar isso (e outros meta aplicativos), você está dando basicamente quase tudo sobre você a uma empresa com um histórico"&amp;" horrível quando se trata de lidar adequadamente com os dados do usuário. Em vez disso, tente o Mastodon, o processo de integração realmente melhorou recentemente e possui muito mais recursos.")</f>
        <v>Terrível em termos de privacidade e falta de muitos recursos essenciais, como uma linha do tempo apenas para aqueles que você segue. Ao usar isso (e outros meta aplicativos), você está dando basicamente quase tudo sobre você a uma empresa com um histórico horrível quando se trata de lidar adequadamente com os dados do usuário. Em vez disso, tente o Mastodon, o processo de integração realmente melhorou recentemente e possui muito mais recursos.</v>
      </c>
      <c r="I83" s="10" t="str">
        <f>IFERROR(__xludf.DUMMYFUNCTION("TRIM(REGEXREPLACE(H83,""[^a-zA-ZÀ-ú ]+"",""""))"),"Terrível em termos de privacidade e falta de muitos recursos essenciais como uma linha do tempo apenas para aqueles que você segue Ao usar isso e outros meta aplicativos você está dando basicamente quase tudo sobre você a uma empresa com um histórico horr"&amp;"ível quando se trata de lidar adequadamente com os dados do usuário Em vez disso tente o Mastodon o processo de integração realmente melhorou recentemente e possui muito mais recursos")</f>
        <v>Terrível em termos de privacidade e falta de muitos recursos essenciais como uma linha do tempo apenas para aqueles que você segue Ao usar isso e outros meta aplicativos você está dando basicamente quase tudo sobre você a uma empresa com um histórico horrível quando se trata de lidar adequadamente com os dados do usuário Em vez disso tente o Mastodon o processo de integração realmente melhorou recentemente e possui muito mais recursos</v>
      </c>
      <c r="J83" s="3"/>
      <c r="K83" s="3"/>
      <c r="L83" s="3"/>
      <c r="M83" s="3"/>
      <c r="N83" s="3"/>
      <c r="O83" s="3"/>
      <c r="P83" s="3"/>
      <c r="Q83" s="3"/>
      <c r="R83" s="3"/>
      <c r="S83" s="3"/>
      <c r="T83" s="3"/>
      <c r="U83" s="3"/>
      <c r="V83" s="3"/>
      <c r="W83" s="3"/>
      <c r="X83" s="3"/>
      <c r="Y83" s="3"/>
      <c r="Z83" s="3"/>
      <c r="AA83" s="3"/>
    </row>
    <row r="84" ht="105.75" customHeight="1">
      <c r="A84" s="4" t="s">
        <v>9</v>
      </c>
      <c r="B84" s="5" t="s">
        <v>92</v>
      </c>
      <c r="C84" s="4">
        <v>3.0</v>
      </c>
      <c r="D84" s="6">
        <v>45113.42381944445</v>
      </c>
      <c r="E84" s="7" t="str">
        <f t="shared" si="1"/>
        <v>2023-07-06</v>
      </c>
      <c r="F84" s="8" t="str">
        <f t="shared" si="2"/>
        <v> 10:10:18</v>
      </c>
      <c r="G84" s="9" t="str">
        <f t="shared" si="3"/>
        <v>Manhã</v>
      </c>
      <c r="H84" s="10" t="str">
        <f>IFERROR(__xludf.DUMMYFUNCTION("GOOGLETRANSLATE(B84, ""en"", ""pt-br"")"),"Há algumas falhas que notei. 1. Responder no thread vai para o fundo, não o abaixo do tópico que significava ser respondido 2. 4. Não é possível toque 2x Toque para ampliar a imagem, devo prendê -la para ampliar o zoom e ela não permanece imóvel na imagem"&amp;", ela sempre remonta ao tamanho original. 5. VÍDEO UI/UX não é muito interativo e intuitivo, não posso dizer a duração 6. Nenhuma barra de mídia no perfil 7. sem hastags")</f>
        <v>Há algumas falhas que notei. 1. Responder no thread vai para o fundo, não o abaixo do tópico que significava ser respondido 2. 4. Não é possível toque 2x Toque para ampliar a imagem, devo prendê -la para ampliar o zoom e ela não permanece imóvel na imagem, ela sempre remonta ao tamanho original. 5. VÍDEO UI/UX não é muito interativo e intuitivo, não posso dizer a duração 6. Nenhuma barra de mídia no perfil 7. sem hastags</v>
      </c>
      <c r="I84" s="10" t="str">
        <f>IFERROR(__xludf.DUMMYFUNCTION("TRIM(REGEXREPLACE(H84,""[^a-zA-ZÀ-ú ]+"",""""))"),"Há algumas falhas que notei Responder no thread vai para o fundo não o abaixo do tópico que significava ser respondido Não é possível toque x Toque para ampliar a imagem devo prendê la para ampliar o zoom e ela não permanece imóvel na imagem ela sempre re"&amp;"monta ao tamanho original VÍDEO UIUX não é muito interativo e intuitivo não posso dizer a duração Nenhuma barra de mídia no perfil sem hastags")</f>
        <v>Há algumas falhas que notei Responder no thread vai para o fundo não o abaixo do tópico que significava ser respondido Não é possível toque x Toque para ampliar a imagem devo prendê la para ampliar o zoom e ela não permanece imóvel na imagem ela sempre remonta ao tamanho original VÍDEO UIUX não é muito interativo e intuitivo não posso dizer a duração Nenhuma barra de mídia no perfil sem hastags</v>
      </c>
      <c r="J84" s="3"/>
      <c r="K84" s="3"/>
      <c r="L84" s="3"/>
      <c r="M84" s="3"/>
      <c r="N84" s="3"/>
      <c r="O84" s="3"/>
      <c r="P84" s="3"/>
      <c r="Q84" s="3"/>
      <c r="R84" s="3"/>
      <c r="S84" s="3"/>
      <c r="T84" s="3"/>
      <c r="U84" s="3"/>
      <c r="V84" s="3"/>
      <c r="W84" s="3"/>
      <c r="X84" s="3"/>
      <c r="Y84" s="3"/>
      <c r="Z84" s="3"/>
      <c r="AA84" s="3"/>
    </row>
    <row r="85" ht="105.75" customHeight="1">
      <c r="A85" s="4" t="s">
        <v>9</v>
      </c>
      <c r="B85" s="5" t="s">
        <v>93</v>
      </c>
      <c r="C85" s="4">
        <v>2.0</v>
      </c>
      <c r="D85" s="6">
        <v>45114.13738425926</v>
      </c>
      <c r="E85" s="7" t="str">
        <f t="shared" si="1"/>
        <v>2023-07-07</v>
      </c>
      <c r="F85" s="8" t="str">
        <f t="shared" si="2"/>
        <v> 03:17:50</v>
      </c>
      <c r="G85" s="9" t="str">
        <f t="shared" si="3"/>
        <v>Manhã</v>
      </c>
      <c r="H85" s="10" t="str">
        <f>IFERROR(__xludf.DUMMYFUNCTION("GOOGLETRANSLATE(B85, ""en"", ""pt-br"")"),"Portanto, problemas imediatos: a maneira de escolher arquivos é incorporável e horrível. Escrever respostas a qualquer postagem é frustrante porque o teclado o cobrirá. A curadoria do seu feed é difícil, na melhor das hipóteses, na pior das hipóteses, poi"&amp;"s, a princípio, mostra apenas as postagens da conta verificada - exceto que você literalmente não pode procurar tópicos que gosta de interagir com eles e selecionar seu algoritmo. Eu realmente espero que melhore.")</f>
        <v>Portanto, problemas imediatos: a maneira de escolher arquivos é incorporável e horrível. Escrever respostas a qualquer postagem é frustrante porque o teclado o cobrirá. A curadoria do seu feed é difícil, na melhor das hipóteses, na pior das hipóteses, pois, a princípio, mostra apenas as postagens da conta verificada - exceto que você literalmente não pode procurar tópicos que gosta de interagir com eles e selecionar seu algoritmo. Eu realmente espero que melhore.</v>
      </c>
      <c r="I85" s="10" t="str">
        <f>IFERROR(__xludf.DUMMYFUNCTION("TRIM(REGEXREPLACE(H85,""[^a-zA-ZÀ-ú ]+"",""""))"),"Portanto problemas imediatos a maneira de escolher arquivos é incorporável e horrível Escrever respostas a qualquer postagem é frustrante porque o teclado o cobrirá A curadoria do seu feed é difícil na melhor das hipóteses na pior das hipóteses pois a pri"&amp;"ncípio mostra apenas as postagens da conta verificada exceto que você literalmente não pode procurar tópicos que gosta de interagir com eles e selecionar seu algoritmo Eu realmente espero que melhore")</f>
        <v>Portanto problemas imediatos a maneira de escolher arquivos é incorporável e horrível Escrever respostas a qualquer postagem é frustrante porque o teclado o cobrirá A curadoria do seu feed é difícil na melhor das hipóteses na pior das hipóteses pois a princípio mostra apenas as postagens da conta verificada exceto que você literalmente não pode procurar tópicos que gosta de interagir com eles e selecionar seu algoritmo Eu realmente espero que melhore</v>
      </c>
      <c r="J85" s="3"/>
      <c r="K85" s="3"/>
      <c r="L85" s="3"/>
      <c r="M85" s="3"/>
      <c r="N85" s="3"/>
      <c r="O85" s="3"/>
      <c r="P85" s="3"/>
      <c r="Q85" s="3"/>
      <c r="R85" s="3"/>
      <c r="S85" s="3"/>
      <c r="T85" s="3"/>
      <c r="U85" s="3"/>
      <c r="V85" s="3"/>
      <c r="W85" s="3"/>
      <c r="X85" s="3"/>
      <c r="Y85" s="3"/>
      <c r="Z85" s="3"/>
      <c r="AA85" s="3"/>
    </row>
    <row r="86" ht="105.75" customHeight="1">
      <c r="A86" s="4" t="s">
        <v>9</v>
      </c>
      <c r="B86" s="5" t="s">
        <v>94</v>
      </c>
      <c r="C86" s="4">
        <v>3.0</v>
      </c>
      <c r="D86" s="6">
        <v>45124.52726851852</v>
      </c>
      <c r="E86" s="7" t="str">
        <f t="shared" si="1"/>
        <v>2023-07-17</v>
      </c>
      <c r="F86" s="8" t="str">
        <f t="shared" si="2"/>
        <v> 12:39:16</v>
      </c>
      <c r="G86" s="9" t="str">
        <f t="shared" si="3"/>
        <v>Tarde</v>
      </c>
      <c r="H86" s="10" t="str">
        <f>IFERROR(__xludf.DUMMYFUNCTION("GOOGLETRANSLATE(B86, ""en"", ""pt-br"")"),"A partir de duas semanas desde o lançamento público agora e este aplicativo está começando a sofrer de falta de recursos muito comuns (que honestamente deveriam ter sido padrão no lançamento). Nenhuma capacidade de filtrar seu feed ou pesquisa de postagen"&amp;"s/tags. A importação de seguidores parece estar confusa para aqueles com seguidores maiores. Tem algumas coisas boas, como no tópico de linha, adicionando uma boa exibição de mídia. Mas isso não é suficiente para manter o aplicativo à tona por conta própr"&amp;"ia.")</f>
        <v>A partir de duas semanas desde o lançamento público agora e este aplicativo está começando a sofrer de falta de recursos muito comuns (que honestamente deveriam ter sido padrão no lançamento). Nenhuma capacidade de filtrar seu feed ou pesquisa de postagens/tags. A importação de seguidores parece estar confusa para aqueles com seguidores maiores. Tem algumas coisas boas, como no tópico de linha, adicionando uma boa exibição de mídia. Mas isso não é suficiente para manter o aplicativo à tona por conta própria.</v>
      </c>
      <c r="I86" s="10" t="str">
        <f>IFERROR(__xludf.DUMMYFUNCTION("TRIM(REGEXREPLACE(H86,""[^a-zA-ZÀ-ú ]+"",""""))"),"A partir de duas semanas desde o lançamento público agora e este aplicativo está começando a sofrer de falta de recursos muito comuns que honestamente deveriam ter sido padrão no lançamento Nenhuma capacidade de filtrar seu feed ou pesquisa de postagensta"&amp;"gs A importação de seguidores parece estar confusa para aqueles com seguidores maiores Tem algumas coisas boas como no tópico de linha adicionando uma boa exibição de mídia Mas isso não é suficiente para manter o aplicativo à tona por conta própria")</f>
        <v>A partir de duas semanas desde o lançamento público agora e este aplicativo está começando a sofrer de falta de recursos muito comuns que honestamente deveriam ter sido padrão no lançamento Nenhuma capacidade de filtrar seu feed ou pesquisa de postagenstags A importação de seguidores parece estar confusa para aqueles com seguidores maiores Tem algumas coisas boas como no tópico de linha adicionando uma boa exibição de mídia Mas isso não é suficiente para manter o aplicativo à tona por conta própria</v>
      </c>
      <c r="J86" s="3"/>
      <c r="K86" s="3"/>
      <c r="L86" s="3"/>
      <c r="M86" s="3"/>
      <c r="N86" s="3"/>
      <c r="O86" s="3"/>
      <c r="P86" s="3"/>
      <c r="Q86" s="3"/>
      <c r="R86" s="3"/>
      <c r="S86" s="3"/>
      <c r="T86" s="3"/>
      <c r="U86" s="3"/>
      <c r="V86" s="3"/>
      <c r="W86" s="3"/>
      <c r="X86" s="3"/>
      <c r="Y86" s="3"/>
      <c r="Z86" s="3"/>
      <c r="AA86" s="3"/>
    </row>
    <row r="87" ht="105.75" customHeight="1">
      <c r="A87" s="4" t="s">
        <v>9</v>
      </c>
      <c r="B87" s="5" t="s">
        <v>95</v>
      </c>
      <c r="C87" s="4">
        <v>2.0</v>
      </c>
      <c r="D87" s="6">
        <v>45120.57902777778</v>
      </c>
      <c r="E87" s="7" t="str">
        <f t="shared" si="1"/>
        <v>2023-07-13</v>
      </c>
      <c r="F87" s="8" t="str">
        <f t="shared" si="2"/>
        <v> 13:53:48</v>
      </c>
      <c r="G87" s="9" t="str">
        <f t="shared" si="3"/>
        <v>Tarde</v>
      </c>
      <c r="H87" s="10" t="str">
        <f>IFERROR(__xludf.DUMMYFUNCTION("GOOGLETRANSLATE(B87, ""en"", ""pt-br"")"),"Escrevi palavras e tentei corrigir ortografia ou erro errado em palavras. Depois de pressionar o botão Excluir ou para trás, não pude mais escrever mais palavras. Eu tive que descartar o tópico atual e tentei escrever um novo thread. No novo, o erro desap"&amp;"areceu até que eu pressionei o botão Excluir texto. Para sua informação, aconteceu no Andriod Mobile App quando eu queria postar um novo tópico. Eu quero que você corrija este bug muito em breve.")</f>
        <v>Escrevi palavras e tentei corrigir ortografia ou erro errado em palavras. Depois de pressionar o botão Excluir ou para trás, não pude mais escrever mais palavras. Eu tive que descartar o tópico atual e tentei escrever um novo thread. No novo, o erro desapareceu até que eu pressionei o botão Excluir texto. Para sua informação, aconteceu no Andriod Mobile App quando eu queria postar um novo tópico. Eu quero que você corrija este bug muito em breve.</v>
      </c>
      <c r="I87" s="10" t="str">
        <f>IFERROR(__xludf.DUMMYFUNCTION("TRIM(REGEXREPLACE(H87,""[^a-zA-ZÀ-ú ]+"",""""))"),"Escrevi palavras e tentei corrigir ortografia ou erro errado em palavras Depois de pressionar o botão Excluir ou para trás não pude mais escrever mais palavras Eu tive que descartar o tópico atual e tentei escrever um novo thread No novo o erro desaparece"&amp;"u até que eu pressionei o botão Excluir texto Para sua informação aconteceu no Andriod Mobile App quando eu queria postar um novo tópico Eu quero que você corrija este bug muito em breve")</f>
        <v>Escrevi palavras e tentei corrigir ortografia ou erro errado em palavras Depois de pressionar o botão Excluir ou para trás não pude mais escrever mais palavras Eu tive que descartar o tópico atual e tentei escrever um novo thread No novo o erro desapareceu até que eu pressionei o botão Excluir texto Para sua informação aconteceu no Andriod Mobile App quando eu queria postar um novo tópico Eu quero que você corrija este bug muito em breve</v>
      </c>
      <c r="J87" s="3"/>
      <c r="K87" s="3"/>
      <c r="L87" s="3"/>
      <c r="M87" s="3"/>
      <c r="N87" s="3"/>
      <c r="O87" s="3"/>
      <c r="P87" s="3"/>
      <c r="Q87" s="3"/>
      <c r="R87" s="3"/>
      <c r="S87" s="3"/>
      <c r="T87" s="3"/>
      <c r="U87" s="3"/>
      <c r="V87" s="3"/>
      <c r="W87" s="3"/>
      <c r="X87" s="3"/>
      <c r="Y87" s="3"/>
      <c r="Z87" s="3"/>
      <c r="AA87" s="3"/>
    </row>
    <row r="88" ht="105.75" customHeight="1">
      <c r="A88" s="4" t="s">
        <v>9</v>
      </c>
      <c r="B88" s="5" t="s">
        <v>96</v>
      </c>
      <c r="C88" s="4">
        <v>1.0</v>
      </c>
      <c r="D88" s="6">
        <v>45130.76956018519</v>
      </c>
      <c r="E88" s="7" t="str">
        <f t="shared" si="1"/>
        <v>2023-07-23</v>
      </c>
      <c r="F88" s="8" t="str">
        <f t="shared" si="2"/>
        <v> 18:28:10</v>
      </c>
      <c r="G88" s="9" t="str">
        <f t="shared" si="3"/>
        <v>Noite</v>
      </c>
      <c r="H88" s="10" t="str">
        <f>IFERROR(__xludf.DUMMYFUNCTION("GOOGLETRANSLATE(B88, ""en"", ""pt-br"")"),"Inútil até agora. Não tenho idéia do que o feed está fazendo. Não está me mostrando nenhuma das contas que eu sigo, e a rara que vejo que a postagem tem 20 horas de idade. Não há como classificar por sugeridas, seguidas, listas pessoais mais recentes, qua"&amp;"lquer coisa. Não há hashtags, não há como realmente procurar o conteúdo que eu quero seguir. Apresse -se e continue adicionando mais recursos para tornar essa coisa funcional.")</f>
        <v>Inútil até agora. Não tenho idéia do que o feed está fazendo. Não está me mostrando nenhuma das contas que eu sigo, e a rara que vejo que a postagem tem 20 horas de idade. Não há como classificar por sugeridas, seguidas, listas pessoais mais recentes, qualquer coisa. Não há hashtags, não há como realmente procurar o conteúdo que eu quero seguir. Apresse -se e continue adicionando mais recursos para tornar essa coisa funcional.</v>
      </c>
      <c r="I88" s="10" t="str">
        <f>IFERROR(__xludf.DUMMYFUNCTION("TRIM(REGEXREPLACE(H88,""[^a-zA-ZÀ-ú ]+"",""""))"),"Inútil até agora Não tenho idéia do que o feed está fazendo Não está me mostrando nenhuma das contas que eu sigo e a rara que vejo que a postagem tem horas de idade Não há como classificar por sugeridas seguidas listas pessoais mais recentes qualquer cois"&amp;"a Não há hashtags não há como realmente procurar o conteúdo que eu quero seguir Apresse se e continue adicionando mais recursos para tornar essa coisa funcional")</f>
        <v>Inútil até agora Não tenho idéia do que o feed está fazendo Não está me mostrando nenhuma das contas que eu sigo e a rara que vejo que a postagem tem horas de idade Não há como classificar por sugeridas seguidas listas pessoais mais recentes qualquer coisa Não há hashtags não há como realmente procurar o conteúdo que eu quero seguir Apresse se e continue adicionando mais recursos para tornar essa coisa funcional</v>
      </c>
      <c r="J88" s="3"/>
      <c r="K88" s="3"/>
      <c r="L88" s="3"/>
      <c r="M88" s="3"/>
      <c r="N88" s="3"/>
      <c r="O88" s="3"/>
      <c r="P88" s="3"/>
      <c r="Q88" s="3"/>
      <c r="R88" s="3"/>
      <c r="S88" s="3"/>
      <c r="T88" s="3"/>
      <c r="U88" s="3"/>
      <c r="V88" s="3"/>
      <c r="W88" s="3"/>
      <c r="X88" s="3"/>
      <c r="Y88" s="3"/>
      <c r="Z88" s="3"/>
      <c r="AA88" s="3"/>
    </row>
    <row r="89" ht="105.75" customHeight="1">
      <c r="A89" s="4" t="s">
        <v>9</v>
      </c>
      <c r="B89" s="5" t="s">
        <v>97</v>
      </c>
      <c r="C89" s="4">
        <v>3.0</v>
      </c>
      <c r="D89" s="6">
        <v>45119.85886574074</v>
      </c>
      <c r="E89" s="7" t="str">
        <f t="shared" si="1"/>
        <v>2023-07-12</v>
      </c>
      <c r="F89" s="8" t="str">
        <f t="shared" si="2"/>
        <v> 20:36:46</v>
      </c>
      <c r="G89" s="9" t="str">
        <f t="shared" si="3"/>
        <v>Noite</v>
      </c>
      <c r="H89" s="10" t="str">
        <f>IFERROR(__xludf.DUMMYFUNCTION("GOOGLETRANSLATE(B89, ""en"", ""pt-br"")"),"Um ótimo começo, mas precisa de muitas melhorias. Somente poder ver as postagens dos seguidores em seu feed para um, uma opção para editar fotos e vídeos antes de publicá -los, também é comum o aplicativo travar enquanto tenta fazer upload de fotos e víde"&amp;"os.")</f>
        <v>Um ótimo começo, mas precisa de muitas melhorias. Somente poder ver as postagens dos seguidores em seu feed para um, uma opção para editar fotos e vídeos antes de publicá -los, também é comum o aplicativo travar enquanto tenta fazer upload de fotos e vídeos.</v>
      </c>
      <c r="I89" s="10" t="str">
        <f>IFERROR(__xludf.DUMMYFUNCTION("TRIM(REGEXREPLACE(H89,""[^a-zA-ZÀ-ú ]+"",""""))"),"Um ótimo começo mas precisa de muitas melhorias Somente poder ver as postagens dos seguidores em seu feed para um uma opção para editar fotos e vídeos antes de publicá los também é comum o aplicativo travar enquanto tenta fazer upload de fotos e vídeos")</f>
        <v>Um ótimo começo mas precisa de muitas melhorias Somente poder ver as postagens dos seguidores em seu feed para um uma opção para editar fotos e vídeos antes de publicá los também é comum o aplicativo travar enquanto tenta fazer upload de fotos e vídeos</v>
      </c>
      <c r="J89" s="3"/>
      <c r="K89" s="3"/>
      <c r="L89" s="3"/>
      <c r="M89" s="3"/>
      <c r="N89" s="3"/>
      <c r="O89" s="3"/>
      <c r="P89" s="3"/>
      <c r="Q89" s="3"/>
      <c r="R89" s="3"/>
      <c r="S89" s="3"/>
      <c r="T89" s="3"/>
      <c r="U89" s="3"/>
      <c r="V89" s="3"/>
      <c r="W89" s="3"/>
      <c r="X89" s="3"/>
      <c r="Y89" s="3"/>
      <c r="Z89" s="3"/>
      <c r="AA89" s="3"/>
    </row>
    <row r="90" ht="105.75" customHeight="1">
      <c r="A90" s="4" t="s">
        <v>9</v>
      </c>
      <c r="B90" s="5" t="s">
        <v>98</v>
      </c>
      <c r="C90" s="4">
        <v>2.0</v>
      </c>
      <c r="D90" s="6">
        <v>45114.06068287037</v>
      </c>
      <c r="E90" s="7" t="str">
        <f t="shared" si="1"/>
        <v>2023-07-07</v>
      </c>
      <c r="F90" s="8" t="str">
        <f t="shared" si="2"/>
        <v> 01:27:23</v>
      </c>
      <c r="G90" s="9" t="str">
        <f t="shared" si="3"/>
        <v>Manhã</v>
      </c>
      <c r="H90" s="10" t="str">
        <f>IFERROR(__xludf.DUMMYFUNCTION("GOOGLETRANSLATE(B90, ""en"", ""pt-br"")"),"Com uma infinidade de vídeos de reprodução automática logo após a mosca da página inicial, é realmente difícil se concentrar nos ""threads"" que se destinam a ser o recurso definidor dessa plataforma. Isso é basicamente apenas o Instagram, mas com um limi"&amp;"te mais alto de caracteres. O tamanho desnecessariamente grande seguido pela falta de recursos de economia de dados torna esse aplicativo bastante redundante, considerando a existência do Twitter.")</f>
        <v>Com uma infinidade de vídeos de reprodução automática logo após a mosca da página inicial, é realmente difícil se concentrar nos "threads" que se destinam a ser o recurso definidor dessa plataforma. Isso é basicamente apenas o Instagram, mas com um limite mais alto de caracteres. O tamanho desnecessariamente grande seguido pela falta de recursos de economia de dados torna esse aplicativo bastante redundante, considerando a existência do Twitter.</v>
      </c>
      <c r="I90" s="10" t="str">
        <f>IFERROR(__xludf.DUMMYFUNCTION("TRIM(REGEXREPLACE(H90,""[^a-zA-ZÀ-ú ]+"",""""))"),"Com uma infinidade de vídeos de reprodução automática logo após a mosca da página inicial é realmente difícil se concentrar nos threads que se destinam a ser o recurso definidor dessa plataforma Isso é basicamente apenas o Instagram mas com um limite mais"&amp;" alto de caracteres O tamanho desnecessariamente grande seguido pela falta de recursos de economia de dados torna esse aplicativo bastante redundante considerando a existência do Twitter")</f>
        <v>Com uma infinidade de vídeos de reprodução automática logo após a mosca da página inicial é realmente difícil se concentrar nos threads que se destinam a ser o recurso definidor dessa plataforma Isso é basicamente apenas o Instagram mas com um limite mais alto de caracteres O tamanho desnecessariamente grande seguido pela falta de recursos de economia de dados torna esse aplicativo bastante redundante considerando a existência do Twitter</v>
      </c>
      <c r="J90" s="3"/>
      <c r="K90" s="3"/>
      <c r="L90" s="3"/>
      <c r="M90" s="3"/>
      <c r="N90" s="3"/>
      <c r="O90" s="3"/>
      <c r="P90" s="3"/>
      <c r="Q90" s="3"/>
      <c r="R90" s="3"/>
      <c r="S90" s="3"/>
      <c r="T90" s="3"/>
      <c r="U90" s="3"/>
      <c r="V90" s="3"/>
      <c r="W90" s="3"/>
      <c r="X90" s="3"/>
      <c r="Y90" s="3"/>
      <c r="Z90" s="3"/>
      <c r="AA90" s="3"/>
    </row>
    <row r="91" ht="105.75" customHeight="1">
      <c r="A91" s="4" t="s">
        <v>9</v>
      </c>
      <c r="B91" s="5" t="s">
        <v>99</v>
      </c>
      <c r="C91" s="4">
        <v>1.0</v>
      </c>
      <c r="D91" s="6">
        <v>45118.327361111114</v>
      </c>
      <c r="E91" s="7" t="str">
        <f t="shared" si="1"/>
        <v>2023-07-11</v>
      </c>
      <c r="F91" s="8" t="str">
        <f t="shared" si="2"/>
        <v> 07:51:24</v>
      </c>
      <c r="G91" s="9" t="str">
        <f t="shared" si="3"/>
        <v>Manhã</v>
      </c>
      <c r="H91" s="10" t="str">
        <f>IFERROR(__xludf.DUMMYFUNCTION("GOOGLETRANSLATE(B91, ""en"", ""pt-br"")"),"Impossível de usar. Ele é carregado com fotos e texto em camadas entre si um número infinito de vezes e minha tela inteira se transforma em uma bagunça. Acho que não está otimizado ou algo assim. Este é o único aplicativo que me dá esse problema, e o próp"&amp;"rio Instagram funciona bem.")</f>
        <v>Impossível de usar. Ele é carregado com fotos e texto em camadas entre si um número infinito de vezes e minha tela inteira se transforma em uma bagunça. Acho que não está otimizado ou algo assim. Este é o único aplicativo que me dá esse problema, e o próprio Instagram funciona bem.</v>
      </c>
      <c r="I91" s="10" t="str">
        <f>IFERROR(__xludf.DUMMYFUNCTION("TRIM(REGEXREPLACE(H91,""[^a-zA-ZÀ-ú ]+"",""""))"),"Impossível de usar Ele é carregado com fotos e texto em camadas entre si um número infinito de vezes e minha tela inteira se transforma em uma bagunça Acho que não está otimizado ou algo assim Este é o único aplicativo que me dá esse problema e o próprio "&amp;"Instagram funciona bem")</f>
        <v>Impossível de usar Ele é carregado com fotos e texto em camadas entre si um número infinito de vezes e minha tela inteira se transforma em uma bagunça Acho que não está otimizado ou algo assim Este é o único aplicativo que me dá esse problema e o próprio Instagram funciona bem</v>
      </c>
      <c r="J91" s="3"/>
      <c r="K91" s="3"/>
      <c r="L91" s="3"/>
      <c r="M91" s="3"/>
      <c r="N91" s="3"/>
      <c r="O91" s="3"/>
      <c r="P91" s="3"/>
      <c r="Q91" s="3"/>
      <c r="R91" s="3"/>
      <c r="S91" s="3"/>
      <c r="T91" s="3"/>
      <c r="U91" s="3"/>
      <c r="V91" s="3"/>
      <c r="W91" s="3"/>
      <c r="X91" s="3"/>
      <c r="Y91" s="3"/>
      <c r="Z91" s="3"/>
      <c r="AA91" s="3"/>
    </row>
    <row r="92" ht="105.75" customHeight="1">
      <c r="A92" s="4" t="s">
        <v>9</v>
      </c>
      <c r="B92" s="5" t="s">
        <v>100</v>
      </c>
      <c r="C92" s="4">
        <v>4.0</v>
      </c>
      <c r="D92" s="6">
        <v>45115.278865740744</v>
      </c>
      <c r="E92" s="7" t="str">
        <f t="shared" si="1"/>
        <v>2023-07-08</v>
      </c>
      <c r="F92" s="8" t="str">
        <f t="shared" si="2"/>
        <v> 06:41:34</v>
      </c>
      <c r="G92" s="9" t="str">
        <f t="shared" si="3"/>
        <v>Manhã</v>
      </c>
      <c r="H92" s="10" t="str">
        <f>IFERROR(__xludf.DUMMYFUNCTION("GOOGLETRANSLATE(B92, ""en"", ""pt-br"")"),"O aplicativo parece promissor e, em seu estágio inicial, é por isso que existem algumas partes complicadas, mas sugiro alguns recursos, como o recurso de mensagens, como no Instagram; Recurso de fotos e edição ao postar uma foto; Os círculos também seriam"&amp;" bons; E, finalmente, a capacidade de olhar para a foto do perfil de alguém. No geral, o aplicativo foi bom e já faz de algumas pessoas um amigo on -line em apenas alguns dias de lançamento")</f>
        <v>O aplicativo parece promissor e, em seu estágio inicial, é por isso que existem algumas partes complicadas, mas sugiro alguns recursos, como o recurso de mensagens, como no Instagram; Recurso de fotos e edição ao postar uma foto; Os círculos também seriam bons; E, finalmente, a capacidade de olhar para a foto do perfil de alguém. No geral, o aplicativo foi bom e já faz de algumas pessoas um amigo on -line em apenas alguns dias de lançamento</v>
      </c>
      <c r="I92" s="10" t="str">
        <f>IFERROR(__xludf.DUMMYFUNCTION("TRIM(REGEXREPLACE(H92,""[^a-zA-ZÀ-ú ]+"",""""))"),"O aplicativo parece promissor e em seu estágio inicial é por isso que existem algumas partes complicadas mas sugiro alguns recursos como o recurso de mensagens como no Instagram Recurso de fotos e edição ao postar uma foto Os círculos também seriam bons E"&amp;" finalmente a capacidade de olhar para a foto do perfil de alguém No geral o aplicativo foi bom e já faz de algumas pessoas um amigo on line em apenas alguns dias de lançamento")</f>
        <v>O aplicativo parece promissor e em seu estágio inicial é por isso que existem algumas partes complicadas mas sugiro alguns recursos como o recurso de mensagens como no Instagram Recurso de fotos e edição ao postar uma foto Os círculos também seriam bons E finalmente a capacidade de olhar para a foto do perfil de alguém No geral o aplicativo foi bom e já faz de algumas pessoas um amigo on line em apenas alguns dias de lançamento</v>
      </c>
      <c r="J92" s="3"/>
      <c r="K92" s="3"/>
      <c r="L92" s="3"/>
      <c r="M92" s="3"/>
      <c r="N92" s="3"/>
      <c r="O92" s="3"/>
      <c r="P92" s="3"/>
      <c r="Q92" s="3"/>
      <c r="R92" s="3"/>
      <c r="S92" s="3"/>
      <c r="T92" s="3"/>
      <c r="U92" s="3"/>
      <c r="V92" s="3"/>
      <c r="W92" s="3"/>
      <c r="X92" s="3"/>
      <c r="Y92" s="3"/>
      <c r="Z92" s="3"/>
      <c r="AA92" s="3"/>
    </row>
    <row r="93" ht="105.75" customHeight="1">
      <c r="A93" s="4" t="s">
        <v>9</v>
      </c>
      <c r="B93" s="5" t="s">
        <v>101</v>
      </c>
      <c r="C93" s="4">
        <v>4.0</v>
      </c>
      <c r="D93" s="6">
        <v>45115.80206018518</v>
      </c>
      <c r="E93" s="7" t="str">
        <f t="shared" si="1"/>
        <v>2023-07-08</v>
      </c>
      <c r="F93" s="8" t="str">
        <f t="shared" si="2"/>
        <v> 19:14:58</v>
      </c>
      <c r="G93" s="9" t="str">
        <f t="shared" si="3"/>
        <v>Noite</v>
      </c>
      <c r="H93" s="10" t="str">
        <f>IFERROR(__xludf.DUMMYFUNCTION("GOOGLETRANSLATE(B93, ""en"", ""pt-br"")"),"Até agora eu gosto! É muito básico e estou meio decepcionado com a falta de opções de acessibilidade, como poder adicionar texto alt, mas ... no geral, ele tem uma vibração nostálgica, como quando a mídia social costumava ser divertida, pelo menos é para "&amp;"mim. Interessado para ver como ele progride.")</f>
        <v>Até agora eu gosto! É muito básico e estou meio decepcionado com a falta de opções de acessibilidade, como poder adicionar texto alt, mas ... no geral, ele tem uma vibração nostálgica, como quando a mídia social costumava ser divertida, pelo menos é para mim. Interessado para ver como ele progride.</v>
      </c>
      <c r="I93" s="10" t="str">
        <f>IFERROR(__xludf.DUMMYFUNCTION("TRIM(REGEXREPLACE(H93,""[^a-zA-ZÀ-ú ]+"",""""))"),"Até agora eu gosto É muito básico e estou meio decepcionado com a falta de opções de acessibilidade como poder adicionar texto alt mas no geral ele tem uma vibração nostálgica como quando a mídia social costumava ser divertida pelo menos é para mim Intere"&amp;"ssado para ver como ele progride")</f>
        <v>Até agora eu gosto É muito básico e estou meio decepcionado com a falta de opções de acessibilidade como poder adicionar texto alt mas no geral ele tem uma vibração nostálgica como quando a mídia social costumava ser divertida pelo menos é para mim Interessado para ver como ele progride</v>
      </c>
      <c r="J93" s="3"/>
      <c r="K93" s="3"/>
      <c r="L93" s="3"/>
      <c r="M93" s="3"/>
      <c r="N93" s="3"/>
      <c r="O93" s="3"/>
      <c r="P93" s="3"/>
      <c r="Q93" s="3"/>
      <c r="R93" s="3"/>
      <c r="S93" s="3"/>
      <c r="T93" s="3"/>
      <c r="U93" s="3"/>
      <c r="V93" s="3"/>
      <c r="W93" s="3"/>
      <c r="X93" s="3"/>
      <c r="Y93" s="3"/>
      <c r="Z93" s="3"/>
      <c r="AA93" s="3"/>
    </row>
    <row r="94" ht="105.75" customHeight="1">
      <c r="A94" s="4" t="s">
        <v>9</v>
      </c>
      <c r="B94" s="5" t="s">
        <v>102</v>
      </c>
      <c r="C94" s="4">
        <v>1.0</v>
      </c>
      <c r="D94" s="6">
        <v>45114.81762731481</v>
      </c>
      <c r="E94" s="7" t="str">
        <f t="shared" si="1"/>
        <v>2023-07-07</v>
      </c>
      <c r="F94" s="8" t="str">
        <f t="shared" si="2"/>
        <v> 19:37:23</v>
      </c>
      <c r="G94" s="9" t="str">
        <f t="shared" si="3"/>
        <v>Noite</v>
      </c>
      <c r="H94" s="10" t="str">
        <f>IFERROR(__xludf.DUMMYFUNCTION("GOOGLETRANSLATE(B94, ""en"", ""pt-br"")"),"Eu já vi muitas pessoas tinham a mesma experiência que eu. Mas eu vou repetir, então algum dia pode ser consertado. Eu não posso usá -lo. Sempre que decidir simplesmente rolar a tela, o aplicativo explode em clones de todas as coisas na tela e nada é mais"&amp;" visível. POR FAVOR. NOS ESCUTE.")</f>
        <v>Eu já vi muitas pessoas tinham a mesma experiência que eu. Mas eu vou repetir, então algum dia pode ser consertado. Eu não posso usá -lo. Sempre que decidir simplesmente rolar a tela, o aplicativo explode em clones de todas as coisas na tela e nada é mais visível. POR FAVOR. NOS ESCUTE.</v>
      </c>
      <c r="I94" s="10" t="str">
        <f>IFERROR(__xludf.DUMMYFUNCTION("TRIM(REGEXREPLACE(H94,""[^a-zA-ZÀ-ú ]+"",""""))"),"Eu já vi muitas pessoas tinham a mesma experiência que eu Mas eu vou repetir então algum dia pode ser consertado Eu não posso usá lo Sempre que decidir simplesmente rolar a tela o aplicativo explode em clones de todas as coisas na tela e nada é mais visív"&amp;"el POR FAVOR NOS ESCUTE")</f>
        <v>Eu já vi muitas pessoas tinham a mesma experiência que eu Mas eu vou repetir então algum dia pode ser consertado Eu não posso usá lo Sempre que decidir simplesmente rolar a tela o aplicativo explode em clones de todas as coisas na tela e nada é mais visível POR FAVOR NOS ESCUTE</v>
      </c>
      <c r="J94" s="3"/>
      <c r="K94" s="3"/>
      <c r="L94" s="3"/>
      <c r="M94" s="3"/>
      <c r="N94" s="3"/>
      <c r="O94" s="3"/>
      <c r="P94" s="3"/>
      <c r="Q94" s="3"/>
      <c r="R94" s="3"/>
      <c r="S94" s="3"/>
      <c r="T94" s="3"/>
      <c r="U94" s="3"/>
      <c r="V94" s="3"/>
      <c r="W94" s="3"/>
      <c r="X94" s="3"/>
      <c r="Y94" s="3"/>
      <c r="Z94" s="3"/>
      <c r="AA94" s="3"/>
    </row>
    <row r="95" ht="105.75" customHeight="1">
      <c r="A95" s="4" t="s">
        <v>9</v>
      </c>
      <c r="B95" s="5" t="s">
        <v>103</v>
      </c>
      <c r="C95" s="4">
        <v>1.0</v>
      </c>
      <c r="D95" s="6">
        <v>45115.94033564815</v>
      </c>
      <c r="E95" s="7" t="str">
        <f t="shared" si="1"/>
        <v>2023-07-08</v>
      </c>
      <c r="F95" s="8" t="str">
        <f t="shared" si="2"/>
        <v> 22:34:05</v>
      </c>
      <c r="G95" s="9" t="str">
        <f t="shared" si="3"/>
        <v>Noite</v>
      </c>
      <c r="H95" s="10" t="str">
        <f>IFERROR(__xludf.DUMMYFUNCTION("GOOGLETRANSLATE(B95, ""en"", ""pt-br"")"),"Deveria ter lançado uma versão estável. Cheio de insetos e falhas. Os caracteres se sobrepõem enquanto rolaram, tornando impossível descobrir. Inspeção completa necessária. Questões a serem corrigidas o mais cedo possível. A reinstalação foi inútil.")</f>
        <v>Deveria ter lançado uma versão estável. Cheio de insetos e falhas. Os caracteres se sobrepõem enquanto rolaram, tornando impossível descobrir. Inspeção completa necessária. Questões a serem corrigidas o mais cedo possível. A reinstalação foi inútil.</v>
      </c>
      <c r="I95" s="10" t="str">
        <f>IFERROR(__xludf.DUMMYFUNCTION("TRIM(REGEXREPLACE(H95,""[^a-zA-ZÀ-ú ]+"",""""))"),"Deveria ter lançado uma versão estável Cheio de insetos e falhas Os caracteres se sobrepõem enquanto rolaram tornando impossível descobrir Inspeção completa necessária Questões a serem corrigidas o mais cedo possível A reinstalação foi inútil")</f>
        <v>Deveria ter lançado uma versão estável Cheio de insetos e falhas Os caracteres se sobrepõem enquanto rolaram tornando impossível descobrir Inspeção completa necessária Questões a serem corrigidas o mais cedo possível A reinstalação foi inútil</v>
      </c>
      <c r="J95" s="3"/>
      <c r="K95" s="3"/>
      <c r="L95" s="3"/>
      <c r="M95" s="3"/>
      <c r="N95" s="3"/>
      <c r="O95" s="3"/>
      <c r="P95" s="3"/>
      <c r="Q95" s="3"/>
      <c r="R95" s="3"/>
      <c r="S95" s="3"/>
      <c r="T95" s="3"/>
      <c r="U95" s="3"/>
      <c r="V95" s="3"/>
      <c r="W95" s="3"/>
      <c r="X95" s="3"/>
      <c r="Y95" s="3"/>
      <c r="Z95" s="3"/>
      <c r="AA95" s="3"/>
    </row>
    <row r="96" ht="105.75" customHeight="1">
      <c r="A96" s="4" t="s">
        <v>9</v>
      </c>
      <c r="B96" s="5" t="s">
        <v>104</v>
      </c>
      <c r="C96" s="4">
        <v>5.0</v>
      </c>
      <c r="D96" s="6">
        <v>45113.71627314815</v>
      </c>
      <c r="E96" s="7" t="str">
        <f t="shared" si="1"/>
        <v>2023-07-06</v>
      </c>
      <c r="F96" s="8" t="str">
        <f t="shared" si="2"/>
        <v> 17:11:26</v>
      </c>
      <c r="G96" s="9" t="str">
        <f t="shared" si="3"/>
        <v>Tarde</v>
      </c>
      <c r="H96" s="10" t="str">
        <f>IFERROR(__xludf.DUMMYFUNCTION("GOOGLETRANSLATE(B96, ""en"", ""pt-br"")"),"Estou fora para um bom começo! Esta é uma ótima alternativa para outras mídias sociais baseadas em texto! Depois de instalar, eu poderia importar minha foto do perfil do Instagram, Bio e segui as contas (algumas das quais já estão no novo aplicativo). As "&amp;"atualizações da linha do tempo são rápidas e os vídeos parecem ser melhores de qualidade do que plataformas semelhantes. Minha única sugestão é que eu gostaria de ver uma interface do tempo mais compacta ou a capacidade de personalizar o tamanho das posta"&amp;"gens para que eu possa ler mais threads por tela 😀")</f>
        <v>Estou fora para um bom começo! Esta é uma ótima alternativa para outras mídias sociais baseadas em texto! Depois de instalar, eu poderia importar minha foto do perfil do Instagram, Bio e segui as contas (algumas das quais já estão no novo aplicativo). As atualizações da linha do tempo são rápidas e os vídeos parecem ser melhores de qualidade do que plataformas semelhantes. Minha única sugestão é que eu gostaria de ver uma interface do tempo mais compacta ou a capacidade de personalizar o tamanho das postagens para que eu possa ler mais threads por tela 😀</v>
      </c>
      <c r="I96" s="10" t="str">
        <f>IFERROR(__xludf.DUMMYFUNCTION("TRIM(REGEXREPLACE(H96,""[^a-zA-ZÀ-ú ]+"",""""))"),"Estou fora para um bom começo Esta é uma ótima alternativa para outras mídias sociais baseadas em texto Depois de instalar eu poderia importar minha foto do perfil do Instagram Bio e segui as contas algumas das quais já estão no novo aplicativo As atualiz"&amp;"ações da linha do tempo são rápidas e os vídeos parecem ser melhores de qualidade do que plataformas semelhantes Minha única sugestão é que eu gostaria de ver uma interface do tempo mais compacta ou a capacidade de personalizar o tamanho das postagens par"&amp;"a que eu possa ler mais threads por tela")</f>
        <v>Estou fora para um bom começo Esta é uma ótima alternativa para outras mídias sociais baseadas em texto Depois de instalar eu poderia importar minha foto do perfil do Instagram Bio e segui as contas algumas das quais já estão no novo aplicativo As atualizações da linha do tempo são rápidas e os vídeos parecem ser melhores de qualidade do que plataformas semelhantes Minha única sugestão é que eu gostaria de ver uma interface do tempo mais compacta ou a capacidade de personalizar o tamanho das postagens para que eu possa ler mais threads por tela</v>
      </c>
      <c r="J96" s="3"/>
      <c r="K96" s="3"/>
      <c r="L96" s="3"/>
      <c r="M96" s="3"/>
      <c r="N96" s="3"/>
      <c r="O96" s="3"/>
      <c r="P96" s="3"/>
      <c r="Q96" s="3"/>
      <c r="R96" s="3"/>
      <c r="S96" s="3"/>
      <c r="T96" s="3"/>
      <c r="U96" s="3"/>
      <c r="V96" s="3"/>
      <c r="W96" s="3"/>
      <c r="X96" s="3"/>
      <c r="Y96" s="3"/>
      <c r="Z96" s="3"/>
      <c r="AA96" s="3"/>
    </row>
    <row r="97" ht="105.75" customHeight="1">
      <c r="A97" s="4" t="s">
        <v>9</v>
      </c>
      <c r="B97" s="5" t="s">
        <v>105</v>
      </c>
      <c r="C97" s="4">
        <v>4.0</v>
      </c>
      <c r="D97" s="6">
        <v>45119.948171296295</v>
      </c>
      <c r="E97" s="7" t="str">
        <f t="shared" si="1"/>
        <v>2023-07-12</v>
      </c>
      <c r="F97" s="8" t="str">
        <f t="shared" si="2"/>
        <v> 22:45:22</v>
      </c>
      <c r="G97" s="9" t="str">
        <f t="shared" si="3"/>
        <v>Noite</v>
      </c>
      <c r="H97" s="10" t="str">
        <f>IFERROR(__xludf.DUMMYFUNCTION("GOOGLETRANSLATE(B97, ""en"", ""pt-br"")"),"Surpreendentemente muito bom. Não vou mentir. Mas a qualidade da imagem e do vídeo é tão ruim. Como se a compressão fosse tão terrível. Se isso fosse alterado e poderíamos ter uma melhor qualidade de vídeo e imagem, seria muito melhor &lt;33, adicione isso l"&amp;"ol, caso contrário, é realmente muito bom. Também ter um recurso de navegação ""apenas a seguir"" seria tão legal também 👍👍 Novo Recurso Req. Ser capaz de alternar entre Mult ACCS !!")</f>
        <v>Surpreendentemente muito bom. Não vou mentir. Mas a qualidade da imagem e do vídeo é tão ruim. Como se a compressão fosse tão terrível. Se isso fosse alterado e poderíamos ter uma melhor qualidade de vídeo e imagem, seria muito melhor &lt;33, adicione isso lol, caso contrário, é realmente muito bom. Também ter um recurso de navegação "apenas a seguir" seria tão legal também 👍👍 Novo Recurso Req. Ser capaz de alternar entre Mult ACCS !!</v>
      </c>
      <c r="I97" s="10" t="str">
        <f>IFERROR(__xludf.DUMMYFUNCTION("TRIM(REGEXREPLACE(H97,""[^a-zA-ZÀ-ú ]+"",""""))"),"Surpreendentemente muito bom Não vou mentir Mas a qualidade da imagem e do vídeo é tão ruim Como se a compressão fosse tão terrível Se isso fosse alterado e poderíamos ter uma melhor qualidade de vídeo e imagem seria muito melhor adicione isso lol caso co"&amp;"ntrário é realmente muito bom Também ter um recurso de navegação apenas a seguir seria tão legal também Novo Recurso Req Ser capaz de alternar entre Mult ACCS")</f>
        <v>Surpreendentemente muito bom Não vou mentir Mas a qualidade da imagem e do vídeo é tão ruim Como se a compressão fosse tão terrível Se isso fosse alterado e poderíamos ter uma melhor qualidade de vídeo e imagem seria muito melhor adicione isso lol caso contrário é realmente muito bom Também ter um recurso de navegação apenas a seguir seria tão legal também Novo Recurso Req Ser capaz de alternar entre Mult ACCS</v>
      </c>
      <c r="J97" s="3"/>
      <c r="K97" s="3"/>
      <c r="L97" s="3"/>
      <c r="M97" s="3"/>
      <c r="N97" s="3"/>
      <c r="O97" s="3"/>
      <c r="P97" s="3"/>
      <c r="Q97" s="3"/>
      <c r="R97" s="3"/>
      <c r="S97" s="3"/>
      <c r="T97" s="3"/>
      <c r="U97" s="3"/>
      <c r="V97" s="3"/>
      <c r="W97" s="3"/>
      <c r="X97" s="3"/>
      <c r="Y97" s="3"/>
      <c r="Z97" s="3"/>
      <c r="AA97" s="3"/>
    </row>
    <row r="98" ht="105.75" customHeight="1">
      <c r="A98" s="4" t="s">
        <v>9</v>
      </c>
      <c r="B98" s="5" t="s">
        <v>106</v>
      </c>
      <c r="C98" s="4">
        <v>4.0</v>
      </c>
      <c r="D98" s="6">
        <v>45114.06592592593</v>
      </c>
      <c r="E98" s="7" t="str">
        <f t="shared" si="1"/>
        <v>2023-07-07</v>
      </c>
      <c r="F98" s="8" t="str">
        <f t="shared" si="2"/>
        <v> 01:34:56</v>
      </c>
      <c r="G98" s="9" t="str">
        <f t="shared" si="3"/>
        <v>Manhã</v>
      </c>
      <c r="H98" s="10" t="str">
        <f>IFERROR(__xludf.DUMMYFUNCTION("GOOGLETRANSLATE(B98, ""en"", ""pt-br"")"),"Realmente impressionado !! O que eu gostei: até agora não experimentei nenhum bug e o aplicativo parece muito classificado, refinado, planejado e bem planejado, eu posso aumentar minha classificação quando eles adicionam alguns novos recursos interessante"&amp;"s, o que tenho certeza de Como: o algoritmo, é muito aleatório, na verdade eu só quero informações de pessoas que sigo, ou talvez uma página separada por você, como no Instagram, também possa funcionar, não tem alguns recursos, mas, dado o tempo de lançam"&amp;"ento, vou esperar um pouco.")</f>
        <v>Realmente impressionado !! O que eu gostei: até agora não experimentei nenhum bug e o aplicativo parece muito classificado, refinado, planejado e bem planejado, eu posso aumentar minha classificação quando eles adicionam alguns novos recursos interessantes, o que tenho certeza de Como: o algoritmo, é muito aleatório, na verdade eu só quero informações de pessoas que sigo, ou talvez uma página separada por você, como no Instagram, também possa funcionar, não tem alguns recursos, mas, dado o tempo de lançamento, vou esperar um pouco.</v>
      </c>
      <c r="I98" s="10" t="str">
        <f>IFERROR(__xludf.DUMMYFUNCTION("TRIM(REGEXREPLACE(H98,""[^a-zA-ZÀ-ú ]+"",""""))"),"Realmente impressionado O que eu gostei até agora não experimentei nenhum bug e o aplicativo parece muito classificado refinado planejado e bem planejado eu posso aumentar minha classificação quando eles adicionam alguns novos recursos interessantes o que"&amp;" tenho certeza de Como o algoritmo é muito aleatório na verdade eu só quero informações de pessoas que sigo ou talvez uma página separada por você como no Instagram também possa funcionar não tem alguns recursos mas dado o tempo de lançamento vou esperar "&amp;"um pouco")</f>
        <v>Realmente impressionado O que eu gostei até agora não experimentei nenhum bug e o aplicativo parece muito classificado refinado planejado e bem planejado eu posso aumentar minha classificação quando eles adicionam alguns novos recursos interessantes o que tenho certeza de Como o algoritmo é muito aleatório na verdade eu só quero informações de pessoas que sigo ou talvez uma página separada por você como no Instagram também possa funcionar não tem alguns recursos mas dado o tempo de lançamento vou esperar um pouco</v>
      </c>
      <c r="J98" s="3"/>
      <c r="K98" s="3"/>
      <c r="L98" s="3"/>
      <c r="M98" s="3"/>
      <c r="N98" s="3"/>
      <c r="O98" s="3"/>
      <c r="P98" s="3"/>
      <c r="Q98" s="3"/>
      <c r="R98" s="3"/>
      <c r="S98" s="3"/>
      <c r="T98" s="3"/>
      <c r="U98" s="3"/>
      <c r="V98" s="3"/>
      <c r="W98" s="3"/>
      <c r="X98" s="3"/>
      <c r="Y98" s="3"/>
      <c r="Z98" s="3"/>
      <c r="AA98" s="3"/>
    </row>
    <row r="99" ht="105.75" customHeight="1">
      <c r="A99" s="4" t="s">
        <v>9</v>
      </c>
      <c r="B99" s="5" t="s">
        <v>107</v>
      </c>
      <c r="C99" s="4">
        <v>1.0</v>
      </c>
      <c r="D99" s="6">
        <v>45118.82072916667</v>
      </c>
      <c r="E99" s="7" t="str">
        <f t="shared" si="1"/>
        <v>2023-07-11</v>
      </c>
      <c r="F99" s="8" t="str">
        <f t="shared" si="2"/>
        <v> 19:41:51</v>
      </c>
      <c r="G99" s="9" t="str">
        <f t="shared" si="3"/>
        <v>Noite</v>
      </c>
      <c r="H99" s="10" t="str">
        <f>IFERROR(__xludf.DUMMYFUNCTION("GOOGLETRANSLATE(B99, ""en"", ""pt-br"")"),"1) Quando gosto de algo, nada acontece, o comando tye não é tomado (2) não é suave (3) as cores estão mortas, tornam -as mais interessantes e saudáveis ​​(4) quando tento recarregar uma página deslizando para baixo , o símbolo continua fazendo as animaçõe"&amp;"s de recarga repetidamente, mas a página não muda (5) tendo problemas para usar mais de uma conta, como o Insta. Se a opção não estiver lá para usar várias contas, este aplicativo está morto")</f>
        <v>1) Quando gosto de algo, nada acontece, o comando tye não é tomado (2) não é suave (3) as cores estão mortas, tornam -as mais interessantes e saudáveis ​​(4) quando tento recarregar uma página deslizando para baixo , o símbolo continua fazendo as animações de recarga repetidamente, mas a página não muda (5) tendo problemas para usar mais de uma conta, como o Insta. Se a opção não estiver lá para usar várias contas, este aplicativo está morto</v>
      </c>
      <c r="I99" s="10" t="str">
        <f>IFERROR(__xludf.DUMMYFUNCTION("TRIM(REGEXREPLACE(H99,""[^a-zA-ZÀ-ú ]+"",""""))"),"Quando gosto de algo nada acontece o comando tye não é tomado não é suave as cores estão mortas tornam as mais interessantes e saudáveis quando tento recarregar uma página deslizando para baixo o símbolo continua fazendo as animações de recarga repetidame"&amp;"nte mas a página não muda tendo problemas para usar mais de uma conta como o Insta Se a opção não estiver lá para usar várias contas este aplicativo está morto")</f>
        <v>Quando gosto de algo nada acontece o comando tye não é tomado não é suave as cores estão mortas tornam as mais interessantes e saudáveis quando tento recarregar uma página deslizando para baixo o símbolo continua fazendo as animações de recarga repetidamente mas a página não muda tendo problemas para usar mais de uma conta como o Insta Se a opção não estiver lá para usar várias contas este aplicativo está morto</v>
      </c>
      <c r="J99" s="3"/>
      <c r="K99" s="3"/>
      <c r="L99" s="3"/>
      <c r="M99" s="3"/>
      <c r="N99" s="3"/>
      <c r="O99" s="3"/>
      <c r="P99" s="3"/>
      <c r="Q99" s="3"/>
      <c r="R99" s="3"/>
      <c r="S99" s="3"/>
      <c r="T99" s="3"/>
      <c r="U99" s="3"/>
      <c r="V99" s="3"/>
      <c r="W99" s="3"/>
      <c r="X99" s="3"/>
      <c r="Y99" s="3"/>
      <c r="Z99" s="3"/>
      <c r="AA99" s="3"/>
    </row>
    <row r="100" ht="105.75" customHeight="1">
      <c r="A100" s="4" t="s">
        <v>9</v>
      </c>
      <c r="B100" s="5" t="s">
        <v>108</v>
      </c>
      <c r="C100" s="4">
        <v>3.0</v>
      </c>
      <c r="D100" s="6">
        <v>45116.79336805556</v>
      </c>
      <c r="E100" s="7" t="str">
        <f t="shared" si="1"/>
        <v>2023-07-09</v>
      </c>
      <c r="F100" s="8" t="str">
        <f t="shared" si="2"/>
        <v> 19:02:27</v>
      </c>
      <c r="G100" s="9" t="str">
        <f t="shared" si="3"/>
        <v>Noite</v>
      </c>
      <c r="H100" s="10" t="str">
        <f>IFERROR(__xludf.DUMMYFUNCTION("GOOGLETRANSLATE(B100, ""en"", ""pt-br"")"),"O aplicativo claramente não está pronto para lançamento. A integração com o Instagram é ótima, no entanto, a maior decepção é fazer com que o feed doméstico seja preenchido com Randos, sem nenhuma maneira de fazê -lo *apenas as pessoas que eu sigo *. Esto"&amp;"u pacientemente esperando que esse problema melhore. Caso contrário, bom conceito, a interface do usuário é ótima, a experiência do usuário está bem")</f>
        <v>O aplicativo claramente não está pronto para lançamento. A integração com o Instagram é ótima, no entanto, a maior decepção é fazer com que o feed doméstico seja preenchido com Randos, sem nenhuma maneira de fazê -lo *apenas as pessoas que eu sigo *. Estou pacientemente esperando que esse problema melhore. Caso contrário, bom conceito, a interface do usuário é ótima, a experiência do usuário está bem</v>
      </c>
      <c r="I100" s="10" t="str">
        <f>IFERROR(__xludf.DUMMYFUNCTION("TRIM(REGEXREPLACE(H100,""[^a-zA-ZÀ-ú ]+"",""""))"),"O aplicativo claramente não está pronto para lançamento A integração com o Instagram é ótima no entanto a maior decepção é fazer com que o feed doméstico seja preenchido com Randos sem nenhuma maneira de fazê lo apenas as pessoas que eu sigo Estou pacient"&amp;"emente esperando que esse problema melhore Caso contrário bom conceito a interface do usuário é ótima a experiência do usuário está bem")</f>
        <v>O aplicativo claramente não está pronto para lançamento A integração com o Instagram é ótima no entanto a maior decepção é fazer com que o feed doméstico seja preenchido com Randos sem nenhuma maneira de fazê lo apenas as pessoas que eu sigo Estou pacientemente esperando que esse problema melhore Caso contrário bom conceito a interface do usuário é ótima a experiência do usuário está bem</v>
      </c>
      <c r="J100" s="3"/>
      <c r="K100" s="3"/>
      <c r="L100" s="3"/>
      <c r="M100" s="3"/>
      <c r="N100" s="3"/>
      <c r="O100" s="3"/>
      <c r="P100" s="3"/>
      <c r="Q100" s="3"/>
      <c r="R100" s="3"/>
      <c r="S100" s="3"/>
      <c r="T100" s="3"/>
      <c r="U100" s="3"/>
      <c r="V100" s="3"/>
      <c r="W100" s="3"/>
      <c r="X100" s="3"/>
      <c r="Y100" s="3"/>
      <c r="Z100" s="3"/>
      <c r="AA100" s="3"/>
    </row>
    <row r="101" ht="105.75" customHeight="1">
      <c r="A101" s="4" t="s">
        <v>9</v>
      </c>
      <c r="B101" s="5" t="s">
        <v>109</v>
      </c>
      <c r="C101" s="4">
        <v>3.0</v>
      </c>
      <c r="D101" s="6">
        <v>45119.03403935185</v>
      </c>
      <c r="E101" s="7" t="str">
        <f t="shared" si="1"/>
        <v>2023-07-12</v>
      </c>
      <c r="F101" s="8" t="str">
        <f t="shared" si="2"/>
        <v> 00:49:01</v>
      </c>
      <c r="G101" s="9" t="str">
        <f t="shared" si="3"/>
        <v>Manhã</v>
      </c>
      <c r="H101" s="10" t="str">
        <f>IFERROR(__xludf.DUMMYFUNCTION("GOOGLETRANSLATE(B101, ""en"", ""pt-br"")"),"Para um novo aplicativo, é ótimo. Mas, falta o modo escuro que eu e várias pessoas queremos/precisam. Eu sei que eles estarão adicionando, mas a página inicial não mostra quem estou seguindo metade do tempo e, em vez disso, está mostrando outras pessoas e"&amp;"m que tenho pouco ou nenhum interesse. Assim como isso, a falta de tags parece Seja um problema se não for adicionado em breve. Além disso, um começo muito bom e já melhor do que o Twitter.")</f>
        <v>Para um novo aplicativo, é ótimo. Mas, falta o modo escuro que eu e várias pessoas queremos/precisam. Eu sei que eles estarão adicionando, mas a página inicial não mostra quem estou seguindo metade do tempo e, em vez disso, está mostrando outras pessoas em que tenho pouco ou nenhum interesse. Assim como isso, a falta de tags parece Seja um problema se não for adicionado em breve. Além disso, um começo muito bom e já melhor do que o Twitter.</v>
      </c>
      <c r="I101" s="10" t="str">
        <f>IFERROR(__xludf.DUMMYFUNCTION("TRIM(REGEXREPLACE(H101,""[^a-zA-ZÀ-ú ]+"",""""))"),"Para um novo aplicativo é ótimo Mas falta o modo escuro que eu e várias pessoas queremosprecisam Eu sei que eles estarão adicionando mas a página inicial não mostra quem estou seguindo metade do tempo e em vez disso está mostrando outras pessoas em que te"&amp;"nho pouco ou nenhum interesse Assim como isso a falta de tags parece Seja um problema se não for adicionado em breve Além disso um começo muito bom e já melhor do que o Twitter")</f>
        <v>Para um novo aplicativo é ótimo Mas falta o modo escuro que eu e várias pessoas queremosprecisam Eu sei que eles estarão adicionando mas a página inicial não mostra quem estou seguindo metade do tempo e em vez disso está mostrando outras pessoas em que tenho pouco ou nenhum interesse Assim como isso a falta de tags parece Seja um problema se não for adicionado em breve Além disso um começo muito bom e já melhor do que o Twitter</v>
      </c>
      <c r="J101" s="3"/>
      <c r="K101" s="3"/>
      <c r="L101" s="3"/>
      <c r="M101" s="3"/>
      <c r="N101" s="3"/>
      <c r="O101" s="3"/>
      <c r="P101" s="3"/>
      <c r="Q101" s="3"/>
      <c r="R101" s="3"/>
      <c r="S101" s="3"/>
      <c r="T101" s="3"/>
      <c r="U101" s="3"/>
      <c r="V101" s="3"/>
      <c r="W101" s="3"/>
      <c r="X101" s="3"/>
      <c r="Y101" s="3"/>
      <c r="Z101" s="3"/>
      <c r="AA101" s="3"/>
    </row>
    <row r="102" ht="105.75" customHeight="1">
      <c r="A102" s="4" t="s">
        <v>9</v>
      </c>
      <c r="B102" s="5" t="s">
        <v>110</v>
      </c>
      <c r="C102" s="4">
        <v>3.0</v>
      </c>
      <c r="D102" s="6">
        <v>45115.24104166667</v>
      </c>
      <c r="E102" s="7" t="str">
        <f t="shared" si="1"/>
        <v>2023-07-08</v>
      </c>
      <c r="F102" s="8" t="str">
        <f t="shared" si="2"/>
        <v> 05:47:06</v>
      </c>
      <c r="G102" s="9" t="str">
        <f t="shared" si="3"/>
        <v>Manhã</v>
      </c>
      <c r="H102" s="10" t="str">
        <f>IFERROR(__xludf.DUMMYFUNCTION("GOOGLETRANSLATE(B102, ""en"", ""pt-br"")"),"É decente, mas definitivamente precisa de algumas melhorias na interface. Não caiu nem nada, o que é bom. No entanto, um enorme problema é que todo o meu feed é absorvido por pessoas que eu não sigo ou tenho nenhum interesse, apesar de estar logado. Torna"&amp;" completamente inútil")</f>
        <v>É decente, mas definitivamente precisa de algumas melhorias na interface. Não caiu nem nada, o que é bom. No entanto, um enorme problema é que todo o meu feed é absorvido por pessoas que eu não sigo ou tenho nenhum interesse, apesar de estar logado. Torna completamente inútil</v>
      </c>
      <c r="I102" s="10" t="str">
        <f>IFERROR(__xludf.DUMMYFUNCTION("TRIM(REGEXREPLACE(H102,""[^a-zA-ZÀ-ú ]+"",""""))"),"É decente mas definitivamente precisa de algumas melhorias na interface Não caiu nem nada o que é bom No entanto um enorme problema é que todo o meu feed é absorvido por pessoas que eu não sigo ou tenho nenhum interesse apesar de estar logado Torna comple"&amp;"tamente inútil")</f>
        <v>É decente mas definitivamente precisa de algumas melhorias na interface Não caiu nem nada o que é bom No entanto um enorme problema é que todo o meu feed é absorvido por pessoas que eu não sigo ou tenho nenhum interesse apesar de estar logado Torna completamente inútil</v>
      </c>
      <c r="J102" s="3"/>
      <c r="K102" s="3"/>
      <c r="L102" s="3"/>
      <c r="M102" s="3"/>
      <c r="N102" s="3"/>
      <c r="O102" s="3"/>
      <c r="P102" s="3"/>
      <c r="Q102" s="3"/>
      <c r="R102" s="3"/>
      <c r="S102" s="3"/>
      <c r="T102" s="3"/>
      <c r="U102" s="3"/>
      <c r="V102" s="3"/>
      <c r="W102" s="3"/>
      <c r="X102" s="3"/>
      <c r="Y102" s="3"/>
      <c r="Z102" s="3"/>
      <c r="AA102" s="3"/>
    </row>
    <row r="103" ht="105.75" customHeight="1">
      <c r="A103" s="4" t="s">
        <v>9</v>
      </c>
      <c r="B103" s="5" t="s">
        <v>111</v>
      </c>
      <c r="C103" s="4">
        <v>1.0</v>
      </c>
      <c r="D103" s="6">
        <v>45117.99638888889</v>
      </c>
      <c r="E103" s="7" t="str">
        <f t="shared" si="1"/>
        <v>2023-07-10</v>
      </c>
      <c r="F103" s="8" t="str">
        <f t="shared" si="2"/>
        <v> 23:54:48</v>
      </c>
      <c r="G103" s="9" t="str">
        <f t="shared" si="3"/>
        <v>Noite</v>
      </c>
      <c r="H103" s="10" t="str">
        <f>IFERROR(__xludf.DUMMYFUNCTION("GOOGLETRANSLATE(B103, ""en"", ""pt-br"")"),"Não consigo passar pelo processo de configuração. Quero selecionar manualmente quem dos meus seguidores da Insta segue em tópicos e duas vezes agora gastei uma feira enquanto passo pela lista apenas para desligá -la quando chegar ao final antes de continu"&amp;"ar no próximo estágio. Ele volta ao início, e eu tenho que refazer meu perfil e selecionar todos novamente apenas para que a mesma coisa aconteça. Não tenho tempo para isso.")</f>
        <v>Não consigo passar pelo processo de configuração. Quero selecionar manualmente quem dos meus seguidores da Insta segue em tópicos e duas vezes agora gastei uma feira enquanto passo pela lista apenas para desligá -la quando chegar ao final antes de continuar no próximo estágio. Ele volta ao início, e eu tenho que refazer meu perfil e selecionar todos novamente apenas para que a mesma coisa aconteça. Não tenho tempo para isso.</v>
      </c>
      <c r="I103" s="10" t="str">
        <f>IFERROR(__xludf.DUMMYFUNCTION("TRIM(REGEXREPLACE(H103,""[^a-zA-ZÀ-ú ]+"",""""))"),"Não consigo passar pelo processo de configuração Quero selecionar manualmente quem dos meus seguidores da Insta segue em tópicos e duas vezes agora gastei uma feira enquanto passo pela lista apenas para desligá la quando chegar ao final antes de continuar"&amp;" no próximo estágio Ele volta ao início e eu tenho que refazer meu perfil e selecionar todos novamente apenas para que a mesma coisa aconteça Não tenho tempo para isso")</f>
        <v>Não consigo passar pelo processo de configuração Quero selecionar manualmente quem dos meus seguidores da Insta segue em tópicos e duas vezes agora gastei uma feira enquanto passo pela lista apenas para desligá la quando chegar ao final antes de continuar no próximo estágio Ele volta ao início e eu tenho que refazer meu perfil e selecionar todos novamente apenas para que a mesma coisa aconteça Não tenho tempo para isso</v>
      </c>
      <c r="J103" s="3"/>
      <c r="K103" s="3"/>
      <c r="L103" s="3"/>
      <c r="M103" s="3"/>
      <c r="N103" s="3"/>
      <c r="O103" s="3"/>
      <c r="P103" s="3"/>
      <c r="Q103" s="3"/>
      <c r="R103" s="3"/>
      <c r="S103" s="3"/>
      <c r="T103" s="3"/>
      <c r="U103" s="3"/>
      <c r="V103" s="3"/>
      <c r="W103" s="3"/>
      <c r="X103" s="3"/>
      <c r="Y103" s="3"/>
      <c r="Z103" s="3"/>
      <c r="AA103" s="3"/>
    </row>
    <row r="104" ht="105.75" customHeight="1">
      <c r="A104" s="4" t="s">
        <v>9</v>
      </c>
      <c r="B104" s="5" t="s">
        <v>112</v>
      </c>
      <c r="C104" s="4">
        <v>1.0</v>
      </c>
      <c r="D104" s="6">
        <v>45116.13340277778</v>
      </c>
      <c r="E104" s="7" t="str">
        <f t="shared" si="1"/>
        <v>2023-07-09</v>
      </c>
      <c r="F104" s="8" t="str">
        <f t="shared" si="2"/>
        <v> 03:12:06</v>
      </c>
      <c r="G104" s="9" t="str">
        <f t="shared" si="3"/>
        <v>Manhã</v>
      </c>
      <c r="H104" s="10" t="str">
        <f>IFERROR(__xludf.DUMMYFUNCTION("GOOGLETRANSLATE(B104, ""en"", ""pt-br"")"),"Não vai gostar de eu se inscrever. Não posso criar uma conta, ficar preso depois de inserir o código enviado, simplesmente não avança. Totalmente inútil. ATUALIZAÇÃO: Depois de horas de tentativa, desisti. Constantemente obtendo mensagens de erro e a exec"&amp;"ução. Claramente ainda trabalha a ser feito nesta plataforma. Então estou voltando ao Twitter. Threads é inútil. #Twitter")</f>
        <v>Não vai gostar de eu se inscrever. Não posso criar uma conta, ficar preso depois de inserir o código enviado, simplesmente não avança. Totalmente inútil. ATUALIZAÇÃO: Depois de horas de tentativa, desisti. Constantemente obtendo mensagens de erro e a execução. Claramente ainda trabalha a ser feito nesta plataforma. Então estou voltando ao Twitter. Threads é inútil. #Twitter</v>
      </c>
      <c r="I104" s="10" t="str">
        <f>IFERROR(__xludf.DUMMYFUNCTION("TRIM(REGEXREPLACE(H104,""[^a-zA-ZÀ-ú ]+"",""""))"),"Não vai gostar de eu se inscrever Não posso criar uma conta ficar preso depois de inserir o código enviado simplesmente não avança Totalmente inútil ATUALIZAÇÃO Depois de horas de tentativa desisti Constantemente obtendo mensagens de erro e a execução Cla"&amp;"ramente ainda trabalha a ser feito nesta plataforma Então estou voltando ao Twitter Threads é inútil Twitter")</f>
        <v>Não vai gostar de eu se inscrever Não posso criar uma conta ficar preso depois de inserir o código enviado simplesmente não avança Totalmente inútil ATUALIZAÇÃO Depois de horas de tentativa desisti Constantemente obtendo mensagens de erro e a execução Claramente ainda trabalha a ser feito nesta plataforma Então estou voltando ao Twitter Threads é inútil Twitter</v>
      </c>
      <c r="J104" s="3"/>
      <c r="K104" s="3"/>
      <c r="L104" s="3"/>
      <c r="M104" s="3"/>
      <c r="N104" s="3"/>
      <c r="O104" s="3"/>
      <c r="P104" s="3"/>
      <c r="Q104" s="3"/>
      <c r="R104" s="3"/>
      <c r="S104" s="3"/>
      <c r="T104" s="3"/>
      <c r="U104" s="3"/>
      <c r="V104" s="3"/>
      <c r="W104" s="3"/>
      <c r="X104" s="3"/>
      <c r="Y104" s="3"/>
      <c r="Z104" s="3"/>
      <c r="AA104" s="3"/>
    </row>
    <row r="105" ht="105.75" customHeight="1">
      <c r="A105" s="4" t="s">
        <v>9</v>
      </c>
      <c r="B105" s="5" t="s">
        <v>113</v>
      </c>
      <c r="C105" s="4">
        <v>1.0</v>
      </c>
      <c r="D105" s="6">
        <v>45131.39673611111</v>
      </c>
      <c r="E105" s="7" t="str">
        <f t="shared" si="1"/>
        <v>2023-07-24</v>
      </c>
      <c r="F105" s="8" t="str">
        <f t="shared" si="2"/>
        <v> 09:31:18</v>
      </c>
      <c r="G105" s="9" t="str">
        <f t="shared" si="3"/>
        <v>Manhã</v>
      </c>
      <c r="H105" s="10" t="str">
        <f>IFERROR(__xludf.DUMMYFUNCTION("GOOGLETRANSLATE(B105, ""en"", ""pt-br"")"),"Os bugs ainda não são corrigidos e já faz algum tempo desde o lançamento. A tentativa de colagem, destaca a primeira seção ao tentar colar no final da mensagem. A nova linha no meio da mensagem cria um novo thread em um thread. Imagens grandes ainda prova"&amp;"velmente travam o telefone. Não pode ter feed apenas para seguidores. Hashtags não fazem nada, por exemplo Não mude de cor, não pesquisável. Etc etc. feliz em atualizar a classificação uma vez corrigido. S23ULTRA 1TB.")</f>
        <v>Os bugs ainda não são corrigidos e já faz algum tempo desde o lançamento. A tentativa de colagem, destaca a primeira seção ao tentar colar no final da mensagem. A nova linha no meio da mensagem cria um novo thread em um thread. Imagens grandes ainda provavelmente travam o telefone. Não pode ter feed apenas para seguidores. Hashtags não fazem nada, por exemplo Não mude de cor, não pesquisável. Etc etc. feliz em atualizar a classificação uma vez corrigido. S23ULTRA 1TB.</v>
      </c>
      <c r="I105" s="10" t="str">
        <f>IFERROR(__xludf.DUMMYFUNCTION("TRIM(REGEXREPLACE(H105,""[^a-zA-ZÀ-ú ]+"",""""))"),"Os bugs ainda não são corrigidos e já faz algum tempo desde o lançamento A tentativa de colagem destaca a primeira seção ao tentar colar no final da mensagem A nova linha no meio da mensagem cria um novo thread em um thread Imagens grandes ainda provavelm"&amp;"ente travam o telefone Não pode ter feed apenas para seguidores Hashtags não fazem nada por exemplo Não mude de cor não pesquisável Etc etc feliz em atualizar a classificação uma vez corrigido SULTRA TB")</f>
        <v>Os bugs ainda não são corrigidos e já faz algum tempo desde o lançamento A tentativa de colagem destaca a primeira seção ao tentar colar no final da mensagem A nova linha no meio da mensagem cria um novo thread em um thread Imagens grandes ainda provavelmente travam o telefone Não pode ter feed apenas para seguidores Hashtags não fazem nada por exemplo Não mude de cor não pesquisável Etc etc feliz em atualizar a classificação uma vez corrigido SULTRA TB</v>
      </c>
      <c r="J105" s="3"/>
      <c r="K105" s="3"/>
      <c r="L105" s="3"/>
      <c r="M105" s="3"/>
      <c r="N105" s="3"/>
      <c r="O105" s="3"/>
      <c r="P105" s="3"/>
      <c r="Q105" s="3"/>
      <c r="R105" s="3"/>
      <c r="S105" s="3"/>
      <c r="T105" s="3"/>
      <c r="U105" s="3"/>
      <c r="V105" s="3"/>
      <c r="W105" s="3"/>
      <c r="X105" s="3"/>
      <c r="Y105" s="3"/>
      <c r="Z105" s="3"/>
      <c r="AA105" s="3"/>
    </row>
    <row r="106" ht="105.75" customHeight="1">
      <c r="A106" s="4" t="s">
        <v>9</v>
      </c>
      <c r="B106" s="5" t="s">
        <v>114</v>
      </c>
      <c r="C106" s="4">
        <v>3.0</v>
      </c>
      <c r="D106" s="6">
        <v>45115.84607638889</v>
      </c>
      <c r="E106" s="7" t="str">
        <f t="shared" si="1"/>
        <v>2023-07-08</v>
      </c>
      <c r="F106" s="8" t="str">
        <f t="shared" si="2"/>
        <v> 20:18:21</v>
      </c>
      <c r="G106" s="9" t="str">
        <f t="shared" si="3"/>
        <v>Noite</v>
      </c>
      <c r="H106" s="10" t="str">
        <f>IFERROR(__xludf.DUMMYFUNCTION("GOOGLETRANSLATE(B106, ""en"", ""pt-br"")"),"Eu dou 3 estrelas porque às vezes não consigo enviar um vídeo, tenho que tentar no dia seguinte, o serviço não é forte não constante, eu gosto da interface, mas sugiro uma mensagem privada, seria muito legal em vez de mudar para Instagram para mensagem pr"&amp;"ivada. Isso realmente me bagunça. Não posso ter um particular com meus amigos. Mais bagunça😫")</f>
        <v>Eu dou 3 estrelas porque às vezes não consigo enviar um vídeo, tenho que tentar no dia seguinte, o serviço não é forte não constante, eu gosto da interface, mas sugiro uma mensagem privada, seria muito legal em vez de mudar para Instagram para mensagem privada. Isso realmente me bagunça. Não posso ter um particular com meus amigos. Mais bagunça😫</v>
      </c>
      <c r="I106" s="10" t="str">
        <f>IFERROR(__xludf.DUMMYFUNCTION("TRIM(REGEXREPLACE(H106,""[^a-zA-ZÀ-ú ]+"",""""))"),"Eu dou estrelas porque às vezes não consigo enviar um vídeo tenho que tentar no dia seguinte o serviço não é forte não constante eu gosto da interface mas sugiro uma mensagem privada seria muito legal em vez de mudar para Instagram para mensagem privada I"&amp;"sso realmente me bagunça Não posso ter um particular com meus amigos Mais bagunça")</f>
        <v>Eu dou estrelas porque às vezes não consigo enviar um vídeo tenho que tentar no dia seguinte o serviço não é forte não constante eu gosto da interface mas sugiro uma mensagem privada seria muito legal em vez de mudar para Instagram para mensagem privada Isso realmente me bagunça Não posso ter um particular com meus amigos Mais bagunça</v>
      </c>
      <c r="J106" s="3"/>
      <c r="K106" s="3"/>
      <c r="L106" s="3"/>
      <c r="M106" s="3"/>
      <c r="N106" s="3"/>
      <c r="O106" s="3"/>
      <c r="P106" s="3"/>
      <c r="Q106" s="3"/>
      <c r="R106" s="3"/>
      <c r="S106" s="3"/>
      <c r="T106" s="3"/>
      <c r="U106" s="3"/>
      <c r="V106" s="3"/>
      <c r="W106" s="3"/>
      <c r="X106" s="3"/>
      <c r="Y106" s="3"/>
      <c r="Z106" s="3"/>
      <c r="AA106" s="3"/>
    </row>
    <row r="107" ht="105.75" customHeight="1">
      <c r="A107" s="4" t="s">
        <v>9</v>
      </c>
      <c r="B107" s="5" t="s">
        <v>115</v>
      </c>
      <c r="C107" s="4">
        <v>3.0</v>
      </c>
      <c r="D107" s="6">
        <v>45113.01329861111</v>
      </c>
      <c r="E107" s="7" t="str">
        <f t="shared" si="1"/>
        <v>2023-07-06</v>
      </c>
      <c r="F107" s="8" t="str">
        <f t="shared" si="2"/>
        <v> 00:19:09</v>
      </c>
      <c r="G107" s="9" t="str">
        <f t="shared" si="3"/>
        <v>Manhã</v>
      </c>
      <c r="H107" s="10" t="str">
        <f>IFERROR(__xludf.DUMMYFUNCTION("GOOGLETRANSLATE(B107, ""en"", ""pt-br"")"),"É um ótimo começo! Sinto que, ao adicionar fotos, devemos ter a capacidade de escolher o álbum que escolhemos no BC, tenho uma tonelada de imagens no meu telefone e rolando para caçá -las em imagens de 10k não é divertido. Também sinto que deveria haver n"&amp;"o App DMs, pois isso faz parte do que torna as coisas como o Twitter, tão utilizável a capacidade de conversar com nossos amigos sobre tópicos ou postar. Para o que eu amo, é a capacidade de adicionar mais de quatro fotos de cada vez, a capacidade de escr"&amp;"ever tópicos de vários post longos.")</f>
        <v>É um ótimo começo! Sinto que, ao adicionar fotos, devemos ter a capacidade de escolher o álbum que escolhemos no BC, tenho uma tonelada de imagens no meu telefone e rolando para caçá -las em imagens de 10k não é divertido. Também sinto que deveria haver no App DMs, pois isso faz parte do que torna as coisas como o Twitter, tão utilizável a capacidade de conversar com nossos amigos sobre tópicos ou postar. Para o que eu amo, é a capacidade de adicionar mais de quatro fotos de cada vez, a capacidade de escrever tópicos de vários post longos.</v>
      </c>
      <c r="I107" s="10" t="str">
        <f>IFERROR(__xludf.DUMMYFUNCTION("TRIM(REGEXREPLACE(H107,""[^a-zA-ZÀ-ú ]+"",""""))"),"É um ótimo começo Sinto que ao adicionar fotos devemos ter a capacidade de escolher o álbum que escolhemos no BC tenho uma tonelada de imagens no meu telefone e rolando para caçá las em imagens de k não é divertido Também sinto que deveria haver no App DM"&amp;"s pois isso faz parte do que torna as coisas como o Twitter tão utilizável a capacidade de conversar com nossos amigos sobre tópicos ou postar Para o que eu amo é a capacidade de adicionar mais de quatro fotos de cada vez a capacidade de escrever tópicos "&amp;"de vários post longos")</f>
        <v>É um ótimo começo Sinto que ao adicionar fotos devemos ter a capacidade de escolher o álbum que escolhemos no BC tenho uma tonelada de imagens no meu telefone e rolando para caçá las em imagens de k não é divertido Também sinto que deveria haver no App DMs pois isso faz parte do que torna as coisas como o Twitter tão utilizável a capacidade de conversar com nossos amigos sobre tópicos ou postar Para o que eu amo é a capacidade de adicionar mais de quatro fotos de cada vez a capacidade de escrever tópicos de vários post longos</v>
      </c>
      <c r="J107" s="3"/>
      <c r="K107" s="3"/>
      <c r="L107" s="3"/>
      <c r="M107" s="3"/>
      <c r="N107" s="3"/>
      <c r="O107" s="3"/>
      <c r="P107" s="3"/>
      <c r="Q107" s="3"/>
      <c r="R107" s="3"/>
      <c r="S107" s="3"/>
      <c r="T107" s="3"/>
      <c r="U107" s="3"/>
      <c r="V107" s="3"/>
      <c r="W107" s="3"/>
      <c r="X107" s="3"/>
      <c r="Y107" s="3"/>
      <c r="Z107" s="3"/>
      <c r="AA107" s="3"/>
    </row>
    <row r="108" ht="105.75" customHeight="1">
      <c r="A108" s="4" t="s">
        <v>9</v>
      </c>
      <c r="B108" s="5" t="s">
        <v>116</v>
      </c>
      <c r="C108" s="4">
        <v>3.0</v>
      </c>
      <c r="D108" s="6">
        <v>45122.3628125</v>
      </c>
      <c r="E108" s="7" t="str">
        <f t="shared" si="1"/>
        <v>2023-07-15</v>
      </c>
      <c r="F108" s="8" t="str">
        <f t="shared" si="2"/>
        <v> 08:42:27</v>
      </c>
      <c r="G108" s="9" t="str">
        <f t="shared" si="3"/>
        <v>Manhã</v>
      </c>
      <c r="H108" s="10" t="str">
        <f>IFERROR(__xludf.DUMMYFUNCTION("GOOGLETRANSLATE(B108, ""en"", ""pt-br"")"),"Há um bug ao usar este aplicativo no Galaxy S23 Ultra. Quando abro o aplicativo, na tela inicial, ele está mostrando em branco e exibe apenas ícones inferiores. Quando clico em outros ícones, eles respondem. Eu pensei que era um problema lento da rede, te"&amp;"ntei descansar o telefone, mas nada. Espero que isso seja abordado por meio de uma atualização.")</f>
        <v>Há um bug ao usar este aplicativo no Galaxy S23 Ultra. Quando abro o aplicativo, na tela inicial, ele está mostrando em branco e exibe apenas ícones inferiores. Quando clico em outros ícones, eles respondem. Eu pensei que era um problema lento da rede, tentei descansar o telefone, mas nada. Espero que isso seja abordado por meio de uma atualização.</v>
      </c>
      <c r="I108" s="10" t="str">
        <f>IFERROR(__xludf.DUMMYFUNCTION("TRIM(REGEXREPLACE(H108,""[^a-zA-ZÀ-ú ]+"",""""))"),"Há um bug ao usar este aplicativo no Galaxy S Ultra Quando abro o aplicativo na tela inicial ele está mostrando em branco e exibe apenas ícones inferiores Quando clico em outros ícones eles respondem Eu pensei que era um problema lento da rede tentei desc"&amp;"ansar o telefone mas nada Espero que isso seja abordado por meio de uma atualização")</f>
        <v>Há um bug ao usar este aplicativo no Galaxy S Ultra Quando abro o aplicativo na tela inicial ele está mostrando em branco e exibe apenas ícones inferiores Quando clico em outros ícones eles respondem Eu pensei que era um problema lento da rede tentei descansar o telefone mas nada Espero que isso seja abordado por meio de uma atualização</v>
      </c>
      <c r="J108" s="3"/>
      <c r="K108" s="3"/>
      <c r="L108" s="3"/>
      <c r="M108" s="3"/>
      <c r="N108" s="3"/>
      <c r="O108" s="3"/>
      <c r="P108" s="3"/>
      <c r="Q108" s="3"/>
      <c r="R108" s="3"/>
      <c r="S108" s="3"/>
      <c r="T108" s="3"/>
      <c r="U108" s="3"/>
      <c r="V108" s="3"/>
      <c r="W108" s="3"/>
      <c r="X108" s="3"/>
      <c r="Y108" s="3"/>
      <c r="Z108" s="3"/>
      <c r="AA108" s="3"/>
    </row>
    <row r="109" ht="105.75" customHeight="1">
      <c r="A109" s="4" t="s">
        <v>9</v>
      </c>
      <c r="B109" s="5" t="s">
        <v>117</v>
      </c>
      <c r="C109" s="4">
        <v>4.0</v>
      </c>
      <c r="D109" s="6">
        <v>45119.871157407404</v>
      </c>
      <c r="E109" s="7" t="str">
        <f t="shared" si="1"/>
        <v>2023-07-12</v>
      </c>
      <c r="F109" s="8" t="str">
        <f t="shared" si="2"/>
        <v> 20:54:28</v>
      </c>
      <c r="G109" s="9" t="str">
        <f t="shared" si="3"/>
        <v>Noite</v>
      </c>
      <c r="H109" s="10" t="str">
        <f>IFERROR(__xludf.DUMMYFUNCTION("GOOGLETRANSLATE(B109, ""en"", ""pt-br"")"),"tem muito potencial! As pessoas estão reclamando que está faltando recursos básicos, o que é. Mas eles estavam se concentrando principalmente em garantir que o aplicativo funcione sem problemas, o que faz. já substituiu completamente o taitter para mim e,"&amp;" com algumas atualizações de boa qualidade de vida, pode ser muito melhor do que o Twitter")</f>
        <v>tem muito potencial! As pessoas estão reclamando que está faltando recursos básicos, o que é. Mas eles estavam se concentrando principalmente em garantir que o aplicativo funcione sem problemas, o que faz. já substituiu completamente o taitter para mim e, com algumas atualizações de boa qualidade de vida, pode ser muito melhor do que o Twitter</v>
      </c>
      <c r="I109" s="10" t="str">
        <f>IFERROR(__xludf.DUMMYFUNCTION("TRIM(REGEXREPLACE(H109,""[^a-zA-ZÀ-ú ]+"",""""))"),"tem muito potencial As pessoas estão reclamando que está faltando recursos básicos o que é Mas eles estavam se concentrando principalmente em garantir que o aplicativo funcione sem problemas o que faz já substituiu completamente o taitter para mim e com a"&amp;"lgumas atualizações de boa qualidade de vida pode ser muito melhor do que o Twitter")</f>
        <v>tem muito potencial As pessoas estão reclamando que está faltando recursos básicos o que é Mas eles estavam se concentrando principalmente em garantir que o aplicativo funcione sem problemas o que faz já substituiu completamente o taitter para mim e com algumas atualizações de boa qualidade de vida pode ser muito melhor do que o Twitter</v>
      </c>
      <c r="J109" s="3"/>
      <c r="K109" s="3"/>
      <c r="L109" s="3"/>
      <c r="M109" s="3"/>
      <c r="N109" s="3"/>
      <c r="O109" s="3"/>
      <c r="P109" s="3"/>
      <c r="Q109" s="3"/>
      <c r="R109" s="3"/>
      <c r="S109" s="3"/>
      <c r="T109" s="3"/>
      <c r="U109" s="3"/>
      <c r="V109" s="3"/>
      <c r="W109" s="3"/>
      <c r="X109" s="3"/>
      <c r="Y109" s="3"/>
      <c r="Z109" s="3"/>
      <c r="AA109" s="3"/>
    </row>
    <row r="110" ht="105.75" customHeight="1">
      <c r="A110" s="4" t="s">
        <v>9</v>
      </c>
      <c r="B110" s="5" t="s">
        <v>118</v>
      </c>
      <c r="C110" s="4">
        <v>4.0</v>
      </c>
      <c r="D110" s="6">
        <v>45114.08059027778</v>
      </c>
      <c r="E110" s="7" t="str">
        <f t="shared" si="1"/>
        <v>2023-07-07</v>
      </c>
      <c r="F110" s="8" t="str">
        <f t="shared" si="2"/>
        <v> 01:56:03</v>
      </c>
      <c r="G110" s="9" t="str">
        <f t="shared" si="3"/>
        <v>Manhã</v>
      </c>
      <c r="H110" s="10" t="str">
        <f>IFERROR(__xludf.DUMMYFUNCTION("GOOGLETRANSLATE(B110, ""en"", ""pt-br"")"),"Até agora tudo bem. Gosto do layout e da facilidade de uso. E que qualquer seguidor da IG que o use automaticamente o segue. Escolher qual imagem eu quero postar pode ser melhor. Em vez de me mostrar todas as minhas fotos, deixe -me escolher a pasta para "&amp;"procurar. Essa é realmente minha única reclamação")</f>
        <v>Até agora tudo bem. Gosto do layout e da facilidade de uso. E que qualquer seguidor da IG que o use automaticamente o segue. Escolher qual imagem eu quero postar pode ser melhor. Em vez de me mostrar todas as minhas fotos, deixe -me escolher a pasta para procurar. Essa é realmente minha única reclamação</v>
      </c>
      <c r="I110" s="10" t="str">
        <f>IFERROR(__xludf.DUMMYFUNCTION("TRIM(REGEXREPLACE(H110,""[^a-zA-ZÀ-ú ]+"",""""))"),"Até agora tudo bem Gosto do layout e da facilidade de uso E que qualquer seguidor da IG que o use automaticamente o segue Escolher qual imagem eu quero postar pode ser melhor Em vez de me mostrar todas as minhas fotos deixe me escolher a pasta para procur"&amp;"ar Essa é realmente minha única reclamação")</f>
        <v>Até agora tudo bem Gosto do layout e da facilidade de uso E que qualquer seguidor da IG que o use automaticamente o segue Escolher qual imagem eu quero postar pode ser melhor Em vez de me mostrar todas as minhas fotos deixe me escolher a pasta para procurar Essa é realmente minha única reclamação</v>
      </c>
      <c r="J110" s="3"/>
      <c r="K110" s="3"/>
      <c r="L110" s="3"/>
      <c r="M110" s="3"/>
      <c r="N110" s="3"/>
      <c r="O110" s="3"/>
      <c r="P110" s="3"/>
      <c r="Q110" s="3"/>
      <c r="R110" s="3"/>
      <c r="S110" s="3"/>
      <c r="T110" s="3"/>
      <c r="U110" s="3"/>
      <c r="V110" s="3"/>
      <c r="W110" s="3"/>
      <c r="X110" s="3"/>
      <c r="Y110" s="3"/>
      <c r="Z110" s="3"/>
      <c r="AA110" s="3"/>
    </row>
    <row r="111" ht="105.75" customHeight="1">
      <c r="A111" s="4" t="s">
        <v>9</v>
      </c>
      <c r="B111" s="5" t="s">
        <v>119</v>
      </c>
      <c r="C111" s="4">
        <v>2.0</v>
      </c>
      <c r="D111" s="6">
        <v>45114.48295138889</v>
      </c>
      <c r="E111" s="7" t="str">
        <f t="shared" si="1"/>
        <v>2023-07-07</v>
      </c>
      <c r="F111" s="8" t="str">
        <f t="shared" si="2"/>
        <v> 11:35:27</v>
      </c>
      <c r="G111" s="9" t="str">
        <f t="shared" si="3"/>
        <v>Manhã</v>
      </c>
      <c r="H111" s="10" t="str">
        <f>IFERROR(__xludf.DUMMYFUNCTION("GOOGLETRANSLATE(B111, ""en"", ""pt-br"")"),"Pior do que o Twitter em quase todos os aspectos. Quando o hype morre, todos voltarão ao Twitter em uma semana. Também continua travando toda vez que clico em respostas agora. Você também precisa criar uma conta do Instagram para se inscrever. Editar: tam"&amp;"bém continua travando quando tento fazer um tópico. Pelo menos tem uma interface bastante suave (cópia carbono do Twitter).")</f>
        <v>Pior do que o Twitter em quase todos os aspectos. Quando o hype morre, todos voltarão ao Twitter em uma semana. Também continua travando toda vez que clico em respostas agora. Você também precisa criar uma conta do Instagram para se inscrever. Editar: também continua travando quando tento fazer um tópico. Pelo menos tem uma interface bastante suave (cópia carbono do Twitter).</v>
      </c>
      <c r="I111" s="10" t="str">
        <f>IFERROR(__xludf.DUMMYFUNCTION("TRIM(REGEXREPLACE(H111,""[^a-zA-ZÀ-ú ]+"",""""))"),"Pior do que o Twitter em quase todos os aspectos Quando o hype morre todos voltarão ao Twitter em uma semana Também continua travando toda vez que clico em respostas agora Você também precisa criar uma conta do Instagram para se inscrever Editar também co"&amp;"ntinua travando quando tento fazer um tópico Pelo menos tem uma interface bastante suave cópia carbono do Twitter")</f>
        <v>Pior do que o Twitter em quase todos os aspectos Quando o hype morre todos voltarão ao Twitter em uma semana Também continua travando toda vez que clico em respostas agora Você também precisa criar uma conta do Instagram para se inscrever Editar também continua travando quando tento fazer um tópico Pelo menos tem uma interface bastante suave cópia carbono do Twitter</v>
      </c>
      <c r="J111" s="3"/>
      <c r="K111" s="3"/>
      <c r="L111" s="3"/>
      <c r="M111" s="3"/>
      <c r="N111" s="3"/>
      <c r="O111" s="3"/>
      <c r="P111" s="3"/>
      <c r="Q111" s="3"/>
      <c r="R111" s="3"/>
      <c r="S111" s="3"/>
      <c r="T111" s="3"/>
      <c r="U111" s="3"/>
      <c r="V111" s="3"/>
      <c r="W111" s="3"/>
      <c r="X111" s="3"/>
      <c r="Y111" s="3"/>
      <c r="Z111" s="3"/>
      <c r="AA111" s="3"/>
    </row>
    <row r="112" ht="105.75" customHeight="1">
      <c r="A112" s="4" t="s">
        <v>9</v>
      </c>
      <c r="B112" s="5" t="s">
        <v>120</v>
      </c>
      <c r="C112" s="4">
        <v>4.0</v>
      </c>
      <c r="D112" s="6">
        <v>45115.31952546296</v>
      </c>
      <c r="E112" s="7" t="str">
        <f t="shared" si="1"/>
        <v>2023-07-08</v>
      </c>
      <c r="F112" s="8" t="str">
        <f t="shared" si="2"/>
        <v> 07:40:07</v>
      </c>
      <c r="G112" s="9" t="str">
        <f t="shared" si="3"/>
        <v>Manhã</v>
      </c>
      <c r="H112" s="10" t="str">
        <f>IFERROR(__xludf.DUMMYFUNCTION("GOOGLETRANSLATE(B112, ""en"", ""pt-br"")"),"Não é um aplicativo ruim, poderia usar alguns recursos extras. A capacidade de não ver rehreads (desligue os retweets), a capacidade de baixar fotos e, se você realmente quiser deixar passar o Twitter, deixe-nos editar nossas postagens depois que elas for"&amp;"em postadas ... talvez adicione um ""amigo íntimo"" Opção de classificação também como no Instagram.")</f>
        <v>Não é um aplicativo ruim, poderia usar alguns recursos extras. A capacidade de não ver rehreads (desligue os retweets), a capacidade de baixar fotos e, se você realmente quiser deixar passar o Twitter, deixe-nos editar nossas postagens depois que elas forem postadas ... talvez adicione um "amigo íntimo" Opção de classificação também como no Instagram.</v>
      </c>
      <c r="I112" s="10" t="str">
        <f>IFERROR(__xludf.DUMMYFUNCTION("TRIM(REGEXREPLACE(H112,""[^a-zA-ZÀ-ú ]+"",""""))"),"Não é um aplicativo ruim poderia usar alguns recursos extras A capacidade de não ver rehreads desligue os retweets a capacidade de baixar fotos e se você realmente quiser deixar passar o Twitter deixenos editar nossas postagens depois que elas forem posta"&amp;"das talvez adicione um amigo íntimo Opção de classificação também como no Instagram")</f>
        <v>Não é um aplicativo ruim poderia usar alguns recursos extras A capacidade de não ver rehreads desligue os retweets a capacidade de baixar fotos e se você realmente quiser deixar passar o Twitter deixenos editar nossas postagens depois que elas forem postadas talvez adicione um amigo íntimo Opção de classificação também como no Instagram</v>
      </c>
      <c r="J112" s="3"/>
      <c r="K112" s="3"/>
      <c r="L112" s="3"/>
      <c r="M112" s="3"/>
      <c r="N112" s="3"/>
      <c r="O112" s="3"/>
      <c r="P112" s="3"/>
      <c r="Q112" s="3"/>
      <c r="R112" s="3"/>
      <c r="S112" s="3"/>
      <c r="T112" s="3"/>
      <c r="U112" s="3"/>
      <c r="V112" s="3"/>
      <c r="W112" s="3"/>
      <c r="X112" s="3"/>
      <c r="Y112" s="3"/>
      <c r="Z112" s="3"/>
      <c r="AA112" s="3"/>
    </row>
    <row r="113" ht="105.75" customHeight="1">
      <c r="A113" s="4" t="s">
        <v>9</v>
      </c>
      <c r="B113" s="5" t="s">
        <v>121</v>
      </c>
      <c r="C113" s="4">
        <v>2.0</v>
      </c>
      <c r="D113" s="6">
        <v>45115.58106481482</v>
      </c>
      <c r="E113" s="7" t="str">
        <f t="shared" si="1"/>
        <v>2023-07-08</v>
      </c>
      <c r="F113" s="8" t="str">
        <f t="shared" si="2"/>
        <v> 13:56:44</v>
      </c>
      <c r="G113" s="9" t="str">
        <f t="shared" si="3"/>
        <v>Tarde</v>
      </c>
      <c r="H113" s="10" t="str">
        <f>IFERROR(__xludf.DUMMYFUNCTION("GOOGLETRANSLATE(B113, ""en"", ""pt-br"")"),"Um bom primeiro passo, mas muitos bugs ainda precisam ser corrigidos. O mais flagrante é que o teclado na tela se sobrepõe à área de entrada para que você não possa ver o que está digitando. Como é isso que eu consideraria um grande bug, estou classifican"&amp;"do este aplicativo de acordo.")</f>
        <v>Um bom primeiro passo, mas muitos bugs ainda precisam ser corrigidos. O mais flagrante é que o teclado na tela se sobrepõe à área de entrada para que você não possa ver o que está digitando. Como é isso que eu consideraria um grande bug, estou classificando este aplicativo de acordo.</v>
      </c>
      <c r="I113" s="10" t="str">
        <f>IFERROR(__xludf.DUMMYFUNCTION("TRIM(REGEXREPLACE(H113,""[^a-zA-ZÀ-ú ]+"",""""))"),"Um bom primeiro passo mas muitos bugs ainda precisam ser corrigidos O mais flagrante é que o teclado na tela se sobrepõe à área de entrada para que você não possa ver o que está digitando Como é isso que eu consideraria um grande bug estou classificando e"&amp;"ste aplicativo de acordo")</f>
        <v>Um bom primeiro passo mas muitos bugs ainda precisam ser corrigidos O mais flagrante é que o teclado na tela se sobrepõe à área de entrada para que você não possa ver o que está digitando Como é isso que eu consideraria um grande bug estou classificando este aplicativo de acordo</v>
      </c>
      <c r="J113" s="3"/>
      <c r="K113" s="3"/>
      <c r="L113" s="3"/>
      <c r="M113" s="3"/>
      <c r="N113" s="3"/>
      <c r="O113" s="3"/>
      <c r="P113" s="3"/>
      <c r="Q113" s="3"/>
      <c r="R113" s="3"/>
      <c r="S113" s="3"/>
      <c r="T113" s="3"/>
      <c r="U113" s="3"/>
      <c r="V113" s="3"/>
      <c r="W113" s="3"/>
      <c r="X113" s="3"/>
      <c r="Y113" s="3"/>
      <c r="Z113" s="3"/>
      <c r="AA113" s="3"/>
    </row>
    <row r="114" ht="105.75" customHeight="1">
      <c r="A114" s="4" t="s">
        <v>9</v>
      </c>
      <c r="B114" s="5" t="s">
        <v>122</v>
      </c>
      <c r="C114" s="4">
        <v>3.0</v>
      </c>
      <c r="D114" s="6">
        <v>45117.404594907406</v>
      </c>
      <c r="E114" s="7" t="str">
        <f t="shared" si="1"/>
        <v>2023-07-10</v>
      </c>
      <c r="F114" s="8" t="str">
        <f t="shared" si="2"/>
        <v> 09:42:37</v>
      </c>
      <c r="G114" s="9" t="str">
        <f t="shared" si="3"/>
        <v>Manhã</v>
      </c>
      <c r="H114" s="10" t="str">
        <f>IFERROR(__xludf.DUMMYFUNCTION("GOOGLETRANSLATE(B114, ""en"", ""pt-br"")"),"Há muito a desejar neste aplicativo que eu gostaria de ver um crachá ""essa pessoa segue você"" no perfil de alguém que me segue. Uma opção de alimentação de apenas contas que eu sigo. E acima de tudo, estar prestes a escolher pastas específicas da minha "&amp;"galeria para postar fotos e vídeos. O aplicativo é suave, mas o upload de fotos às vezes trava. Caso contrário, posso ver que este é um potencial assassino para o Twitter.")</f>
        <v>Há muito a desejar neste aplicativo que eu gostaria de ver um crachá "essa pessoa segue você" no perfil de alguém que me segue. Uma opção de alimentação de apenas contas que eu sigo. E acima de tudo, estar prestes a escolher pastas específicas da minha galeria para postar fotos e vídeos. O aplicativo é suave, mas o upload de fotos às vezes trava. Caso contrário, posso ver que este é um potencial assassino para o Twitter.</v>
      </c>
      <c r="I114" s="10" t="str">
        <f>IFERROR(__xludf.DUMMYFUNCTION("TRIM(REGEXREPLACE(H114,""[^a-zA-ZÀ-ú ]+"",""""))"),"Há muito a desejar neste aplicativo que eu gostaria de ver um crachá essa pessoa segue você no perfil de alguém que me segue Uma opção de alimentação de apenas contas que eu sigo E acima de tudo estar prestes a escolher pastas específicas da minha galeria"&amp;" para postar fotos e vídeos O aplicativo é suave mas o upload de fotos às vezes trava Caso contrário posso ver que este é um potencial assassino para o Twitter")</f>
        <v>Há muito a desejar neste aplicativo que eu gostaria de ver um crachá essa pessoa segue você no perfil de alguém que me segue Uma opção de alimentação de apenas contas que eu sigo E acima de tudo estar prestes a escolher pastas específicas da minha galeria para postar fotos e vídeos O aplicativo é suave mas o upload de fotos às vezes trava Caso contrário posso ver que este é um potencial assassino para o Twitter</v>
      </c>
      <c r="J114" s="3"/>
      <c r="K114" s="3"/>
      <c r="L114" s="3"/>
      <c r="M114" s="3"/>
      <c r="N114" s="3"/>
      <c r="O114" s="3"/>
      <c r="P114" s="3"/>
      <c r="Q114" s="3"/>
      <c r="R114" s="3"/>
      <c r="S114" s="3"/>
      <c r="T114" s="3"/>
      <c r="U114" s="3"/>
      <c r="V114" s="3"/>
      <c r="W114" s="3"/>
      <c r="X114" s="3"/>
      <c r="Y114" s="3"/>
      <c r="Z114" s="3"/>
      <c r="AA114" s="3"/>
    </row>
    <row r="115" ht="105.75" customHeight="1">
      <c r="A115" s="4" t="s">
        <v>9</v>
      </c>
      <c r="B115" s="5" t="s">
        <v>123</v>
      </c>
      <c r="C115" s="4">
        <v>3.0</v>
      </c>
      <c r="D115" s="6">
        <v>45114.164143518516</v>
      </c>
      <c r="E115" s="7" t="str">
        <f t="shared" si="1"/>
        <v>2023-07-07</v>
      </c>
      <c r="F115" s="8" t="str">
        <f t="shared" si="2"/>
        <v> 03:56:22</v>
      </c>
      <c r="G115" s="9" t="str">
        <f t="shared" si="3"/>
        <v>Manhã</v>
      </c>
      <c r="H115" s="10" t="str">
        <f>IFERROR(__xludf.DUMMYFUNCTION("GOOGLETRANSLATE(B115, ""en"", ""pt-br"")"),"Recentemente, experimentei este aplicativo e não é ruim, mas requer algumas melhorias. Uma questão importante é a falta de uma indicação clara para novas postagens, dificultando a atualização. O aplicativo também precisa de um layout melhor com indicações"&amp;" claras de postagens para aprimorar a experiência do usuário. Além disso, a mistura de postagens e respostas sem separação clara acrescenta confusão. Apesar dessas desvantagens, o aplicativo tem potencial.")</f>
        <v>Recentemente, experimentei este aplicativo e não é ruim, mas requer algumas melhorias. Uma questão importante é a falta de uma indicação clara para novas postagens, dificultando a atualização. O aplicativo também precisa de um layout melhor com indicações claras de postagens para aprimorar a experiência do usuário. Além disso, a mistura de postagens e respostas sem separação clara acrescenta confusão. Apesar dessas desvantagens, o aplicativo tem potencial.</v>
      </c>
      <c r="I115" s="10" t="str">
        <f>IFERROR(__xludf.DUMMYFUNCTION("TRIM(REGEXREPLACE(H115,""[^a-zA-ZÀ-ú ]+"",""""))"),"Recentemente experimentei este aplicativo e não é ruim mas requer algumas melhorias Uma questão importante é a falta de uma indicação clara para novas postagens dificultando a atualização O aplicativo também precisa de um layout melhor com indicações clar"&amp;"as de postagens para aprimorar a experiência do usuário Além disso a mistura de postagens e respostas sem separação clara acrescenta confusão Apesar dessas desvantagens o aplicativo tem potencial")</f>
        <v>Recentemente experimentei este aplicativo e não é ruim mas requer algumas melhorias Uma questão importante é a falta de uma indicação clara para novas postagens dificultando a atualização O aplicativo também precisa de um layout melhor com indicações claras de postagens para aprimorar a experiência do usuário Além disso a mistura de postagens e respostas sem separação clara acrescenta confusão Apesar dessas desvantagens o aplicativo tem potencial</v>
      </c>
      <c r="J115" s="3"/>
      <c r="K115" s="3"/>
      <c r="L115" s="3"/>
      <c r="M115" s="3"/>
      <c r="N115" s="3"/>
      <c r="O115" s="3"/>
      <c r="P115" s="3"/>
      <c r="Q115" s="3"/>
      <c r="R115" s="3"/>
      <c r="S115" s="3"/>
      <c r="T115" s="3"/>
      <c r="U115" s="3"/>
      <c r="V115" s="3"/>
      <c r="W115" s="3"/>
      <c r="X115" s="3"/>
      <c r="Y115" s="3"/>
      <c r="Z115" s="3"/>
      <c r="AA115" s="3"/>
    </row>
    <row r="116" ht="105.75" customHeight="1">
      <c r="A116" s="4" t="s">
        <v>9</v>
      </c>
      <c r="B116" s="5" t="s">
        <v>124</v>
      </c>
      <c r="C116" s="4">
        <v>2.0</v>
      </c>
      <c r="D116" s="6">
        <v>45114.637025462966</v>
      </c>
      <c r="E116" s="7" t="str">
        <f t="shared" si="1"/>
        <v>2023-07-07</v>
      </c>
      <c r="F116" s="8" t="str">
        <f t="shared" si="2"/>
        <v> 15:17:19</v>
      </c>
      <c r="G116" s="9" t="str">
        <f t="shared" si="3"/>
        <v>Tarde</v>
      </c>
      <c r="H116" s="10" t="str">
        <f>IFERROR(__xludf.DUMMYFUNCTION("GOOGLETRANSLATE(B116, ""en"", ""pt-br"")"),"Olá, estou enfrentando alguns problemas com o tema dos threads. Eu esperava usar um modo escuro, mas, infelizmente, o sistema do meu telefone não possui essa opção. Portanto, solicito gentilmente se seria possível melhorar o tema, considerando que muitos "&amp;"outros também podem estar enfrentando dificuldades semelhantes, especialmente aqueles que preferem um modo escuro. Espero que esse feedback chegue a você e sirva de inspiração para resolver esse assunto. Obrigado.")</f>
        <v>Olá, estou enfrentando alguns problemas com o tema dos threads. Eu esperava usar um modo escuro, mas, infelizmente, o sistema do meu telefone não possui essa opção. Portanto, solicito gentilmente se seria possível melhorar o tema, considerando que muitos outros também podem estar enfrentando dificuldades semelhantes, especialmente aqueles que preferem um modo escuro. Espero que esse feedback chegue a você e sirva de inspiração para resolver esse assunto. Obrigado.</v>
      </c>
      <c r="I116" s="10" t="str">
        <f>IFERROR(__xludf.DUMMYFUNCTION("TRIM(REGEXREPLACE(H116,""[^a-zA-ZÀ-ú ]+"",""""))"),"Olá estou enfrentando alguns problemas com o tema dos threads Eu esperava usar um modo escuro mas infelizmente o sistema do meu telefone não possui essa opção Portanto solicito gentilmente se seria possível melhorar o tema considerando que muitos outros t"&amp;"ambém podem estar enfrentando dificuldades semelhantes especialmente aqueles que preferem um modo escuro Espero que esse feedback chegue a você e sirva de inspiração para resolver esse assunto Obrigado")</f>
        <v>Olá estou enfrentando alguns problemas com o tema dos threads Eu esperava usar um modo escuro mas infelizmente o sistema do meu telefone não possui essa opção Portanto solicito gentilmente se seria possível melhorar o tema considerando que muitos outros também podem estar enfrentando dificuldades semelhantes especialmente aqueles que preferem um modo escuro Espero que esse feedback chegue a você e sirva de inspiração para resolver esse assunto Obrigado</v>
      </c>
      <c r="J116" s="3"/>
      <c r="K116" s="3"/>
      <c r="L116" s="3"/>
      <c r="M116" s="3"/>
      <c r="N116" s="3"/>
      <c r="O116" s="3"/>
      <c r="P116" s="3"/>
      <c r="Q116" s="3"/>
      <c r="R116" s="3"/>
      <c r="S116" s="3"/>
      <c r="T116" s="3"/>
      <c r="U116" s="3"/>
      <c r="V116" s="3"/>
      <c r="W116" s="3"/>
      <c r="X116" s="3"/>
      <c r="Y116" s="3"/>
      <c r="Z116" s="3"/>
      <c r="AA116" s="3"/>
    </row>
    <row r="117" ht="105.75" customHeight="1">
      <c r="A117" s="4" t="s">
        <v>9</v>
      </c>
      <c r="B117" s="5" t="s">
        <v>125</v>
      </c>
      <c r="C117" s="4">
        <v>3.0</v>
      </c>
      <c r="D117" s="6">
        <v>45114.1625462963</v>
      </c>
      <c r="E117" s="7" t="str">
        <f t="shared" si="1"/>
        <v>2023-07-07</v>
      </c>
      <c r="F117" s="8" t="str">
        <f t="shared" si="2"/>
        <v> 03:54:04</v>
      </c>
      <c r="G117" s="9" t="str">
        <f t="shared" si="3"/>
        <v>Manhã</v>
      </c>
      <c r="H117" s="10" t="str">
        <f>IFERROR(__xludf.DUMMYFUNCTION("GOOGLETRANSLATE(B117, ""en"", ""pt-br"")"),"Tem potencial, mas também tem alguns problemas. Então, posso ver essa plataforma se tornando muito divertida de usar no futuro, mas tem alguns problemas gritantes. Um dos quais é que, sempre que eu tento fazer upload de várias imagens, o aplicativo trava "&amp;"quase instantaneamente. Também não há guia de mídia e nenhuma maneira de rastrear o que você gostou ou comentou.")</f>
        <v>Tem potencial, mas também tem alguns problemas. Então, posso ver essa plataforma se tornando muito divertida de usar no futuro, mas tem alguns problemas gritantes. Um dos quais é que, sempre que eu tento fazer upload de várias imagens, o aplicativo trava quase instantaneamente. Também não há guia de mídia e nenhuma maneira de rastrear o que você gostou ou comentou.</v>
      </c>
      <c r="I117" s="10" t="str">
        <f>IFERROR(__xludf.DUMMYFUNCTION("TRIM(REGEXREPLACE(H117,""[^a-zA-ZÀ-ú ]+"",""""))"),"Tem potencial mas também tem alguns problemas Então posso ver essa plataforma se tornando muito divertida de usar no futuro mas tem alguns problemas gritantes Um dos quais é que sempre que eu tento fazer upload de várias imagens o aplicativo trava quase i"&amp;"nstantaneamente Também não há guia de mídia e nenhuma maneira de rastrear o que você gostou ou comentou")</f>
        <v>Tem potencial mas também tem alguns problemas Então posso ver essa plataforma se tornando muito divertida de usar no futuro mas tem alguns problemas gritantes Um dos quais é que sempre que eu tento fazer upload de várias imagens o aplicativo trava quase instantaneamente Também não há guia de mídia e nenhuma maneira de rastrear o que você gostou ou comentou</v>
      </c>
      <c r="J117" s="3"/>
      <c r="K117" s="3"/>
      <c r="L117" s="3"/>
      <c r="M117" s="3"/>
      <c r="N117" s="3"/>
      <c r="O117" s="3"/>
      <c r="P117" s="3"/>
      <c r="Q117" s="3"/>
      <c r="R117" s="3"/>
      <c r="S117" s="3"/>
      <c r="T117" s="3"/>
      <c r="U117" s="3"/>
      <c r="V117" s="3"/>
      <c r="W117" s="3"/>
      <c r="X117" s="3"/>
      <c r="Y117" s="3"/>
      <c r="Z117" s="3"/>
      <c r="AA117" s="3"/>
    </row>
    <row r="118" ht="105.75" customHeight="1">
      <c r="A118" s="4" t="s">
        <v>9</v>
      </c>
      <c r="B118" s="5" t="s">
        <v>126</v>
      </c>
      <c r="C118" s="4">
        <v>3.0</v>
      </c>
      <c r="D118" s="6">
        <v>45126.73125</v>
      </c>
      <c r="E118" s="7" t="str">
        <f t="shared" si="1"/>
        <v>2023-07-19</v>
      </c>
      <c r="F118" s="8" t="str">
        <f t="shared" si="2"/>
        <v> 17:33:00</v>
      </c>
      <c r="G118" s="9" t="str">
        <f t="shared" si="3"/>
        <v>Tarde</v>
      </c>
      <c r="H118" s="10" t="str">
        <f>IFERROR(__xludf.DUMMYFUNCTION("GOOGLETRANSLATE(B118, ""en"", ""pt-br"")"),"Até agora é bem pacífico. Aprecio que há um pop -up me dizendo que eu posso estar postando algo que pode ser considerado um problema (mesmo que estejam errados), em vez da maneira como o FB apenas me proibirá arbitrariamente. Estou recebendo um ""threads "&amp;"falhou ao fazer upload de erros"". Isso é irritante, pois outros aplicativos estão carregando muito bem.")</f>
        <v>Até agora é bem pacífico. Aprecio que há um pop -up me dizendo que eu posso estar postando algo que pode ser considerado um problema (mesmo que estejam errados), em vez da maneira como o FB apenas me proibirá arbitrariamente. Estou recebendo um "threads falhou ao fazer upload de erros". Isso é irritante, pois outros aplicativos estão carregando muito bem.</v>
      </c>
      <c r="I118" s="10" t="str">
        <f>IFERROR(__xludf.DUMMYFUNCTION("TRIM(REGEXREPLACE(H118,""[^a-zA-ZÀ-ú ]+"",""""))"),"Até agora é bem pacífico Aprecio que há um pop up me dizendo que eu posso estar postando algo que pode ser considerado um problema mesmo que estejam errados em vez da maneira como o FB apenas me proibirá arbitrariamente Estou recebendo um threads falhou a"&amp;"o fazer upload de erros Isso é irritante pois outros aplicativos estão carregando muito bem")</f>
        <v>Até agora é bem pacífico Aprecio que há um pop up me dizendo que eu posso estar postando algo que pode ser considerado um problema mesmo que estejam errados em vez da maneira como o FB apenas me proibirá arbitrariamente Estou recebendo um threads falhou ao fazer upload de erros Isso é irritante pois outros aplicativos estão carregando muito bem</v>
      </c>
      <c r="J118" s="3"/>
      <c r="K118" s="3"/>
      <c r="L118" s="3"/>
      <c r="M118" s="3"/>
      <c r="N118" s="3"/>
      <c r="O118" s="3"/>
      <c r="P118" s="3"/>
      <c r="Q118" s="3"/>
      <c r="R118" s="3"/>
      <c r="S118" s="3"/>
      <c r="T118" s="3"/>
      <c r="U118" s="3"/>
      <c r="V118" s="3"/>
      <c r="W118" s="3"/>
      <c r="X118" s="3"/>
      <c r="Y118" s="3"/>
      <c r="Z118" s="3"/>
      <c r="AA118" s="3"/>
    </row>
    <row r="119" ht="105.75" customHeight="1">
      <c r="A119" s="4" t="s">
        <v>9</v>
      </c>
      <c r="B119" s="5" t="s">
        <v>127</v>
      </c>
      <c r="C119" s="4">
        <v>2.0</v>
      </c>
      <c r="D119" s="6">
        <v>45115.45912037037</v>
      </c>
      <c r="E119" s="7" t="str">
        <f t="shared" si="1"/>
        <v>2023-07-08</v>
      </c>
      <c r="F119" s="8" t="str">
        <f t="shared" si="2"/>
        <v> 11:01:08</v>
      </c>
      <c r="G119" s="9" t="str">
        <f t="shared" si="3"/>
        <v>Manhã</v>
      </c>
      <c r="H119" s="10" t="str">
        <f>IFERROR(__xludf.DUMMYFUNCTION("GOOGLETRANSLATE(B119, ""en"", ""pt-br"")"),"A migração deveria ser a melhor coisa. Eu tive que ir encontrar a maioria das pessoas que sigo. As notificações não funcionam, mesmo que sejam ativadas para as pessoas que eu quero ouvir. Este é um aplicativo apressado. Não é original. Parece um papel de "&amp;"termo parcialmente concluído. Não estou impressionado")</f>
        <v>A migração deveria ser a melhor coisa. Eu tive que ir encontrar a maioria das pessoas que sigo. As notificações não funcionam, mesmo que sejam ativadas para as pessoas que eu quero ouvir. Este é um aplicativo apressado. Não é original. Parece um papel de termo parcialmente concluído. Não estou impressionado</v>
      </c>
      <c r="I119" s="10" t="str">
        <f>IFERROR(__xludf.DUMMYFUNCTION("TRIM(REGEXREPLACE(H119,""[^a-zA-ZÀ-ú ]+"",""""))"),"A migração deveria ser a melhor coisa Eu tive que ir encontrar a maioria das pessoas que sigo As notificações não funcionam mesmo que sejam ativadas para as pessoas que eu quero ouvir Este é um aplicativo apressado Não é original Parece um papel de termo "&amp;"parcialmente concluído Não estou impressionado")</f>
        <v>A migração deveria ser a melhor coisa Eu tive que ir encontrar a maioria das pessoas que sigo As notificações não funcionam mesmo que sejam ativadas para as pessoas que eu quero ouvir Este é um aplicativo apressado Não é original Parece um papel de termo parcialmente concluído Não estou impressionado</v>
      </c>
      <c r="J119" s="3"/>
      <c r="K119" s="3"/>
      <c r="L119" s="3"/>
      <c r="M119" s="3"/>
      <c r="N119" s="3"/>
      <c r="O119" s="3"/>
      <c r="P119" s="3"/>
      <c r="Q119" s="3"/>
      <c r="R119" s="3"/>
      <c r="S119" s="3"/>
      <c r="T119" s="3"/>
      <c r="U119" s="3"/>
      <c r="V119" s="3"/>
      <c r="W119" s="3"/>
      <c r="X119" s="3"/>
      <c r="Y119" s="3"/>
      <c r="Z119" s="3"/>
      <c r="AA119" s="3"/>
    </row>
    <row r="120" ht="105.75" customHeight="1">
      <c r="A120" s="4" t="s">
        <v>9</v>
      </c>
      <c r="B120" s="5" t="s">
        <v>128</v>
      </c>
      <c r="C120" s="4">
        <v>1.0</v>
      </c>
      <c r="D120" s="6">
        <v>45123.60089120371</v>
      </c>
      <c r="E120" s="7" t="str">
        <f t="shared" si="1"/>
        <v>2023-07-16</v>
      </c>
      <c r="F120" s="8" t="str">
        <f t="shared" si="2"/>
        <v> 14:25:17</v>
      </c>
      <c r="G120" s="9" t="str">
        <f t="shared" si="3"/>
        <v>Tarde</v>
      </c>
      <c r="H120" s="10" t="str">
        <f>IFERROR(__xludf.DUMMYFUNCTION("GOOGLETRANSLATE(B120, ""en"", ""pt-br"")"),"Não posso postar nada. Sempre diz apenas ""falhou em fazer upload"". Eu tentei de tudo, atualizando tudo, postando coisas curtas, reiniciando meu telefone, redes diferentes e celular, desinstalando e reinstalando várias vezes e relatando os problemas e ne"&amp;"nhum sucesso ou resposta. Então é basicamente incomum para mim.")</f>
        <v>Não posso postar nada. Sempre diz apenas "falhou em fazer upload". Eu tentei de tudo, atualizando tudo, postando coisas curtas, reiniciando meu telefone, redes diferentes e celular, desinstalando e reinstalando várias vezes e relatando os problemas e nenhum sucesso ou resposta. Então é basicamente incomum para mim.</v>
      </c>
      <c r="I120" s="10" t="str">
        <f>IFERROR(__xludf.DUMMYFUNCTION("TRIM(REGEXREPLACE(H120,""[^a-zA-ZÀ-ú ]+"",""""))"),"Não posso postar nada Sempre diz apenas falhou em fazer upload Eu tentei de tudo atualizando tudo postando coisas curtas reiniciando meu telefone redes diferentes e celular desinstalando e reinstalando várias vezes e relatando os problemas e nenhum sucess"&amp;"o ou resposta Então é basicamente incomum para mim")</f>
        <v>Não posso postar nada Sempre diz apenas falhou em fazer upload Eu tentei de tudo atualizando tudo postando coisas curtas reiniciando meu telefone redes diferentes e celular desinstalando e reinstalando várias vezes e relatando os problemas e nenhum sucesso ou resposta Então é basicamente incomum para mim</v>
      </c>
      <c r="J120" s="3"/>
      <c r="K120" s="3"/>
      <c r="L120" s="3"/>
      <c r="M120" s="3"/>
      <c r="N120" s="3"/>
      <c r="O120" s="3"/>
      <c r="P120" s="3"/>
      <c r="Q120" s="3"/>
      <c r="R120" s="3"/>
      <c r="S120" s="3"/>
      <c r="T120" s="3"/>
      <c r="U120" s="3"/>
      <c r="V120" s="3"/>
      <c r="W120" s="3"/>
      <c r="X120" s="3"/>
      <c r="Y120" s="3"/>
      <c r="Z120" s="3"/>
      <c r="AA120" s="3"/>
    </row>
    <row r="121" ht="105.75" customHeight="1">
      <c r="A121" s="4" t="s">
        <v>9</v>
      </c>
      <c r="B121" s="5" t="s">
        <v>129</v>
      </c>
      <c r="C121" s="4">
        <v>4.0</v>
      </c>
      <c r="D121" s="6">
        <v>45114.40767361111</v>
      </c>
      <c r="E121" s="7" t="str">
        <f t="shared" si="1"/>
        <v>2023-07-07</v>
      </c>
      <c r="F121" s="8" t="str">
        <f t="shared" si="2"/>
        <v> 09:47:03</v>
      </c>
      <c r="G121" s="9" t="str">
        <f t="shared" si="3"/>
        <v>Manhã</v>
      </c>
      <c r="H121" s="10" t="str">
        <f>IFERROR(__xludf.DUMMYFUNCTION("GOOGLETRANSLATE(B121, ""en"", ""pt-br"")"),"Ótimo aplicativo !!! No entanto, estou experimentando bugs de tempos em tempos que limita meu uso do aplicativo. 😔 Às vezes, minha linha do tempo não se refresca, às vezes exibe que ainda não publico tópicos, mesmo que eu tenha, e não posso procurar minh"&amp;"a barra de notificação porque eles não podem ser clicados e são agrupados. Vou tentar desinstalar e instalar novamente, talvez assim eu tenhamos uma experiência melhor ao usar o aplicativo. Tem um grande potencial !!")</f>
        <v>Ótimo aplicativo !!! No entanto, estou experimentando bugs de tempos em tempos que limita meu uso do aplicativo. 😔 Às vezes, minha linha do tempo não se refresca, às vezes exibe que ainda não publico tópicos, mesmo que eu tenha, e não posso procurar minha barra de notificação porque eles não podem ser clicados e são agrupados. Vou tentar desinstalar e instalar novamente, talvez assim eu tenhamos uma experiência melhor ao usar o aplicativo. Tem um grande potencial !!</v>
      </c>
      <c r="I121" s="10" t="str">
        <f>IFERROR(__xludf.DUMMYFUNCTION("TRIM(REGEXREPLACE(H121,""[^a-zA-ZÀ-ú ]+"",""""))"),"Ótimo aplicativo No entanto estou experimentando bugs de tempos em tempos que limita meu uso do aplicativo Às vezes minha linha do tempo não se refresca às vezes exibe que ainda não publico tópicos mesmo que eu tenha e não posso procurar minha barra de no"&amp;"tificação porque eles não podem ser clicados e são agrupados Vou tentar desinstalar e instalar novamente talvez assim eu tenhamos uma experiência melhor ao usar o aplicativo Tem um grande potencial")</f>
        <v>Ótimo aplicativo No entanto estou experimentando bugs de tempos em tempos que limita meu uso do aplicativo Às vezes minha linha do tempo não se refresca às vezes exibe que ainda não publico tópicos mesmo que eu tenha e não posso procurar minha barra de notificação porque eles não podem ser clicados e são agrupados Vou tentar desinstalar e instalar novamente talvez assim eu tenhamos uma experiência melhor ao usar o aplicativo Tem um grande potencial</v>
      </c>
      <c r="J121" s="3"/>
      <c r="K121" s="3"/>
      <c r="L121" s="3"/>
      <c r="M121" s="3"/>
      <c r="N121" s="3"/>
      <c r="O121" s="3"/>
      <c r="P121" s="3"/>
      <c r="Q121" s="3"/>
      <c r="R121" s="3"/>
      <c r="S121" s="3"/>
      <c r="T121" s="3"/>
      <c r="U121" s="3"/>
      <c r="V121" s="3"/>
      <c r="W121" s="3"/>
      <c r="X121" s="3"/>
      <c r="Y121" s="3"/>
      <c r="Z121" s="3"/>
      <c r="AA121" s="3"/>
    </row>
    <row r="122" ht="105.75" customHeight="1">
      <c r="A122" s="4" t="s">
        <v>9</v>
      </c>
      <c r="B122" s="5" t="s">
        <v>130</v>
      </c>
      <c r="C122" s="4">
        <v>1.0</v>
      </c>
      <c r="D122" s="6">
        <v>45113.64707175926</v>
      </c>
      <c r="E122" s="7" t="str">
        <f t="shared" si="1"/>
        <v>2023-07-06</v>
      </c>
      <c r="F122" s="8" t="str">
        <f t="shared" si="2"/>
        <v> 15:31:47</v>
      </c>
      <c r="G122" s="9" t="str">
        <f t="shared" si="3"/>
        <v>Tarde</v>
      </c>
      <c r="H122" s="10" t="str">
        <f>IFERROR(__xludf.DUMMYFUNCTION("GOOGLETRANSLATE(B122, ""en"", ""pt-br"")"),"A interface do aplicativo está com erros. Não consigo nem ler nada porque, quando eu a rolo, a interface se torna uma bagunça. É como se os quadros da animação de rolagem estivessem sendo empilhados um no outro, tornando impossível distinguir qualquer coi"&amp;"sa.")</f>
        <v>A interface do aplicativo está com erros. Não consigo nem ler nada porque, quando eu a rolo, a interface se torna uma bagunça. É como se os quadros da animação de rolagem estivessem sendo empilhados um no outro, tornando impossível distinguir qualquer coisa.</v>
      </c>
      <c r="I122" s="10" t="str">
        <f>IFERROR(__xludf.DUMMYFUNCTION("TRIM(REGEXREPLACE(H122,""[^a-zA-ZÀ-ú ]+"",""""))"),"A interface do aplicativo está com erros Não consigo nem ler nada porque quando eu a rolo a interface se torna uma bagunça É como se os quadros da animação de rolagem estivessem sendo empilhados um no outro tornando impossível distinguir qualquer coisa")</f>
        <v>A interface do aplicativo está com erros Não consigo nem ler nada porque quando eu a rolo a interface se torna uma bagunça É como se os quadros da animação de rolagem estivessem sendo empilhados um no outro tornando impossível distinguir qualquer coisa</v>
      </c>
      <c r="J122" s="3"/>
      <c r="K122" s="3"/>
      <c r="L122" s="3"/>
      <c r="M122" s="3"/>
      <c r="N122" s="3"/>
      <c r="O122" s="3"/>
      <c r="P122" s="3"/>
      <c r="Q122" s="3"/>
      <c r="R122" s="3"/>
      <c r="S122" s="3"/>
      <c r="T122" s="3"/>
      <c r="U122" s="3"/>
      <c r="V122" s="3"/>
      <c r="W122" s="3"/>
      <c r="X122" s="3"/>
      <c r="Y122" s="3"/>
      <c r="Z122" s="3"/>
      <c r="AA122" s="3"/>
    </row>
    <row r="123" ht="105.75" customHeight="1">
      <c r="A123" s="4" t="s">
        <v>9</v>
      </c>
      <c r="B123" s="5" t="s">
        <v>131</v>
      </c>
      <c r="C123" s="4">
        <v>4.0</v>
      </c>
      <c r="D123" s="6">
        <v>45113.08733796296</v>
      </c>
      <c r="E123" s="7" t="str">
        <f t="shared" si="1"/>
        <v>2023-07-06</v>
      </c>
      <c r="F123" s="8" t="str">
        <f t="shared" si="2"/>
        <v> 02:05:46</v>
      </c>
      <c r="G123" s="9" t="str">
        <f t="shared" si="3"/>
        <v>Manhã</v>
      </c>
      <c r="H123" s="10" t="str">
        <f>IFERROR(__xludf.DUMMYFUNCTION("GOOGLETRANSLATE(B123, ""en"", ""pt-br"")"),"Bom começo, precisa de alguns recursos importantes. Ele preenche o seu feed com base no que acha que você gostaria, em oposição a quem você segue. Também é preciso haver mais filtros, para que você possa realmente adaptar sua experiência. Mas até agora, é"&amp;" limpo, divertido e como as primeiras mídias sociais. Por favor, não deixe que seja estragado por anúncios, empresas, etc.")</f>
        <v>Bom começo, precisa de alguns recursos importantes. Ele preenche o seu feed com base no que acha que você gostaria, em oposição a quem você segue. Também é preciso haver mais filtros, para que você possa realmente adaptar sua experiência. Mas até agora, é limpo, divertido e como as primeiras mídias sociais. Por favor, não deixe que seja estragado por anúncios, empresas, etc.</v>
      </c>
      <c r="I123" s="10" t="str">
        <f>IFERROR(__xludf.DUMMYFUNCTION("TRIM(REGEXREPLACE(H123,""[^a-zA-ZÀ-ú ]+"",""""))"),"Bom começo precisa de alguns recursos importantes Ele preenche o seu feed com base no que acha que você gostaria em oposição a quem você segue Também é preciso haver mais filtros para que você possa realmente adaptar sua experiência Mas até agora é limpo "&amp;"divertido e como as primeiras mídias sociais Por favor não deixe que seja estragado por anúncios empresas etc")</f>
        <v>Bom começo precisa de alguns recursos importantes Ele preenche o seu feed com base no que acha que você gostaria em oposição a quem você segue Também é preciso haver mais filtros para que você possa realmente adaptar sua experiência Mas até agora é limpo divertido e como as primeiras mídias sociais Por favor não deixe que seja estragado por anúncios empresas etc</v>
      </c>
      <c r="J123" s="3"/>
      <c r="K123" s="3"/>
      <c r="L123" s="3"/>
      <c r="M123" s="3"/>
      <c r="N123" s="3"/>
      <c r="O123" s="3"/>
      <c r="P123" s="3"/>
      <c r="Q123" s="3"/>
      <c r="R123" s="3"/>
      <c r="S123" s="3"/>
      <c r="T123" s="3"/>
      <c r="U123" s="3"/>
      <c r="V123" s="3"/>
      <c r="W123" s="3"/>
      <c r="X123" s="3"/>
      <c r="Y123" s="3"/>
      <c r="Z123" s="3"/>
      <c r="AA123" s="3"/>
    </row>
    <row r="124" ht="105.75" customHeight="1">
      <c r="A124" s="4" t="s">
        <v>9</v>
      </c>
      <c r="B124" s="5" t="s">
        <v>132</v>
      </c>
      <c r="C124" s="4">
        <v>2.0</v>
      </c>
      <c r="D124" s="6">
        <v>45114.199016203704</v>
      </c>
      <c r="E124" s="7" t="str">
        <f t="shared" si="1"/>
        <v>2023-07-07</v>
      </c>
      <c r="F124" s="8" t="str">
        <f t="shared" si="2"/>
        <v> 04:46:35</v>
      </c>
      <c r="G124" s="9" t="str">
        <f t="shared" si="3"/>
        <v>Manhã</v>
      </c>
      <c r="H124" s="10" t="str">
        <f>IFERROR(__xludf.DUMMYFUNCTION("GOOGLETRANSLATE(B124, ""en"", ""pt-br"")"),"Sem sentido. É uma lite do Twitter sem nenhuma diversão. Moderação pesada e sem pesquisas ou hashtags. Ele não possui recursos úteis e o conteúdo desaparecerá em breve se eles não liberarem rapidamente os recursos e iluminarem suas políticas. Provavelment"&amp;"e vou desinstalá -lo em uma semana, não vale a pena o dreno extra de bateria e o rastreamento do Facebook em seu estado atual.")</f>
        <v>Sem sentido. É uma lite do Twitter sem nenhuma diversão. Moderação pesada e sem pesquisas ou hashtags. Ele não possui recursos úteis e o conteúdo desaparecerá em breve se eles não liberarem rapidamente os recursos e iluminarem suas políticas. Provavelmente vou desinstalá -lo em uma semana, não vale a pena o dreno extra de bateria e o rastreamento do Facebook em seu estado atual.</v>
      </c>
      <c r="I124" s="10" t="str">
        <f>IFERROR(__xludf.DUMMYFUNCTION("TRIM(REGEXREPLACE(H124,""[^a-zA-ZÀ-ú ]+"",""""))"),"Sem sentido É uma lite do Twitter sem nenhuma diversão Moderação pesada e sem pesquisas ou hashtags Ele não possui recursos úteis e o conteúdo desaparecerá em breve se eles não liberarem rapidamente os recursos e iluminarem suas políticas Provavelmente vo"&amp;"u desinstalá lo em uma semana não vale a pena o dreno extra de bateria e o rastreamento do Facebook em seu estado atual")</f>
        <v>Sem sentido É uma lite do Twitter sem nenhuma diversão Moderação pesada e sem pesquisas ou hashtags Ele não possui recursos úteis e o conteúdo desaparecerá em breve se eles não liberarem rapidamente os recursos e iluminarem suas políticas Provavelmente vou desinstalá lo em uma semana não vale a pena o dreno extra de bateria e o rastreamento do Facebook em seu estado atual</v>
      </c>
      <c r="J124" s="3"/>
      <c r="K124" s="3"/>
      <c r="L124" s="3"/>
      <c r="M124" s="3"/>
      <c r="N124" s="3"/>
      <c r="O124" s="3"/>
      <c r="P124" s="3"/>
      <c r="Q124" s="3"/>
      <c r="R124" s="3"/>
      <c r="S124" s="3"/>
      <c r="T124" s="3"/>
      <c r="U124" s="3"/>
      <c r="V124" s="3"/>
      <c r="W124" s="3"/>
      <c r="X124" s="3"/>
      <c r="Y124" s="3"/>
      <c r="Z124" s="3"/>
      <c r="AA124" s="3"/>
    </row>
    <row r="125" ht="105.75" customHeight="1">
      <c r="A125" s="4" t="s">
        <v>9</v>
      </c>
      <c r="B125" s="5" t="s">
        <v>133</v>
      </c>
      <c r="C125" s="4">
        <v>4.0</v>
      </c>
      <c r="D125" s="6">
        <v>45121.84307870371</v>
      </c>
      <c r="E125" s="7" t="str">
        <f t="shared" si="1"/>
        <v>2023-07-14</v>
      </c>
      <c r="F125" s="8" t="str">
        <f t="shared" si="2"/>
        <v> 20:14:02</v>
      </c>
      <c r="G125" s="9" t="str">
        <f t="shared" si="3"/>
        <v>Noite</v>
      </c>
      <c r="H125" s="10" t="str">
        <f>IFERROR(__xludf.DUMMYFUNCTION("GOOGLETRANSLATE(B125, ""en"", ""pt-br"")"),"A ideia do aplicativo é divertida. Parece um espaço seguro onde as pessoas estão compartilhando pensamentos e idéias. Existem alguns bugs, senta frequentemente e ele diminuiu o IG também. Mas é um novo aplicativo. Ainda não estou esperando a perfeição, po"&amp;"is foi lançada apenas uma semana atrás.")</f>
        <v>A ideia do aplicativo é divertida. Parece um espaço seguro onde as pessoas estão compartilhando pensamentos e idéias. Existem alguns bugs, senta frequentemente e ele diminuiu o IG também. Mas é um novo aplicativo. Ainda não estou esperando a perfeição, pois foi lançada apenas uma semana atrás.</v>
      </c>
      <c r="I125" s="10" t="str">
        <f>IFERROR(__xludf.DUMMYFUNCTION("TRIM(REGEXREPLACE(H125,""[^a-zA-ZÀ-ú ]+"",""""))"),"A ideia do aplicativo é divertida Parece um espaço seguro onde as pessoas estão compartilhando pensamentos e idéias Existem alguns bugs senta frequentemente e ele diminuiu o IG também Mas é um novo aplicativo Ainda não estou esperando a perfeição pois foi"&amp;" lançada apenas uma semana atrás")</f>
        <v>A ideia do aplicativo é divertida Parece um espaço seguro onde as pessoas estão compartilhando pensamentos e idéias Existem alguns bugs senta frequentemente e ele diminuiu o IG também Mas é um novo aplicativo Ainda não estou esperando a perfeição pois foi lançada apenas uma semana atrás</v>
      </c>
      <c r="J125" s="3"/>
      <c r="K125" s="3"/>
      <c r="L125" s="3"/>
      <c r="M125" s="3"/>
      <c r="N125" s="3"/>
      <c r="O125" s="3"/>
      <c r="P125" s="3"/>
      <c r="Q125" s="3"/>
      <c r="R125" s="3"/>
      <c r="S125" s="3"/>
      <c r="T125" s="3"/>
      <c r="U125" s="3"/>
      <c r="V125" s="3"/>
      <c r="W125" s="3"/>
      <c r="X125" s="3"/>
      <c r="Y125" s="3"/>
      <c r="Z125" s="3"/>
      <c r="AA125" s="3"/>
    </row>
    <row r="126" ht="105.75" customHeight="1">
      <c r="A126" s="4" t="s">
        <v>9</v>
      </c>
      <c r="B126" s="5" t="s">
        <v>134</v>
      </c>
      <c r="C126" s="4">
        <v>4.0</v>
      </c>
      <c r="D126" s="6">
        <v>45116.96413194444</v>
      </c>
      <c r="E126" s="7" t="str">
        <f t="shared" si="1"/>
        <v>2023-07-09</v>
      </c>
      <c r="F126" s="8" t="str">
        <f t="shared" si="2"/>
        <v> 23:08:21</v>
      </c>
      <c r="G126" s="9" t="str">
        <f t="shared" si="3"/>
        <v>Noite</v>
      </c>
      <c r="H126" s="10" t="str">
        <f>IFERROR(__xludf.DUMMYFUNCTION("GOOGLETRANSLATE(B126, ""en"", ""pt-br"")"),"O aplicativo ainda é novo e eu instalei o aplicativo pela primeira vez. A configuração era fácil de fazer. Uma coisa que eu adoraria ver no aplicativo é que você pode fazer upload de vídeos em threads e a outra coisa é que você pode excluir seu perfil e d"&amp;"ados porque eu li que a única maneira de excluir os dados é excluir sua conta do Instagram O que eu não gosto, porque isso vai perturbar as pessoas quando elas querem excluir os dados dos threads.")</f>
        <v>O aplicativo ainda é novo e eu instalei o aplicativo pela primeira vez. A configuração era fácil de fazer. Uma coisa que eu adoraria ver no aplicativo é que você pode fazer upload de vídeos em threads e a outra coisa é que você pode excluir seu perfil e dados porque eu li que a única maneira de excluir os dados é excluir sua conta do Instagram O que eu não gosto, porque isso vai perturbar as pessoas quando elas querem excluir os dados dos threads.</v>
      </c>
      <c r="I126" s="10" t="str">
        <f>IFERROR(__xludf.DUMMYFUNCTION("TRIM(REGEXREPLACE(H126,""[^a-zA-ZÀ-ú ]+"",""""))"),"O aplicativo ainda é novo e eu instalei o aplicativo pela primeira vez A configuração era fácil de fazer Uma coisa que eu adoraria ver no aplicativo é que você pode fazer upload de vídeos em threads e a outra coisa é que você pode excluir seu perfil e dad"&amp;"os porque eu li que a única maneira de excluir os dados é excluir sua conta do Instagram O que eu não gosto porque isso vai perturbar as pessoas quando elas querem excluir os dados dos threads")</f>
        <v>O aplicativo ainda é novo e eu instalei o aplicativo pela primeira vez A configuração era fácil de fazer Uma coisa que eu adoraria ver no aplicativo é que você pode fazer upload de vídeos em threads e a outra coisa é que você pode excluir seu perfil e dados porque eu li que a única maneira de excluir os dados é excluir sua conta do Instagram O que eu não gosto porque isso vai perturbar as pessoas quando elas querem excluir os dados dos threads</v>
      </c>
      <c r="J126" s="3"/>
      <c r="K126" s="3"/>
      <c r="L126" s="3"/>
      <c r="M126" s="3"/>
      <c r="N126" s="3"/>
      <c r="O126" s="3"/>
      <c r="P126" s="3"/>
      <c r="Q126" s="3"/>
      <c r="R126" s="3"/>
      <c r="S126" s="3"/>
      <c r="T126" s="3"/>
      <c r="U126" s="3"/>
      <c r="V126" s="3"/>
      <c r="W126" s="3"/>
      <c r="X126" s="3"/>
      <c r="Y126" s="3"/>
      <c r="Z126" s="3"/>
      <c r="AA126" s="3"/>
    </row>
    <row r="127" ht="105.75" customHeight="1">
      <c r="A127" s="4" t="s">
        <v>9</v>
      </c>
      <c r="B127" s="5" t="s">
        <v>135</v>
      </c>
      <c r="C127" s="4">
        <v>4.0</v>
      </c>
      <c r="D127" s="6">
        <v>45126.89695601852</v>
      </c>
      <c r="E127" s="7" t="str">
        <f t="shared" si="1"/>
        <v>2023-07-19</v>
      </c>
      <c r="F127" s="8" t="str">
        <f t="shared" si="2"/>
        <v> 21:31:37</v>
      </c>
      <c r="G127" s="9" t="str">
        <f t="shared" si="3"/>
        <v>Noite</v>
      </c>
      <c r="H127" s="10" t="str">
        <f>IFERROR(__xludf.DUMMYFUNCTION("GOOGLETRANSLATE(B127, ""en"", ""pt-br"")"),"Excelente. A interface do usuário estava limpa e as navegações eram fáceis. Havia poucos insetos menores encontrados. O aplicativo estava estável e a experiência foi perfeita. Muito fácil de alcançar conexões e pessoas. Muito semelhante seu concorrente, T"&amp;"witter.")</f>
        <v>Excelente. A interface do usuário estava limpa e as navegações eram fáceis. Havia poucos insetos menores encontrados. O aplicativo estava estável e a experiência foi perfeita. Muito fácil de alcançar conexões e pessoas. Muito semelhante seu concorrente, Twitter.</v>
      </c>
      <c r="I127" s="10" t="str">
        <f>IFERROR(__xludf.DUMMYFUNCTION("TRIM(REGEXREPLACE(H127,""[^a-zA-ZÀ-ú ]+"",""""))"),"Excelente A interface do usuário estava limpa e as navegações eram fáceis Havia poucos insetos menores encontrados O aplicativo estava estável e a experiência foi perfeita Muito fácil de alcançar conexões e pessoas Muito semelhante seu concorrente Twitter")</f>
        <v>Excelente A interface do usuário estava limpa e as navegações eram fáceis Havia poucos insetos menores encontrados O aplicativo estava estável e a experiência foi perfeita Muito fácil de alcançar conexões e pessoas Muito semelhante seu concorrente Twitter</v>
      </c>
      <c r="J127" s="3"/>
      <c r="K127" s="3"/>
      <c r="L127" s="3"/>
      <c r="M127" s="3"/>
      <c r="N127" s="3"/>
      <c r="O127" s="3"/>
      <c r="P127" s="3"/>
      <c r="Q127" s="3"/>
      <c r="R127" s="3"/>
      <c r="S127" s="3"/>
      <c r="T127" s="3"/>
      <c r="U127" s="3"/>
      <c r="V127" s="3"/>
      <c r="W127" s="3"/>
      <c r="X127" s="3"/>
      <c r="Y127" s="3"/>
      <c r="Z127" s="3"/>
      <c r="AA127" s="3"/>
    </row>
    <row r="128" ht="105.75" customHeight="1">
      <c r="A128" s="4" t="s">
        <v>9</v>
      </c>
      <c r="B128" s="5" t="s">
        <v>136</v>
      </c>
      <c r="C128" s="4">
        <v>1.0</v>
      </c>
      <c r="D128" s="6">
        <v>45113.45512731482</v>
      </c>
      <c r="E128" s="7" t="str">
        <f t="shared" si="1"/>
        <v>2023-07-06</v>
      </c>
      <c r="F128" s="8" t="str">
        <f t="shared" si="2"/>
        <v> 10:55:23</v>
      </c>
      <c r="G128" s="9" t="str">
        <f t="shared" si="3"/>
        <v>Manhã</v>
      </c>
      <c r="H128" s="10" t="str">
        <f>IFERROR(__xludf.DUMMYFUNCTION("GOOGLETRANSLATE(B128, ""en"", ""pt-br"")"),"Não vai gostar de eu se inscrever. Não posso criar uma conta, ficar preso depois de inserir o código enviado, simplesmente não avança. Totalmente inútil. ATUALIZAÇÃO: Depois de horas de tentativa, desisti. Constantemente obtendo mensagens de erro e a exec"&amp;"ução. Claramente ainda trabalha a ser feito nesta plataforma. Então, vou voltar ao Twitter. Threads é inútil.")</f>
        <v>Não vai gostar de eu se inscrever. Não posso criar uma conta, ficar preso depois de inserir o código enviado, simplesmente não avança. Totalmente inútil. ATUALIZAÇÃO: Depois de horas de tentativa, desisti. Constantemente obtendo mensagens de erro e a execução. Claramente ainda trabalha a ser feito nesta plataforma. Então, vou voltar ao Twitter. Threads é inútil.</v>
      </c>
      <c r="I128" s="10" t="str">
        <f>IFERROR(__xludf.DUMMYFUNCTION("TRIM(REGEXREPLACE(H128,""[^a-zA-ZÀ-ú ]+"",""""))"),"Não vai gostar de eu se inscrever Não posso criar uma conta ficar preso depois de inserir o código enviado simplesmente não avança Totalmente inútil ATUALIZAÇÃO Depois de horas de tentativa desisti Constantemente obtendo mensagens de erro e a execução Cla"&amp;"ramente ainda trabalha a ser feito nesta plataforma Então vou voltar ao Twitter Threads é inútil")</f>
        <v>Não vai gostar de eu se inscrever Não posso criar uma conta ficar preso depois de inserir o código enviado simplesmente não avança Totalmente inútil ATUALIZAÇÃO Depois de horas de tentativa desisti Constantemente obtendo mensagens de erro e a execução Claramente ainda trabalha a ser feito nesta plataforma Então vou voltar ao Twitter Threads é inútil</v>
      </c>
      <c r="J128" s="3"/>
      <c r="K128" s="3"/>
      <c r="L128" s="3"/>
      <c r="M128" s="3"/>
      <c r="N128" s="3"/>
      <c r="O128" s="3"/>
      <c r="P128" s="3"/>
      <c r="Q128" s="3"/>
      <c r="R128" s="3"/>
      <c r="S128" s="3"/>
      <c r="T128" s="3"/>
      <c r="U128" s="3"/>
      <c r="V128" s="3"/>
      <c r="W128" s="3"/>
      <c r="X128" s="3"/>
      <c r="Y128" s="3"/>
      <c r="Z128" s="3"/>
      <c r="AA128" s="3"/>
    </row>
    <row r="129" ht="105.75" customHeight="1">
      <c r="A129" s="4" t="s">
        <v>9</v>
      </c>
      <c r="B129" s="5" t="s">
        <v>137</v>
      </c>
      <c r="C129" s="4">
        <v>3.0</v>
      </c>
      <c r="D129" s="6">
        <v>45117.60068287037</v>
      </c>
      <c r="E129" s="7" t="str">
        <f t="shared" si="1"/>
        <v>2023-07-10</v>
      </c>
      <c r="F129" s="8" t="str">
        <f t="shared" si="2"/>
        <v> 14:24:59</v>
      </c>
      <c r="G129" s="9" t="str">
        <f t="shared" si="3"/>
        <v>Tarde</v>
      </c>
      <c r="H129" s="10" t="str">
        <f>IFERROR(__xludf.DUMMYFUNCTION("GOOGLETRANSLATE(B129, ""en"", ""pt-br"")"),"Editar depois de alguns dias: ok, a aleatoriedade foi divertida um pouco, mas sua contínua usabilidade para mim depende completamente da pesquisa. A pesquisa ainda é a maior vantagem do Twitter e a razão pela qual muitos ainda não estão dispostos a se mov"&amp;"er. Se eles estragarem a pesquisa, estou soltando este aplicativo como uma batata quente. Estou amando tópicos até agora! 🌈🌟 Mas ele não pode substituir o Twitter para mim até que ele tenha &gt;&gt;&gt; Pesquisa de texto completo com filtros &lt;&lt;&lt; Precisamos de um"&amp;"a maneira de encontrar coisas sem esperar que o algoritmo nos gire.")</f>
        <v>Editar depois de alguns dias: ok, a aleatoriedade foi divertida um pouco, mas sua contínua usabilidade para mim depende completamente da pesquisa. A pesquisa ainda é a maior vantagem do Twitter e a razão pela qual muitos ainda não estão dispostos a se mover. Se eles estragarem a pesquisa, estou soltando este aplicativo como uma batata quente. Estou amando tópicos até agora! 🌈🌟 Mas ele não pode substituir o Twitter para mim até que ele tenha &gt;&gt;&gt; Pesquisa de texto completo com filtros &lt;&lt;&lt; Precisamos de uma maneira de encontrar coisas sem esperar que o algoritmo nos gire.</v>
      </c>
      <c r="I129" s="10" t="str">
        <f>IFERROR(__xludf.DUMMYFUNCTION("TRIM(REGEXREPLACE(H129,""[^a-zA-ZÀ-ú ]+"",""""))"),"Editar depois de alguns dias ok a aleatoriedade foi divertida um pouco mas sua contínua usabilidade para mim depende completamente da pesquisa A pesquisa ainda é a maior vantagem do Twitter e a razão pela qual muitos ainda não estão dispostos a se mover S"&amp;"e eles estragarem a pesquisa estou soltando este aplicativo como uma batata quente Estou amando tópicos até agora Mas ele não pode substituir o Twitter para mim até que ele tenha Pesquisa de texto completo com filtros Precisamos de uma maneira de encontra"&amp;"r coisas sem esperar que o algoritmo nos gire")</f>
        <v>Editar depois de alguns dias ok a aleatoriedade foi divertida um pouco mas sua contínua usabilidade para mim depende completamente da pesquisa A pesquisa ainda é a maior vantagem do Twitter e a razão pela qual muitos ainda não estão dispostos a se mover Se eles estragarem a pesquisa estou soltando este aplicativo como uma batata quente Estou amando tópicos até agora Mas ele não pode substituir o Twitter para mim até que ele tenha Pesquisa de texto completo com filtros Precisamos de uma maneira de encontrar coisas sem esperar que o algoritmo nos gire</v>
      </c>
      <c r="J129" s="3"/>
      <c r="K129" s="3"/>
      <c r="L129" s="3"/>
      <c r="M129" s="3"/>
      <c r="N129" s="3"/>
      <c r="O129" s="3"/>
      <c r="P129" s="3"/>
      <c r="Q129" s="3"/>
      <c r="R129" s="3"/>
      <c r="S129" s="3"/>
      <c r="T129" s="3"/>
      <c r="U129" s="3"/>
      <c r="V129" s="3"/>
      <c r="W129" s="3"/>
      <c r="X129" s="3"/>
      <c r="Y129" s="3"/>
      <c r="Z129" s="3"/>
      <c r="AA129" s="3"/>
    </row>
    <row r="130" ht="105.75" customHeight="1">
      <c r="A130" s="4" t="s">
        <v>9</v>
      </c>
      <c r="B130" s="5" t="s">
        <v>138</v>
      </c>
      <c r="C130" s="4">
        <v>3.0</v>
      </c>
      <c r="D130" s="6">
        <v>45119.086909722224</v>
      </c>
      <c r="E130" s="7" t="str">
        <f t="shared" si="1"/>
        <v>2023-07-12</v>
      </c>
      <c r="F130" s="8" t="str">
        <f t="shared" si="2"/>
        <v> 02:05:09</v>
      </c>
      <c r="G130" s="9" t="str">
        <f t="shared" si="3"/>
        <v>Manhã</v>
      </c>
      <c r="H130" s="10" t="str">
        <f>IFERROR(__xludf.DUMMYFUNCTION("GOOGLETRANSLATE(B130, ""en"", ""pt-br"")"),"É revigorante estar em algum lugar não [Insira o aplicativo rival aqui], mas o aplicativo precisa de trabalho: 1) Linha do tempo da ordem do crono (ver as mesmas contas não seguidas é chata). 2) Além disso, se você quiser manter a linha do tempo atual (pa"&amp;"ra você), tudo bem, mas também nos segue uma linha do tempo seguinte. 3) Para marcas/gerentes de mídia social que funcionam em várias contas, implemente uma maneira mais fácil de alternar as contas do que precisar fazer o login e depois o login (fica irri"&amp;"tante). 4) Adicione uma maneira de agendar postagens. Obrigado!")</f>
        <v>É revigorante estar em algum lugar não [Insira o aplicativo rival aqui], mas o aplicativo precisa de trabalho: 1) Linha do tempo da ordem do crono (ver as mesmas contas não seguidas é chata). 2) Além disso, se você quiser manter a linha do tempo atual (para você), tudo bem, mas também nos segue uma linha do tempo seguinte. 3) Para marcas/gerentes de mídia social que funcionam em várias contas, implemente uma maneira mais fácil de alternar as contas do que precisar fazer o login e depois o login (fica irritante). 4) Adicione uma maneira de agendar postagens. Obrigado!</v>
      </c>
      <c r="I130" s="10" t="str">
        <f>IFERROR(__xludf.DUMMYFUNCTION("TRIM(REGEXREPLACE(H130,""[^a-zA-ZÀ-ú ]+"",""""))"),"É revigorante estar em algum lugar não Insira o aplicativo rival aqui mas o aplicativo precisa de trabalho Linha do tempo da ordem do crono ver as mesmas contas não seguidas é chata Além disso se você quiser manter a linha do tempo atual para você tudo be"&amp;"m mas também nos segue uma linha do tempo seguinte Para marcasgerentes de mídia social que funcionam em várias contas implemente uma maneira mais fácil de alternar as contas do que precisar fazer o login e depois o login fica irritante Adicione uma maneir"&amp;"a de agendar postagens Obrigado")</f>
        <v>É revigorante estar em algum lugar não Insira o aplicativo rival aqui mas o aplicativo precisa de trabalho Linha do tempo da ordem do crono ver as mesmas contas não seguidas é chata Além disso se você quiser manter a linha do tempo atual para você tudo bem mas também nos segue uma linha do tempo seguinte Para marcasgerentes de mídia social que funcionam em várias contas implemente uma maneira mais fácil de alternar as contas do que precisar fazer o login e depois o login fica irritante Adicione uma maneira de agendar postagens Obrigado</v>
      </c>
      <c r="J130" s="3"/>
      <c r="K130" s="3"/>
      <c r="L130" s="3"/>
      <c r="M130" s="3"/>
      <c r="N130" s="3"/>
      <c r="O130" s="3"/>
      <c r="P130" s="3"/>
      <c r="Q130" s="3"/>
      <c r="R130" s="3"/>
      <c r="S130" s="3"/>
      <c r="T130" s="3"/>
      <c r="U130" s="3"/>
      <c r="V130" s="3"/>
      <c r="W130" s="3"/>
      <c r="X130" s="3"/>
      <c r="Y130" s="3"/>
      <c r="Z130" s="3"/>
      <c r="AA130" s="3"/>
    </row>
    <row r="131" ht="105.75" customHeight="1">
      <c r="A131" s="4" t="s">
        <v>9</v>
      </c>
      <c r="B131" s="5" t="s">
        <v>139</v>
      </c>
      <c r="C131" s="4">
        <v>1.0</v>
      </c>
      <c r="D131" s="6">
        <v>45130.56251157408</v>
      </c>
      <c r="E131" s="7" t="str">
        <f t="shared" si="1"/>
        <v>2023-07-23</v>
      </c>
      <c r="F131" s="8" t="str">
        <f t="shared" si="2"/>
        <v> 13:30:01</v>
      </c>
      <c r="G131" s="9" t="str">
        <f t="shared" si="3"/>
        <v>Tarde</v>
      </c>
      <c r="H131" s="10" t="str">
        <f>IFERROR(__xludf.DUMMYFUNCTION("GOOGLETRANSLATE(B131, ""en"", ""pt-br"")"),"Um clone do Twitter que está em estágio alfa fechado interno. O aplicativo é um grande momento. Falta sobre recursos e polimento. O algoritmo recomendado é uma merda. Quase parece não existente. Eu acho que não foi algo que meta investiu de todo o coração"&amp;". Além disso, a maior chatice é a mentalidade do Instagram dos usuários. As pessoas não podem ser forçadas a se transformar no fórum como o UX que ele fornece. Absolutamente nenhuma razão para mudar do Twitter ou Mastodon. Também não há transparência de d"&amp;"ados.")</f>
        <v>Um clone do Twitter que está em estágio alfa fechado interno. O aplicativo é um grande momento. Falta sobre recursos e polimento. O algoritmo recomendado é uma merda. Quase parece não existente. Eu acho que não foi algo que meta investiu de todo o coração. Além disso, a maior chatice é a mentalidade do Instagram dos usuários. As pessoas não podem ser forçadas a se transformar no fórum como o UX que ele fornece. Absolutamente nenhuma razão para mudar do Twitter ou Mastodon. Também não há transparência de dados.</v>
      </c>
      <c r="I131" s="10" t="str">
        <f>IFERROR(__xludf.DUMMYFUNCTION("TRIM(REGEXREPLACE(H131,""[^a-zA-ZÀ-ú ]+"",""""))"),"Um clone do Twitter que está em estágio alfa fechado interno O aplicativo é um grande momento Falta sobre recursos e polimento O algoritmo recomendado é uma merda Quase parece não existente Eu acho que não foi algo que meta investiu de todo o coração Além"&amp;" disso a maior chatice é a mentalidade do Instagram dos usuários As pessoas não podem ser forçadas a se transformar no fórum como o UX que ele fornece Absolutamente nenhuma razão para mudar do Twitter ou Mastodon Também não há transparência de dados")</f>
        <v>Um clone do Twitter que está em estágio alfa fechado interno O aplicativo é um grande momento Falta sobre recursos e polimento O algoritmo recomendado é uma merda Quase parece não existente Eu acho que não foi algo que meta investiu de todo o coração Além disso a maior chatice é a mentalidade do Instagram dos usuários As pessoas não podem ser forçadas a se transformar no fórum como o UX que ele fornece Absolutamente nenhuma razão para mudar do Twitter ou Mastodon Também não há transparência de dados</v>
      </c>
      <c r="J131" s="3"/>
      <c r="K131" s="3"/>
      <c r="L131" s="3"/>
      <c r="M131" s="3"/>
      <c r="N131" s="3"/>
      <c r="O131" s="3"/>
      <c r="P131" s="3"/>
      <c r="Q131" s="3"/>
      <c r="R131" s="3"/>
      <c r="S131" s="3"/>
      <c r="T131" s="3"/>
      <c r="U131" s="3"/>
      <c r="V131" s="3"/>
      <c r="W131" s="3"/>
      <c r="X131" s="3"/>
      <c r="Y131" s="3"/>
      <c r="Z131" s="3"/>
      <c r="AA131" s="3"/>
    </row>
    <row r="132" ht="105.75" customHeight="1">
      <c r="A132" s="4" t="s">
        <v>9</v>
      </c>
      <c r="B132" s="5" t="s">
        <v>140</v>
      </c>
      <c r="C132" s="4">
        <v>2.0</v>
      </c>
      <c r="D132" s="6">
        <v>45128.012025462966</v>
      </c>
      <c r="E132" s="7" t="str">
        <f t="shared" si="1"/>
        <v>2023-07-21</v>
      </c>
      <c r="F132" s="8" t="str">
        <f t="shared" si="2"/>
        <v> 00:17:19</v>
      </c>
      <c r="G132" s="9" t="str">
        <f t="shared" si="3"/>
        <v>Manhã</v>
      </c>
      <c r="H132" s="10" t="str">
        <f>IFERROR(__xludf.DUMMYFUNCTION("GOOGLETRANSLATE(B132, ""en"", ""pt-br"")"),"É legal, mas aqui estão alguns problemas que vejo. Primeiro, você não tem hashtags, não pode pesquisar tópicos, nenhum recurso DM, não pode adicionar uma imagem de pano de fundo. Primeira semana, você pode compartilhar um link e a miniatura mostraria. Hoj"&amp;"e, ele mostra apenas o link na visualização e minimiza apenas o link quando publicado ... algo que as pessoas têm menos probabilidade de clicar. Algumas pessoas não estão lidando com esse problema. Não posso afirmar que você tem um aplicativo que permitir"&amp;"á mais exposos e coisas assim estão faltando ou desligando.")</f>
        <v>É legal, mas aqui estão alguns problemas que vejo. Primeiro, você não tem hashtags, não pode pesquisar tópicos, nenhum recurso DM, não pode adicionar uma imagem de pano de fundo. Primeira semana, você pode compartilhar um link e a miniatura mostraria. Hoje, ele mostra apenas o link na visualização e minimiza apenas o link quando publicado ... algo que as pessoas têm menos probabilidade de clicar. Algumas pessoas não estão lidando com esse problema. Não posso afirmar que você tem um aplicativo que permitirá mais exposos e coisas assim estão faltando ou desligando.</v>
      </c>
      <c r="I132" s="10" t="str">
        <f>IFERROR(__xludf.DUMMYFUNCTION("TRIM(REGEXREPLACE(H132,""[^a-zA-ZÀ-ú ]+"",""""))"),"É legal mas aqui estão alguns problemas que vejo Primeiro você não tem hashtags não pode pesquisar tópicos nenhum recurso DM não pode adicionar uma imagem de pano de fundo Primeira semana você pode compartilhar um link e a miniatura mostraria Hoje ele mos"&amp;"tra apenas o link na visualização e minimiza apenas o link quando publicado algo que as pessoas têm menos probabilidade de clicar Algumas pessoas não estão lidando com esse problema Não posso afirmar que você tem um aplicativo que permitirá mais exposos e"&amp;" coisas assim estão faltando ou desligando")</f>
        <v>É legal mas aqui estão alguns problemas que vejo Primeiro você não tem hashtags não pode pesquisar tópicos nenhum recurso DM não pode adicionar uma imagem de pano de fundo Primeira semana você pode compartilhar um link e a miniatura mostraria Hoje ele mostra apenas o link na visualização e minimiza apenas o link quando publicado algo que as pessoas têm menos probabilidade de clicar Algumas pessoas não estão lidando com esse problema Não posso afirmar que você tem um aplicativo que permitirá mais exposos e coisas assim estão faltando ou desligando</v>
      </c>
      <c r="J132" s="3"/>
      <c r="K132" s="3"/>
      <c r="L132" s="3"/>
      <c r="M132" s="3"/>
      <c r="N132" s="3"/>
      <c r="O132" s="3"/>
      <c r="P132" s="3"/>
      <c r="Q132" s="3"/>
      <c r="R132" s="3"/>
      <c r="S132" s="3"/>
      <c r="T132" s="3"/>
      <c r="U132" s="3"/>
      <c r="V132" s="3"/>
      <c r="W132" s="3"/>
      <c r="X132" s="3"/>
      <c r="Y132" s="3"/>
      <c r="Z132" s="3"/>
      <c r="AA132" s="3"/>
    </row>
    <row r="133" ht="105.75" customHeight="1">
      <c r="A133" s="4" t="s">
        <v>9</v>
      </c>
      <c r="B133" s="5" t="s">
        <v>141</v>
      </c>
      <c r="C133" s="4">
        <v>3.0</v>
      </c>
      <c r="D133" s="6">
        <v>45115.38559027778</v>
      </c>
      <c r="E133" s="7" t="str">
        <f t="shared" si="1"/>
        <v>2023-07-08</v>
      </c>
      <c r="F133" s="8" t="str">
        <f t="shared" si="2"/>
        <v> 09:15:15</v>
      </c>
      <c r="G133" s="9" t="str">
        <f t="shared" si="3"/>
        <v>Manhã</v>
      </c>
      <c r="H133" s="10" t="str">
        <f>IFERROR(__xludf.DUMMYFUNCTION("GOOGLETRANSLATE(B133, ""en"", ""pt-br"")"),"Aplicativo muito limpo com interface amigável. Mas há coisas que ainda precisam ser corrigidas. Deve haver um lugar para desligar o reprodução automática de vídeo. E deve haver um local para adicionar várias contas usando o formato do Facebook.")</f>
        <v>Aplicativo muito limpo com interface amigável. Mas há coisas que ainda precisam ser corrigidas. Deve haver um lugar para desligar o reprodução automática de vídeo. E deve haver um local para adicionar várias contas usando o formato do Facebook.</v>
      </c>
      <c r="I133" s="10" t="str">
        <f>IFERROR(__xludf.DUMMYFUNCTION("TRIM(REGEXREPLACE(H133,""[^a-zA-ZÀ-ú ]+"",""""))"),"Aplicativo muito limpo com interface amigável Mas há coisas que ainda precisam ser corrigidas Deve haver um lugar para desligar o reprodução automática de vídeo E deve haver um local para adicionar várias contas usando o formato do Facebook")</f>
        <v>Aplicativo muito limpo com interface amigável Mas há coisas que ainda precisam ser corrigidas Deve haver um lugar para desligar o reprodução automática de vídeo E deve haver um local para adicionar várias contas usando o formato do Facebook</v>
      </c>
      <c r="J133" s="3"/>
      <c r="K133" s="3"/>
      <c r="L133" s="3"/>
      <c r="M133" s="3"/>
      <c r="N133" s="3"/>
      <c r="O133" s="3"/>
      <c r="P133" s="3"/>
      <c r="Q133" s="3"/>
      <c r="R133" s="3"/>
      <c r="S133" s="3"/>
      <c r="T133" s="3"/>
      <c r="U133" s="3"/>
      <c r="V133" s="3"/>
      <c r="W133" s="3"/>
      <c r="X133" s="3"/>
      <c r="Y133" s="3"/>
      <c r="Z133" s="3"/>
      <c r="AA133" s="3"/>
    </row>
    <row r="134" ht="105.75" customHeight="1">
      <c r="A134" s="4" t="s">
        <v>9</v>
      </c>
      <c r="B134" s="5" t="s">
        <v>142</v>
      </c>
      <c r="C134" s="4">
        <v>2.0</v>
      </c>
      <c r="D134" s="6">
        <v>45113.208333333336</v>
      </c>
      <c r="E134" s="7" t="str">
        <f t="shared" si="1"/>
        <v>2023-07-06</v>
      </c>
      <c r="F134" s="8" t="str">
        <f t="shared" si="2"/>
        <v> 05:00:00</v>
      </c>
      <c r="G134" s="9" t="str">
        <f t="shared" si="3"/>
        <v>Manhã</v>
      </c>
      <c r="H134" s="10" t="str">
        <f>IFERROR(__xludf.DUMMYFUNCTION("GOOGLETRANSLATE(B134, ""en"", ""pt-br"")"),"O fato de você não poder fazer seu painel cronológico é ruim o suficiente, mas o fato de não haver absolutamente nenhuma maneira de ver apenas o conteúdo das pessoas que você escolheu seguir? Ai credo. Não quero ver pensamentos chatos de celebridades que "&amp;"são impulsionados apenas porque eles são ~ verificados ~, eu quero ver a arte dos meus amigos. Esperando que você faça algumas atualizações para que eu possa fazer uma revisão melhor posteriormente, mas para como é agora eu provavelmente não acabo usando.")</f>
        <v>O fato de você não poder fazer seu painel cronológico é ruim o suficiente, mas o fato de não haver absolutamente nenhuma maneira de ver apenas o conteúdo das pessoas que você escolheu seguir? Ai credo. Não quero ver pensamentos chatos de celebridades que são impulsionados apenas porque eles são ~ verificados ~, eu quero ver a arte dos meus amigos. Esperando que você faça algumas atualizações para que eu possa fazer uma revisão melhor posteriormente, mas para como é agora eu provavelmente não acabo usando.</v>
      </c>
      <c r="I134" s="10" t="str">
        <f>IFERROR(__xludf.DUMMYFUNCTION("TRIM(REGEXREPLACE(H134,""[^a-zA-ZÀ-ú ]+"",""""))"),"O fato de você não poder fazer seu painel cronológico é ruim o suficiente mas o fato de não haver absolutamente nenhuma maneira de ver apenas o conteúdo das pessoas que você escolheu seguir Ai credo Não quero ver pensamentos chatos de celebridades que são"&amp;" impulsionados apenas porque eles são verificados eu quero ver a arte dos meus amigos Esperando que você faça algumas atualizações para que eu possa fazer uma revisão melhor posteriormente mas para como é agora eu provavelmente não acabo usando")</f>
        <v>O fato de você não poder fazer seu painel cronológico é ruim o suficiente mas o fato de não haver absolutamente nenhuma maneira de ver apenas o conteúdo das pessoas que você escolheu seguir Ai credo Não quero ver pensamentos chatos de celebridades que são impulsionados apenas porque eles são verificados eu quero ver a arte dos meus amigos Esperando que você faça algumas atualizações para que eu possa fazer uma revisão melhor posteriormente mas para como é agora eu provavelmente não acabo usando</v>
      </c>
      <c r="J134" s="3"/>
      <c r="K134" s="3"/>
      <c r="L134" s="3"/>
      <c r="M134" s="3"/>
      <c r="N134" s="3"/>
      <c r="O134" s="3"/>
      <c r="P134" s="3"/>
      <c r="Q134" s="3"/>
      <c r="R134" s="3"/>
      <c r="S134" s="3"/>
      <c r="T134" s="3"/>
      <c r="U134" s="3"/>
      <c r="V134" s="3"/>
      <c r="W134" s="3"/>
      <c r="X134" s="3"/>
      <c r="Y134" s="3"/>
      <c r="Z134" s="3"/>
      <c r="AA134" s="3"/>
    </row>
    <row r="135" ht="105.75" customHeight="1">
      <c r="A135" s="4" t="s">
        <v>9</v>
      </c>
      <c r="B135" s="5" t="s">
        <v>143</v>
      </c>
      <c r="C135" s="4">
        <v>1.0</v>
      </c>
      <c r="D135" s="6">
        <v>45117.08577546296</v>
      </c>
      <c r="E135" s="7" t="str">
        <f t="shared" si="1"/>
        <v>2023-07-10</v>
      </c>
      <c r="F135" s="8" t="str">
        <f t="shared" si="2"/>
        <v> 02:03:31</v>
      </c>
      <c r="G135" s="9" t="str">
        <f t="shared" si="3"/>
        <v>Manhã</v>
      </c>
      <c r="H135" s="10" t="str">
        <f>IFERROR(__xludf.DUMMYFUNCTION("GOOGLETRANSLATE(B135, ""en"", ""pt-br"")"),"Eu só gostaria que este aplicativo tivesse recursos de tradução. 😪 Sigo algumas pessoas muito bem -sucedidas e super legais do Japão e da Coréia do Sul. Estou tentando aprender a ler os dois idiomas, mas os recursos de tradução tornariam um pouco mais fá"&amp;"ceis.")</f>
        <v>Eu só gostaria que este aplicativo tivesse recursos de tradução. 😪 Sigo algumas pessoas muito bem -sucedidas e super legais do Japão e da Coréia do Sul. Estou tentando aprender a ler os dois idiomas, mas os recursos de tradução tornariam um pouco mais fáceis.</v>
      </c>
      <c r="I135" s="10" t="str">
        <f>IFERROR(__xludf.DUMMYFUNCTION("TRIM(REGEXREPLACE(H135,""[^a-zA-ZÀ-ú ]+"",""""))"),"Eu só gostaria que este aplicativo tivesse recursos de tradução Sigo algumas pessoas muito bem sucedidas e super legais do Japão e da Coréia do Sul Estou tentando aprender a ler os dois idiomas mas os recursos de tradução tornariam um pouco mais fáceis")</f>
        <v>Eu só gostaria que este aplicativo tivesse recursos de tradução Sigo algumas pessoas muito bem sucedidas e super legais do Japão e da Coréia do Sul Estou tentando aprender a ler os dois idiomas mas os recursos de tradução tornariam um pouco mais fáceis</v>
      </c>
      <c r="J135" s="3"/>
      <c r="K135" s="3"/>
      <c r="L135" s="3"/>
      <c r="M135" s="3"/>
      <c r="N135" s="3"/>
      <c r="O135" s="3"/>
      <c r="P135" s="3"/>
      <c r="Q135" s="3"/>
      <c r="R135" s="3"/>
      <c r="S135" s="3"/>
      <c r="T135" s="3"/>
      <c r="U135" s="3"/>
      <c r="V135" s="3"/>
      <c r="W135" s="3"/>
      <c r="X135" s="3"/>
      <c r="Y135" s="3"/>
      <c r="Z135" s="3"/>
      <c r="AA135" s="3"/>
    </row>
    <row r="136" ht="105.75" customHeight="1">
      <c r="A136" s="4" t="s">
        <v>9</v>
      </c>
      <c r="B136" s="5" t="s">
        <v>144</v>
      </c>
      <c r="C136" s="4">
        <v>2.0</v>
      </c>
      <c r="D136" s="6">
        <v>45114.925150462965</v>
      </c>
      <c r="E136" s="7" t="str">
        <f t="shared" si="1"/>
        <v>2023-07-07</v>
      </c>
      <c r="F136" s="8" t="str">
        <f t="shared" si="2"/>
        <v> 22:12:13</v>
      </c>
      <c r="G136" s="9" t="str">
        <f t="shared" si="3"/>
        <v>Noite</v>
      </c>
      <c r="H136" s="10" t="str">
        <f>IFERROR(__xludf.DUMMYFUNCTION("GOOGLETRANSLATE(B136, ""en"", ""pt-br"")"),"Embora seja semelhante ao Twitter, não é exatamente o mesmo. Threads tem muito a oferecer e, ao mesmo tempo, um pouco demais. Não preciso dos tópicos de pessoas que não sigo e também tenho alguns problemas de segurança, como é possível fazer upload de ima"&amp;"gens explícitas criticando publicamente e ofensivamente os tópicos, mas, ao mesmo tempo, diversificaram nossas opiniões. Pode ser adicionado como uma extensão ao Insta, o que pode torná -lo mais amigável e, se usado adequadamente, é uma ótima oportunidade"&amp;" de aplicativo")</f>
        <v>Embora seja semelhante ao Twitter, não é exatamente o mesmo. Threads tem muito a oferecer e, ao mesmo tempo, um pouco demais. Não preciso dos tópicos de pessoas que não sigo e também tenho alguns problemas de segurança, como é possível fazer upload de imagens explícitas criticando publicamente e ofensivamente os tópicos, mas, ao mesmo tempo, diversificaram nossas opiniões. Pode ser adicionado como uma extensão ao Insta, o que pode torná -lo mais amigável e, se usado adequadamente, é uma ótima oportunidade de aplicativo</v>
      </c>
      <c r="I136" s="10" t="str">
        <f>IFERROR(__xludf.DUMMYFUNCTION("TRIM(REGEXREPLACE(H136,""[^a-zA-ZÀ-ú ]+"",""""))"),"Embora seja semelhante ao Twitter não é exatamente o mesmo Threads tem muito a oferecer e ao mesmo tempo um pouco demais Não preciso dos tópicos de pessoas que não sigo e também tenho alguns problemas de segurança como é possível fazer upload de imagens e"&amp;"xplícitas criticando publicamente e ofensivamente os tópicos mas ao mesmo tempo diversificaram nossas opiniões Pode ser adicionado como uma extensão ao Insta o que pode torná lo mais amigável e se usado adequadamente é uma ótima oportunidade de aplicativo")</f>
        <v>Embora seja semelhante ao Twitter não é exatamente o mesmo Threads tem muito a oferecer e ao mesmo tempo um pouco demais Não preciso dos tópicos de pessoas que não sigo e também tenho alguns problemas de segurança como é possível fazer upload de imagens explícitas criticando publicamente e ofensivamente os tópicos mas ao mesmo tempo diversificaram nossas opiniões Pode ser adicionado como uma extensão ao Insta o que pode torná lo mais amigável e se usado adequadamente é uma ótima oportunidade de aplicativo</v>
      </c>
      <c r="J136" s="3"/>
      <c r="K136" s="3"/>
      <c r="L136" s="3"/>
      <c r="M136" s="3"/>
      <c r="N136" s="3"/>
      <c r="O136" s="3"/>
      <c r="P136" s="3"/>
      <c r="Q136" s="3"/>
      <c r="R136" s="3"/>
      <c r="S136" s="3"/>
      <c r="T136" s="3"/>
      <c r="U136" s="3"/>
      <c r="V136" s="3"/>
      <c r="W136" s="3"/>
      <c r="X136" s="3"/>
      <c r="Y136" s="3"/>
      <c r="Z136" s="3"/>
      <c r="AA136" s="3"/>
    </row>
    <row r="137" ht="105.75" customHeight="1">
      <c r="A137" s="4" t="s">
        <v>9</v>
      </c>
      <c r="B137" s="5" t="s">
        <v>145</v>
      </c>
      <c r="C137" s="4">
        <v>3.0</v>
      </c>
      <c r="D137" s="6">
        <v>45113.00231481482</v>
      </c>
      <c r="E137" s="7" t="str">
        <f t="shared" si="1"/>
        <v>2023-07-06</v>
      </c>
      <c r="F137" s="8" t="str">
        <f t="shared" si="2"/>
        <v> 00:03:20</v>
      </c>
      <c r="G137" s="9" t="str">
        <f t="shared" si="3"/>
        <v>Manhã</v>
      </c>
      <c r="H137" s="10" t="str">
        <f>IFERROR(__xludf.DUMMYFUNCTION("GOOGLETRANSLATE(B137, ""en"", ""pt-br"")"),"Usar threads é uma experiência maravilhosa! Embora com a inundação de contas da empresa/oficial aleatoriamente na minha linha do tempo, seja muito semelhante a outros concorrentes de aplicativos relacionados. A acessibilidade com as fotos vinculadas (text"&amp;"o alt) não existe como o Instagram, e não há versão para PC para facilitar a entrada daqueles que estão acostumados à sensação de tornar os threads semelhantes a outros sites competitores.")</f>
        <v>Usar threads é uma experiência maravilhosa! Embora com a inundação de contas da empresa/oficial aleatoriamente na minha linha do tempo, seja muito semelhante a outros concorrentes de aplicativos relacionados. A acessibilidade com as fotos vinculadas (texto alt) não existe como o Instagram, e não há versão para PC para facilitar a entrada daqueles que estão acostumados à sensação de tornar os threads semelhantes a outros sites competitores.</v>
      </c>
      <c r="I137" s="10" t="str">
        <f>IFERROR(__xludf.DUMMYFUNCTION("TRIM(REGEXREPLACE(H137,""[^a-zA-ZÀ-ú ]+"",""""))"),"Usar threads é uma experiência maravilhosa Embora com a inundação de contas da empresaoficial aleatoriamente na minha linha do tempo seja muito semelhante a outros concorrentes de aplicativos relacionados A acessibilidade com as fotos vinculadas texto alt"&amp;" não existe como o Instagram e não há versão para PC para facilitar a entrada daqueles que estão acostumados à sensação de tornar os threads semelhantes a outros sites competitores")</f>
        <v>Usar threads é uma experiência maravilhosa Embora com a inundação de contas da empresaoficial aleatoriamente na minha linha do tempo seja muito semelhante a outros concorrentes de aplicativos relacionados A acessibilidade com as fotos vinculadas texto alt não existe como o Instagram e não há versão para PC para facilitar a entrada daqueles que estão acostumados à sensação de tornar os threads semelhantes a outros sites competitores</v>
      </c>
      <c r="J137" s="3"/>
      <c r="K137" s="3"/>
      <c r="L137" s="3"/>
      <c r="M137" s="3"/>
      <c r="N137" s="3"/>
      <c r="O137" s="3"/>
      <c r="P137" s="3"/>
      <c r="Q137" s="3"/>
      <c r="R137" s="3"/>
      <c r="S137" s="3"/>
      <c r="T137" s="3"/>
      <c r="U137" s="3"/>
      <c r="V137" s="3"/>
      <c r="W137" s="3"/>
      <c r="X137" s="3"/>
      <c r="Y137" s="3"/>
      <c r="Z137" s="3"/>
      <c r="AA137" s="3"/>
    </row>
    <row r="138" ht="105.75" customHeight="1">
      <c r="A138" s="4" t="s">
        <v>9</v>
      </c>
      <c r="B138" s="5" t="s">
        <v>146</v>
      </c>
      <c r="C138" s="4">
        <v>4.0</v>
      </c>
      <c r="D138" s="6">
        <v>45120.425</v>
      </c>
      <c r="E138" s="7" t="str">
        <f t="shared" si="1"/>
        <v>2023-07-13</v>
      </c>
      <c r="F138" s="8" t="str">
        <f t="shared" si="2"/>
        <v> 10:12:00</v>
      </c>
      <c r="G138" s="9" t="str">
        <f t="shared" si="3"/>
        <v>Manhã</v>
      </c>
      <c r="H138" s="10" t="str">
        <f>IFERROR(__xludf.DUMMYFUNCTION("GOOGLETRANSLATE(B138, ""en"", ""pt-br"")"),"Atualizar corrige esse problema🖤 - bom. Não é ótimo, eu realmente não posso acreditar para alterar minha imagem de perfil como usuário verificado, tenho que fazê -lo via Instagram e mesmo quando faço a partir daí, ele não muda. Dizem que eu preciso me in"&amp;"screver e dar ID para que eu tenha uma imagem de exibição. Gentil burro e injusto")</f>
        <v>Atualizar corrige esse problema🖤 - bom. Não é ótimo, eu realmente não posso acreditar para alterar minha imagem de perfil como usuário verificado, tenho que fazê -lo via Instagram e mesmo quando faço a partir daí, ele não muda. Dizem que eu preciso me inscrever e dar ID para que eu tenha uma imagem de exibição. Gentil burro e injusto</v>
      </c>
      <c r="I138" s="10" t="str">
        <f>IFERROR(__xludf.DUMMYFUNCTION("TRIM(REGEXREPLACE(H138,""[^a-zA-ZÀ-ú ]+"",""""))"),"Atualizar corrige esse problema bom Não é ótimo eu realmente não posso acreditar para alterar minha imagem de perfil como usuário verificado tenho que fazê lo via Instagram e mesmo quando faço a partir daí ele não muda Dizem que eu preciso me inscrever e "&amp;"dar ID para que eu tenha uma imagem de exibição Gentil burro e injusto")</f>
        <v>Atualizar corrige esse problema bom Não é ótimo eu realmente não posso acreditar para alterar minha imagem de perfil como usuário verificado tenho que fazê lo via Instagram e mesmo quando faço a partir daí ele não muda Dizem que eu preciso me inscrever e dar ID para que eu tenha uma imagem de exibição Gentil burro e injusto</v>
      </c>
      <c r="J138" s="3"/>
      <c r="K138" s="3"/>
      <c r="L138" s="3"/>
      <c r="M138" s="3"/>
      <c r="N138" s="3"/>
      <c r="O138" s="3"/>
      <c r="P138" s="3"/>
      <c r="Q138" s="3"/>
      <c r="R138" s="3"/>
      <c r="S138" s="3"/>
      <c r="T138" s="3"/>
      <c r="U138" s="3"/>
      <c r="V138" s="3"/>
      <c r="W138" s="3"/>
      <c r="X138" s="3"/>
      <c r="Y138" s="3"/>
      <c r="Z138" s="3"/>
      <c r="AA138" s="3"/>
    </row>
    <row r="139" ht="105.75" customHeight="1">
      <c r="A139" s="4" t="s">
        <v>9</v>
      </c>
      <c r="B139" s="5" t="s">
        <v>147</v>
      </c>
      <c r="C139" s="4">
        <v>5.0</v>
      </c>
      <c r="D139" s="6">
        <v>45113.969293981485</v>
      </c>
      <c r="E139" s="7" t="str">
        <f t="shared" si="1"/>
        <v>2023-07-06</v>
      </c>
      <c r="F139" s="8" t="str">
        <f t="shared" si="2"/>
        <v> 23:15:47</v>
      </c>
      <c r="G139" s="9" t="str">
        <f t="shared" si="3"/>
        <v>Noite</v>
      </c>
      <c r="H139" s="10" t="str">
        <f>IFERROR(__xludf.DUMMYFUNCTION("GOOGLETRANSLATE(B139, ""en"", ""pt-br"")"),"Absolutamente ótimo. Para uma primeira versão, isso foi bom até agora. Continue assim, tendo acabado de abandonar o Twitter, essa é uma 'alternativa' sólida. A primeira versão é estável, confiável e eu não encontrei nenhum tipo de problema questionável de"&amp;" buggy. Mantem! Adoro e explorei a maioria das situações relacionadas à interface do usuário etc. dentro do aplicativo. Na verdade, continue assim meta &amp; ig")</f>
        <v>Absolutamente ótimo. Para uma primeira versão, isso foi bom até agora. Continue assim, tendo acabado de abandonar o Twitter, essa é uma 'alternativa' sólida. A primeira versão é estável, confiável e eu não encontrei nenhum tipo de problema questionável de buggy. Mantem! Adoro e explorei a maioria das situações relacionadas à interface do usuário etc. dentro do aplicativo. Na verdade, continue assim meta &amp; ig</v>
      </c>
      <c r="I139" s="10" t="str">
        <f>IFERROR(__xludf.DUMMYFUNCTION("TRIM(REGEXREPLACE(H139,""[^a-zA-ZÀ-ú ]+"",""""))"),"Absolutamente ótimo Para uma primeira versão isso foi bom até agora Continue assim tendo acabado de abandonar o Twitter essa é uma alternativa sólida A primeira versão é estável confiável e eu não encontrei nenhum tipo de problema questionável de buggy Ma"&amp;"ntem Adoro e explorei a maioria das situações relacionadas à interface do usuário etc dentro do aplicativo Na verdade continue assim meta ig")</f>
        <v>Absolutamente ótimo Para uma primeira versão isso foi bom até agora Continue assim tendo acabado de abandonar o Twitter essa é uma alternativa sólida A primeira versão é estável confiável e eu não encontrei nenhum tipo de problema questionável de buggy Mantem Adoro e explorei a maioria das situações relacionadas à interface do usuário etc dentro do aplicativo Na verdade continue assim meta ig</v>
      </c>
      <c r="J139" s="3"/>
      <c r="K139" s="3"/>
      <c r="L139" s="3"/>
      <c r="M139" s="3"/>
      <c r="N139" s="3"/>
      <c r="O139" s="3"/>
      <c r="P139" s="3"/>
      <c r="Q139" s="3"/>
      <c r="R139" s="3"/>
      <c r="S139" s="3"/>
      <c r="T139" s="3"/>
      <c r="U139" s="3"/>
      <c r="V139" s="3"/>
      <c r="W139" s="3"/>
      <c r="X139" s="3"/>
      <c r="Y139" s="3"/>
      <c r="Z139" s="3"/>
      <c r="AA139" s="3"/>
    </row>
    <row r="140" ht="105.75" customHeight="1">
      <c r="A140" s="4" t="s">
        <v>9</v>
      </c>
      <c r="B140" s="5" t="s">
        <v>148</v>
      </c>
      <c r="C140" s="4">
        <v>3.0</v>
      </c>
      <c r="D140" s="6">
        <v>45114.50853009259</v>
      </c>
      <c r="E140" s="7" t="str">
        <f t="shared" si="1"/>
        <v>2023-07-07</v>
      </c>
      <c r="F140" s="8" t="str">
        <f t="shared" si="2"/>
        <v> 12:12:17</v>
      </c>
      <c r="G140" s="9" t="str">
        <f t="shared" si="3"/>
        <v>Tarde</v>
      </c>
      <c r="H140" s="10" t="str">
        <f>IFERROR(__xludf.DUMMYFUNCTION("GOOGLETRANSLATE(B140, ""en"", ""pt-br"")"),"Eu gosto do aplicativo, embora a interface do usuário não seja super intuitiva. Tenho certeza de que as melhorias serão feitas lá. Meu principal problema é que o aplicativo está constantemente travando quando abro um thread para visualizar as respostas. I"&amp;"sso torna o aplicativo essencialmente inutilizável. Minha classificação vai subir ou descer, dependendo de quanto tempo leva para consertar isso ...")</f>
        <v>Eu gosto do aplicativo, embora a interface do usuário não seja super intuitiva. Tenho certeza de que as melhorias serão feitas lá. Meu principal problema é que o aplicativo está constantemente travando quando abro um thread para visualizar as respostas. Isso torna o aplicativo essencialmente inutilizável. Minha classificação vai subir ou descer, dependendo de quanto tempo leva para consertar isso ...</v>
      </c>
      <c r="I140" s="10" t="str">
        <f>IFERROR(__xludf.DUMMYFUNCTION("TRIM(REGEXREPLACE(H140,""[^a-zA-ZÀ-ú ]+"",""""))"),"Eu gosto do aplicativo embora a interface do usuário não seja super intuitiva Tenho certeza de que as melhorias serão feitas lá Meu principal problema é que o aplicativo está constantemente travando quando abro um thread para visualizar as respostas Isso "&amp;"torna o aplicativo essencialmente inutilizável Minha classificação vai subir ou descer dependendo de quanto tempo leva para consertar isso")</f>
        <v>Eu gosto do aplicativo embora a interface do usuário não seja super intuitiva Tenho certeza de que as melhorias serão feitas lá Meu principal problema é que o aplicativo está constantemente travando quando abro um thread para visualizar as respostas Isso torna o aplicativo essencialmente inutilizável Minha classificação vai subir ou descer dependendo de quanto tempo leva para consertar isso</v>
      </c>
      <c r="J140" s="3"/>
      <c r="K140" s="3"/>
      <c r="L140" s="3"/>
      <c r="M140" s="3"/>
      <c r="N140" s="3"/>
      <c r="O140" s="3"/>
      <c r="P140" s="3"/>
      <c r="Q140" s="3"/>
      <c r="R140" s="3"/>
      <c r="S140" s="3"/>
      <c r="T140" s="3"/>
      <c r="U140" s="3"/>
      <c r="V140" s="3"/>
      <c r="W140" s="3"/>
      <c r="X140" s="3"/>
      <c r="Y140" s="3"/>
      <c r="Z140" s="3"/>
      <c r="AA140" s="3"/>
    </row>
    <row r="141" ht="105.75" customHeight="1">
      <c r="A141" s="4" t="s">
        <v>9</v>
      </c>
      <c r="B141" s="5" t="s">
        <v>149</v>
      </c>
      <c r="C141" s="4">
        <v>2.0</v>
      </c>
      <c r="D141" s="6">
        <v>45115.50682870371</v>
      </c>
      <c r="E141" s="7" t="str">
        <f t="shared" si="1"/>
        <v>2023-07-08</v>
      </c>
      <c r="F141" s="8" t="str">
        <f t="shared" si="2"/>
        <v> 12:09:50</v>
      </c>
      <c r="G141" s="9" t="str">
        <f t="shared" si="3"/>
        <v>Tarde</v>
      </c>
      <c r="H141" s="10" t="str">
        <f>IFERROR(__xludf.DUMMYFUNCTION("GOOGLETRANSLATE(B141, ""en"", ""pt-br"")"),"Tem potencial. Primeiro de tudo, a rolagem parece realmente pegajosa. Segundo, a função de pesquisa não permite que você pesquise apenas threads nomes de usuário. Por fim, semelhante ao Instagram, não há como alterar as configurações do principal feed par"&amp;"a mostrar apenas postagens de pessoas que você segue.")</f>
        <v>Tem potencial. Primeiro de tudo, a rolagem parece realmente pegajosa. Segundo, a função de pesquisa não permite que você pesquise apenas threads nomes de usuário. Por fim, semelhante ao Instagram, não há como alterar as configurações do principal feed para mostrar apenas postagens de pessoas que você segue.</v>
      </c>
      <c r="I141" s="10" t="str">
        <f>IFERROR(__xludf.DUMMYFUNCTION("TRIM(REGEXREPLACE(H141,""[^a-zA-ZÀ-ú ]+"",""""))"),"Tem potencial Primeiro de tudo a rolagem parece realmente pegajosa Segundo a função de pesquisa não permite que você pesquise apenas threads nomes de usuário Por fim semelhante ao Instagram não há como alterar as configurações do principal feed para mostr"&amp;"ar apenas postagens de pessoas que você segue")</f>
        <v>Tem potencial Primeiro de tudo a rolagem parece realmente pegajosa Segundo a função de pesquisa não permite que você pesquise apenas threads nomes de usuário Por fim semelhante ao Instagram não há como alterar as configurações do principal feed para mostrar apenas postagens de pessoas que você segue</v>
      </c>
      <c r="J141" s="3"/>
      <c r="K141" s="3"/>
      <c r="L141" s="3"/>
      <c r="M141" s="3"/>
      <c r="N141" s="3"/>
      <c r="O141" s="3"/>
      <c r="P141" s="3"/>
      <c r="Q141" s="3"/>
      <c r="R141" s="3"/>
      <c r="S141" s="3"/>
      <c r="T141" s="3"/>
      <c r="U141" s="3"/>
      <c r="V141" s="3"/>
      <c r="W141" s="3"/>
      <c r="X141" s="3"/>
      <c r="Y141" s="3"/>
      <c r="Z141" s="3"/>
      <c r="AA141" s="3"/>
    </row>
    <row r="142" ht="105.75" customHeight="1">
      <c r="A142" s="4" t="s">
        <v>9</v>
      </c>
      <c r="B142" s="5" t="s">
        <v>150</v>
      </c>
      <c r="C142" s="4">
        <v>4.0</v>
      </c>
      <c r="D142" s="6">
        <v>45115.50818287037</v>
      </c>
      <c r="E142" s="7" t="str">
        <f t="shared" si="1"/>
        <v>2023-07-08</v>
      </c>
      <c r="F142" s="8" t="str">
        <f t="shared" si="2"/>
        <v> 12:11:47</v>
      </c>
      <c r="G142" s="9" t="str">
        <f t="shared" si="3"/>
        <v>Tarde</v>
      </c>
      <c r="H142" s="10" t="str">
        <f>IFERROR(__xludf.DUMMYFUNCTION("GOOGLETRANSLATE(B142, ""en"", ""pt-br"")"),"O aplicativo é realmente bom, mas ainda precisa de algumas alterações; 1) Suavidade: o aplicativo é um pouco lento ao rolar para os alimentos superiores. 2) Capacidade de economizar: Como de costume, nem todos gostariam de criar uma exibição de algo que e"&amp;"le/ela deveria salvar. 3) Capacidade de alterar o nome e a tag. Caminho a ir meta. 4) Capacidade de traduzir de um idioma para outro. 5) Os vídeos não têm sons no perfil do proprietário. 6) Ao comentar uma foto, você não pode ver o que está tentando.")</f>
        <v>O aplicativo é realmente bom, mas ainda precisa de algumas alterações; 1) Suavidade: o aplicativo é um pouco lento ao rolar para os alimentos superiores. 2) Capacidade de economizar: Como de costume, nem todos gostariam de criar uma exibição de algo que ele/ela deveria salvar. 3) Capacidade de alterar o nome e a tag. Caminho a ir meta. 4) Capacidade de traduzir de um idioma para outro. 5) Os vídeos não têm sons no perfil do proprietário. 6) Ao comentar uma foto, você não pode ver o que está tentando.</v>
      </c>
      <c r="I142" s="10" t="str">
        <f>IFERROR(__xludf.DUMMYFUNCTION("TRIM(REGEXREPLACE(H142,""[^a-zA-ZÀ-ú ]+"",""""))"),"O aplicativo é realmente bom mas ainda precisa de algumas alterações Suavidade o aplicativo é um pouco lento ao rolar para os alimentos superiores Capacidade de economizar Como de costume nem todos gostariam de criar uma exibição de algo que eleela deveri"&amp;"a salvar Capacidade de alterar o nome e a tag Caminho a ir meta Capacidade de traduzir de um idioma para outro Os vídeos não têm sons no perfil do proprietário Ao comentar uma foto você não pode ver o que está tentando")</f>
        <v>O aplicativo é realmente bom mas ainda precisa de algumas alterações Suavidade o aplicativo é um pouco lento ao rolar para os alimentos superiores Capacidade de economizar Como de costume nem todos gostariam de criar uma exibição de algo que eleela deveria salvar Capacidade de alterar o nome e a tag Caminho a ir meta Capacidade de traduzir de um idioma para outro Os vídeos não têm sons no perfil do proprietário Ao comentar uma foto você não pode ver o que está tentando</v>
      </c>
      <c r="J142" s="3"/>
      <c r="K142" s="3"/>
      <c r="L142" s="3"/>
      <c r="M142" s="3"/>
      <c r="N142" s="3"/>
      <c r="O142" s="3"/>
      <c r="P142" s="3"/>
      <c r="Q142" s="3"/>
      <c r="R142" s="3"/>
      <c r="S142" s="3"/>
      <c r="T142" s="3"/>
      <c r="U142" s="3"/>
      <c r="V142" s="3"/>
      <c r="W142" s="3"/>
      <c r="X142" s="3"/>
      <c r="Y142" s="3"/>
      <c r="Z142" s="3"/>
      <c r="AA142" s="3"/>
    </row>
    <row r="143" ht="105.75" customHeight="1">
      <c r="A143" s="4" t="s">
        <v>9</v>
      </c>
      <c r="B143" s="5" t="s">
        <v>151</v>
      </c>
      <c r="C143" s="4">
        <v>2.0</v>
      </c>
      <c r="D143" s="6">
        <v>45119.00782407408</v>
      </c>
      <c r="E143" s="7" t="str">
        <f t="shared" si="1"/>
        <v>2023-07-12</v>
      </c>
      <c r="F143" s="8" t="str">
        <f t="shared" si="2"/>
        <v> 00:11:16</v>
      </c>
      <c r="G143" s="9" t="str">
        <f t="shared" si="3"/>
        <v>Manhã</v>
      </c>
      <c r="H143" s="10" t="str">
        <f>IFERROR(__xludf.DUMMYFUNCTION("GOOGLETRANSLATE(B143, ""en"", ""pt-br"")"),"Eu estava realmente gostando de tópicos até hoje, sim, definitivamente precisa trabalhar com o feed e seguindo, mas com o tempo isso vai melhorar, tenho certeza. No entanto, a partir de uma hora, toda vez que tento responder a um tópico, ele trava assim q"&amp;"ue digito a primeira letra? Espero que você conserte isso o mais rápido possível! Eu realmente não quero voltar ao Twitter! 😭 Atualização! Comecei a trabalhar novamente depois que eu postei este comentário! 🤣 Dedos cruzados, ele mantém assim ☺ Atualize "&amp;"mais! Mesmo problema estúpido de travamento ao tentar responder, grrr 😡")</f>
        <v>Eu estava realmente gostando de tópicos até hoje, sim, definitivamente precisa trabalhar com o feed e seguindo, mas com o tempo isso vai melhorar, tenho certeza. No entanto, a partir de uma hora, toda vez que tento responder a um tópico, ele trava assim que digito a primeira letra? Espero que você conserte isso o mais rápido possível! Eu realmente não quero voltar ao Twitter! 😭 Atualização! Comecei a trabalhar novamente depois que eu postei este comentário! 🤣 Dedos cruzados, ele mantém assim ☺ Atualize mais! Mesmo problema estúpido de travamento ao tentar responder, grrr 😡</v>
      </c>
      <c r="I143" s="10" t="str">
        <f>IFERROR(__xludf.DUMMYFUNCTION("TRIM(REGEXREPLACE(H143,""[^a-zA-ZÀ-ú ]+"",""""))"),"Eu estava realmente gostando de tópicos até hoje sim definitivamente precisa trabalhar com o feed e seguindo mas com o tempo isso vai melhorar tenho certeza No entanto a partir de uma hora toda vez que tento responder a um tópico ele trava assim que digit"&amp;"o a primeira letra Espero que você conserte isso o mais rápido possível Eu realmente não quero voltar ao Twitter Atualização Comecei a trabalhar novamente depois que eu postei este comentário Dedos cruzados ele mantém assim Atualize mais Mesmo problema es"&amp;"túpido de travamento ao tentar responder grrr")</f>
        <v>Eu estava realmente gostando de tópicos até hoje sim definitivamente precisa trabalhar com o feed e seguindo mas com o tempo isso vai melhorar tenho certeza No entanto a partir de uma hora toda vez que tento responder a um tópico ele trava assim que digito a primeira letra Espero que você conserte isso o mais rápido possível Eu realmente não quero voltar ao Twitter Atualização Comecei a trabalhar novamente depois que eu postei este comentário Dedos cruzados ele mantém assim Atualize mais Mesmo problema estúpido de travamento ao tentar responder grrr</v>
      </c>
      <c r="J143" s="3"/>
      <c r="K143" s="3"/>
      <c r="L143" s="3"/>
      <c r="M143" s="3"/>
      <c r="N143" s="3"/>
      <c r="O143" s="3"/>
      <c r="P143" s="3"/>
      <c r="Q143" s="3"/>
      <c r="R143" s="3"/>
      <c r="S143" s="3"/>
      <c r="T143" s="3"/>
      <c r="U143" s="3"/>
      <c r="V143" s="3"/>
      <c r="W143" s="3"/>
      <c r="X143" s="3"/>
      <c r="Y143" s="3"/>
      <c r="Z143" s="3"/>
      <c r="AA143" s="3"/>
    </row>
    <row r="144" ht="105.75" customHeight="1">
      <c r="A144" s="4" t="s">
        <v>9</v>
      </c>
      <c r="B144" s="5" t="s">
        <v>152</v>
      </c>
      <c r="C144" s="4">
        <v>3.0</v>
      </c>
      <c r="D144" s="6">
        <v>45127.69013888889</v>
      </c>
      <c r="E144" s="7" t="str">
        <f t="shared" si="1"/>
        <v>2023-07-20</v>
      </c>
      <c r="F144" s="8" t="str">
        <f t="shared" si="2"/>
        <v> 16:33:48</v>
      </c>
      <c r="G144" s="9" t="str">
        <f t="shared" si="3"/>
        <v>Tarde</v>
      </c>
      <c r="H144" s="10" t="str">
        <f>IFERROR(__xludf.DUMMYFUNCTION("GOOGLETRANSLATE(B144, ""en"", ""pt-br"")"),"Acredito que este aplicativo tem potencial, mas existem alguns recursos que tornariam a experiência melhor. Um recurso que deve ser implementado é uma guia Explore, onde você pode encontrar threads de pessoas que você não segue. Também pode haver uma guia"&amp;" que mostra tópicos populares na época.")</f>
        <v>Acredito que este aplicativo tem potencial, mas existem alguns recursos que tornariam a experiência melhor. Um recurso que deve ser implementado é uma guia Explore, onde você pode encontrar threads de pessoas que você não segue. Também pode haver uma guia que mostra tópicos populares na época.</v>
      </c>
      <c r="I144" s="10" t="str">
        <f>IFERROR(__xludf.DUMMYFUNCTION("TRIM(REGEXREPLACE(H144,""[^a-zA-ZÀ-ú ]+"",""""))"),"Acredito que este aplicativo tem potencial mas existem alguns recursos que tornariam a experiência melhor Um recurso que deve ser implementado é uma guia Explore onde você pode encontrar threads de pessoas que você não segue Também pode haver uma guia que"&amp;" mostra tópicos populares na época")</f>
        <v>Acredito que este aplicativo tem potencial mas existem alguns recursos que tornariam a experiência melhor Um recurso que deve ser implementado é uma guia Explore onde você pode encontrar threads de pessoas que você não segue Também pode haver uma guia que mostra tópicos populares na época</v>
      </c>
      <c r="J144" s="3"/>
      <c r="K144" s="3"/>
      <c r="L144" s="3"/>
      <c r="M144" s="3"/>
      <c r="N144" s="3"/>
      <c r="O144" s="3"/>
      <c r="P144" s="3"/>
      <c r="Q144" s="3"/>
      <c r="R144" s="3"/>
      <c r="S144" s="3"/>
      <c r="T144" s="3"/>
      <c r="U144" s="3"/>
      <c r="V144" s="3"/>
      <c r="W144" s="3"/>
      <c r="X144" s="3"/>
      <c r="Y144" s="3"/>
      <c r="Z144" s="3"/>
      <c r="AA144" s="3"/>
    </row>
    <row r="145" ht="105.75" customHeight="1">
      <c r="A145" s="4" t="s">
        <v>9</v>
      </c>
      <c r="B145" s="5" t="s">
        <v>153</v>
      </c>
      <c r="C145" s="4">
        <v>2.0</v>
      </c>
      <c r="D145" s="6">
        <v>45114.50597222222</v>
      </c>
      <c r="E145" s="7" t="str">
        <f t="shared" si="1"/>
        <v>2023-07-07</v>
      </c>
      <c r="F145" s="8" t="str">
        <f t="shared" si="2"/>
        <v> 12:08:36</v>
      </c>
      <c r="G145" s="9" t="str">
        <f t="shared" si="3"/>
        <v>Tarde</v>
      </c>
      <c r="H145" s="10" t="str">
        <f>IFERROR(__xludf.DUMMYFUNCTION("GOOGLETRANSLATE(B145, ""en"", ""pt-br"")"),"Eu tenho problemas importantes, sempre que o alternamos no Instagram, fico instantaneamente, dizendo que o usuário pode ter alterado a senha quando a senha permanecer a mesma. O mesmo acontece quando eu abro o aplicativo Threads. Tem muito potencial de ou"&amp;"tra forma. O aplicativo continua travando continuamente, bem como o Instagram")</f>
        <v>Eu tenho problemas importantes, sempre que o alternamos no Instagram, fico instantaneamente, dizendo que o usuário pode ter alterado a senha quando a senha permanecer a mesma. O mesmo acontece quando eu abro o aplicativo Threads. Tem muito potencial de outra forma. O aplicativo continua travando continuamente, bem como o Instagram</v>
      </c>
      <c r="I145" s="10" t="str">
        <f>IFERROR(__xludf.DUMMYFUNCTION("TRIM(REGEXREPLACE(H145,""[^a-zA-ZÀ-ú ]+"",""""))"),"Eu tenho problemas importantes sempre que o alternamos no Instagram fico instantaneamente dizendo que o usuário pode ter alterado a senha quando a senha permanecer a mesma O mesmo acontece quando eu abro o aplicativo Threads Tem muito potencial de outra f"&amp;"orma O aplicativo continua travando continuamente bem como o Instagram")</f>
        <v>Eu tenho problemas importantes sempre que o alternamos no Instagram fico instantaneamente dizendo que o usuário pode ter alterado a senha quando a senha permanecer a mesma O mesmo acontece quando eu abro o aplicativo Threads Tem muito potencial de outra forma O aplicativo continua travando continuamente bem como o Instagram</v>
      </c>
      <c r="J145" s="3"/>
      <c r="K145" s="3"/>
      <c r="L145" s="3"/>
      <c r="M145" s="3"/>
      <c r="N145" s="3"/>
      <c r="O145" s="3"/>
      <c r="P145" s="3"/>
      <c r="Q145" s="3"/>
      <c r="R145" s="3"/>
      <c r="S145" s="3"/>
      <c r="T145" s="3"/>
      <c r="U145" s="3"/>
      <c r="V145" s="3"/>
      <c r="W145" s="3"/>
      <c r="X145" s="3"/>
      <c r="Y145" s="3"/>
      <c r="Z145" s="3"/>
      <c r="AA145" s="3"/>
    </row>
    <row r="146" ht="105.75" customHeight="1">
      <c r="A146" s="4" t="s">
        <v>9</v>
      </c>
      <c r="B146" s="5" t="s">
        <v>154</v>
      </c>
      <c r="C146" s="4">
        <v>2.0</v>
      </c>
      <c r="D146" s="6">
        <v>45131.53884259259</v>
      </c>
      <c r="E146" s="7" t="str">
        <f t="shared" si="1"/>
        <v>2023-07-24</v>
      </c>
      <c r="F146" s="8" t="str">
        <f t="shared" si="2"/>
        <v> 12:55:56</v>
      </c>
      <c r="G146" s="9" t="str">
        <f t="shared" si="3"/>
        <v>Tarde</v>
      </c>
      <c r="H146" s="10" t="str">
        <f>IFERROR(__xludf.DUMMYFUNCTION("GOOGLETRANSLATE(B146, ""en"", ""pt-br"")"),"Parece duplicado do aplicativo do Twitter, mas acredito que você precisa trabalhar na imagem Clique em Bug. Sempre que estamos clicando em qualquer imagem, em vez de zoom, como no Twitter, a imagem está ficando um pouco para cima e para baixo (como vibraç"&amp;"ão). Portanto, basta alterar alguns parâmetros no clique da imagem, ele melhorará seu aplicativo.")</f>
        <v>Parece duplicado do aplicativo do Twitter, mas acredito que você precisa trabalhar na imagem Clique em Bug. Sempre que estamos clicando em qualquer imagem, em vez de zoom, como no Twitter, a imagem está ficando um pouco para cima e para baixo (como vibração). Portanto, basta alterar alguns parâmetros no clique da imagem, ele melhorará seu aplicativo.</v>
      </c>
      <c r="I146" s="10" t="str">
        <f>IFERROR(__xludf.DUMMYFUNCTION("TRIM(REGEXREPLACE(H146,""[^a-zA-ZÀ-ú ]+"",""""))"),"Parece duplicado do aplicativo do Twitter mas acredito que você precisa trabalhar na imagem Clique em Bug Sempre que estamos clicando em qualquer imagem em vez de zoom como no Twitter a imagem está ficando um pouco para cima e para baixo como vibração Por"&amp;"tanto basta alterar alguns parâmetros no clique da imagem ele melhorará seu aplicativo")</f>
        <v>Parece duplicado do aplicativo do Twitter mas acredito que você precisa trabalhar na imagem Clique em Bug Sempre que estamos clicando em qualquer imagem em vez de zoom como no Twitter a imagem está ficando um pouco para cima e para baixo como vibração Portanto basta alterar alguns parâmetros no clique da imagem ele melhorará seu aplicativo</v>
      </c>
      <c r="J146" s="3"/>
      <c r="K146" s="3"/>
      <c r="L146" s="3"/>
      <c r="M146" s="3"/>
      <c r="N146" s="3"/>
      <c r="O146" s="3"/>
      <c r="P146" s="3"/>
      <c r="Q146" s="3"/>
      <c r="R146" s="3"/>
      <c r="S146" s="3"/>
      <c r="T146" s="3"/>
      <c r="U146" s="3"/>
      <c r="V146" s="3"/>
      <c r="W146" s="3"/>
      <c r="X146" s="3"/>
      <c r="Y146" s="3"/>
      <c r="Z146" s="3"/>
      <c r="AA146" s="3"/>
    </row>
    <row r="147" ht="105.75" customHeight="1">
      <c r="A147" s="4" t="s">
        <v>9</v>
      </c>
      <c r="B147" s="5" t="s">
        <v>155</v>
      </c>
      <c r="C147" s="4">
        <v>4.0</v>
      </c>
      <c r="D147" s="6">
        <v>45113.81265046296</v>
      </c>
      <c r="E147" s="7" t="str">
        <f t="shared" si="1"/>
        <v>2023-07-06</v>
      </c>
      <c r="F147" s="8" t="str">
        <f t="shared" si="2"/>
        <v> 19:30:13</v>
      </c>
      <c r="G147" s="9" t="str">
        <f t="shared" si="3"/>
        <v>Noite</v>
      </c>
      <c r="H147" s="10" t="str">
        <f>IFERROR(__xludf.DUMMYFUNCTION("GOOGLETRANSLATE(B147, ""en"", ""pt-br"")"),"Esta é uma plataforma muito fácil de usar com um aplicativo bem feito. Não gosto de ter que fazer uma conta do Instagram para ingressar em threads, mas fiz de qualquer maneira. Além disso, parece haver um bug na função de pesquisa porque às vezes não most"&amp;"ra resultados.")</f>
        <v>Esta é uma plataforma muito fácil de usar com um aplicativo bem feito. Não gosto de ter que fazer uma conta do Instagram para ingressar em threads, mas fiz de qualquer maneira. Além disso, parece haver um bug na função de pesquisa porque às vezes não mostra resultados.</v>
      </c>
      <c r="I147" s="10" t="str">
        <f>IFERROR(__xludf.DUMMYFUNCTION("TRIM(REGEXREPLACE(H147,""[^a-zA-ZÀ-ú ]+"",""""))"),"Esta é uma plataforma muito fácil de usar com um aplicativo bem feito Não gosto de ter que fazer uma conta do Instagram para ingressar em threads mas fiz de qualquer maneira Além disso parece haver um bug na função de pesquisa porque às vezes não mostra r"&amp;"esultados")</f>
        <v>Esta é uma plataforma muito fácil de usar com um aplicativo bem feito Não gosto de ter que fazer uma conta do Instagram para ingressar em threads mas fiz de qualquer maneira Além disso parece haver um bug na função de pesquisa porque às vezes não mostra resultados</v>
      </c>
      <c r="J147" s="3"/>
      <c r="K147" s="3"/>
      <c r="L147" s="3"/>
      <c r="M147" s="3"/>
      <c r="N147" s="3"/>
      <c r="O147" s="3"/>
      <c r="P147" s="3"/>
      <c r="Q147" s="3"/>
      <c r="R147" s="3"/>
      <c r="S147" s="3"/>
      <c r="T147" s="3"/>
      <c r="U147" s="3"/>
      <c r="V147" s="3"/>
      <c r="W147" s="3"/>
      <c r="X147" s="3"/>
      <c r="Y147" s="3"/>
      <c r="Z147" s="3"/>
      <c r="AA147" s="3"/>
    </row>
    <row r="148" ht="105.75" customHeight="1">
      <c r="A148" s="4" t="s">
        <v>9</v>
      </c>
      <c r="B148" s="5" t="s">
        <v>156</v>
      </c>
      <c r="C148" s="4">
        <v>4.0</v>
      </c>
      <c r="D148" s="6">
        <v>45114.17282407408</v>
      </c>
      <c r="E148" s="7" t="str">
        <f t="shared" si="1"/>
        <v>2023-07-07</v>
      </c>
      <c r="F148" s="8" t="str">
        <f t="shared" si="2"/>
        <v> 04:08:52</v>
      </c>
      <c r="G148" s="9" t="str">
        <f t="shared" si="3"/>
        <v>Manhã</v>
      </c>
      <c r="H148" s="10" t="str">
        <f>IFERROR(__xludf.DUMMYFUNCTION("GOOGLETRANSLATE(B148, ""en"", ""pt-br"")"),"Eu gosto deste aplicativo. A interface do usuário é limpa, fácil de navegar e suave, embora definitivamente precise de mais alguns recursos para realmente competir. Seria bom mostrar apenas contas que você segue ou criar uma página ""para você"" que mostr"&amp;"a postagens relacionadas aos seus interesses.")</f>
        <v>Eu gosto deste aplicativo. A interface do usuário é limpa, fácil de navegar e suave, embora definitivamente precise de mais alguns recursos para realmente competir. Seria bom mostrar apenas contas que você segue ou criar uma página "para você" que mostra postagens relacionadas aos seus interesses.</v>
      </c>
      <c r="I148" s="10" t="str">
        <f>IFERROR(__xludf.DUMMYFUNCTION("TRIM(REGEXREPLACE(H148,""[^a-zA-ZÀ-ú ]+"",""""))"),"Eu gosto deste aplicativo A interface do usuário é limpa fácil de navegar e suave embora definitivamente precise de mais alguns recursos para realmente competir Seria bom mostrar apenas contas que você segue ou criar uma página para você que mostra postag"&amp;"ens relacionadas aos seus interesses")</f>
        <v>Eu gosto deste aplicativo A interface do usuário é limpa fácil de navegar e suave embora definitivamente precise de mais alguns recursos para realmente competir Seria bom mostrar apenas contas que você segue ou criar uma página para você que mostra postagens relacionadas aos seus interesses</v>
      </c>
      <c r="J148" s="3"/>
      <c r="K148" s="3"/>
      <c r="L148" s="3"/>
      <c r="M148" s="3"/>
      <c r="N148" s="3"/>
      <c r="O148" s="3"/>
      <c r="P148" s="3"/>
      <c r="Q148" s="3"/>
      <c r="R148" s="3"/>
      <c r="S148" s="3"/>
      <c r="T148" s="3"/>
      <c r="U148" s="3"/>
      <c r="V148" s="3"/>
      <c r="W148" s="3"/>
      <c r="X148" s="3"/>
      <c r="Y148" s="3"/>
      <c r="Z148" s="3"/>
      <c r="AA148" s="3"/>
    </row>
    <row r="149" ht="105.75" customHeight="1">
      <c r="A149" s="4" t="s">
        <v>9</v>
      </c>
      <c r="B149" s="5" t="s">
        <v>157</v>
      </c>
      <c r="C149" s="4">
        <v>2.0</v>
      </c>
      <c r="D149" s="6">
        <v>45128.12241898148</v>
      </c>
      <c r="E149" s="7" t="str">
        <f t="shared" si="1"/>
        <v>2023-07-21</v>
      </c>
      <c r="F149" s="8" t="str">
        <f t="shared" si="2"/>
        <v> 02:56:17</v>
      </c>
      <c r="G149" s="9" t="str">
        <f t="shared" si="3"/>
        <v>Manhã</v>
      </c>
      <c r="H149" s="10" t="str">
        <f>IFERROR(__xludf.DUMMYFUNCTION("GOOGLETRANSLATE(B149, ""en"", ""pt-br"")"),"""Desculpe, algo deu errado."" Excluí o cache, reinstalei o aplicativo, redefini minha conexão; Nada funcionou. Vergonha. Gosto do aplicativo, infelizmente não consegui usá -lo há mais de uma semana. Não pode fazer nada além de rolar a linha do tempo porq"&amp;"ue continuo recebendo o erro.")</f>
        <v>"Desculpe, algo deu errado." Excluí o cache, reinstalei o aplicativo, redefini minha conexão; Nada funcionou. Vergonha. Gosto do aplicativo, infelizmente não consegui usá -lo há mais de uma semana. Não pode fazer nada além de rolar a linha do tempo porque continuo recebendo o erro.</v>
      </c>
      <c r="I149" s="10" t="str">
        <f>IFERROR(__xludf.DUMMYFUNCTION("TRIM(REGEXREPLACE(H149,""[^a-zA-ZÀ-ú ]+"",""""))"),"Desculpe algo deu errado Excluí o cache reinstalei o aplicativo redefini minha conexão Nada funcionou Vergonha Gosto do aplicativo infelizmente não consegui usá lo há mais de uma semana Não pode fazer nada além de rolar a linha do tempo porque continuo re"&amp;"cebendo o erro")</f>
        <v>Desculpe algo deu errado Excluí o cache reinstalei o aplicativo redefini minha conexão Nada funcionou Vergonha Gosto do aplicativo infelizmente não consegui usá lo há mais de uma semana Não pode fazer nada além de rolar a linha do tempo porque continuo recebendo o erro</v>
      </c>
      <c r="J149" s="3"/>
      <c r="K149" s="3"/>
      <c r="L149" s="3"/>
      <c r="M149" s="3"/>
      <c r="N149" s="3"/>
      <c r="O149" s="3"/>
      <c r="P149" s="3"/>
      <c r="Q149" s="3"/>
      <c r="R149" s="3"/>
      <c r="S149" s="3"/>
      <c r="T149" s="3"/>
      <c r="U149" s="3"/>
      <c r="V149" s="3"/>
      <c r="W149" s="3"/>
      <c r="X149" s="3"/>
      <c r="Y149" s="3"/>
      <c r="Z149" s="3"/>
      <c r="AA149" s="3"/>
    </row>
    <row r="150" ht="105.75" customHeight="1">
      <c r="A150" s="4" t="s">
        <v>9</v>
      </c>
      <c r="B150" s="5" t="s">
        <v>158</v>
      </c>
      <c r="C150" s="4">
        <v>1.0</v>
      </c>
      <c r="D150" s="6">
        <v>45115.526666666665</v>
      </c>
      <c r="E150" s="7" t="str">
        <f t="shared" si="1"/>
        <v>2023-07-08</v>
      </c>
      <c r="F150" s="8" t="str">
        <f t="shared" si="2"/>
        <v> 12:38:24</v>
      </c>
      <c r="G150" s="9" t="str">
        <f t="shared" si="3"/>
        <v>Tarde</v>
      </c>
      <c r="H150" s="10" t="str">
        <f>IFERROR(__xludf.DUMMYFUNCTION("GOOGLETRANSLATE(B150, ""en"", ""pt-br"")"),"Provavelmente seria um bom aplicativo se realmente funcionar. Quando a abro, ele falha assim que rolar deixando todas as postagens que eu rolei no fundo. Mesmo quando eu mudo de guias para olhar para o meu perfil, ele permanece. Desinstalar e reinstalar n"&amp;"ão faz nada para resolver o problema. Aplicativo inutilizável.")</f>
        <v>Provavelmente seria um bom aplicativo se realmente funcionar. Quando a abro, ele falha assim que rolar deixando todas as postagens que eu rolei no fundo. Mesmo quando eu mudo de guias para olhar para o meu perfil, ele permanece. Desinstalar e reinstalar não faz nada para resolver o problema. Aplicativo inutilizável.</v>
      </c>
      <c r="I150" s="10" t="str">
        <f>IFERROR(__xludf.DUMMYFUNCTION("TRIM(REGEXREPLACE(H150,""[^a-zA-ZÀ-ú ]+"",""""))"),"Provavelmente seria um bom aplicativo se realmente funcionar Quando a abro ele falha assim que rolar deixando todas as postagens que eu rolei no fundo Mesmo quando eu mudo de guias para olhar para o meu perfil ele permanece Desinstalar e reinstalar não fa"&amp;"z nada para resolver o problema Aplicativo inutilizável")</f>
        <v>Provavelmente seria um bom aplicativo se realmente funcionar Quando a abro ele falha assim que rolar deixando todas as postagens que eu rolei no fundo Mesmo quando eu mudo de guias para olhar para o meu perfil ele permanece Desinstalar e reinstalar não faz nada para resolver o problema Aplicativo inutilizável</v>
      </c>
      <c r="J150" s="3"/>
      <c r="K150" s="3"/>
      <c r="L150" s="3"/>
      <c r="M150" s="3"/>
      <c r="N150" s="3"/>
      <c r="O150" s="3"/>
      <c r="P150" s="3"/>
      <c r="Q150" s="3"/>
      <c r="R150" s="3"/>
      <c r="S150" s="3"/>
      <c r="T150" s="3"/>
      <c r="U150" s="3"/>
      <c r="V150" s="3"/>
      <c r="W150" s="3"/>
      <c r="X150" s="3"/>
      <c r="Y150" s="3"/>
      <c r="Z150" s="3"/>
      <c r="AA150" s="3"/>
    </row>
    <row r="151" ht="105.75" customHeight="1">
      <c r="A151" s="4" t="s">
        <v>9</v>
      </c>
      <c r="B151" s="5" t="s">
        <v>159</v>
      </c>
      <c r="C151" s="4">
        <v>3.0</v>
      </c>
      <c r="D151" s="6">
        <v>45130.70355324074</v>
      </c>
      <c r="E151" s="7" t="str">
        <f t="shared" si="1"/>
        <v>2023-07-23</v>
      </c>
      <c r="F151" s="8" t="str">
        <f t="shared" si="2"/>
        <v> 16:53:07</v>
      </c>
      <c r="G151" s="9" t="str">
        <f t="shared" si="3"/>
        <v>Tarde</v>
      </c>
      <c r="H151" s="10" t="str">
        <f>IFERROR(__xludf.DUMMYFUNCTION("GOOGLETRANSLATE(B151, ""en"", ""pt-br"")"),"Geralmente, mas há um problema quase constante com ele carregando e refrescante. Gostaria de alguns recursos adicionais adicionados também. É novo, então espero que haja insetos, mas está ficando incrivelmente frustrante.")</f>
        <v>Geralmente, mas há um problema quase constante com ele carregando e refrescante. Gostaria de alguns recursos adicionais adicionados também. É novo, então espero que haja insetos, mas está ficando incrivelmente frustrante.</v>
      </c>
      <c r="I151" s="10" t="str">
        <f>IFERROR(__xludf.DUMMYFUNCTION("TRIM(REGEXREPLACE(H151,""[^a-zA-ZÀ-ú ]+"",""""))"),"Geralmente mas há um problema quase constante com ele carregando e refrescante Gostaria de alguns recursos adicionais adicionados também É novo então espero que haja insetos mas está ficando incrivelmente frustrante")</f>
        <v>Geralmente mas há um problema quase constante com ele carregando e refrescante Gostaria de alguns recursos adicionais adicionados também É novo então espero que haja insetos mas está ficando incrivelmente frustrante</v>
      </c>
      <c r="J151" s="3"/>
      <c r="K151" s="3"/>
      <c r="L151" s="3"/>
      <c r="M151" s="3"/>
      <c r="N151" s="3"/>
      <c r="O151" s="3"/>
      <c r="P151" s="3"/>
      <c r="Q151" s="3"/>
      <c r="R151" s="3"/>
      <c r="S151" s="3"/>
      <c r="T151" s="3"/>
      <c r="U151" s="3"/>
      <c r="V151" s="3"/>
      <c r="W151" s="3"/>
      <c r="X151" s="3"/>
      <c r="Y151" s="3"/>
      <c r="Z151" s="3"/>
      <c r="AA151" s="3"/>
    </row>
    <row r="152" ht="105.75" customHeight="1">
      <c r="A152" s="4" t="s">
        <v>9</v>
      </c>
      <c r="B152" s="5" t="s">
        <v>160</v>
      </c>
      <c r="C152" s="4">
        <v>5.0</v>
      </c>
      <c r="D152" s="6">
        <v>45113.018113425926</v>
      </c>
      <c r="E152" s="7" t="str">
        <f t="shared" si="1"/>
        <v>2023-07-06</v>
      </c>
      <c r="F152" s="8" t="str">
        <f t="shared" si="2"/>
        <v> 00:26:05</v>
      </c>
      <c r="G152" s="9" t="str">
        <f t="shared" si="3"/>
        <v>Manhã</v>
      </c>
      <c r="H152" s="10" t="str">
        <f>IFERROR(__xludf.DUMMYFUNCTION("GOOGLETRANSLATE(B152, ""en"", ""pt-br"")"),"Bem, deixe -me admitir que tem uma interface tão boa e ux também ... embora o verdadeiro desafio por enquanto seja o algoritmo, seu RN aleatório, obviamente é novo ... mas espero que seja melhorado nas próximas versões . A equipe de design fez um ótimo tr"&amp;"abalho. Gostaríamos muito de ter uma demonstração rápida do sistema de design publicado no figma ou no Instagram Design. Boa sorte.")</f>
        <v>Bem, deixe -me admitir que tem uma interface tão boa e ux também ... embora o verdadeiro desafio por enquanto seja o algoritmo, seu RN aleatório, obviamente é novo ... mas espero que seja melhorado nas próximas versões . A equipe de design fez um ótimo trabalho. Gostaríamos muito de ter uma demonstração rápida do sistema de design publicado no figma ou no Instagram Design. Boa sorte.</v>
      </c>
      <c r="I152" s="10" t="str">
        <f>IFERROR(__xludf.DUMMYFUNCTION("TRIM(REGEXREPLACE(H152,""[^a-zA-ZÀ-ú ]+"",""""))"),"Bem deixe me admitir que tem uma interface tão boa e ux também embora o verdadeiro desafio por enquanto seja o algoritmo seu RN aleatório obviamente é novo mas espero que seja melhorado nas próximas versões A equipe de design fez um ótimo trabalho Gostarí"&amp;"amos muito de ter uma demonstração rápida do sistema de design publicado no figma ou no Instagram Design Boa sorte")</f>
        <v>Bem deixe me admitir que tem uma interface tão boa e ux também embora o verdadeiro desafio por enquanto seja o algoritmo seu RN aleatório obviamente é novo mas espero que seja melhorado nas próximas versões A equipe de design fez um ótimo trabalho Gostaríamos muito de ter uma demonstração rápida do sistema de design publicado no figma ou no Instagram Design Boa sorte</v>
      </c>
      <c r="J152" s="3"/>
      <c r="K152" s="3"/>
      <c r="L152" s="3"/>
      <c r="M152" s="3"/>
      <c r="N152" s="3"/>
      <c r="O152" s="3"/>
      <c r="P152" s="3"/>
      <c r="Q152" s="3"/>
      <c r="R152" s="3"/>
      <c r="S152" s="3"/>
      <c r="T152" s="3"/>
      <c r="U152" s="3"/>
      <c r="V152" s="3"/>
      <c r="W152" s="3"/>
      <c r="X152" s="3"/>
      <c r="Y152" s="3"/>
      <c r="Z152" s="3"/>
      <c r="AA152" s="3"/>
    </row>
    <row r="153" ht="105.75" customHeight="1">
      <c r="A153" s="4" t="s">
        <v>9</v>
      </c>
      <c r="B153" s="5" t="s">
        <v>161</v>
      </c>
      <c r="C153" s="4">
        <v>3.0</v>
      </c>
      <c r="D153" s="6">
        <v>45114.52918981481</v>
      </c>
      <c r="E153" s="7" t="str">
        <f t="shared" si="1"/>
        <v>2023-07-07</v>
      </c>
      <c r="F153" s="8" t="str">
        <f t="shared" si="2"/>
        <v> 12:42:02</v>
      </c>
      <c r="G153" s="9" t="str">
        <f t="shared" si="3"/>
        <v>Tarde</v>
      </c>
      <c r="H153" s="10" t="str">
        <f>IFERROR(__xludf.DUMMYFUNCTION("GOOGLETRANSLATE(B153, ""en"", ""pt-br"")"),"Para um aplicativo que parece estar na versão beta, é decente o suficiente. deve ser muito mais polido. Encontrei bugs no upload de mídia, já amplamente relatados, mas também no recurso Titulary Threads. Às vezes, as postagens duplicadas aparecem se você "&amp;"excluir algo e repassar. Fora isso, está um pouco vazio, precisa de clipes de voz e um botão para DM PPL")</f>
        <v>Para um aplicativo que parece estar na versão beta, é decente o suficiente. deve ser muito mais polido. Encontrei bugs no upload de mídia, já amplamente relatados, mas também no recurso Titulary Threads. Às vezes, as postagens duplicadas aparecem se você excluir algo e repassar. Fora isso, está um pouco vazio, precisa de clipes de voz e um botão para DM PPL</v>
      </c>
      <c r="I153" s="10" t="str">
        <f>IFERROR(__xludf.DUMMYFUNCTION("TRIM(REGEXREPLACE(H153,""[^a-zA-ZÀ-ú ]+"",""""))"),"Para um aplicativo que parece estar na versão beta é decente o suficiente deve ser muito mais polido Encontrei bugs no upload de mídia já amplamente relatados mas também no recurso Titulary Threads Às vezes as postagens duplicadas aparecem se você excluir"&amp;" algo e repassar Fora isso está um pouco vazio precisa de clipes de voz e um botão para DM PPL")</f>
        <v>Para um aplicativo que parece estar na versão beta é decente o suficiente deve ser muito mais polido Encontrei bugs no upload de mídia já amplamente relatados mas também no recurso Titulary Threads Às vezes as postagens duplicadas aparecem se você excluir algo e repassar Fora isso está um pouco vazio precisa de clipes de voz e um botão para DM PPL</v>
      </c>
      <c r="J153" s="3"/>
      <c r="K153" s="3"/>
      <c r="L153" s="3"/>
      <c r="M153" s="3"/>
      <c r="N153" s="3"/>
      <c r="O153" s="3"/>
      <c r="P153" s="3"/>
      <c r="Q153" s="3"/>
      <c r="R153" s="3"/>
      <c r="S153" s="3"/>
      <c r="T153" s="3"/>
      <c r="U153" s="3"/>
      <c r="V153" s="3"/>
      <c r="W153" s="3"/>
      <c r="X153" s="3"/>
      <c r="Y153" s="3"/>
      <c r="Z153" s="3"/>
      <c r="AA153" s="3"/>
    </row>
    <row r="154" ht="105.75" customHeight="1">
      <c r="A154" s="4" t="s">
        <v>9</v>
      </c>
      <c r="B154" s="5" t="s">
        <v>162</v>
      </c>
      <c r="C154" s="4">
        <v>5.0</v>
      </c>
      <c r="D154" s="6">
        <v>45115.62872685185</v>
      </c>
      <c r="E154" s="7" t="str">
        <f t="shared" si="1"/>
        <v>2023-07-08</v>
      </c>
      <c r="F154" s="8" t="str">
        <f t="shared" si="2"/>
        <v> 15:05:22</v>
      </c>
      <c r="G154" s="9" t="str">
        <f t="shared" si="3"/>
        <v>Tarde</v>
      </c>
      <c r="H154" s="10" t="str">
        <f>IFERROR(__xludf.DUMMYFUNCTION("GOOGLETRANSLATE(B154, ""en"", ""pt-br"")"),"Até agora tudo bem. Sei que um novo aplicativo levará vários atualizados para implementar todas as alterações necessárias, por isso darei tempo para nos deixar escolher pastas e álbuns dos quais queremos postar mídia. Caso contrário, é um aplicativo realm"&amp;"ente fácil de usar.")</f>
        <v>Até agora tudo bem. Sei que um novo aplicativo levará vários atualizados para implementar todas as alterações necessárias, por isso darei tempo para nos deixar escolher pastas e álbuns dos quais queremos postar mídia. Caso contrário, é um aplicativo realmente fácil de usar.</v>
      </c>
      <c r="I154" s="10" t="str">
        <f>IFERROR(__xludf.DUMMYFUNCTION("TRIM(REGEXREPLACE(H154,""[^a-zA-ZÀ-ú ]+"",""""))"),"Até agora tudo bem Sei que um novo aplicativo levará vários atualizados para implementar todas as alterações necessárias por isso darei tempo para nos deixar escolher pastas e álbuns dos quais queremos postar mídia Caso contrário é um aplicativo realmente"&amp;" fácil de usar")</f>
        <v>Até agora tudo bem Sei que um novo aplicativo levará vários atualizados para implementar todas as alterações necessárias por isso darei tempo para nos deixar escolher pastas e álbuns dos quais queremos postar mídia Caso contrário é um aplicativo realmente fácil de usar</v>
      </c>
      <c r="J154" s="3"/>
      <c r="K154" s="3"/>
      <c r="L154" s="3"/>
      <c r="M154" s="3"/>
      <c r="N154" s="3"/>
      <c r="O154" s="3"/>
      <c r="P154" s="3"/>
      <c r="Q154" s="3"/>
      <c r="R154" s="3"/>
      <c r="S154" s="3"/>
      <c r="T154" s="3"/>
      <c r="U154" s="3"/>
      <c r="V154" s="3"/>
      <c r="W154" s="3"/>
      <c r="X154" s="3"/>
      <c r="Y154" s="3"/>
      <c r="Z154" s="3"/>
      <c r="AA154" s="3"/>
    </row>
    <row r="155" ht="105.75" customHeight="1">
      <c r="A155" s="4" t="s">
        <v>9</v>
      </c>
      <c r="B155" s="5" t="s">
        <v>163</v>
      </c>
      <c r="C155" s="4">
        <v>4.0</v>
      </c>
      <c r="D155" s="6">
        <v>45113.613703703704</v>
      </c>
      <c r="E155" s="7" t="str">
        <f t="shared" si="1"/>
        <v>2023-07-06</v>
      </c>
      <c r="F155" s="8" t="str">
        <f t="shared" si="2"/>
        <v> 14:43:44</v>
      </c>
      <c r="G155" s="9" t="str">
        <f t="shared" si="3"/>
        <v>Tarde</v>
      </c>
      <c r="H155" s="10" t="str">
        <f>IFERROR(__xludf.DUMMYFUNCTION("GOOGLETRANSLATE(B155, ""en"", ""pt-br"")"),"Está tudo bem por enquanto, mas vamos ver como vai depois do algoritmo perfeito entra em ação e alguns recursos adicionados. Adoraria se você puder separar cada tweet/ tópico mais claramente, porque parece um pouco ""compacto"" e não ""confortável"" e mel"&amp;"hor pesquisa também. Ansioso por como vai.")</f>
        <v>Está tudo bem por enquanto, mas vamos ver como vai depois do algoritmo perfeito entra em ação e alguns recursos adicionados. Adoraria se você puder separar cada tweet/ tópico mais claramente, porque parece um pouco "compacto" e não "confortável" e melhor pesquisa também. Ansioso por como vai.</v>
      </c>
      <c r="I155" s="10" t="str">
        <f>IFERROR(__xludf.DUMMYFUNCTION("TRIM(REGEXREPLACE(H155,""[^a-zA-ZÀ-ú ]+"",""""))"),"Está tudo bem por enquanto mas vamos ver como vai depois do algoritmo perfeito entra em ação e alguns recursos adicionados Adoraria se você puder separar cada tweet tópico mais claramente porque parece um pouco compacto e não confortável e melhor pesquisa"&amp;" também Ansioso por como vai")</f>
        <v>Está tudo bem por enquanto mas vamos ver como vai depois do algoritmo perfeito entra em ação e alguns recursos adicionados Adoraria se você puder separar cada tweet tópico mais claramente porque parece um pouco compacto e não confortável e melhor pesquisa também Ansioso por como vai</v>
      </c>
      <c r="J155" s="3"/>
      <c r="K155" s="3"/>
      <c r="L155" s="3"/>
      <c r="M155" s="3"/>
      <c r="N155" s="3"/>
      <c r="O155" s="3"/>
      <c r="P155" s="3"/>
      <c r="Q155" s="3"/>
      <c r="R155" s="3"/>
      <c r="S155" s="3"/>
      <c r="T155" s="3"/>
      <c r="U155" s="3"/>
      <c r="V155" s="3"/>
      <c r="W155" s="3"/>
      <c r="X155" s="3"/>
      <c r="Y155" s="3"/>
      <c r="Z155" s="3"/>
      <c r="AA155" s="3"/>
    </row>
    <row r="156" ht="105.75" customHeight="1">
      <c r="A156" s="4" t="s">
        <v>9</v>
      </c>
      <c r="B156" s="5" t="s">
        <v>164</v>
      </c>
      <c r="C156" s="4">
        <v>4.0</v>
      </c>
      <c r="D156" s="6">
        <v>45113.62342592593</v>
      </c>
      <c r="E156" s="7" t="str">
        <f t="shared" si="1"/>
        <v>2023-07-06</v>
      </c>
      <c r="F156" s="8" t="str">
        <f t="shared" si="2"/>
        <v> 14:57:44</v>
      </c>
      <c r="G156" s="9" t="str">
        <f t="shared" si="3"/>
        <v>Tarde</v>
      </c>
      <c r="H156" s="10" t="str">
        <f>IFERROR(__xludf.DUMMYFUNCTION("GOOGLETRANSLATE(B156, ""en"", ""pt-br"")"),"Não há comentários ainda? De qualquer forma, está do meu lado agora. Few suggestions: explore and trending (or ""threadsetters"") tab, edit button, likes and media tab, ability to save photos and videos, user generated alt text on photos, tagging users on"&amp;" photos/videos, cover photo, location tagging, and zoom/visualização de fotos de perfil")</f>
        <v>Não há comentários ainda? De qualquer forma, está do meu lado agora. Few suggestions: explore and trending (or "threadsetters") tab, edit button, likes and media tab, ability to save photos and videos, user generated alt text on photos, tagging users on photos/videos, cover photo, location tagging, and zoom/visualização de fotos de perfil</v>
      </c>
      <c r="I156" s="10" t="str">
        <f>IFERROR(__xludf.DUMMYFUNCTION("TRIM(REGEXREPLACE(H156,""[^a-zA-ZÀ-ú ]+"",""""))"),"Não há comentários ainda De qualquer forma está do meu lado agora Few suggestions explore and trending or threadsetters tab edit button likes and media tab ability to save photos and videos user generated alt text on photos tagging users on photosvideos c"&amp;"over photo location tagging and zoomvisualização de fotos de perfil")</f>
        <v>Não há comentários ainda De qualquer forma está do meu lado agora Few suggestions explore and trending or threadsetters tab edit button likes and media tab ability to save photos and videos user generated alt text on photos tagging users on photosvideos cover photo location tagging and zoomvisualização de fotos de perfil</v>
      </c>
      <c r="J156" s="3"/>
      <c r="K156" s="3"/>
      <c r="L156" s="3"/>
      <c r="M156" s="3"/>
      <c r="N156" s="3"/>
      <c r="O156" s="3"/>
      <c r="P156" s="3"/>
      <c r="Q156" s="3"/>
      <c r="R156" s="3"/>
      <c r="S156" s="3"/>
      <c r="T156" s="3"/>
      <c r="U156" s="3"/>
      <c r="V156" s="3"/>
      <c r="W156" s="3"/>
      <c r="X156" s="3"/>
      <c r="Y156" s="3"/>
      <c r="Z156" s="3"/>
      <c r="AA156" s="3"/>
    </row>
    <row r="157" ht="105.75" customHeight="1">
      <c r="A157" s="4" t="s">
        <v>9</v>
      </c>
      <c r="B157" s="5" t="s">
        <v>165</v>
      </c>
      <c r="C157" s="4">
        <v>2.0</v>
      </c>
      <c r="D157" s="6">
        <v>45117.083865740744</v>
      </c>
      <c r="E157" s="7" t="str">
        <f t="shared" si="1"/>
        <v>2023-07-10</v>
      </c>
      <c r="F157" s="8" t="str">
        <f t="shared" si="2"/>
        <v> 02:00:46</v>
      </c>
      <c r="G157" s="9" t="str">
        <f t="shared" si="3"/>
        <v>Manhã</v>
      </c>
      <c r="H157" s="10" t="str">
        <f>IFERROR(__xludf.DUMMYFUNCTION("GOOGLETRANSLATE(B157, ""en"", ""pt-br"")"),"Não é possível salvar fotos e falhas postando fotos! O Twitter permite salvar qualquer foto; Threads Blocks Downloads. No Twitter, posso postar facilmente uma foto; Os threads travam se eu tentar postar uma foto. Ridículo! Até agora, este tem sido um apli"&amp;"cativo bastante miserável! Espero que eles consertem em breve.")</f>
        <v>Não é possível salvar fotos e falhas postando fotos! O Twitter permite salvar qualquer foto; Threads Blocks Downloads. No Twitter, posso postar facilmente uma foto; Os threads travam se eu tentar postar uma foto. Ridículo! Até agora, este tem sido um aplicativo bastante miserável! Espero que eles consertem em breve.</v>
      </c>
      <c r="I157" s="10" t="str">
        <f>IFERROR(__xludf.DUMMYFUNCTION("TRIM(REGEXREPLACE(H157,""[^a-zA-ZÀ-ú ]+"",""""))"),"Não é possível salvar fotos e falhas postando fotos O Twitter permite salvar qualquer foto Threads Blocks Downloads No Twitter posso postar facilmente uma foto Os threads travam se eu tentar postar uma foto Ridículo Até agora este tem sido um aplicativo b"&amp;"astante miserável Espero que eles consertem em breve")</f>
        <v>Não é possível salvar fotos e falhas postando fotos O Twitter permite salvar qualquer foto Threads Blocks Downloads No Twitter posso postar facilmente uma foto Os threads travam se eu tentar postar uma foto Ridículo Até agora este tem sido um aplicativo bastante miserável Espero que eles consertem em breve</v>
      </c>
      <c r="J157" s="3"/>
      <c r="K157" s="3"/>
      <c r="L157" s="3"/>
      <c r="M157" s="3"/>
      <c r="N157" s="3"/>
      <c r="O157" s="3"/>
      <c r="P157" s="3"/>
      <c r="Q157" s="3"/>
      <c r="R157" s="3"/>
      <c r="S157" s="3"/>
      <c r="T157" s="3"/>
      <c r="U157" s="3"/>
      <c r="V157" s="3"/>
      <c r="W157" s="3"/>
      <c r="X157" s="3"/>
      <c r="Y157" s="3"/>
      <c r="Z157" s="3"/>
      <c r="AA157" s="3"/>
    </row>
    <row r="158" ht="105.75" customHeight="1">
      <c r="A158" s="4" t="s">
        <v>9</v>
      </c>
      <c r="B158" s="5" t="s">
        <v>166</v>
      </c>
      <c r="C158" s="4">
        <v>4.0</v>
      </c>
      <c r="D158" s="6">
        <v>45118.09395833333</v>
      </c>
      <c r="E158" s="7" t="str">
        <f t="shared" si="1"/>
        <v>2023-07-11</v>
      </c>
      <c r="F158" s="8" t="str">
        <f t="shared" si="2"/>
        <v> 02:15:18</v>
      </c>
      <c r="G158" s="9" t="str">
        <f t="shared" si="3"/>
        <v>Manhã</v>
      </c>
      <c r="H158" s="10" t="str">
        <f>IFERROR(__xludf.DUMMYFUNCTION("GOOGLETRANSLATE(B158, ""en"", ""pt-br"")"),"É bom, mas tem algumas torções. Ele precisa de configurações como um modo escuro no aplicativo, em vez de estar ligado às configurações dos meus telefones. Junto com recursos como mensagens diretas. Anúncios não parecem muito intrusivos, mas eu gostaria d"&amp;"e ver mais no meu feed de pessoas que eu sigo")</f>
        <v>É bom, mas tem algumas torções. Ele precisa de configurações como um modo escuro no aplicativo, em vez de estar ligado às configurações dos meus telefones. Junto com recursos como mensagens diretas. Anúncios não parecem muito intrusivos, mas eu gostaria de ver mais no meu feed de pessoas que eu sigo</v>
      </c>
      <c r="I158" s="10" t="str">
        <f>IFERROR(__xludf.DUMMYFUNCTION("TRIM(REGEXREPLACE(H158,""[^a-zA-ZÀ-ú ]+"",""""))"),"É bom mas tem algumas torções Ele precisa de configurações como um modo escuro no aplicativo em vez de estar ligado às configurações dos meus telefones Junto com recursos como mensagens diretas Anúncios não parecem muito intrusivos mas eu gostaria de ver "&amp;"mais no meu feed de pessoas que eu sigo")</f>
        <v>É bom mas tem algumas torções Ele precisa de configurações como um modo escuro no aplicativo em vez de estar ligado às configurações dos meus telefones Junto com recursos como mensagens diretas Anúncios não parecem muito intrusivos mas eu gostaria de ver mais no meu feed de pessoas que eu sigo</v>
      </c>
      <c r="J158" s="3"/>
      <c r="K158" s="3"/>
      <c r="L158" s="3"/>
      <c r="M158" s="3"/>
      <c r="N158" s="3"/>
      <c r="O158" s="3"/>
      <c r="P158" s="3"/>
      <c r="Q158" s="3"/>
      <c r="R158" s="3"/>
      <c r="S158" s="3"/>
      <c r="T158" s="3"/>
      <c r="U158" s="3"/>
      <c r="V158" s="3"/>
      <c r="W158" s="3"/>
      <c r="X158" s="3"/>
      <c r="Y158" s="3"/>
      <c r="Z158" s="3"/>
      <c r="AA158" s="3"/>
    </row>
    <row r="159" ht="105.75" customHeight="1">
      <c r="A159" s="4" t="s">
        <v>9</v>
      </c>
      <c r="B159" s="5" t="s">
        <v>167</v>
      </c>
      <c r="C159" s="4">
        <v>1.0</v>
      </c>
      <c r="D159" s="6">
        <v>45113.4125462963</v>
      </c>
      <c r="E159" s="7" t="str">
        <f t="shared" si="1"/>
        <v>2023-07-06</v>
      </c>
      <c r="F159" s="8" t="str">
        <f t="shared" si="2"/>
        <v> 09:54:04</v>
      </c>
      <c r="G159" s="9" t="str">
        <f t="shared" si="3"/>
        <v>Manhã</v>
      </c>
      <c r="H159" s="10" t="str">
        <f>IFERROR(__xludf.DUMMYFUNCTION("GOOGLETRANSLATE(B159, ""en"", ""pt-br"")"),"Sem modo escuro, de longe o maior crime, nenhuma maneira de criar uma conta dentro do aplicativo, você precisa ter uma conta já existente sem versão da área Loop de carregamento infinito na página principal, apenas depois de fechar e abrir o aplicativo no"&amp;"vamente, carregue corretamente o ícone Anex Consertar isso o mais rápido possível, até então tem 1")</f>
        <v>Sem modo escuro, de longe o maior crime, nenhuma maneira de criar uma conta dentro do aplicativo, você precisa ter uma conta já existente sem versão da área Loop de carregamento infinito na página principal, apenas depois de fechar e abrir o aplicativo novamente, carregue corretamente o ícone Anex Consertar isso o mais rápido possível, até então tem 1</v>
      </c>
      <c r="I159" s="10" t="str">
        <f>IFERROR(__xludf.DUMMYFUNCTION("TRIM(REGEXREPLACE(H159,""[^a-zA-ZÀ-ú ]+"",""""))"),"Sem modo escuro de longe o maior crime nenhuma maneira de criar uma conta dentro do aplicativo você precisa ter uma conta já existente sem versão da área Loop de carregamento infinito na página principal apenas depois de fechar e abrir o aplicativo novame"&amp;"nte carregue corretamente o ícone Anex Consertar isso o mais rápido possível até então tem")</f>
        <v>Sem modo escuro de longe o maior crime nenhuma maneira de criar uma conta dentro do aplicativo você precisa ter uma conta já existente sem versão da área Loop de carregamento infinito na página principal apenas depois de fechar e abrir o aplicativo novamente carregue corretamente o ícone Anex Consertar isso o mais rápido possível até então tem</v>
      </c>
      <c r="J159" s="3"/>
      <c r="K159" s="3"/>
      <c r="L159" s="3"/>
      <c r="M159" s="3"/>
      <c r="N159" s="3"/>
      <c r="O159" s="3"/>
      <c r="P159" s="3"/>
      <c r="Q159" s="3"/>
      <c r="R159" s="3"/>
      <c r="S159" s="3"/>
      <c r="T159" s="3"/>
      <c r="U159" s="3"/>
      <c r="V159" s="3"/>
      <c r="W159" s="3"/>
      <c r="X159" s="3"/>
      <c r="Y159" s="3"/>
      <c r="Z159" s="3"/>
      <c r="AA159" s="3"/>
    </row>
    <row r="160" ht="105.75" customHeight="1">
      <c r="A160" s="4" t="s">
        <v>9</v>
      </c>
      <c r="B160" s="5" t="s">
        <v>168</v>
      </c>
      <c r="C160" s="4">
        <v>4.0</v>
      </c>
      <c r="D160" s="6">
        <v>45115.45240740741</v>
      </c>
      <c r="E160" s="7" t="str">
        <f t="shared" si="1"/>
        <v>2023-07-08</v>
      </c>
      <c r="F160" s="8" t="str">
        <f t="shared" si="2"/>
        <v> 10:51:28</v>
      </c>
      <c r="G160" s="9" t="str">
        <f t="shared" si="3"/>
        <v>Manhã</v>
      </c>
      <c r="H160" s="10" t="str">
        <f>IFERROR(__xludf.DUMMYFUNCTION("GOOGLETRANSLATE(B160, ""en"", ""pt-br"")"),"Os threads definitivamente cresceram em mim, o algoritmo também ficou drasticamente melhor para mim, o que ajuda muito. São apenas pequenos problemas que tenho com o aplicativo agora. Gostaria que houvesse uma opção para esconder repostos de pessoas que e"&amp;"u sigo. Realmente gostaria que pudéssemos beliscar e aumentar o zoom nas imagens; e os vídeos de desejos seriam ativados quando abertos. Caso contrário, este é um tremendo primeiro lançamento. Parece atingir bem o objetivo do Twitter para sua página e de "&amp;"uma maneira agradável de usar.")</f>
        <v>Os threads definitivamente cresceram em mim, o algoritmo também ficou drasticamente melhor para mim, o que ajuda muito. São apenas pequenos problemas que tenho com o aplicativo agora. Gostaria que houvesse uma opção para esconder repostos de pessoas que eu sigo. Realmente gostaria que pudéssemos beliscar e aumentar o zoom nas imagens; e os vídeos de desejos seriam ativados quando abertos. Caso contrário, este é um tremendo primeiro lançamento. Parece atingir bem o objetivo do Twitter para sua página e de uma maneira agradável de usar.</v>
      </c>
      <c r="I160" s="10" t="str">
        <f>IFERROR(__xludf.DUMMYFUNCTION("TRIM(REGEXREPLACE(H160,""[^a-zA-ZÀ-ú ]+"",""""))"),"Os threads definitivamente cresceram em mim o algoritmo também ficou drasticamente melhor para mim o que ajuda muito São apenas pequenos problemas que tenho com o aplicativo agora Gostaria que houvesse uma opção para esconder repostos de pessoas que eu si"&amp;"go Realmente gostaria que pudéssemos beliscar e aumentar o zoom nas imagens e os vídeos de desejos seriam ativados quando abertos Caso contrário este é um tremendo primeiro lançamento Parece atingir bem o objetivo do Twitter para sua página e de uma manei"&amp;"ra agradável de usar")</f>
        <v>Os threads definitivamente cresceram em mim o algoritmo também ficou drasticamente melhor para mim o que ajuda muito São apenas pequenos problemas que tenho com o aplicativo agora Gostaria que houvesse uma opção para esconder repostos de pessoas que eu sigo Realmente gostaria que pudéssemos beliscar e aumentar o zoom nas imagens e os vídeos de desejos seriam ativados quando abertos Caso contrário este é um tremendo primeiro lançamento Parece atingir bem o objetivo do Twitter para sua página e de uma maneira agradável de usar</v>
      </c>
      <c r="J160" s="3"/>
      <c r="K160" s="3"/>
      <c r="L160" s="3"/>
      <c r="M160" s="3"/>
      <c r="N160" s="3"/>
      <c r="O160" s="3"/>
      <c r="P160" s="3"/>
      <c r="Q160" s="3"/>
      <c r="R160" s="3"/>
      <c r="S160" s="3"/>
      <c r="T160" s="3"/>
      <c r="U160" s="3"/>
      <c r="V160" s="3"/>
      <c r="W160" s="3"/>
      <c r="X160" s="3"/>
      <c r="Y160" s="3"/>
      <c r="Z160" s="3"/>
      <c r="AA160" s="3"/>
    </row>
    <row r="161" ht="105.75" customHeight="1">
      <c r="A161" s="4" t="s">
        <v>9</v>
      </c>
      <c r="B161" s="5" t="s">
        <v>169</v>
      </c>
      <c r="C161" s="4">
        <v>4.0</v>
      </c>
      <c r="D161" s="6">
        <v>45114.06175925926</v>
      </c>
      <c r="E161" s="7" t="str">
        <f t="shared" si="1"/>
        <v>2023-07-07</v>
      </c>
      <c r="F161" s="8" t="str">
        <f t="shared" si="2"/>
        <v> 01:28:56</v>
      </c>
      <c r="G161" s="9" t="str">
        <f t="shared" si="3"/>
        <v>Manhã</v>
      </c>
      <c r="H161" s="10" t="str">
        <f>IFERROR(__xludf.DUMMYFUNCTION("GOOGLETRANSLATE(B161, ""en"", ""pt-br"")"),"O aplicativo Thread é uma ferramenta fantástica para se manter organizado e conectado com seus amigos, familiares e colegas. Com sua interface elegante e intuitiva, ele fornece uma experiência de mensagens perfeita que mantém as conversas focadas e sem de"&amp;"sordem. Um dos recursos de destaque do aplicativo Thread é o seu sistema de encadeamento exclusivo. Ele permite que você crie tópicos separados em uma conversa, facilitando")</f>
        <v>O aplicativo Thread é uma ferramenta fantástica para se manter organizado e conectado com seus amigos, familiares e colegas. Com sua interface elegante e intuitiva, ele fornece uma experiência de mensagens perfeita que mantém as conversas focadas e sem desordem. Um dos recursos de destaque do aplicativo Thread é o seu sistema de encadeamento exclusivo. Ele permite que você crie tópicos separados em uma conversa, facilitando</v>
      </c>
      <c r="I161" s="10" t="str">
        <f>IFERROR(__xludf.DUMMYFUNCTION("TRIM(REGEXREPLACE(H161,""[^a-zA-ZÀ-ú ]+"",""""))"),"O aplicativo Thread é uma ferramenta fantástica para se manter organizado e conectado com seus amigos familiares e colegas Com sua interface elegante e intuitiva ele fornece uma experiência de mensagens perfeita que mantém as conversas focadas e sem desor"&amp;"dem Um dos recursos de destaque do aplicativo Thread é o seu sistema de encadeamento exclusivo Ele permite que você crie tópicos separados em uma conversa facilitando")</f>
        <v>O aplicativo Thread é uma ferramenta fantástica para se manter organizado e conectado com seus amigos familiares e colegas Com sua interface elegante e intuitiva ele fornece uma experiência de mensagens perfeita que mantém as conversas focadas e sem desordem Um dos recursos de destaque do aplicativo Thread é o seu sistema de encadeamento exclusivo Ele permite que você crie tópicos separados em uma conversa facilitando</v>
      </c>
      <c r="J161" s="3"/>
      <c r="K161" s="3"/>
      <c r="L161" s="3"/>
      <c r="M161" s="3"/>
      <c r="N161" s="3"/>
      <c r="O161" s="3"/>
      <c r="P161" s="3"/>
      <c r="Q161" s="3"/>
      <c r="R161" s="3"/>
      <c r="S161" s="3"/>
      <c r="T161" s="3"/>
      <c r="U161" s="3"/>
      <c r="V161" s="3"/>
      <c r="W161" s="3"/>
      <c r="X161" s="3"/>
      <c r="Y161" s="3"/>
      <c r="Z161" s="3"/>
      <c r="AA161" s="3"/>
    </row>
    <row r="162" ht="105.75" customHeight="1">
      <c r="A162" s="4" t="s">
        <v>9</v>
      </c>
      <c r="B162" s="5" t="s">
        <v>170</v>
      </c>
      <c r="C162" s="4">
        <v>4.0</v>
      </c>
      <c r="D162" s="6">
        <v>45113.80716435185</v>
      </c>
      <c r="E162" s="7" t="str">
        <f t="shared" si="1"/>
        <v>2023-07-06</v>
      </c>
      <c r="F162" s="8" t="str">
        <f t="shared" si="2"/>
        <v> 19:22:19</v>
      </c>
      <c r="G162" s="9" t="str">
        <f t="shared" si="3"/>
        <v>Noite</v>
      </c>
      <c r="H162" s="10" t="str">
        <f>IFERROR(__xludf.DUMMYFUNCTION("GOOGLETRANSLATE(B162, ""en"", ""pt-br"")"),"O aplicativo como plataforma é ótimo, além da interface e outras coisas ... mas uma única questão é que a rolagem é baixa e suave e eu gostaria de sugerir algumas maneiras de fazer com que os threads fiquem incrivelmente elegantes, como a animação de botõ"&amp;"es semelhantes e o aplicativo's Combinação de cores do ícone para o Android 13+, no entanto, é um excelente aplicativo que parece ser perfeito, obrigado Marks Crew 👌")</f>
        <v>O aplicativo como plataforma é ótimo, além da interface e outras coisas ... mas uma única questão é que a rolagem é baixa e suave e eu gostaria de sugerir algumas maneiras de fazer com que os threads fiquem incrivelmente elegantes, como a animação de botões semelhantes e o aplicativo's Combinação de cores do ícone para o Android 13+, no entanto, é um excelente aplicativo que parece ser perfeito, obrigado Marks Crew 👌</v>
      </c>
      <c r="I162" s="10" t="str">
        <f>IFERROR(__xludf.DUMMYFUNCTION("TRIM(REGEXREPLACE(H162,""[^a-zA-ZÀ-ú ]+"",""""))"),"O aplicativo como plataforma é ótimo além da interface e outras coisas mas uma única questão é que a rolagem é baixa e suave e eu gostaria de sugerir algumas maneiras de fazer com que os threads fiquem incrivelmente elegantes como a animação de botões sem"&amp;"elhantes e o aplicativos Combinação de cores do ícone para o Android no entanto é um excelente aplicativo que parece ser perfeito obrigado Marks Crew")</f>
        <v>O aplicativo como plataforma é ótimo além da interface e outras coisas mas uma única questão é que a rolagem é baixa e suave e eu gostaria de sugerir algumas maneiras de fazer com que os threads fiquem incrivelmente elegantes como a animação de botões semelhantes e o aplicativos Combinação de cores do ícone para o Android no entanto é um excelente aplicativo que parece ser perfeito obrigado Marks Crew</v>
      </c>
      <c r="J162" s="3"/>
      <c r="K162" s="3"/>
      <c r="L162" s="3"/>
      <c r="M162" s="3"/>
      <c r="N162" s="3"/>
      <c r="O162" s="3"/>
      <c r="P162" s="3"/>
      <c r="Q162" s="3"/>
      <c r="R162" s="3"/>
      <c r="S162" s="3"/>
      <c r="T162" s="3"/>
      <c r="U162" s="3"/>
      <c r="V162" s="3"/>
      <c r="W162" s="3"/>
      <c r="X162" s="3"/>
      <c r="Y162" s="3"/>
      <c r="Z162" s="3"/>
      <c r="AA162" s="3"/>
    </row>
    <row r="163" ht="105.75" customHeight="1">
      <c r="A163" s="4" t="s">
        <v>9</v>
      </c>
      <c r="B163" s="5" t="s">
        <v>171</v>
      </c>
      <c r="C163" s="4">
        <v>3.0</v>
      </c>
      <c r="D163" s="6">
        <v>45114.102627314816</v>
      </c>
      <c r="E163" s="7" t="str">
        <f t="shared" si="1"/>
        <v>2023-07-07</v>
      </c>
      <c r="F163" s="8" t="str">
        <f t="shared" si="2"/>
        <v> 02:27:47</v>
      </c>
      <c r="G163" s="9" t="str">
        <f t="shared" si="3"/>
        <v>Manhã</v>
      </c>
      <c r="H163" s="10" t="str">
        <f>IFERROR(__xludf.DUMMYFUNCTION("GOOGLETRANSLATE(B163, ""en"", ""pt-br"")"),"-NEDED FUNCIONAÇÃO COMPRETA RÁPIDA, eu tenho que fazer login um login cada vez para minhas várias contas. -Feed O algoritmo é muito aleatório, os threads íntimos íntimos devem ser priorizados sobre tudo o mais -recursos obviosos ausentes, como contador de"&amp;" limite de caracteres de texto, guia de mídia no perfil -espere que o aplicativo seja mais flexível como o Twitter, como poder ver o perfil das pessoas Fotos cheias, etc -no momento, o aplicativo está me dando um tipo de sentimento claustrofóbico devido a"&amp;" recursos ausentes e interface do usuário, chato.")</f>
        <v>-NEDED FUNCIONAÇÃO COMPRETA RÁPIDA, eu tenho que fazer login um login cada vez para minhas várias contas. -Feed O algoritmo é muito aleatório, os threads íntimos íntimos devem ser priorizados sobre tudo o mais -recursos obviosos ausentes, como contador de limite de caracteres de texto, guia de mídia no perfil -espere que o aplicativo seja mais flexível como o Twitter, como poder ver o perfil das pessoas Fotos cheias, etc -no momento, o aplicativo está me dando um tipo de sentimento claustrofóbico devido a recursos ausentes e interface do usuário, chato.</v>
      </c>
      <c r="I163" s="10" t="str">
        <f>IFERROR(__xludf.DUMMYFUNCTION("TRIM(REGEXREPLACE(H163,""[^a-zA-ZÀ-ú ]+"",""""))"),"NEDED FUNCIONAÇÃO COMPRETA RÁPIDA eu tenho que fazer login um login cada vez para minhas várias contas Feed O algoritmo é muito aleatório os threads íntimos íntimos devem ser priorizados sobre tudo o mais recursos obviosos ausentes como contador de limite"&amp;" de caracteres de texto guia de mídia no perfil espere que o aplicativo seja mais flexível como o Twitter como poder ver o perfil das pessoas Fotos cheias etc no momento o aplicativo está me dando um tipo de sentimento claustrofóbico devido a recursos aus"&amp;"entes e interface do usuário chato")</f>
        <v>NEDED FUNCIONAÇÃO COMPRETA RÁPIDA eu tenho que fazer login um login cada vez para minhas várias contas Feed O algoritmo é muito aleatório os threads íntimos íntimos devem ser priorizados sobre tudo o mais recursos obviosos ausentes como contador de limite de caracteres de texto guia de mídia no perfil espere que o aplicativo seja mais flexível como o Twitter como poder ver o perfil das pessoas Fotos cheias etc no momento o aplicativo está me dando um tipo de sentimento claustrofóbico devido a recursos ausentes e interface do usuário chato</v>
      </c>
      <c r="J163" s="3"/>
      <c r="K163" s="3"/>
      <c r="L163" s="3"/>
      <c r="M163" s="3"/>
      <c r="N163" s="3"/>
      <c r="O163" s="3"/>
      <c r="P163" s="3"/>
      <c r="Q163" s="3"/>
      <c r="R163" s="3"/>
      <c r="S163" s="3"/>
      <c r="T163" s="3"/>
      <c r="U163" s="3"/>
      <c r="V163" s="3"/>
      <c r="W163" s="3"/>
      <c r="X163" s="3"/>
      <c r="Y163" s="3"/>
      <c r="Z163" s="3"/>
      <c r="AA163" s="3"/>
    </row>
    <row r="164" ht="105.75" customHeight="1">
      <c r="A164" s="4" t="s">
        <v>9</v>
      </c>
      <c r="B164" s="5" t="s">
        <v>172</v>
      </c>
      <c r="C164" s="4">
        <v>1.0</v>
      </c>
      <c r="D164" s="6">
        <v>45116.23924768518</v>
      </c>
      <c r="E164" s="7" t="str">
        <f t="shared" si="1"/>
        <v>2023-07-09</v>
      </c>
      <c r="F164" s="8" t="str">
        <f t="shared" si="2"/>
        <v> 05:44:31</v>
      </c>
      <c r="G164" s="9" t="str">
        <f t="shared" si="3"/>
        <v>Manhã</v>
      </c>
      <c r="H164" s="10" t="str">
        <f>IFERROR(__xludf.DUMMYFUNCTION("GOOGLETRANSLATE(B164, ""en"", ""pt-br"")"),"Não sei o que aconteceu, mas assim que eu entro em threads, é um tipo de bug ou algo assim, minha tela de repente começa a agir estranha e o título e o post começam a piscar. Eu o reinstalei muitas vezes, mas não funcionei. Não consigo nem ler nada.")</f>
        <v>Não sei o que aconteceu, mas assim que eu entro em threads, é um tipo de bug ou algo assim, minha tela de repente começa a agir estranha e o título e o post começam a piscar. Eu o reinstalei muitas vezes, mas não funcionei. Não consigo nem ler nada.</v>
      </c>
      <c r="I164" s="10" t="str">
        <f>IFERROR(__xludf.DUMMYFUNCTION("TRIM(REGEXREPLACE(H164,""[^a-zA-ZÀ-ú ]+"",""""))"),"Não sei o que aconteceu mas assim que eu entro em threads é um tipo de bug ou algo assim minha tela de repente começa a agir estranha e o título e o post começam a piscar Eu o reinstalei muitas vezes mas não funcionei Não consigo nem ler nada")</f>
        <v>Não sei o que aconteceu mas assim que eu entro em threads é um tipo de bug ou algo assim minha tela de repente começa a agir estranha e o título e o post começam a piscar Eu o reinstalei muitas vezes mas não funcionei Não consigo nem ler nada</v>
      </c>
      <c r="J164" s="3"/>
      <c r="K164" s="3"/>
      <c r="L164" s="3"/>
      <c r="M164" s="3"/>
      <c r="N164" s="3"/>
      <c r="O164" s="3"/>
      <c r="P164" s="3"/>
      <c r="Q164" s="3"/>
      <c r="R164" s="3"/>
      <c r="S164" s="3"/>
      <c r="T164" s="3"/>
      <c r="U164" s="3"/>
      <c r="V164" s="3"/>
      <c r="W164" s="3"/>
      <c r="X164" s="3"/>
      <c r="Y164" s="3"/>
      <c r="Z164" s="3"/>
      <c r="AA164" s="3"/>
    </row>
    <row r="165" ht="105.75" customHeight="1">
      <c r="A165" s="4" t="s">
        <v>9</v>
      </c>
      <c r="B165" s="5" t="s">
        <v>173</v>
      </c>
      <c r="C165" s="4">
        <v>1.0</v>
      </c>
      <c r="D165" s="6">
        <v>45116.591828703706</v>
      </c>
      <c r="E165" s="7" t="str">
        <f t="shared" si="1"/>
        <v>2023-07-09</v>
      </c>
      <c r="F165" s="8" t="str">
        <f t="shared" si="2"/>
        <v> 14:12:14</v>
      </c>
      <c r="G165" s="9" t="str">
        <f t="shared" si="3"/>
        <v>Tarde</v>
      </c>
      <c r="H165" s="10" t="str">
        <f>IFERROR(__xludf.DUMMYFUNCTION("GOOGLETRANSLATE(B165, ""en"", ""pt-br"")"),"Parece uma versão beta de um aplicativo. Foi lançado muito cedo com a esperança de lucrar com a emissão temporária de limite de taxa do Twitter. O aplicativo está uma bagunça agora - sem guia a seguir, não há como desativar os repostos dos seguidores, nen"&amp;"hum botão de pesquisa para tópicos, TL não em ordem cronológica, sem maneira de salvar fotos, sem gifs, sem DMS, sem tópicos de tendência. Nunca substituirá o Twitter se esses problemas não forem corrigidos.")</f>
        <v>Parece uma versão beta de um aplicativo. Foi lançado muito cedo com a esperança de lucrar com a emissão temporária de limite de taxa do Twitter. O aplicativo está uma bagunça agora - sem guia a seguir, não há como desativar os repostos dos seguidores, nenhum botão de pesquisa para tópicos, TL não em ordem cronológica, sem maneira de salvar fotos, sem gifs, sem DMS, sem tópicos de tendência. Nunca substituirá o Twitter se esses problemas não forem corrigidos.</v>
      </c>
      <c r="I165" s="10" t="str">
        <f>IFERROR(__xludf.DUMMYFUNCTION("TRIM(REGEXREPLACE(H165,""[^a-zA-ZÀ-ú ]+"",""""))"),"Parece uma versão beta de um aplicativo Foi lançado muito cedo com a esperança de lucrar com a emissão temporária de limite de taxa do Twitter O aplicativo está uma bagunça agora sem guia a seguir não há como desativar os repostos dos seguidores nenhum bo"&amp;"tão de pesquisa para tópicos TL não em ordem cronológica sem maneira de salvar fotos sem gifs sem DMS sem tópicos de tendência Nunca substituirá o Twitter se esses problemas não forem corrigidos")</f>
        <v>Parece uma versão beta de um aplicativo Foi lançado muito cedo com a esperança de lucrar com a emissão temporária de limite de taxa do Twitter O aplicativo está uma bagunça agora sem guia a seguir não há como desativar os repostos dos seguidores nenhum botão de pesquisa para tópicos TL não em ordem cronológica sem maneira de salvar fotos sem gifs sem DMS sem tópicos de tendência Nunca substituirá o Twitter se esses problemas não forem corrigidos</v>
      </c>
      <c r="J165" s="3"/>
      <c r="K165" s="3"/>
      <c r="L165" s="3"/>
      <c r="M165" s="3"/>
      <c r="N165" s="3"/>
      <c r="O165" s="3"/>
      <c r="P165" s="3"/>
      <c r="Q165" s="3"/>
      <c r="R165" s="3"/>
      <c r="S165" s="3"/>
      <c r="T165" s="3"/>
      <c r="U165" s="3"/>
      <c r="V165" s="3"/>
      <c r="W165" s="3"/>
      <c r="X165" s="3"/>
      <c r="Y165" s="3"/>
      <c r="Z165" s="3"/>
      <c r="AA165" s="3"/>
    </row>
    <row r="166" ht="105.75" customHeight="1">
      <c r="A166" s="4" t="s">
        <v>9</v>
      </c>
      <c r="B166" s="5" t="s">
        <v>174</v>
      </c>
      <c r="C166" s="4">
        <v>2.0</v>
      </c>
      <c r="D166" s="6">
        <v>45114.52258101852</v>
      </c>
      <c r="E166" s="7" t="str">
        <f t="shared" si="1"/>
        <v>2023-07-07</v>
      </c>
      <c r="F166" s="8" t="str">
        <f t="shared" si="2"/>
        <v> 12:32:31</v>
      </c>
      <c r="G166" s="9" t="str">
        <f t="shared" si="3"/>
        <v>Tarde</v>
      </c>
      <c r="H166" s="10" t="str">
        <f>IFERROR(__xludf.DUMMYFUNCTION("GOOGLETRANSLATE(B166, ""en"", ""pt-br"")"),"Eu entendo que acabou de ser lançado, mas há muito a melhorar. Algumas coisas que eu acho que devem ser corrigidas/adicionadas: a opção de procurar tags ou palavras; Muitas contas que não sigo no meu TL; sistema de bate -papo; histórias; Mostre as citaçõe"&amp;"s para threads; Permita -nos selecionar as pastas da galeria ao selecionar fotos para postar editar: nova edição, o aplicativo continua fechando sempre que eu tento postar algo")</f>
        <v>Eu entendo que acabou de ser lançado, mas há muito a melhorar. Algumas coisas que eu acho que devem ser corrigidas/adicionadas: a opção de procurar tags ou palavras; Muitas contas que não sigo no meu TL; sistema de bate -papo; histórias; Mostre as citações para threads; Permita -nos selecionar as pastas da galeria ao selecionar fotos para postar editar: nova edição, o aplicativo continua fechando sempre que eu tento postar algo</v>
      </c>
      <c r="I166" s="10" t="str">
        <f>IFERROR(__xludf.DUMMYFUNCTION("TRIM(REGEXREPLACE(H166,""[^a-zA-ZÀ-ú ]+"",""""))"),"Eu entendo que acabou de ser lançado mas há muito a melhorar Algumas coisas que eu acho que devem ser corrigidasadicionadas a opção de procurar tags ou palavras Muitas contas que não sigo no meu TL sistema de bate papo histórias Mostre as citações para th"&amp;"reads Permita nos selecionar as pastas da galeria ao selecionar fotos para postar editar nova edição o aplicativo continua fechando sempre que eu tento postar algo")</f>
        <v>Eu entendo que acabou de ser lançado mas há muito a melhorar Algumas coisas que eu acho que devem ser corrigidasadicionadas a opção de procurar tags ou palavras Muitas contas que não sigo no meu TL sistema de bate papo histórias Mostre as citações para threads Permita nos selecionar as pastas da galeria ao selecionar fotos para postar editar nova edição o aplicativo continua fechando sempre que eu tento postar algo</v>
      </c>
      <c r="J166" s="3"/>
      <c r="K166" s="3"/>
      <c r="L166" s="3"/>
      <c r="M166" s="3"/>
      <c r="N166" s="3"/>
      <c r="O166" s="3"/>
      <c r="P166" s="3"/>
      <c r="Q166" s="3"/>
      <c r="R166" s="3"/>
      <c r="S166" s="3"/>
      <c r="T166" s="3"/>
      <c r="U166" s="3"/>
      <c r="V166" s="3"/>
      <c r="W166" s="3"/>
      <c r="X166" s="3"/>
      <c r="Y166" s="3"/>
      <c r="Z166" s="3"/>
      <c r="AA166" s="3"/>
    </row>
    <row r="167" ht="105.75" customHeight="1">
      <c r="A167" s="4" t="s">
        <v>9</v>
      </c>
      <c r="B167" s="5" t="s">
        <v>175</v>
      </c>
      <c r="C167" s="4">
        <v>4.0</v>
      </c>
      <c r="D167" s="6">
        <v>45113.778449074074</v>
      </c>
      <c r="E167" s="7" t="str">
        <f t="shared" si="1"/>
        <v>2023-07-06</v>
      </c>
      <c r="F167" s="8" t="str">
        <f t="shared" si="2"/>
        <v> 18:40:58</v>
      </c>
      <c r="G167" s="9" t="str">
        <f t="shared" si="3"/>
        <v>Noite</v>
      </c>
      <c r="H167" s="10" t="str">
        <f>IFERROR(__xludf.DUMMYFUNCTION("GOOGLETRANSLATE(B167, ""en"", ""pt-br"")"),"Não é possível postar fotos de 50MP no aplicativo. O aplicativo trava após o upload para um thread. Mas as fotos de tamanho padrão parecem funcionar bem. Adoraria ver mais opções de descoberta, como usar hashtags etc. Tenho certeza de que mais coisas estã"&amp;"o em andamento. O aplicativo funciona bastante fluido no meu S23U. Legal!")</f>
        <v>Não é possível postar fotos de 50MP no aplicativo. O aplicativo trava após o upload para um thread. Mas as fotos de tamanho padrão parecem funcionar bem. Adoraria ver mais opções de descoberta, como usar hashtags etc. Tenho certeza de que mais coisas estão em andamento. O aplicativo funciona bastante fluido no meu S23U. Legal!</v>
      </c>
      <c r="I167" s="10" t="str">
        <f>IFERROR(__xludf.DUMMYFUNCTION("TRIM(REGEXREPLACE(H167,""[^a-zA-ZÀ-ú ]+"",""""))"),"Não é possível postar fotos de MP no aplicativo O aplicativo trava após o upload para um thread Mas as fotos de tamanho padrão parecem funcionar bem Adoraria ver mais opções de descoberta como usar hashtags etc Tenho certeza de que mais coisas estão em an"&amp;"damento O aplicativo funciona bastante fluido no meu SU Legal")</f>
        <v>Não é possível postar fotos de MP no aplicativo O aplicativo trava após o upload para um thread Mas as fotos de tamanho padrão parecem funcionar bem Adoraria ver mais opções de descoberta como usar hashtags etc Tenho certeza de que mais coisas estão em andamento O aplicativo funciona bastante fluido no meu SU Legal</v>
      </c>
      <c r="J167" s="3"/>
      <c r="K167" s="3"/>
      <c r="L167" s="3"/>
      <c r="M167" s="3"/>
      <c r="N167" s="3"/>
      <c r="O167" s="3"/>
      <c r="P167" s="3"/>
      <c r="Q167" s="3"/>
      <c r="R167" s="3"/>
      <c r="S167" s="3"/>
      <c r="T167" s="3"/>
      <c r="U167" s="3"/>
      <c r="V167" s="3"/>
      <c r="W167" s="3"/>
      <c r="X167" s="3"/>
      <c r="Y167" s="3"/>
      <c r="Z167" s="3"/>
      <c r="AA167" s="3"/>
    </row>
    <row r="168" ht="105.75" customHeight="1">
      <c r="A168" s="4" t="s">
        <v>9</v>
      </c>
      <c r="B168" s="5" t="s">
        <v>176</v>
      </c>
      <c r="C168" s="4">
        <v>4.0</v>
      </c>
      <c r="D168" s="6">
        <v>45113.837685185186</v>
      </c>
      <c r="E168" s="7" t="str">
        <f t="shared" si="1"/>
        <v>2023-07-06</v>
      </c>
      <c r="F168" s="8" t="str">
        <f t="shared" si="2"/>
        <v> 20:06:16</v>
      </c>
      <c r="G168" s="9" t="str">
        <f t="shared" si="3"/>
        <v>Noite</v>
      </c>
      <c r="H168" s="10" t="str">
        <f>IFERROR(__xludf.DUMMYFUNCTION("GOOGLETRANSLATE(B168, ""en"", ""pt-br"")"),"Ótimo aplicativo, mas acho que dois problemas precisam ser consertados, primeiro, será melhor se as fotos/fotos forem downloads, segundo, ao escrever usando 2 idiomas como árabe e inglês em um tópico, a ordem do texto é bagunçada Para cima, para um Social"&amp;"Media em que escrever threads é o problema, acredito que corrigir esse problema é necessário. No geral, criar esta plataforma e este aplicativo é uma ótima idéia.")</f>
        <v>Ótimo aplicativo, mas acho que dois problemas precisam ser consertados, primeiro, será melhor se as fotos/fotos forem downloads, segundo, ao escrever usando 2 idiomas como árabe e inglês em um tópico, a ordem do texto é bagunçada Para cima, para um SocialMedia em que escrever threads é o problema, acredito que corrigir esse problema é necessário. No geral, criar esta plataforma e este aplicativo é uma ótima idéia.</v>
      </c>
      <c r="I168" s="10" t="str">
        <f>IFERROR(__xludf.DUMMYFUNCTION("TRIM(REGEXREPLACE(H168,""[^a-zA-ZÀ-ú ]+"",""""))"),"Ótimo aplicativo mas acho que dois problemas precisam ser consertados primeiro será melhor se as fotosfotos forem downloads segundo ao escrever usando idiomas como árabe e inglês em um tópico a ordem do texto é bagunçada Para cima para um SocialMedia em q"&amp;"ue escrever threads é o problema acredito que corrigir esse problema é necessário No geral criar esta plataforma e este aplicativo é uma ótima idéia")</f>
        <v>Ótimo aplicativo mas acho que dois problemas precisam ser consertados primeiro será melhor se as fotosfotos forem downloads segundo ao escrever usando idiomas como árabe e inglês em um tópico a ordem do texto é bagunçada Para cima para um SocialMedia em que escrever threads é o problema acredito que corrigir esse problema é necessário No geral criar esta plataforma e este aplicativo é uma ótima idéia</v>
      </c>
      <c r="J168" s="3"/>
      <c r="K168" s="3"/>
      <c r="L168" s="3"/>
      <c r="M168" s="3"/>
      <c r="N168" s="3"/>
      <c r="O168" s="3"/>
      <c r="P168" s="3"/>
      <c r="Q168" s="3"/>
      <c r="R168" s="3"/>
      <c r="S168" s="3"/>
      <c r="T168" s="3"/>
      <c r="U168" s="3"/>
      <c r="V168" s="3"/>
      <c r="W168" s="3"/>
      <c r="X168" s="3"/>
      <c r="Y168" s="3"/>
      <c r="Z168" s="3"/>
      <c r="AA168" s="3"/>
    </row>
    <row r="169" ht="105.75" customHeight="1">
      <c r="A169" s="4" t="s">
        <v>9</v>
      </c>
      <c r="B169" s="5" t="s">
        <v>177</v>
      </c>
      <c r="C169" s="4">
        <v>4.0</v>
      </c>
      <c r="D169" s="6">
        <v>45113.79150462963</v>
      </c>
      <c r="E169" s="7" t="str">
        <f t="shared" si="1"/>
        <v>2023-07-06</v>
      </c>
      <c r="F169" s="8" t="str">
        <f t="shared" si="2"/>
        <v> 18:59:46</v>
      </c>
      <c r="G169" s="9" t="str">
        <f t="shared" si="3"/>
        <v>Noite</v>
      </c>
      <c r="H169" s="10" t="str">
        <f>IFERROR(__xludf.DUMMYFUNCTION("GOOGLETRANSLATE(B169, ""en"", ""pt-br"")"),"Eu só o uso há um dia, mas até agora tudo bem. Feedback: a capacidade de salvar fotos e postar/responder com GIFs. Também não há opção de passar pelas minhas pastas na minha galeria, então, quando eu puxo minha galeria, são apenas todas as minhas fotos e "&amp;"nenhuma maneira de acessar as diferentes pastas. A capacidade de classificar o feed de cima ou mais recente")</f>
        <v>Eu só o uso há um dia, mas até agora tudo bem. Feedback: a capacidade de salvar fotos e postar/responder com GIFs. Também não há opção de passar pelas minhas pastas na minha galeria, então, quando eu puxo minha galeria, são apenas todas as minhas fotos e nenhuma maneira de acessar as diferentes pastas. A capacidade de classificar o feed de cima ou mais recente</v>
      </c>
      <c r="I169" s="10" t="str">
        <f>IFERROR(__xludf.DUMMYFUNCTION("TRIM(REGEXREPLACE(H169,""[^a-zA-ZÀ-ú ]+"",""""))"),"Eu só o uso há um dia mas até agora tudo bem Feedback a capacidade de salvar fotos e postarresponder com GIFs Também não há opção de passar pelas minhas pastas na minha galeria então quando eu puxo minha galeria são apenas todas as minhas fotos e nenhuma "&amp;"maneira de acessar as diferentes pastas A capacidade de classificar o feed de cima ou mais recente")</f>
        <v>Eu só o uso há um dia mas até agora tudo bem Feedback a capacidade de salvar fotos e postarresponder com GIFs Também não há opção de passar pelas minhas pastas na minha galeria então quando eu puxo minha galeria são apenas todas as minhas fotos e nenhuma maneira de acessar as diferentes pastas A capacidade de classificar o feed de cima ou mais recente</v>
      </c>
      <c r="J169" s="3"/>
      <c r="K169" s="3"/>
      <c r="L169" s="3"/>
      <c r="M169" s="3"/>
      <c r="N169" s="3"/>
      <c r="O169" s="3"/>
      <c r="P169" s="3"/>
      <c r="Q169" s="3"/>
      <c r="R169" s="3"/>
      <c r="S169" s="3"/>
      <c r="T169" s="3"/>
      <c r="U169" s="3"/>
      <c r="V169" s="3"/>
      <c r="W169" s="3"/>
      <c r="X169" s="3"/>
      <c r="Y169" s="3"/>
      <c r="Z169" s="3"/>
      <c r="AA169" s="3"/>
    </row>
    <row r="170" ht="105.75" customHeight="1">
      <c r="A170" s="4" t="s">
        <v>9</v>
      </c>
      <c r="B170" s="5" t="s">
        <v>178</v>
      </c>
      <c r="C170" s="4">
        <v>3.0</v>
      </c>
      <c r="D170" s="6">
        <v>45115.50579861111</v>
      </c>
      <c r="E170" s="7" t="str">
        <f t="shared" si="1"/>
        <v>2023-07-08</v>
      </c>
      <c r="F170" s="8" t="str">
        <f t="shared" si="2"/>
        <v> 12:08:21</v>
      </c>
      <c r="G170" s="9" t="str">
        <f t="shared" si="3"/>
        <v>Tarde</v>
      </c>
      <c r="H170" s="10" t="str">
        <f>IFERROR(__xludf.DUMMYFUNCTION("GOOGLETRANSLATE(B170, ""en"", ""pt-br"")"),"Tem um bug de upload de imagem de exibição. Tentei mudar minha foto de perfil em 3 dispositivos diferentes, mas ainda está preso como o padrão branco simples. Além desse bug, o aplicativo é ótimo, agradável e simples. Gostei muito do Twitter antes. Estou "&amp;"curioso para ver como é o tópico vs luta no Twitter.")</f>
        <v>Tem um bug de upload de imagem de exibição. Tentei mudar minha foto de perfil em 3 dispositivos diferentes, mas ainda está preso como o padrão branco simples. Além desse bug, o aplicativo é ótimo, agradável e simples. Gostei muito do Twitter antes. Estou curioso para ver como é o tópico vs luta no Twitter.</v>
      </c>
      <c r="I170" s="10" t="str">
        <f>IFERROR(__xludf.DUMMYFUNCTION("TRIM(REGEXREPLACE(H170,""[^a-zA-ZÀ-ú ]+"",""""))"),"Tem um bug de upload de imagem de exibição Tentei mudar minha foto de perfil em dispositivos diferentes mas ainda está preso como o padrão branco simples Além desse bug o aplicativo é ótimo agradável e simples Gostei muito do Twitter antes Estou curioso p"&amp;"ara ver como é o tópico vs luta no Twitter")</f>
        <v>Tem um bug de upload de imagem de exibição Tentei mudar minha foto de perfil em dispositivos diferentes mas ainda está preso como o padrão branco simples Além desse bug o aplicativo é ótimo agradável e simples Gostei muito do Twitter antes Estou curioso para ver como é o tópico vs luta no Twitter</v>
      </c>
      <c r="J170" s="3"/>
      <c r="K170" s="3"/>
      <c r="L170" s="3"/>
      <c r="M170" s="3"/>
      <c r="N170" s="3"/>
      <c r="O170" s="3"/>
      <c r="P170" s="3"/>
      <c r="Q170" s="3"/>
      <c r="R170" s="3"/>
      <c r="S170" s="3"/>
      <c r="T170" s="3"/>
      <c r="U170" s="3"/>
      <c r="V170" s="3"/>
      <c r="W170" s="3"/>
      <c r="X170" s="3"/>
      <c r="Y170" s="3"/>
      <c r="Z170" s="3"/>
      <c r="AA170" s="3"/>
    </row>
    <row r="171" ht="105.75" customHeight="1">
      <c r="A171" s="4" t="s">
        <v>9</v>
      </c>
      <c r="B171" s="5" t="s">
        <v>179</v>
      </c>
      <c r="C171" s="4">
        <v>4.0</v>
      </c>
      <c r="D171" s="6">
        <v>45115.568715277775</v>
      </c>
      <c r="E171" s="7" t="str">
        <f t="shared" si="1"/>
        <v>2023-07-08</v>
      </c>
      <c r="F171" s="8" t="str">
        <f t="shared" si="2"/>
        <v> 13:38:57</v>
      </c>
      <c r="G171" s="9" t="str">
        <f t="shared" si="3"/>
        <v>Tarde</v>
      </c>
      <c r="H171" s="10" t="str">
        <f>IFERROR(__xludf.DUMMYFUNCTION("GOOGLETRANSLATE(B171, ""en"", ""pt-br"")"),"O aplicativo funciona bem sem problemas, mas há um menos perceptível, não há transferência em threads e você precisa fazer dois botões, a primeira recomendação, a segunda em que você está inscrito, essa é minha opinião pessoal, caso contrário, 4 estrelas "&amp;", Espero que os desenvolvedores percebam isso e, a propósito, eu também programador")</f>
        <v>O aplicativo funciona bem sem problemas, mas há um menos perceptível, não há transferência em threads e você precisa fazer dois botões, a primeira recomendação, a segunda em que você está inscrito, essa é minha opinião pessoal, caso contrário, 4 estrelas , Espero que os desenvolvedores percebam isso e, a propósito, eu também programador</v>
      </c>
      <c r="I171" s="10" t="str">
        <f>IFERROR(__xludf.DUMMYFUNCTION("TRIM(REGEXREPLACE(H171,""[^a-zA-ZÀ-ú ]+"",""""))"),"O aplicativo funciona bem sem problemas mas há um menos perceptível não há transferência em threads e você precisa fazer dois botões a primeira recomendação a segunda em que você está inscrito essa é minha opinião pessoal caso contrário estrelas Espero qu"&amp;"e os desenvolvedores percebam isso e a propósito eu também programador")</f>
        <v>O aplicativo funciona bem sem problemas mas há um menos perceptível não há transferência em threads e você precisa fazer dois botões a primeira recomendação a segunda em que você está inscrito essa é minha opinião pessoal caso contrário estrelas Espero que os desenvolvedores percebam isso e a propósito eu também programador</v>
      </c>
      <c r="J171" s="3"/>
      <c r="K171" s="3"/>
      <c r="L171" s="3"/>
      <c r="M171" s="3"/>
      <c r="N171" s="3"/>
      <c r="O171" s="3"/>
      <c r="P171" s="3"/>
      <c r="Q171" s="3"/>
      <c r="R171" s="3"/>
      <c r="S171" s="3"/>
      <c r="T171" s="3"/>
      <c r="U171" s="3"/>
      <c r="V171" s="3"/>
      <c r="W171" s="3"/>
      <c r="X171" s="3"/>
      <c r="Y171" s="3"/>
      <c r="Z171" s="3"/>
      <c r="AA171" s="3"/>
    </row>
    <row r="172" ht="105.75" customHeight="1">
      <c r="A172" s="4" t="s">
        <v>9</v>
      </c>
      <c r="B172" s="5" t="s">
        <v>180</v>
      </c>
      <c r="C172" s="4">
        <v>1.0</v>
      </c>
      <c r="D172" s="6">
        <v>45113.34673611111</v>
      </c>
      <c r="E172" s="7" t="str">
        <f t="shared" si="1"/>
        <v>2023-07-06</v>
      </c>
      <c r="F172" s="8" t="str">
        <f t="shared" si="2"/>
        <v> 08:19:18</v>
      </c>
      <c r="G172" s="9" t="str">
        <f t="shared" si="3"/>
        <v>Manhã</v>
      </c>
      <c r="H172" s="10" t="str">
        <f>IFERROR(__xludf.DUMMYFUNCTION("GOOGLETRANSLATE(B172, ""en"", ""pt-br"")"),"Onde começar! Como um aplicativo altamente esperado e estou feliz que esse recurso existisse como parte do Instagram, mas assim que terminei de começar, estou recebido com todos os bugs de tela (piscando e extraviados, repetidos clones de tudo em todos os"&amp;" lugares) eu eu Gostaria de poder enviar um feedback interno com anexos, mas não pode ser devido a bugs. // Informações do dispositivo: Android Versão: Android 9 (FuNTouchos_9.1) Versão do software: PD1930CF_EX_A_1.18.0")</f>
        <v>Onde começar! Como um aplicativo altamente esperado e estou feliz que esse recurso existisse como parte do Instagram, mas assim que terminei de começar, estou recebido com todos os bugs de tela (piscando e extraviados, repetidos clones de tudo em todos os lugares) eu eu Gostaria de poder enviar um feedback interno com anexos, mas não pode ser devido a bugs. // Informações do dispositivo: Android Versão: Android 9 (FuNTouchos_9.1) Versão do software: PD1930CF_EX_A_1.18.0</v>
      </c>
      <c r="I172" s="10" t="str">
        <f>IFERROR(__xludf.DUMMYFUNCTION("TRIM(REGEXREPLACE(H172,""[^a-zA-ZÀ-ú ]+"",""""))"),"Onde começar Como um aplicativo altamente esperado e estou feliz que esse recurso existisse como parte do Instagram mas assim que terminei de começar estou recebido com todos os bugs de tela piscando e extraviados repetidos clones de tudo em todos os luga"&amp;"res eu eu Gostaria de poder enviar um feedback interno com anexos mas não pode ser devido a bugs Informações do dispositivo Android Versão Android FuNTouchos Versão do software PDCFEXA")</f>
        <v>Onde começar Como um aplicativo altamente esperado e estou feliz que esse recurso existisse como parte do Instagram mas assim que terminei de começar estou recebido com todos os bugs de tela piscando e extraviados repetidos clones de tudo em todos os lugares eu eu Gostaria de poder enviar um feedback interno com anexos mas não pode ser devido a bugs Informações do dispositivo Android Versão Android FuNTouchos Versão do software PDCFEXA</v>
      </c>
      <c r="J172" s="3"/>
      <c r="K172" s="3"/>
      <c r="L172" s="3"/>
      <c r="M172" s="3"/>
      <c r="N172" s="3"/>
      <c r="O172" s="3"/>
      <c r="P172" s="3"/>
      <c r="Q172" s="3"/>
      <c r="R172" s="3"/>
      <c r="S172" s="3"/>
      <c r="T172" s="3"/>
      <c r="U172" s="3"/>
      <c r="V172" s="3"/>
      <c r="W172" s="3"/>
      <c r="X172" s="3"/>
      <c r="Y172" s="3"/>
      <c r="Z172" s="3"/>
      <c r="AA172" s="3"/>
    </row>
    <row r="173" ht="105.75" customHeight="1">
      <c r="A173" s="4" t="s">
        <v>9</v>
      </c>
      <c r="B173" s="5" t="s">
        <v>181</v>
      </c>
      <c r="C173" s="4">
        <v>3.0</v>
      </c>
      <c r="D173" s="6">
        <v>45113.91758101852</v>
      </c>
      <c r="E173" s="7" t="str">
        <f t="shared" si="1"/>
        <v>2023-07-06</v>
      </c>
      <c r="F173" s="8" t="str">
        <f t="shared" si="2"/>
        <v> 22:01:19</v>
      </c>
      <c r="G173" s="9" t="str">
        <f t="shared" si="3"/>
        <v>Noite</v>
      </c>
      <c r="H173" s="10" t="str">
        <f>IFERROR(__xludf.DUMMYFUNCTION("GOOGLETRANSLATE(B173, ""en"", ""pt-br"")"),"App muito bom aparentemente é como o Twitter clássico. Ele poderia usar alguns ajustes e ajustes, especialmente a capacidade de editar seu tópico e melhor suporte de áudio para vídeos, bem como a inserção do GIF, também uma linha do tempo apenas para as p"&amp;"essoas que você segue seria ótima, mas, caso contrário, é sólido.")</f>
        <v>App muito bom aparentemente é como o Twitter clássico. Ele poderia usar alguns ajustes e ajustes, especialmente a capacidade de editar seu tópico e melhor suporte de áudio para vídeos, bem como a inserção do GIF, também uma linha do tempo apenas para as pessoas que você segue seria ótima, mas, caso contrário, é sólido.</v>
      </c>
      <c r="I173" s="10" t="str">
        <f>IFERROR(__xludf.DUMMYFUNCTION("TRIM(REGEXREPLACE(H173,""[^a-zA-ZÀ-ú ]+"",""""))"),"App muito bom aparentemente é como o Twitter clássico Ele poderia usar alguns ajustes e ajustes especialmente a capacidade de editar seu tópico e melhor suporte de áudio para vídeos bem como a inserção do GIF também uma linha do tempo apenas para as pesso"&amp;"as que você segue seria ótima mas caso contrário é sólido")</f>
        <v>App muito bom aparentemente é como o Twitter clássico Ele poderia usar alguns ajustes e ajustes especialmente a capacidade de editar seu tópico e melhor suporte de áudio para vídeos bem como a inserção do GIF também uma linha do tempo apenas para as pessoas que você segue seria ótima mas caso contrário é sólido</v>
      </c>
      <c r="J173" s="3"/>
      <c r="K173" s="3"/>
      <c r="L173" s="3"/>
      <c r="M173" s="3"/>
      <c r="N173" s="3"/>
      <c r="O173" s="3"/>
      <c r="P173" s="3"/>
      <c r="Q173" s="3"/>
      <c r="R173" s="3"/>
      <c r="S173" s="3"/>
      <c r="T173" s="3"/>
      <c r="U173" s="3"/>
      <c r="V173" s="3"/>
      <c r="W173" s="3"/>
      <c r="X173" s="3"/>
      <c r="Y173" s="3"/>
      <c r="Z173" s="3"/>
      <c r="AA173" s="3"/>
    </row>
    <row r="174" ht="105.75" customHeight="1">
      <c r="A174" s="4" t="s">
        <v>9</v>
      </c>
      <c r="B174" s="5" t="s">
        <v>182</v>
      </c>
      <c r="C174" s="4">
        <v>3.0</v>
      </c>
      <c r="D174" s="6">
        <v>45117.97545138889</v>
      </c>
      <c r="E174" s="7" t="str">
        <f t="shared" si="1"/>
        <v>2023-07-10</v>
      </c>
      <c r="F174" s="8" t="str">
        <f t="shared" si="2"/>
        <v> 23:24:39</v>
      </c>
      <c r="G174" s="9" t="str">
        <f t="shared" si="3"/>
        <v>Noite</v>
      </c>
      <c r="H174" s="10" t="str">
        <f>IFERROR(__xludf.DUMMYFUNCTION("GOOGLETRANSLATE(B174, ""en"", ""pt-br"")"),"Eu gosto do conceito, e é bom começar. No entanto, precisa ser mais fácil seguir as pessoas em seu feed sem abrir a postagem e mais difíceis de destacar o texto. Continuei destacando acidentalmente enquanto rola e clicava em postagens ao tentar seguir alg"&amp;"uém.")</f>
        <v>Eu gosto do conceito, e é bom começar. No entanto, precisa ser mais fácil seguir as pessoas em seu feed sem abrir a postagem e mais difíceis de destacar o texto. Continuei destacando acidentalmente enquanto rola e clicava em postagens ao tentar seguir alguém.</v>
      </c>
      <c r="I174" s="10" t="str">
        <f>IFERROR(__xludf.DUMMYFUNCTION("TRIM(REGEXREPLACE(H174,""[^a-zA-ZÀ-ú ]+"",""""))"),"Eu gosto do conceito e é bom começar No entanto precisa ser mais fácil seguir as pessoas em seu feed sem abrir a postagem e mais difíceis de destacar o texto Continuei destacando acidentalmente enquanto rola e clicava em postagens ao tentar seguir alguém")</f>
        <v>Eu gosto do conceito e é bom começar No entanto precisa ser mais fácil seguir as pessoas em seu feed sem abrir a postagem e mais difíceis de destacar o texto Continuei destacando acidentalmente enquanto rola e clicava em postagens ao tentar seguir alguém</v>
      </c>
      <c r="J174" s="3"/>
      <c r="K174" s="3"/>
      <c r="L174" s="3"/>
      <c r="M174" s="3"/>
      <c r="N174" s="3"/>
      <c r="O174" s="3"/>
      <c r="P174" s="3"/>
      <c r="Q174" s="3"/>
      <c r="R174" s="3"/>
      <c r="S174" s="3"/>
      <c r="T174" s="3"/>
      <c r="U174" s="3"/>
      <c r="V174" s="3"/>
      <c r="W174" s="3"/>
      <c r="X174" s="3"/>
      <c r="Y174" s="3"/>
      <c r="Z174" s="3"/>
      <c r="AA174" s="3"/>
    </row>
    <row r="175" ht="105.75" customHeight="1">
      <c r="A175" s="4" t="s">
        <v>9</v>
      </c>
      <c r="B175" s="5" t="s">
        <v>183</v>
      </c>
      <c r="C175" s="4">
        <v>2.0</v>
      </c>
      <c r="D175" s="6">
        <v>45122.531481481485</v>
      </c>
      <c r="E175" s="7" t="str">
        <f t="shared" si="1"/>
        <v>2023-07-15</v>
      </c>
      <c r="F175" s="8" t="str">
        <f t="shared" si="2"/>
        <v> 12:45:20</v>
      </c>
      <c r="G175" s="9" t="str">
        <f t="shared" si="3"/>
        <v>Tarde</v>
      </c>
      <c r="H175" s="10" t="str">
        <f>IFERROR(__xludf.DUMMYFUNCTION("GOOGLETRANSLATE(B175, ""en"", ""pt-br"")"),"No geral, eu amo o aplicativo. No entanto ... não consegui seguir novas pessoas ou seguir nenhum dos meus novos seguidores há mais de 3 dias e não posso conseguir que ninguém ajude nesse problema. Eu até tentei ficar verificado, mas adivinhe o que também "&amp;"não pode fazer isso. Isso é muito, muito frustrante !!!!! 3 estrelas por causa dessa questão podem ser 5 se alguém do apoio pudesse me ajudar. ** 5 dias agora, então vou começar a soltar as estrelas.")</f>
        <v>No geral, eu amo o aplicativo. No entanto ... não consegui seguir novas pessoas ou seguir nenhum dos meus novos seguidores há mais de 3 dias e não posso conseguir que ninguém ajude nesse problema. Eu até tentei ficar verificado, mas adivinhe o que também não pode fazer isso. Isso é muito, muito frustrante !!!!! 3 estrelas por causa dessa questão podem ser 5 se alguém do apoio pudesse me ajudar. ** 5 dias agora, então vou começar a soltar as estrelas.</v>
      </c>
      <c r="I175" s="10" t="str">
        <f>IFERROR(__xludf.DUMMYFUNCTION("TRIM(REGEXREPLACE(H175,""[^a-zA-ZÀ-ú ]+"",""""))"),"No geral eu amo o aplicativo No entanto não consegui seguir novas pessoas ou seguir nenhum dos meus novos seguidores há mais de dias e não posso conseguir que ninguém ajude nesse problema Eu até tentei ficar verificado mas adivinhe o que também não pode f"&amp;"azer isso Isso é muito muito frustrante estrelas por causa dessa questão podem ser se alguém do apoio pudesse me ajudar dias agora então vou começar a soltar as estrelas")</f>
        <v>No geral eu amo o aplicativo No entanto não consegui seguir novas pessoas ou seguir nenhum dos meus novos seguidores há mais de dias e não posso conseguir que ninguém ajude nesse problema Eu até tentei ficar verificado mas adivinhe o que também não pode fazer isso Isso é muito muito frustrante estrelas por causa dessa questão podem ser se alguém do apoio pudesse me ajudar dias agora então vou começar a soltar as estrelas</v>
      </c>
      <c r="J175" s="3"/>
      <c r="K175" s="3"/>
      <c r="L175" s="3"/>
      <c r="M175" s="3"/>
      <c r="N175" s="3"/>
      <c r="O175" s="3"/>
      <c r="P175" s="3"/>
      <c r="Q175" s="3"/>
      <c r="R175" s="3"/>
      <c r="S175" s="3"/>
      <c r="T175" s="3"/>
      <c r="U175" s="3"/>
      <c r="V175" s="3"/>
      <c r="W175" s="3"/>
      <c r="X175" s="3"/>
      <c r="Y175" s="3"/>
      <c r="Z175" s="3"/>
      <c r="AA175" s="3"/>
    </row>
    <row r="176" ht="105.75" customHeight="1">
      <c r="A176" s="4" t="s">
        <v>9</v>
      </c>
      <c r="B176" s="5" t="s">
        <v>184</v>
      </c>
      <c r="C176" s="4">
        <v>3.0</v>
      </c>
      <c r="D176" s="6">
        <v>45115.64087962963</v>
      </c>
      <c r="E176" s="7" t="str">
        <f t="shared" si="1"/>
        <v>2023-07-08</v>
      </c>
      <c r="F176" s="8" t="str">
        <f t="shared" si="2"/>
        <v> 15:22:52</v>
      </c>
      <c r="G176" s="9" t="str">
        <f t="shared" si="3"/>
        <v>Tarde</v>
      </c>
      <c r="H176" s="10" t="str">
        <f>IFERROR(__xludf.DUMMYFUNCTION("GOOGLETRANSLATE(B176, ""en"", ""pt-br"")"),"É um bom aplicativo ... mas então as coisas precisam ser corrigidas ... Trabalhe para digitar, você precisa ver o que está digitando ... não apenas digitando cegamente .. ,,, enquanto usa o aplicativo respondendo a uma postagem com um Mídia fotográfica A "&amp;"mídia bloqueia sua visualização e você não pode ver o que está digitando ... além do botão de postagem deve ser facilmente acessível. Trabalhe para interagir com seus usuários, é por isso que sua notificação está lá. Envie uma notificação para notificar u"&amp;"m usuário se o usuário estiver limitado para realizar algumas atividades")</f>
        <v>É um bom aplicativo ... mas então as coisas precisam ser corrigidas ... Trabalhe para digitar, você precisa ver o que está digitando ... não apenas digitando cegamente .. ,,, enquanto usa o aplicativo respondendo a uma postagem com um Mídia fotográfica A mídia bloqueia sua visualização e você não pode ver o que está digitando ... além do botão de postagem deve ser facilmente acessível. Trabalhe para interagir com seus usuários, é por isso que sua notificação está lá. Envie uma notificação para notificar um usuário se o usuário estiver limitado para realizar algumas atividades</v>
      </c>
      <c r="I176" s="10" t="str">
        <f>IFERROR(__xludf.DUMMYFUNCTION("TRIM(REGEXREPLACE(H176,""[^a-zA-ZÀ-ú ]+"",""""))"),"É um bom aplicativo mas então as coisas precisam ser corrigidas Trabalhe para digitar você precisa ver o que está digitando não apenas digitando cegamente enquanto usa o aplicativo respondendo a uma postagem com um Mídia fotográfica A mídia bloqueia sua v"&amp;"isualização e você não pode ver o que está digitando além do botão de postagem deve ser facilmente acessível Trabalhe para interagir com seus usuários é por isso que sua notificação está lá Envie uma notificação para notificar um usuário se o usuário esti"&amp;"ver limitado para realizar algumas atividades")</f>
        <v>É um bom aplicativo mas então as coisas precisam ser corrigidas Trabalhe para digitar você precisa ver o que está digitando não apenas digitando cegamente enquanto usa o aplicativo respondendo a uma postagem com um Mídia fotográfica A mídia bloqueia sua visualização e você não pode ver o que está digitando além do botão de postagem deve ser facilmente acessível Trabalhe para interagir com seus usuários é por isso que sua notificação está lá Envie uma notificação para notificar um usuário se o usuário estiver limitado para realizar algumas atividades</v>
      </c>
      <c r="J176" s="3"/>
      <c r="K176" s="3"/>
      <c r="L176" s="3"/>
      <c r="M176" s="3"/>
      <c r="N176" s="3"/>
      <c r="O176" s="3"/>
      <c r="P176" s="3"/>
      <c r="Q176" s="3"/>
      <c r="R176" s="3"/>
      <c r="S176" s="3"/>
      <c r="T176" s="3"/>
      <c r="U176" s="3"/>
      <c r="V176" s="3"/>
      <c r="W176" s="3"/>
      <c r="X176" s="3"/>
      <c r="Y176" s="3"/>
      <c r="Z176" s="3"/>
      <c r="AA176" s="3"/>
    </row>
    <row r="177" ht="105.75" customHeight="1">
      <c r="A177" s="4" t="s">
        <v>9</v>
      </c>
      <c r="B177" s="5" t="s">
        <v>185</v>
      </c>
      <c r="C177" s="4">
        <v>1.0</v>
      </c>
      <c r="D177" s="6">
        <v>45113.588275462964</v>
      </c>
      <c r="E177" s="7" t="str">
        <f t="shared" si="1"/>
        <v>2023-07-06</v>
      </c>
      <c r="F177" s="8" t="str">
        <f t="shared" si="2"/>
        <v> 14:07:07</v>
      </c>
      <c r="G177" s="9" t="str">
        <f t="shared" si="3"/>
        <v>Tarde</v>
      </c>
      <c r="H177" s="10" t="str">
        <f>IFERROR(__xludf.DUMMYFUNCTION("GOOGLETRANSLATE(B177, ""en"", ""pt-br"")"),"Nenhuma interação com as pessoas que você segue. Período. Você terá sorte de ver uma postagem que não é uma conta comercial ou verificada. Nenhuma rima ou razão para postagens que o feed mostra. É o mesmo que a plataforma do Instagram do AD Riddle, mas pi"&amp;"or neste momento. Se você pudesse filtrar apenas as pessoas que você segue, talvez isso se recuperasse. Mas como agora não vale a pena usar no Instagram ou em qualquer outro serviço. Há pouca ou nenhuma funcionalidade e nem está perto de cronológica.")</f>
        <v>Nenhuma interação com as pessoas que você segue. Período. Você terá sorte de ver uma postagem que não é uma conta comercial ou verificada. Nenhuma rima ou razão para postagens que o feed mostra. É o mesmo que a plataforma do Instagram do AD Riddle, mas pior neste momento. Se você pudesse filtrar apenas as pessoas que você segue, talvez isso se recuperasse. Mas como agora não vale a pena usar no Instagram ou em qualquer outro serviço. Há pouca ou nenhuma funcionalidade e nem está perto de cronológica.</v>
      </c>
      <c r="I177" s="10" t="str">
        <f>IFERROR(__xludf.DUMMYFUNCTION("TRIM(REGEXREPLACE(H177,""[^a-zA-ZÀ-ú ]+"",""""))"),"Nenhuma interação com as pessoas que você segue Período Você terá sorte de ver uma postagem que não é uma conta comercial ou verificada Nenhuma rima ou razão para postagens que o feed mostra É o mesmo que a plataforma do Instagram do AD Riddle mas pior ne"&amp;"ste momento Se você pudesse filtrar apenas as pessoas que você segue talvez isso se recuperasse Mas como agora não vale a pena usar no Instagram ou em qualquer outro serviço Há pouca ou nenhuma funcionalidade e nem está perto de cronológica")</f>
        <v>Nenhuma interação com as pessoas que você segue Período Você terá sorte de ver uma postagem que não é uma conta comercial ou verificada Nenhuma rima ou razão para postagens que o feed mostra É o mesmo que a plataforma do Instagram do AD Riddle mas pior neste momento Se você pudesse filtrar apenas as pessoas que você segue talvez isso se recuperasse Mas como agora não vale a pena usar no Instagram ou em qualquer outro serviço Há pouca ou nenhuma funcionalidade e nem está perto de cronológica</v>
      </c>
      <c r="J177" s="3"/>
      <c r="K177" s="3"/>
      <c r="L177" s="3"/>
      <c r="M177" s="3"/>
      <c r="N177" s="3"/>
      <c r="O177" s="3"/>
      <c r="P177" s="3"/>
      <c r="Q177" s="3"/>
      <c r="R177" s="3"/>
      <c r="S177" s="3"/>
      <c r="T177" s="3"/>
      <c r="U177" s="3"/>
      <c r="V177" s="3"/>
      <c r="W177" s="3"/>
      <c r="X177" s="3"/>
      <c r="Y177" s="3"/>
      <c r="Z177" s="3"/>
      <c r="AA177" s="3"/>
    </row>
    <row r="178" ht="105.75" customHeight="1">
      <c r="A178" s="4" t="s">
        <v>9</v>
      </c>
      <c r="B178" s="5" t="s">
        <v>186</v>
      </c>
      <c r="C178" s="4">
        <v>1.0</v>
      </c>
      <c r="D178" s="6">
        <v>45114.564722222225</v>
      </c>
      <c r="E178" s="7" t="str">
        <f t="shared" si="1"/>
        <v>2023-07-07</v>
      </c>
      <c r="F178" s="8" t="str">
        <f t="shared" si="2"/>
        <v> 13:33:12</v>
      </c>
      <c r="G178" s="9" t="str">
        <f t="shared" si="3"/>
        <v>Tarde</v>
      </c>
      <c r="H178" s="10" t="str">
        <f>IFERROR(__xludf.DUMMYFUNCTION("GOOGLETRANSLATE(B178, ""en"", ""pt-br"")"),"Aplicativo com opções de login limitadas Recentemente, experimentei um aplicativo que atraiu meu interesse devido aos seus recursos promissores e críticas positivas. No entanto, minha experiência rapidamente azeda quando percebi que o aplicativo não permi"&amp;"tia o login com um ID do Google. Essa limitação dificultou significativamente minha capacidade de acessar convenientemente o aplicativo e afetou minha experiência geral do usuário. Uma das principais vantagens do uso do Google Login é a conveniência que e"&amp;"le oferece. Com apenas algumas torneiras, posso acessar perfeitamente.")</f>
        <v>Aplicativo com opções de login limitadas Recentemente, experimentei um aplicativo que atraiu meu interesse devido aos seus recursos promissores e críticas positivas. No entanto, minha experiência rapidamente azeda quando percebi que o aplicativo não permitia o login com um ID do Google. Essa limitação dificultou significativamente minha capacidade de acessar convenientemente o aplicativo e afetou minha experiência geral do usuário. Uma das principais vantagens do uso do Google Login é a conveniência que ele oferece. Com apenas algumas torneiras, posso acessar perfeitamente.</v>
      </c>
      <c r="I178" s="10" t="str">
        <f>IFERROR(__xludf.DUMMYFUNCTION("TRIM(REGEXREPLACE(H178,""[^a-zA-ZÀ-ú ]+"",""""))"),"Aplicativo com opções de login limitadas Recentemente experimentei um aplicativo que atraiu meu interesse devido aos seus recursos promissores e críticas positivas No entanto minha experiência rapidamente azeda quando percebi que o aplicativo não permitia"&amp;" o login com um ID do Google Essa limitação dificultou significativamente minha capacidade de acessar convenientemente o aplicativo e afetou minha experiência geral do usuário Uma das principais vantagens do uso do Google Login é a conveniência que ele of"&amp;"erece Com apenas algumas torneiras posso acessar perfeitamente")</f>
        <v>Aplicativo com opções de login limitadas Recentemente experimentei um aplicativo que atraiu meu interesse devido aos seus recursos promissores e críticas positivas No entanto minha experiência rapidamente azeda quando percebi que o aplicativo não permitia o login com um ID do Google Essa limitação dificultou significativamente minha capacidade de acessar convenientemente o aplicativo e afetou minha experiência geral do usuário Uma das principais vantagens do uso do Google Login é a conveniência que ele oferece Com apenas algumas torneiras posso acessar perfeitamente</v>
      </c>
      <c r="J178" s="3"/>
      <c r="K178" s="3"/>
      <c r="L178" s="3"/>
      <c r="M178" s="3"/>
      <c r="N178" s="3"/>
      <c r="O178" s="3"/>
      <c r="P178" s="3"/>
      <c r="Q178" s="3"/>
      <c r="R178" s="3"/>
      <c r="S178" s="3"/>
      <c r="T178" s="3"/>
      <c r="U178" s="3"/>
      <c r="V178" s="3"/>
      <c r="W178" s="3"/>
      <c r="X178" s="3"/>
      <c r="Y178" s="3"/>
      <c r="Z178" s="3"/>
      <c r="AA178" s="3"/>
    </row>
    <row r="179" ht="105.75" customHeight="1">
      <c r="A179" s="4" t="s">
        <v>9</v>
      </c>
      <c r="B179" s="5" t="s">
        <v>187</v>
      </c>
      <c r="C179" s="4">
        <v>4.0</v>
      </c>
      <c r="D179" s="6">
        <v>45117.55196759259</v>
      </c>
      <c r="E179" s="7" t="str">
        <f t="shared" si="1"/>
        <v>2023-07-10</v>
      </c>
      <c r="F179" s="8" t="str">
        <f t="shared" si="2"/>
        <v> 13:14:50</v>
      </c>
      <c r="G179" s="9" t="str">
        <f t="shared" si="3"/>
        <v>Tarde</v>
      </c>
      <c r="H179" s="10" t="str">
        <f>IFERROR(__xludf.DUMMYFUNCTION("GOOGLETRANSLATE(B179, ""en"", ""pt-br"")"),"No geral, o aplicativo é bom. Seu desempenho é ótimo para ser o lançamento inicial. Algumas sugestões: -Capacidade de ver apenas as contas seguidas na linha do tempo -Página de criação -Cover -cover -DO MODO DO MODO PROS: -MY SYSTEM Font Funciona neste ap"&amp;"licativo, enquanto não funciona em outros aplicativos semelhantes.")</f>
        <v>No geral, o aplicativo é bom. Seu desempenho é ótimo para ser o lançamento inicial. Algumas sugestões: -Capacidade de ver apenas as contas seguidas na linha do tempo -Página de criação -Cover -cover -DO MODO DO MODO PROS: -MY SYSTEM Font Funciona neste aplicativo, enquanto não funciona em outros aplicativos semelhantes.</v>
      </c>
      <c r="I179" s="10" t="str">
        <f>IFERROR(__xludf.DUMMYFUNCTION("TRIM(REGEXREPLACE(H179,""[^a-zA-ZÀ-ú ]+"",""""))"),"No geral o aplicativo é bom Seu desempenho é ótimo para ser o lançamento inicial Algumas sugestões Capacidade de ver apenas as contas seguidas na linha do tempo Página de criação Cover cover DO MODO DO MODO PROS MY SYSTEM Font Funciona neste aplicativo en"&amp;"quanto não funciona em outros aplicativos semelhantes")</f>
        <v>No geral o aplicativo é bom Seu desempenho é ótimo para ser o lançamento inicial Algumas sugestões Capacidade de ver apenas as contas seguidas na linha do tempo Página de criação Cover cover DO MODO DO MODO PROS MY SYSTEM Font Funciona neste aplicativo enquanto não funciona em outros aplicativos semelhantes</v>
      </c>
      <c r="J179" s="3"/>
      <c r="K179" s="3"/>
      <c r="L179" s="3"/>
      <c r="M179" s="3"/>
      <c r="N179" s="3"/>
      <c r="O179" s="3"/>
      <c r="P179" s="3"/>
      <c r="Q179" s="3"/>
      <c r="R179" s="3"/>
      <c r="S179" s="3"/>
      <c r="T179" s="3"/>
      <c r="U179" s="3"/>
      <c r="V179" s="3"/>
      <c r="W179" s="3"/>
      <c r="X179" s="3"/>
      <c r="Y179" s="3"/>
      <c r="Z179" s="3"/>
      <c r="AA179" s="3"/>
    </row>
    <row r="180" ht="105.75" customHeight="1">
      <c r="A180" s="4" t="s">
        <v>9</v>
      </c>
      <c r="B180" s="5" t="s">
        <v>188</v>
      </c>
      <c r="C180" s="4">
        <v>3.0</v>
      </c>
      <c r="D180" s="6">
        <v>45114.40831018519</v>
      </c>
      <c r="E180" s="7" t="str">
        <f t="shared" si="1"/>
        <v>2023-07-07</v>
      </c>
      <c r="F180" s="8" t="str">
        <f t="shared" si="2"/>
        <v> 09:47:58</v>
      </c>
      <c r="G180" s="9" t="str">
        <f t="shared" si="3"/>
        <v>Manhã</v>
      </c>
      <c r="H180" s="10" t="str">
        <f>IFERROR(__xludf.DUMMYFUNCTION("GOOGLETRANSLATE(B180, ""en"", ""pt-br"")"),"Parecia uma ótima nova alternativa no começo, mas ainda tem moderação de lixo do Instagram e está constantemente colidindo em mim. Você o abre e vê nudez, insultos e ameaças imediatamente e a equipe de moderação apenas vai ""nah está ficando lol"" e é iss"&amp;"o. Ainda melhor que a alternativa, mas não muito")</f>
        <v>Parecia uma ótima nova alternativa no começo, mas ainda tem moderação de lixo do Instagram e está constantemente colidindo em mim. Você o abre e vê nudez, insultos e ameaças imediatamente e a equipe de moderação apenas vai "nah está ficando lol" e é isso. Ainda melhor que a alternativa, mas não muito</v>
      </c>
      <c r="I180" s="10" t="str">
        <f>IFERROR(__xludf.DUMMYFUNCTION("TRIM(REGEXREPLACE(H180,""[^a-zA-ZÀ-ú ]+"",""""))"),"Parecia uma ótima nova alternativa no começo mas ainda tem moderação de lixo do Instagram e está constantemente colidindo em mim Você o abre e vê nudez insultos e ameaças imediatamente e a equipe de moderação apenas vai nah está ficando lol e é isso Ainda"&amp;" melhor que a alternativa mas não muito")</f>
        <v>Parecia uma ótima nova alternativa no começo mas ainda tem moderação de lixo do Instagram e está constantemente colidindo em mim Você o abre e vê nudez insultos e ameaças imediatamente e a equipe de moderação apenas vai nah está ficando lol e é isso Ainda melhor que a alternativa mas não muito</v>
      </c>
      <c r="J180" s="3"/>
      <c r="K180" s="3"/>
      <c r="L180" s="3"/>
      <c r="M180" s="3"/>
      <c r="N180" s="3"/>
      <c r="O180" s="3"/>
      <c r="P180" s="3"/>
      <c r="Q180" s="3"/>
      <c r="R180" s="3"/>
      <c r="S180" s="3"/>
      <c r="T180" s="3"/>
      <c r="U180" s="3"/>
      <c r="V180" s="3"/>
      <c r="W180" s="3"/>
      <c r="X180" s="3"/>
      <c r="Y180" s="3"/>
      <c r="Z180" s="3"/>
      <c r="AA180" s="3"/>
    </row>
    <row r="181" ht="105.75" customHeight="1">
      <c r="A181" s="4" t="s">
        <v>9</v>
      </c>
      <c r="B181" s="5" t="s">
        <v>189</v>
      </c>
      <c r="C181" s="4">
        <v>1.0</v>
      </c>
      <c r="D181" s="6">
        <v>45116.50592592593</v>
      </c>
      <c r="E181" s="7" t="str">
        <f t="shared" si="1"/>
        <v>2023-07-09</v>
      </c>
      <c r="F181" s="8" t="str">
        <f t="shared" si="2"/>
        <v> 12:08:32</v>
      </c>
      <c r="G181" s="9" t="str">
        <f t="shared" si="3"/>
        <v>Tarde</v>
      </c>
      <c r="H181" s="10" t="str">
        <f>IFERROR(__xludf.DUMMYFUNCTION("GOOGLETRANSLATE(B181, ""en"", ""pt-br"")"),"O aplicativo continua travando e está afetando meu Instagram (continua travando) quando eu excluo threads, meu Instagram funciona bem. Mas quando eu baixo threads novamente os dois aplicativos falhas. O thread me impede de mencionar alguém, o aplicativo f"&amp;"echa e, se estiver digitando um tópico longo, o aplicativo fechará. Há um bug no sistema. Precisa de uma atualização o mais rápido possível.")</f>
        <v>O aplicativo continua travando e está afetando meu Instagram (continua travando) quando eu excluo threads, meu Instagram funciona bem. Mas quando eu baixo threads novamente os dois aplicativos falhas. O thread me impede de mencionar alguém, o aplicativo fecha e, se estiver digitando um tópico longo, o aplicativo fechará. Há um bug no sistema. Precisa de uma atualização o mais rápido possível.</v>
      </c>
      <c r="I181" s="10" t="str">
        <f>IFERROR(__xludf.DUMMYFUNCTION("TRIM(REGEXREPLACE(H181,""[^a-zA-ZÀ-ú ]+"",""""))"),"O aplicativo continua travando e está afetando meu Instagram continua travando quando eu excluo threads meu Instagram funciona bem Mas quando eu baixo threads novamente os dois aplicativos falhas O thread me impede de mencionar alguém o aplicativo fecha e"&amp;" se estiver digitando um tópico longo o aplicativo fechará Há um bug no sistema Precisa de uma atualização o mais rápido possível")</f>
        <v>O aplicativo continua travando e está afetando meu Instagram continua travando quando eu excluo threads meu Instagram funciona bem Mas quando eu baixo threads novamente os dois aplicativos falhas O thread me impede de mencionar alguém o aplicativo fecha e se estiver digitando um tópico longo o aplicativo fechará Há um bug no sistema Precisa de uma atualização o mais rápido possível</v>
      </c>
      <c r="J181" s="3"/>
      <c r="K181" s="3"/>
      <c r="L181" s="3"/>
      <c r="M181" s="3"/>
      <c r="N181" s="3"/>
      <c r="O181" s="3"/>
      <c r="P181" s="3"/>
      <c r="Q181" s="3"/>
      <c r="R181" s="3"/>
      <c r="S181" s="3"/>
      <c r="T181" s="3"/>
      <c r="U181" s="3"/>
      <c r="V181" s="3"/>
      <c r="W181" s="3"/>
      <c r="X181" s="3"/>
      <c r="Y181" s="3"/>
      <c r="Z181" s="3"/>
      <c r="AA181" s="3"/>
    </row>
    <row r="182" ht="105.75" customHeight="1">
      <c r="A182" s="4" t="s">
        <v>9</v>
      </c>
      <c r="B182" s="5" t="s">
        <v>190</v>
      </c>
      <c r="C182" s="4">
        <v>3.0</v>
      </c>
      <c r="D182" s="6">
        <v>45115.51695601852</v>
      </c>
      <c r="E182" s="7" t="str">
        <f t="shared" si="1"/>
        <v>2023-07-08</v>
      </c>
      <c r="F182" s="8" t="str">
        <f t="shared" si="2"/>
        <v> 12:24:25</v>
      </c>
      <c r="G182" s="9" t="str">
        <f t="shared" si="3"/>
        <v>Tarde</v>
      </c>
      <c r="H182" s="10" t="str">
        <f>IFERROR(__xludf.DUMMYFUNCTION("GOOGLETRANSLATE(B182, ""en"", ""pt-br"")"),"Recursos ausentes: - Selecionando o texto durante a digitação, não podemos selecionar excluir, cortar ou copiar! - Alinhamento de texto certo para o árabe .. - A barra de pesquisa é apenas para pesquisar os Threaders, não o conteúdo dos threads sobre um t"&amp;"ópico específico. Enfrentei um erro: Liguei as notificações para uma conta e depois desligou -as, ainda enviando notificações . Partido depois seguido a conta, as notificações persistem. Eu restringi a conta, mas os recebendo !!")</f>
        <v>Recursos ausentes: - Selecionando o texto durante a digitação, não podemos selecionar excluir, cortar ou copiar! - Alinhamento de texto certo para o árabe .. - A barra de pesquisa é apenas para pesquisar os Threaders, não o conteúdo dos threads sobre um tópico específico. Enfrentei um erro: Liguei as notificações para uma conta e depois desligou -as, ainda enviando notificações . Partido depois seguido a conta, as notificações persistem. Eu restringi a conta, mas os recebendo !!</v>
      </c>
      <c r="I182" s="10" t="str">
        <f>IFERROR(__xludf.DUMMYFUNCTION("TRIM(REGEXREPLACE(H182,""[^a-zA-ZÀ-ú ]+"",""""))"),"Recursos ausentes Selecionando o texto durante a digitação não podemos selecionar excluir cortar ou copiar Alinhamento de texto certo para o árabe A barra de pesquisa é apenas para pesquisar os Threaders não o conteúdo dos threads sobre um tópico específi"&amp;"co Enfrentei um erro Liguei as notificações para uma conta e depois desligou as ainda enviando notificações Partido depois seguido a conta as notificações persistem Eu restringi a conta mas os recebendo")</f>
        <v>Recursos ausentes Selecionando o texto durante a digitação não podemos selecionar excluir cortar ou copiar Alinhamento de texto certo para o árabe A barra de pesquisa é apenas para pesquisar os Threaders não o conteúdo dos threads sobre um tópico específico Enfrentei um erro Liguei as notificações para uma conta e depois desligou as ainda enviando notificações Partido depois seguido a conta as notificações persistem Eu restringi a conta mas os recebendo</v>
      </c>
      <c r="J182" s="3"/>
      <c r="K182" s="3"/>
      <c r="L182" s="3"/>
      <c r="M182" s="3"/>
      <c r="N182" s="3"/>
      <c r="O182" s="3"/>
      <c r="P182" s="3"/>
      <c r="Q182" s="3"/>
      <c r="R182" s="3"/>
      <c r="S182" s="3"/>
      <c r="T182" s="3"/>
      <c r="U182" s="3"/>
      <c r="V182" s="3"/>
      <c r="W182" s="3"/>
      <c r="X182" s="3"/>
      <c r="Y182" s="3"/>
      <c r="Z182" s="3"/>
      <c r="AA182" s="3"/>
    </row>
    <row r="183" ht="105.75" customHeight="1">
      <c r="A183" s="4" t="s">
        <v>9</v>
      </c>
      <c r="B183" s="5" t="s">
        <v>191</v>
      </c>
      <c r="C183" s="4">
        <v>1.0</v>
      </c>
      <c r="D183" s="6">
        <v>45115.54644675926</v>
      </c>
      <c r="E183" s="7" t="str">
        <f t="shared" si="1"/>
        <v>2023-07-08</v>
      </c>
      <c r="F183" s="8" t="str">
        <f t="shared" si="2"/>
        <v> 13:06:53</v>
      </c>
      <c r="G183" s="9" t="str">
        <f t="shared" si="3"/>
        <v>Tarde</v>
      </c>
      <c r="H183" s="10" t="str">
        <f>IFERROR(__xludf.DUMMYFUNCTION("GOOGLETRANSLATE(B183, ""en"", ""pt-br"")"),"Essa coisa é sem alegria. Tem as funções básicas do Insta, mas com palavras. Não há como controlar o que você vê no painel ou mesmo pedir as coisas cronologicamente. Verei uma ou duas postagens de pessoas que sigo antes que haja um fluxo interminável de p"&amp;"ensamentos de influenciadores e celebridades com os quais não sigo nem me importo. Eu tentei por um dia e não o usarei novamente, a menos que haja grandes mudanças e muito mais memes.")</f>
        <v>Essa coisa é sem alegria. Tem as funções básicas do Insta, mas com palavras. Não há como controlar o que você vê no painel ou mesmo pedir as coisas cronologicamente. Verei uma ou duas postagens de pessoas que sigo antes que haja um fluxo interminável de pensamentos de influenciadores e celebridades com os quais não sigo nem me importo. Eu tentei por um dia e não o usarei novamente, a menos que haja grandes mudanças e muito mais memes.</v>
      </c>
      <c r="I183" s="10" t="str">
        <f>IFERROR(__xludf.DUMMYFUNCTION("TRIM(REGEXREPLACE(H183,""[^a-zA-ZÀ-ú ]+"",""""))"),"Essa coisa é sem alegria Tem as funções básicas do Insta mas com palavras Não há como controlar o que você vê no painel ou mesmo pedir as coisas cronologicamente Verei uma ou duas postagens de pessoas que sigo antes que haja um fluxo interminável de pensa"&amp;"mentos de influenciadores e celebridades com os quais não sigo nem me importo Eu tentei por um dia e não o usarei novamente a menos que haja grandes mudanças e muito mais memes")</f>
        <v>Essa coisa é sem alegria Tem as funções básicas do Insta mas com palavras Não há como controlar o que você vê no painel ou mesmo pedir as coisas cronologicamente Verei uma ou duas postagens de pessoas que sigo antes que haja um fluxo interminável de pensamentos de influenciadores e celebridades com os quais não sigo nem me importo Eu tentei por um dia e não o usarei novamente a menos que haja grandes mudanças e muito mais memes</v>
      </c>
      <c r="J183" s="3"/>
      <c r="K183" s="3"/>
      <c r="L183" s="3"/>
      <c r="M183" s="3"/>
      <c r="N183" s="3"/>
      <c r="O183" s="3"/>
      <c r="P183" s="3"/>
      <c r="Q183" s="3"/>
      <c r="R183" s="3"/>
      <c r="S183" s="3"/>
      <c r="T183" s="3"/>
      <c r="U183" s="3"/>
      <c r="V183" s="3"/>
      <c r="W183" s="3"/>
      <c r="X183" s="3"/>
      <c r="Y183" s="3"/>
      <c r="Z183" s="3"/>
      <c r="AA183" s="3"/>
    </row>
    <row r="184" ht="105.75" customHeight="1">
      <c r="A184" s="4" t="s">
        <v>9</v>
      </c>
      <c r="B184" s="5" t="s">
        <v>192</v>
      </c>
      <c r="C184" s="4">
        <v>2.0</v>
      </c>
      <c r="D184" s="6">
        <v>45115.26804398148</v>
      </c>
      <c r="E184" s="7" t="str">
        <f t="shared" si="1"/>
        <v>2023-07-08</v>
      </c>
      <c r="F184" s="8" t="str">
        <f t="shared" si="2"/>
        <v> 06:25:59</v>
      </c>
      <c r="G184" s="9" t="str">
        <f t="shared" si="3"/>
        <v>Manhã</v>
      </c>
      <c r="H184" s="10" t="str">
        <f>IFERROR(__xludf.DUMMYFUNCTION("GOOGLETRANSLATE(B184, ""en"", ""pt-br"")"),"É um bom começo a ser um bom aplicativo Socmed, eu só tenho alguns problemas com ele: 1. Há apenas uma página para você, você precisa ver o que o algoritmo quer que você veja e não há como ver apenas postagens de Contas que você segue. 2. Ele poderia mais"&amp;" claro com os dados que está tomando. Simplesmente dizer ""outros dados"" ao explicar quais dados a meta leva de nós não é transparente. 3. A seção de pesquisa é uma merda, não há página de tendência, sem hashtags, e você só pode procurar contas")</f>
        <v>É um bom começo a ser um bom aplicativo Socmed, eu só tenho alguns problemas com ele: 1. Há apenas uma página para você, você precisa ver o que o algoritmo quer que você veja e não há como ver apenas postagens de Contas que você segue. 2. Ele poderia mais claro com os dados que está tomando. Simplesmente dizer "outros dados" ao explicar quais dados a meta leva de nós não é transparente. 3. A seção de pesquisa é uma merda, não há página de tendência, sem hashtags, e você só pode procurar contas</v>
      </c>
      <c r="I184" s="10" t="str">
        <f>IFERROR(__xludf.DUMMYFUNCTION("TRIM(REGEXREPLACE(H184,""[^a-zA-ZÀ-ú ]+"",""""))"),"É um bom começo a ser um bom aplicativo Socmed eu só tenho alguns problemas com ele Há apenas uma página para você você precisa ver o que o algoritmo quer que você veja e não há como ver apenas postagens de Contas que você segue Ele poderia mais claro com"&amp;" os dados que está tomando Simplesmente dizer outros dados ao explicar quais dados a meta leva de nós não é transparente A seção de pesquisa é uma merda não há página de tendência sem hashtags e você só pode procurar contas")</f>
        <v>É um bom começo a ser um bom aplicativo Socmed eu só tenho alguns problemas com ele Há apenas uma página para você você precisa ver o que o algoritmo quer que você veja e não há como ver apenas postagens de Contas que você segue Ele poderia mais claro com os dados que está tomando Simplesmente dizer outros dados ao explicar quais dados a meta leva de nós não é transparente A seção de pesquisa é uma merda não há página de tendência sem hashtags e você só pode procurar contas</v>
      </c>
      <c r="J184" s="3"/>
      <c r="K184" s="3"/>
      <c r="L184" s="3"/>
      <c r="M184" s="3"/>
      <c r="N184" s="3"/>
      <c r="O184" s="3"/>
      <c r="P184" s="3"/>
      <c r="Q184" s="3"/>
      <c r="R184" s="3"/>
      <c r="S184" s="3"/>
      <c r="T184" s="3"/>
      <c r="U184" s="3"/>
      <c r="V184" s="3"/>
      <c r="W184" s="3"/>
      <c r="X184" s="3"/>
      <c r="Y184" s="3"/>
      <c r="Z184" s="3"/>
      <c r="AA184" s="3"/>
    </row>
    <row r="185" ht="105.75" customHeight="1">
      <c r="A185" s="4" t="s">
        <v>9</v>
      </c>
      <c r="B185" s="5" t="s">
        <v>193</v>
      </c>
      <c r="C185" s="4">
        <v>1.0</v>
      </c>
      <c r="D185" s="6">
        <v>45114.517800925925</v>
      </c>
      <c r="E185" s="7" t="str">
        <f t="shared" si="1"/>
        <v>2023-07-07</v>
      </c>
      <c r="F185" s="8" t="str">
        <f t="shared" si="2"/>
        <v> 12:25:38</v>
      </c>
      <c r="G185" s="9" t="str">
        <f t="shared" si="3"/>
        <v>Tarde</v>
      </c>
      <c r="H185" s="10" t="str">
        <f>IFERROR(__xludf.DUMMYFUNCTION("GOOGLETRANSLATE(B185, ""en"", ""pt-br"")"),"Ele funciona quase exatamente como o Instagram, exceto pior na maneira como seu feed é literalmente ninguém que você segue, apenas um monte de pessoas sugeridas. Parece haver pouca ou nenhuma opção para alternar isso, que pelo menos * Ig faz. Também exist"&amp;"e um nome mais divertido e bobo para as postagens remuneradas da maneira que ""retweet"" existe? ""Reposting"" é um conceito completamente diferente. Como o clique com o botão direito do mouse no tipo Salvar + Reupload. Isso acrescentaria um pouco de pers"&amp;"onalidade, pelo menos:/")</f>
        <v>Ele funciona quase exatamente como o Instagram, exceto pior na maneira como seu feed é literalmente ninguém que você segue, apenas um monte de pessoas sugeridas. Parece haver pouca ou nenhuma opção para alternar isso, que pelo menos * Ig faz. Também existe um nome mais divertido e bobo para as postagens remuneradas da maneira que "retweet" existe? "Reposting" é um conceito completamente diferente. Como o clique com o botão direito do mouse no tipo Salvar + Reupload. Isso acrescentaria um pouco de personalidade, pelo menos:/</v>
      </c>
      <c r="I185" s="10" t="str">
        <f>IFERROR(__xludf.DUMMYFUNCTION("TRIM(REGEXREPLACE(H185,""[^a-zA-ZÀ-ú ]+"",""""))"),"Ele funciona quase exatamente como o Instagram exceto pior na maneira como seu feed é literalmente ninguém que você segue apenas um monte de pessoas sugeridas Parece haver pouca ou nenhuma opção para alternar isso que pelo menos Ig faz Também existe um no"&amp;"me mais divertido e bobo para as postagens remuneradas da maneira que retweet existe Reposting é um conceito completamente diferente Como o clique com o botão direito do mouse no tipo Salvar Reupload Isso acrescentaria um pouco de personalidade pelo menos")</f>
        <v>Ele funciona quase exatamente como o Instagram exceto pior na maneira como seu feed é literalmente ninguém que você segue apenas um monte de pessoas sugeridas Parece haver pouca ou nenhuma opção para alternar isso que pelo menos Ig faz Também existe um nome mais divertido e bobo para as postagens remuneradas da maneira que retweet existe Reposting é um conceito completamente diferente Como o clique com o botão direito do mouse no tipo Salvar Reupload Isso acrescentaria um pouco de personalidade pelo menos</v>
      </c>
      <c r="J185" s="3"/>
      <c r="K185" s="3"/>
      <c r="L185" s="3"/>
      <c r="M185" s="3"/>
      <c r="N185" s="3"/>
      <c r="O185" s="3"/>
      <c r="P185" s="3"/>
      <c r="Q185" s="3"/>
      <c r="R185" s="3"/>
      <c r="S185" s="3"/>
      <c r="T185" s="3"/>
      <c r="U185" s="3"/>
      <c r="V185" s="3"/>
      <c r="W185" s="3"/>
      <c r="X185" s="3"/>
      <c r="Y185" s="3"/>
      <c r="Z185" s="3"/>
      <c r="AA185" s="3"/>
    </row>
    <row r="186" ht="105.75" customHeight="1">
      <c r="A186" s="4" t="s">
        <v>9</v>
      </c>
      <c r="B186" s="5" t="s">
        <v>194</v>
      </c>
      <c r="C186" s="4">
        <v>5.0</v>
      </c>
      <c r="D186" s="6">
        <v>45120.22657407408</v>
      </c>
      <c r="E186" s="7" t="str">
        <f t="shared" si="1"/>
        <v>2023-07-13</v>
      </c>
      <c r="F186" s="8" t="str">
        <f t="shared" si="2"/>
        <v> 05:26:16</v>
      </c>
      <c r="G186" s="9" t="str">
        <f t="shared" si="3"/>
        <v>Manhã</v>
      </c>
      <c r="H186" s="10" t="str">
        <f>IFERROR(__xludf.DUMMYFUNCTION("GOOGLETRANSLATE(B186, ""en"", ""pt-br"")"),"Atualização: o aplicativo funciona perfeitamente bem desde a atualização. Revisão original: o aplicativo funciona bem, mas não posso conferir a lista seguinte da minha conta, bem como outras contas a seguir listas para seguir as contas que reconheço de ou"&amp;"tras plataformas (o mesmo erro de lista a seguir tem acontecido no Instagram, também). Espero que este erro/falha seja abordado em breve em uma futura atualização do aplicativo.")</f>
        <v>Atualização: o aplicativo funciona perfeitamente bem desde a atualização. Revisão original: o aplicativo funciona bem, mas não posso conferir a lista seguinte da minha conta, bem como outras contas a seguir listas para seguir as contas que reconheço de outras plataformas (o mesmo erro de lista a seguir tem acontecido no Instagram, também). Espero que este erro/falha seja abordado em breve em uma futura atualização do aplicativo.</v>
      </c>
      <c r="I186" s="10" t="str">
        <f>IFERROR(__xludf.DUMMYFUNCTION("TRIM(REGEXREPLACE(H186,""[^a-zA-ZÀ-ú ]+"",""""))"),"Atualização o aplicativo funciona perfeitamente bem desde a atualização Revisão original o aplicativo funciona bem mas não posso conferir a lista seguinte da minha conta bem como outras contas a seguir listas para seguir as contas que reconheço de outras "&amp;"plataformas o mesmo erro de lista a seguir tem acontecido no Instagram também Espero que este errofalha seja abordado em breve em uma futura atualização do aplicativo")</f>
        <v>Atualização o aplicativo funciona perfeitamente bem desde a atualização Revisão original o aplicativo funciona bem mas não posso conferir a lista seguinte da minha conta bem como outras contas a seguir listas para seguir as contas que reconheço de outras plataformas o mesmo erro de lista a seguir tem acontecido no Instagram também Espero que este errofalha seja abordado em breve em uma futura atualização do aplicativo</v>
      </c>
      <c r="J186" s="3"/>
      <c r="K186" s="3"/>
      <c r="L186" s="3"/>
      <c r="M186" s="3"/>
      <c r="N186" s="3"/>
      <c r="O186" s="3"/>
      <c r="P186" s="3"/>
      <c r="Q186" s="3"/>
      <c r="R186" s="3"/>
      <c r="S186" s="3"/>
      <c r="T186" s="3"/>
      <c r="U186" s="3"/>
      <c r="V186" s="3"/>
      <c r="W186" s="3"/>
      <c r="X186" s="3"/>
      <c r="Y186" s="3"/>
      <c r="Z186" s="3"/>
      <c r="AA186" s="3"/>
    </row>
    <row r="187" ht="105.75" customHeight="1">
      <c r="A187" s="4" t="s">
        <v>9</v>
      </c>
      <c r="B187" s="5" t="s">
        <v>195</v>
      </c>
      <c r="C187" s="4">
        <v>1.0</v>
      </c>
      <c r="D187" s="6">
        <v>45122.75524305556</v>
      </c>
      <c r="E187" s="7" t="str">
        <f t="shared" si="1"/>
        <v>2023-07-15</v>
      </c>
      <c r="F187" s="8" t="str">
        <f t="shared" si="2"/>
        <v> 18:07:33</v>
      </c>
      <c r="G187" s="9" t="str">
        <f t="shared" si="3"/>
        <v>Noite</v>
      </c>
      <c r="H187" s="10" t="str">
        <f>IFERROR(__xludf.DUMMYFUNCTION("GOOGLETRANSLATE(B187, ""en"", ""pt-br"")"),"Não funciona. Não consigo verificar as notificações nem meu perfil (""Desculpe, algo deu errado."" Erro). Também não posso postar nada (""Seu thread não foi enviado."" Erro). Além disso, os threads no feed são exibidos aleatoriamente, os threads de pessoa"&amp;"s que eu sigo são quase impossíveis de identificar entre conteúdo tão spam e não relacionado.")</f>
        <v>Não funciona. Não consigo verificar as notificações nem meu perfil ("Desculpe, algo deu errado." Erro). Também não posso postar nada ("Seu thread não foi enviado." Erro). Além disso, os threads no feed são exibidos aleatoriamente, os threads de pessoas que eu sigo são quase impossíveis de identificar entre conteúdo tão spam e não relacionado.</v>
      </c>
      <c r="I187" s="10" t="str">
        <f>IFERROR(__xludf.DUMMYFUNCTION("TRIM(REGEXREPLACE(H187,""[^a-zA-ZÀ-ú ]+"",""""))"),"Não funciona Não consigo verificar as notificações nem meu perfil Desculpe algo deu errado Erro Também não posso postar nada Seu thread não foi enviado Erro Além disso os threads no feed são exibidos aleatoriamente os threads de pessoas que eu sigo são qu"&amp;"ase impossíveis de identificar entre conteúdo tão spam e não relacionado")</f>
        <v>Não funciona Não consigo verificar as notificações nem meu perfil Desculpe algo deu errado Erro Também não posso postar nada Seu thread não foi enviado Erro Além disso os threads no feed são exibidos aleatoriamente os threads de pessoas que eu sigo são quase impossíveis de identificar entre conteúdo tão spam e não relacionado</v>
      </c>
      <c r="J187" s="3"/>
      <c r="K187" s="3"/>
      <c r="L187" s="3"/>
      <c r="M187" s="3"/>
      <c r="N187" s="3"/>
      <c r="O187" s="3"/>
      <c r="P187" s="3"/>
      <c r="Q187" s="3"/>
      <c r="R187" s="3"/>
      <c r="S187" s="3"/>
      <c r="T187" s="3"/>
      <c r="U187" s="3"/>
      <c r="V187" s="3"/>
      <c r="W187" s="3"/>
      <c r="X187" s="3"/>
      <c r="Y187" s="3"/>
      <c r="Z187" s="3"/>
      <c r="AA187" s="3"/>
    </row>
    <row r="188" ht="105.75" customHeight="1">
      <c r="A188" s="4" t="s">
        <v>9</v>
      </c>
      <c r="B188" s="5" t="s">
        <v>196</v>
      </c>
      <c r="C188" s="4">
        <v>3.0</v>
      </c>
      <c r="D188" s="6">
        <v>45113.735289351855</v>
      </c>
      <c r="E188" s="7" t="str">
        <f t="shared" si="1"/>
        <v>2023-07-06</v>
      </c>
      <c r="F188" s="8" t="str">
        <f t="shared" si="2"/>
        <v> 17:38:49</v>
      </c>
      <c r="G188" s="9" t="str">
        <f t="shared" si="3"/>
        <v>Tarde</v>
      </c>
      <c r="H188" s="10" t="str">
        <f>IFERROR(__xludf.DUMMYFUNCTION("GOOGLETRANSLATE(B188, ""en"", ""pt-br"")"),"É um bom começo na competição pelo Twitter, mas é necessário mais trabalho. Não posso procurar postagens específicas, sugestões para quem seguir não é algo que eu vi e, finalmente, deve haver uma versão da web mais cedo ou mais tarde. Para a maioria de nó"&amp;"s procurando uma substituição do Twitter, é muito mais rápido replicar uma lista de seguidores em um teclado completo que está no celular.")</f>
        <v>É um bom começo na competição pelo Twitter, mas é necessário mais trabalho. Não posso procurar postagens específicas, sugestões para quem seguir não é algo que eu vi e, finalmente, deve haver uma versão da web mais cedo ou mais tarde. Para a maioria de nós procurando uma substituição do Twitter, é muito mais rápido replicar uma lista de seguidores em um teclado completo que está no celular.</v>
      </c>
      <c r="I188" s="10" t="str">
        <f>IFERROR(__xludf.DUMMYFUNCTION("TRIM(REGEXREPLACE(H188,""[^a-zA-ZÀ-ú ]+"",""""))"),"É um bom começo na competição pelo Twitter mas é necessário mais trabalho Não posso procurar postagens específicas sugestões para quem seguir não é algo que eu vi e finalmente deve haver uma versão da web mais cedo ou mais tarde Para a maioria de nós proc"&amp;"urando uma substituição do Twitter é muito mais rápido replicar uma lista de seguidores em um teclado completo que está no celular")</f>
        <v>É um bom começo na competição pelo Twitter mas é necessário mais trabalho Não posso procurar postagens específicas sugestões para quem seguir não é algo que eu vi e finalmente deve haver uma versão da web mais cedo ou mais tarde Para a maioria de nós procurando uma substituição do Twitter é muito mais rápido replicar uma lista de seguidores em um teclado completo que está no celular</v>
      </c>
      <c r="J188" s="3"/>
      <c r="K188" s="3"/>
      <c r="L188" s="3"/>
      <c r="M188" s="3"/>
      <c r="N188" s="3"/>
      <c r="O188" s="3"/>
      <c r="P188" s="3"/>
      <c r="Q188" s="3"/>
      <c r="R188" s="3"/>
      <c r="S188" s="3"/>
      <c r="T188" s="3"/>
      <c r="U188" s="3"/>
      <c r="V188" s="3"/>
      <c r="W188" s="3"/>
      <c r="X188" s="3"/>
      <c r="Y188" s="3"/>
      <c r="Z188" s="3"/>
      <c r="AA188" s="3"/>
    </row>
    <row r="189" ht="105.75" customHeight="1">
      <c r="A189" s="4" t="s">
        <v>9</v>
      </c>
      <c r="B189" s="5" t="s">
        <v>197</v>
      </c>
      <c r="C189" s="4">
        <v>1.0</v>
      </c>
      <c r="D189" s="6">
        <v>45126.543333333335</v>
      </c>
      <c r="E189" s="7" t="str">
        <f t="shared" si="1"/>
        <v>2023-07-19</v>
      </c>
      <c r="F189" s="8" t="str">
        <f t="shared" si="2"/>
        <v> 13:02:24</v>
      </c>
      <c r="G189" s="9" t="str">
        <f t="shared" si="3"/>
        <v>Tarde</v>
      </c>
      <c r="H189" s="10" t="str">
        <f>IFERROR(__xludf.DUMMYFUNCTION("GOOGLETRANSLATE(B189, ""en"", ""pt-br"")"),"Estou enfrentando um problema com este aplicativo. Sempre que estou tentando responder ou citar um vídeo, o aplicativo é desligado sozinho e esse vídeo desaparece. Está acontecendo desde o primeiro dia em que eu havia baixado tópicos. Por favor, corrija e"&amp;"sse problema. Obrigado.")</f>
        <v>Estou enfrentando um problema com este aplicativo. Sempre que estou tentando responder ou citar um vídeo, o aplicativo é desligado sozinho e esse vídeo desaparece. Está acontecendo desde o primeiro dia em que eu havia baixado tópicos. Por favor, corrija esse problema. Obrigado.</v>
      </c>
      <c r="I189" s="10" t="str">
        <f>IFERROR(__xludf.DUMMYFUNCTION("TRIM(REGEXREPLACE(H189,""[^a-zA-ZÀ-ú ]+"",""""))"),"Estou enfrentando um problema com este aplicativo Sempre que estou tentando responder ou citar um vídeo o aplicativo é desligado sozinho e esse vídeo desaparece Está acontecendo desde o primeiro dia em que eu havia baixado tópicos Por favor corrija esse p"&amp;"roblema Obrigado")</f>
        <v>Estou enfrentando um problema com este aplicativo Sempre que estou tentando responder ou citar um vídeo o aplicativo é desligado sozinho e esse vídeo desaparece Está acontecendo desde o primeiro dia em que eu havia baixado tópicos Por favor corrija esse problema Obrigado</v>
      </c>
      <c r="J189" s="3"/>
      <c r="K189" s="3"/>
      <c r="L189" s="3"/>
      <c r="M189" s="3"/>
      <c r="N189" s="3"/>
      <c r="O189" s="3"/>
      <c r="P189" s="3"/>
      <c r="Q189" s="3"/>
      <c r="R189" s="3"/>
      <c r="S189" s="3"/>
      <c r="T189" s="3"/>
      <c r="U189" s="3"/>
      <c r="V189" s="3"/>
      <c r="W189" s="3"/>
      <c r="X189" s="3"/>
      <c r="Y189" s="3"/>
      <c r="Z189" s="3"/>
      <c r="AA189" s="3"/>
    </row>
    <row r="190" ht="105.75" customHeight="1">
      <c r="A190" s="4" t="s">
        <v>9</v>
      </c>
      <c r="B190" s="5" t="s">
        <v>198</v>
      </c>
      <c r="C190" s="4">
        <v>3.0</v>
      </c>
      <c r="D190" s="6">
        <v>45114.37758101852</v>
      </c>
      <c r="E190" s="7" t="str">
        <f t="shared" si="1"/>
        <v>2023-07-07</v>
      </c>
      <c r="F190" s="8" t="str">
        <f t="shared" si="2"/>
        <v> 09:03:43</v>
      </c>
      <c r="G190" s="9" t="str">
        <f t="shared" si="3"/>
        <v>Manhã</v>
      </c>
      <c r="H190" s="10" t="str">
        <f>IFERROR(__xludf.DUMMYFUNCTION("GOOGLETRANSLATE(B190, ""en"", ""pt-br"")"),"O consumo de mídia é medíocre, a configuração de áudio padrão para vídeos é silenciada. Você deve clicar no ícone mudo minúsculo para ativá -lo, em vez de apenas pressionar o botão de volume. Você poderia consertar isso e torná -lo como os controles do In"&amp;"stagram? Cada vídeo em que eu toco, acabo pulando até o final, porque a caixa de hit no botão Mudo/ativação é tão pequena.")</f>
        <v>O consumo de mídia é medíocre, a configuração de áudio padrão para vídeos é silenciada. Você deve clicar no ícone mudo minúsculo para ativá -lo, em vez de apenas pressionar o botão de volume. Você poderia consertar isso e torná -lo como os controles do Instagram? Cada vídeo em que eu toco, acabo pulando até o final, porque a caixa de hit no botão Mudo/ativação é tão pequena.</v>
      </c>
      <c r="I190" s="10" t="str">
        <f>IFERROR(__xludf.DUMMYFUNCTION("TRIM(REGEXREPLACE(H190,""[^a-zA-ZÀ-ú ]+"",""""))"),"O consumo de mídia é medíocre a configuração de áudio padrão para vídeos é silenciada Você deve clicar no ícone mudo minúsculo para ativá lo em vez de apenas pressionar o botão de volume Você poderia consertar isso e torná lo como os controles do Instagra"&amp;"m Cada vídeo em que eu toco acabo pulando até o final porque a caixa de hit no botão Mudoativação é tão pequena")</f>
        <v>O consumo de mídia é medíocre a configuração de áudio padrão para vídeos é silenciada Você deve clicar no ícone mudo minúsculo para ativá lo em vez de apenas pressionar o botão de volume Você poderia consertar isso e torná lo como os controles do Instagram Cada vídeo em que eu toco acabo pulando até o final porque a caixa de hit no botão Mudoativação é tão pequena</v>
      </c>
      <c r="J190" s="3"/>
      <c r="K190" s="3"/>
      <c r="L190" s="3"/>
      <c r="M190" s="3"/>
      <c r="N190" s="3"/>
      <c r="O190" s="3"/>
      <c r="P190" s="3"/>
      <c r="Q190" s="3"/>
      <c r="R190" s="3"/>
      <c r="S190" s="3"/>
      <c r="T190" s="3"/>
      <c r="U190" s="3"/>
      <c r="V190" s="3"/>
      <c r="W190" s="3"/>
      <c r="X190" s="3"/>
      <c r="Y190" s="3"/>
      <c r="Z190" s="3"/>
      <c r="AA190" s="3"/>
    </row>
    <row r="191" ht="105.75" customHeight="1">
      <c r="A191" s="4" t="s">
        <v>9</v>
      </c>
      <c r="B191" s="5" t="s">
        <v>199</v>
      </c>
      <c r="C191" s="4">
        <v>1.0</v>
      </c>
      <c r="D191" s="6">
        <v>45116.72888888889</v>
      </c>
      <c r="E191" s="7" t="str">
        <f t="shared" si="1"/>
        <v>2023-07-09</v>
      </c>
      <c r="F191" s="8" t="str">
        <f t="shared" si="2"/>
        <v> 17:29:36</v>
      </c>
      <c r="G191" s="9" t="str">
        <f t="shared" si="3"/>
        <v>Tarde</v>
      </c>
      <c r="H191" s="10" t="str">
        <f>IFERROR(__xludf.DUMMYFUNCTION("GOOGLETRANSLATE(B191, ""en"", ""pt-br"")"),"Não faz sentido seguir os perfis de usuário, porque seu conteúdo não pode ser visto na minha página inicial. Em vez disso, minha página inicial está se afogando em um oceano de conteúdo lixo que o aplicativo decidiu que eu deveria querer ver, mas que não "&amp;"me importo. Não consigo nem encontrar tópicos usando a barra de pesquisa, apenas perfis. E seguir um perfil é quase inútil de qualquer maneira, porque o conteúdo deles não está em lugar algum na minha tela inicial")</f>
        <v>Não faz sentido seguir os perfis de usuário, porque seu conteúdo não pode ser visto na minha página inicial. Em vez disso, minha página inicial está se afogando em um oceano de conteúdo lixo que o aplicativo decidiu que eu deveria querer ver, mas que não me importo. Não consigo nem encontrar tópicos usando a barra de pesquisa, apenas perfis. E seguir um perfil é quase inútil de qualquer maneira, porque o conteúdo deles não está em lugar algum na minha tela inicial</v>
      </c>
      <c r="I191" s="10" t="str">
        <f>IFERROR(__xludf.DUMMYFUNCTION("TRIM(REGEXREPLACE(H191,""[^a-zA-ZÀ-ú ]+"",""""))"),"Não faz sentido seguir os perfis de usuário porque seu conteúdo não pode ser visto na minha página inicial Em vez disso minha página inicial está se afogando em um oceano de conteúdo lixo que o aplicativo decidiu que eu deveria querer ver mas que não me i"&amp;"mporto Não consigo nem encontrar tópicos usando a barra de pesquisa apenas perfis E seguir um perfil é quase inútil de qualquer maneira porque o conteúdo deles não está em lugar algum na minha tela inicial")</f>
        <v>Não faz sentido seguir os perfis de usuário porque seu conteúdo não pode ser visto na minha página inicial Em vez disso minha página inicial está se afogando em um oceano de conteúdo lixo que o aplicativo decidiu que eu deveria querer ver mas que não me importo Não consigo nem encontrar tópicos usando a barra de pesquisa apenas perfis E seguir um perfil é quase inútil de qualquer maneira porque o conteúdo deles não está em lugar algum na minha tela inicial</v>
      </c>
      <c r="J191" s="3"/>
      <c r="K191" s="3"/>
      <c r="L191" s="3"/>
      <c r="M191" s="3"/>
      <c r="N191" s="3"/>
      <c r="O191" s="3"/>
      <c r="P191" s="3"/>
      <c r="Q191" s="3"/>
      <c r="R191" s="3"/>
      <c r="S191" s="3"/>
      <c r="T191" s="3"/>
      <c r="U191" s="3"/>
      <c r="V191" s="3"/>
      <c r="W191" s="3"/>
      <c r="X191" s="3"/>
      <c r="Y191" s="3"/>
      <c r="Z191" s="3"/>
      <c r="AA191" s="3"/>
    </row>
    <row r="192" ht="105.75" customHeight="1">
      <c r="A192" s="4" t="s">
        <v>9</v>
      </c>
      <c r="B192" s="5" t="s">
        <v>200</v>
      </c>
      <c r="C192" s="4">
        <v>2.0</v>
      </c>
      <c r="D192" s="6">
        <v>45114.966527777775</v>
      </c>
      <c r="E192" s="7" t="str">
        <f t="shared" si="1"/>
        <v>2023-07-07</v>
      </c>
      <c r="F192" s="8" t="str">
        <f t="shared" si="2"/>
        <v> 23:11:48</v>
      </c>
      <c r="G192" s="9" t="str">
        <f t="shared" si="3"/>
        <v>Noite</v>
      </c>
      <c r="H192" s="10" t="str">
        <f>IFERROR(__xludf.DUMMYFUNCTION("GOOGLETRANSLATE(B192, ""en"", ""pt-br"")"),"Este aplicativo definitivamente tem potencial, mas tenho um problema gigante. Ele falha insanamente onde, se eu rolar, o texto e as fotos são arrastados junto com ele. Não sei como explicar, mas publiquei uma captura de tela da minha experiência com ela e"&amp;"m Dammit.bekah, embora eu ache que seja apenas um problema de mim.")</f>
        <v>Este aplicativo definitivamente tem potencial, mas tenho um problema gigante. Ele falha insanamente onde, se eu rolar, o texto e as fotos são arrastados junto com ele. Não sei como explicar, mas publiquei uma captura de tela da minha experiência com ela em Dammit.bekah, embora eu ache que seja apenas um problema de mim.</v>
      </c>
      <c r="I192" s="10" t="str">
        <f>IFERROR(__xludf.DUMMYFUNCTION("TRIM(REGEXREPLACE(H192,""[^a-zA-ZÀ-ú ]+"",""""))"),"Este aplicativo definitivamente tem potencial mas tenho um problema gigante Ele falha insanamente onde se eu rolar o texto e as fotos são arrastados junto com ele Não sei como explicar mas publiquei uma captura de tela da minha experiência com ela em Damm"&amp;"itbekah embora eu ache que seja apenas um problema de mim")</f>
        <v>Este aplicativo definitivamente tem potencial mas tenho um problema gigante Ele falha insanamente onde se eu rolar o texto e as fotos são arrastados junto com ele Não sei como explicar mas publiquei uma captura de tela da minha experiência com ela em Dammitbekah embora eu ache que seja apenas um problema de mim</v>
      </c>
      <c r="J192" s="3"/>
      <c r="K192" s="3"/>
      <c r="L192" s="3"/>
      <c r="M192" s="3"/>
      <c r="N192" s="3"/>
      <c r="O192" s="3"/>
      <c r="P192" s="3"/>
      <c r="Q192" s="3"/>
      <c r="R192" s="3"/>
      <c r="S192" s="3"/>
      <c r="T192" s="3"/>
      <c r="U192" s="3"/>
      <c r="V192" s="3"/>
      <c r="W192" s="3"/>
      <c r="X192" s="3"/>
      <c r="Y192" s="3"/>
      <c r="Z192" s="3"/>
      <c r="AA192" s="3"/>
    </row>
    <row r="193" ht="105.75" customHeight="1">
      <c r="A193" s="4" t="s">
        <v>9</v>
      </c>
      <c r="B193" s="5" t="s">
        <v>201</v>
      </c>
      <c r="C193" s="4">
        <v>1.0</v>
      </c>
      <c r="D193" s="6">
        <v>45116.54696759259</v>
      </c>
      <c r="E193" s="7" t="str">
        <f t="shared" si="1"/>
        <v>2023-07-09</v>
      </c>
      <c r="F193" s="8" t="str">
        <f t="shared" si="2"/>
        <v> 13:07:38</v>
      </c>
      <c r="G193" s="9" t="str">
        <f t="shared" si="3"/>
        <v>Tarde</v>
      </c>
      <c r="H193" s="10" t="str">
        <f>IFERROR(__xludf.DUMMYFUNCTION("GOOGLETRANSLATE(B193, ""en"", ""pt-br"")"),"O aplicativo é muito confuso, há um efeito estranho em que vejo todas as postagens como uma pós -imagem, manchadas na tela. Estou ansioso para ver como é o aplicativo, depois que o problema é resolvido")</f>
        <v>O aplicativo é muito confuso, há um efeito estranho em que vejo todas as postagens como uma pós -imagem, manchadas na tela. Estou ansioso para ver como é o aplicativo, depois que o problema é resolvido</v>
      </c>
      <c r="I193" s="10" t="str">
        <f>IFERROR(__xludf.DUMMYFUNCTION("TRIM(REGEXREPLACE(H193,""[^a-zA-ZÀ-ú ]+"",""""))"),"O aplicativo é muito confuso há um efeito estranho em que vejo todas as postagens como uma pós imagem manchadas na tela Estou ansioso para ver como é o aplicativo depois que o problema é resolvido")</f>
        <v>O aplicativo é muito confuso há um efeito estranho em que vejo todas as postagens como uma pós imagem manchadas na tela Estou ansioso para ver como é o aplicativo depois que o problema é resolvido</v>
      </c>
      <c r="J193" s="3"/>
      <c r="K193" s="3"/>
      <c r="L193" s="3"/>
      <c r="M193" s="3"/>
      <c r="N193" s="3"/>
      <c r="O193" s="3"/>
      <c r="P193" s="3"/>
      <c r="Q193" s="3"/>
      <c r="R193" s="3"/>
      <c r="S193" s="3"/>
      <c r="T193" s="3"/>
      <c r="U193" s="3"/>
      <c r="V193" s="3"/>
      <c r="W193" s="3"/>
      <c r="X193" s="3"/>
      <c r="Y193" s="3"/>
      <c r="Z193" s="3"/>
      <c r="AA193" s="3"/>
    </row>
    <row r="194" ht="105.75" customHeight="1">
      <c r="A194" s="4" t="s">
        <v>9</v>
      </c>
      <c r="B194" s="5" t="s">
        <v>202</v>
      </c>
      <c r="C194" s="4">
        <v>2.0</v>
      </c>
      <c r="D194" s="6">
        <v>45115.93335648148</v>
      </c>
      <c r="E194" s="7" t="str">
        <f t="shared" si="1"/>
        <v>2023-07-08</v>
      </c>
      <c r="F194" s="8" t="str">
        <f t="shared" si="2"/>
        <v> 22:24:02</v>
      </c>
      <c r="G194" s="9" t="str">
        <f t="shared" si="3"/>
        <v>Noite</v>
      </c>
      <c r="H194" s="10" t="str">
        <f>IFERROR(__xludf.DUMMYFUNCTION("GOOGLETRANSLATE(B194, ""en"", ""pt-br"")"),"Surpreendentemente, este aplicativo é muito parecido com o Twitter, menos muitas coisas negativas. Mas é limpo você. Eu realmente te mostro quão pouco há para fazer em qualquer plataforma. Você não pode enviar uma mensagem direta a ninguém, é difícil ver "&amp;"o que meus amigos estão realmente dizendo. Todo o meu feed é um monte de pessoas que nunca conheci, não sigo, e ninguém está repositando que eu sigo. No geral, uma experiência sólida em comparação com o Twitter, mas de alguma forma esse aplicativo faz voc"&amp;"ê perceber o quão chato é.")</f>
        <v>Surpreendentemente, este aplicativo é muito parecido com o Twitter, menos muitas coisas negativas. Mas é limpo você. Eu realmente te mostro quão pouco há para fazer em qualquer plataforma. Você não pode enviar uma mensagem direta a ninguém, é difícil ver o que meus amigos estão realmente dizendo. Todo o meu feed é um monte de pessoas que nunca conheci, não sigo, e ninguém está repositando que eu sigo. No geral, uma experiência sólida em comparação com o Twitter, mas de alguma forma esse aplicativo faz você perceber o quão chato é.</v>
      </c>
      <c r="I194" s="10" t="str">
        <f>IFERROR(__xludf.DUMMYFUNCTION("TRIM(REGEXREPLACE(H194,""[^a-zA-ZÀ-ú ]+"",""""))"),"Surpreendentemente este aplicativo é muito parecido com o Twitter menos muitas coisas negativas Mas é limpo você Eu realmente te mostro quão pouco há para fazer em qualquer plataforma Você não pode enviar uma mensagem direta a ninguém é difícil ver o que "&amp;"meus amigos estão realmente dizendo Todo o meu feed é um monte de pessoas que nunca conheci não sigo e ninguém está repositando que eu sigo No geral uma experiência sólida em comparação com o Twitter mas de alguma forma esse aplicativo faz você perceber o"&amp;" quão chato é")</f>
        <v>Surpreendentemente este aplicativo é muito parecido com o Twitter menos muitas coisas negativas Mas é limpo você Eu realmente te mostro quão pouco há para fazer em qualquer plataforma Você não pode enviar uma mensagem direta a ninguém é difícil ver o que meus amigos estão realmente dizendo Todo o meu feed é um monte de pessoas que nunca conheci não sigo e ninguém está repositando que eu sigo No geral uma experiência sólida em comparação com o Twitter mas de alguma forma esse aplicativo faz você perceber o quão chato é</v>
      </c>
      <c r="J194" s="3"/>
      <c r="K194" s="3"/>
      <c r="L194" s="3"/>
      <c r="M194" s="3"/>
      <c r="N194" s="3"/>
      <c r="O194" s="3"/>
      <c r="P194" s="3"/>
      <c r="Q194" s="3"/>
      <c r="R194" s="3"/>
      <c r="S194" s="3"/>
      <c r="T194" s="3"/>
      <c r="U194" s="3"/>
      <c r="V194" s="3"/>
      <c r="W194" s="3"/>
      <c r="X194" s="3"/>
      <c r="Y194" s="3"/>
      <c r="Z194" s="3"/>
      <c r="AA194" s="3"/>
    </row>
    <row r="195" ht="105.75" customHeight="1">
      <c r="A195" s="4" t="s">
        <v>9</v>
      </c>
      <c r="B195" s="5" t="s">
        <v>203</v>
      </c>
      <c r="C195" s="4">
        <v>3.0</v>
      </c>
      <c r="D195" s="6">
        <v>45118.97384259259</v>
      </c>
      <c r="E195" s="7" t="str">
        <f t="shared" si="1"/>
        <v>2023-07-11</v>
      </c>
      <c r="F195" s="8" t="str">
        <f t="shared" si="2"/>
        <v> 23:22:20</v>
      </c>
      <c r="G195" s="9" t="str">
        <f t="shared" si="3"/>
        <v>Noite</v>
      </c>
      <c r="H195" s="10" t="str">
        <f>IFERROR(__xludf.DUMMYFUNCTION("GOOGLETRANSLATE(B195, ""en"", ""pt-br"")"),"O aplicativo, eu acho, é legal. Ainda precisa de trabalho. Desejo que, quando você estiver prestes a postar uma foto, houve uma maneira de escolher o álbum da galeria para entrar. É irritante ter que rolar todas as minhas fotos para encontrar o que eu pre"&amp;"ciso.")</f>
        <v>O aplicativo, eu acho, é legal. Ainda precisa de trabalho. Desejo que, quando você estiver prestes a postar uma foto, houve uma maneira de escolher o álbum da galeria para entrar. É irritante ter que rolar todas as minhas fotos para encontrar o que eu preciso.</v>
      </c>
      <c r="I195" s="10" t="str">
        <f>IFERROR(__xludf.DUMMYFUNCTION("TRIM(REGEXREPLACE(H195,""[^a-zA-ZÀ-ú ]+"",""""))"),"O aplicativo eu acho é legal Ainda precisa de trabalho Desejo que quando você estiver prestes a postar uma foto houve uma maneira de escolher o álbum da galeria para entrar É irritante ter que rolar todas as minhas fotos para encontrar o que eu preciso")</f>
        <v>O aplicativo eu acho é legal Ainda precisa de trabalho Desejo que quando você estiver prestes a postar uma foto houve uma maneira de escolher o álbum da galeria para entrar É irritante ter que rolar todas as minhas fotos para encontrar o que eu preciso</v>
      </c>
      <c r="J195" s="3"/>
      <c r="K195" s="3"/>
      <c r="L195" s="3"/>
      <c r="M195" s="3"/>
      <c r="N195" s="3"/>
      <c r="O195" s="3"/>
      <c r="P195" s="3"/>
      <c r="Q195" s="3"/>
      <c r="R195" s="3"/>
      <c r="S195" s="3"/>
      <c r="T195" s="3"/>
      <c r="U195" s="3"/>
      <c r="V195" s="3"/>
      <c r="W195" s="3"/>
      <c r="X195" s="3"/>
      <c r="Y195" s="3"/>
      <c r="Z195" s="3"/>
      <c r="AA195" s="3"/>
    </row>
    <row r="196" ht="105.75" customHeight="1">
      <c r="A196" s="4" t="s">
        <v>9</v>
      </c>
      <c r="B196" s="5" t="s">
        <v>204</v>
      </c>
      <c r="C196" s="4">
        <v>3.0</v>
      </c>
      <c r="D196" s="6">
        <v>45114.07890046296</v>
      </c>
      <c r="E196" s="7" t="str">
        <f t="shared" si="1"/>
        <v>2023-07-07</v>
      </c>
      <c r="F196" s="8" t="str">
        <f t="shared" si="2"/>
        <v> 01:53:37</v>
      </c>
      <c r="G196" s="9" t="str">
        <f t="shared" si="3"/>
        <v>Manhã</v>
      </c>
      <c r="H196" s="10" t="str">
        <f>IFERROR(__xludf.DUMMYFUNCTION("GOOGLETRANSLATE(B196, ""en"", ""pt-br"")"),"Muito bom até agora. Eu só tenho alguns pequenos problemas. Primeiro: as notificações push para perfis individuais não parecem estar funcionando no momento. Liguei o Push Notifs para várias contas, já vi que eles publicaram várias vezes agora e nunca rece"&amp;"bi uma notificação para nenhuma dessas postagens. Segundo: eu não gosto que o feed mostre tantas pessoas que eu não sigo")</f>
        <v>Muito bom até agora. Eu só tenho alguns pequenos problemas. Primeiro: as notificações push para perfis individuais não parecem estar funcionando no momento. Liguei o Push Notifs para várias contas, já vi que eles publicaram várias vezes agora e nunca recebi uma notificação para nenhuma dessas postagens. Segundo: eu não gosto que o feed mostre tantas pessoas que eu não sigo</v>
      </c>
      <c r="I196" s="10" t="str">
        <f>IFERROR(__xludf.DUMMYFUNCTION("TRIM(REGEXREPLACE(H196,""[^a-zA-ZÀ-ú ]+"",""""))"),"Muito bom até agora Eu só tenho alguns pequenos problemas Primeiro as notificações push para perfis individuais não parecem estar funcionando no momento Liguei o Push Notifs para várias contas já vi que eles publicaram várias vezes agora e nunca recebi um"&amp;"a notificação para nenhuma dessas postagens Segundo eu não gosto que o feed mostre tantas pessoas que eu não sigo")</f>
        <v>Muito bom até agora Eu só tenho alguns pequenos problemas Primeiro as notificações push para perfis individuais não parecem estar funcionando no momento Liguei o Push Notifs para várias contas já vi que eles publicaram várias vezes agora e nunca recebi uma notificação para nenhuma dessas postagens Segundo eu não gosto que o feed mostre tantas pessoas que eu não sigo</v>
      </c>
      <c r="J196" s="3"/>
      <c r="K196" s="3"/>
      <c r="L196" s="3"/>
      <c r="M196" s="3"/>
      <c r="N196" s="3"/>
      <c r="O196" s="3"/>
      <c r="P196" s="3"/>
      <c r="Q196" s="3"/>
      <c r="R196" s="3"/>
      <c r="S196" s="3"/>
      <c r="T196" s="3"/>
      <c r="U196" s="3"/>
      <c r="V196" s="3"/>
      <c r="W196" s="3"/>
      <c r="X196" s="3"/>
      <c r="Y196" s="3"/>
      <c r="Z196" s="3"/>
      <c r="AA196" s="3"/>
    </row>
    <row r="197" ht="105.75" customHeight="1">
      <c r="A197" s="4" t="s">
        <v>9</v>
      </c>
      <c r="B197" s="5" t="s">
        <v>205</v>
      </c>
      <c r="C197" s="4">
        <v>3.0</v>
      </c>
      <c r="D197" s="6">
        <v>45122.130381944444</v>
      </c>
      <c r="E197" s="7" t="str">
        <f t="shared" si="1"/>
        <v>2023-07-15</v>
      </c>
      <c r="F197" s="8" t="str">
        <f t="shared" si="2"/>
        <v> 03:07:45</v>
      </c>
      <c r="G197" s="9" t="str">
        <f t="shared" si="3"/>
        <v>Manhã</v>
      </c>
      <c r="H197" s="10" t="str">
        <f>IFERROR(__xludf.DUMMYFUNCTION("GOOGLETRANSLATE(B197, ""en"", ""pt-br"")"),"É muito falha, não vai mentir. Vou desinstalá -lo por enquanto, porque continua dizendo ""Desculpe, algo deu errado. Tente novamente mais tarde"" Não importa o que eu fiz usando espaço de armazenamento para cima. Eu gosto da ideia, porém, é muito cedo. Ta"&amp;"lvez eu o reinstale em algumas semanas? Um mês? 2 meses? Quanto tempo você acha que leva para tirar todas as falhas?")</f>
        <v>É muito falha, não vai mentir. Vou desinstalá -lo por enquanto, porque continua dizendo "Desculpe, algo deu errado. Tente novamente mais tarde" Não importa o que eu fiz usando espaço de armazenamento para cima. Eu gosto da ideia, porém, é muito cedo. Talvez eu o reinstale em algumas semanas? Um mês? 2 meses? Quanto tempo você acha que leva para tirar todas as falhas?</v>
      </c>
      <c r="I197" s="10" t="str">
        <f>IFERROR(__xludf.DUMMYFUNCTION("TRIM(REGEXREPLACE(H197,""[^a-zA-ZÀ-ú ]+"",""""))"),"É muito falha não vai mentir Vou desinstalá lo por enquanto porque continua dizendo Desculpe algo deu errado Tente novamente mais tarde Não importa o que eu fiz usando espaço de armazenamento para cima Eu gosto da ideia porém é muito cedo Talvez eu o rein"&amp;"stale em algumas semanas Um mês meses Quanto tempo você acha que leva para tirar todas as falhas")</f>
        <v>É muito falha não vai mentir Vou desinstalá lo por enquanto porque continua dizendo Desculpe algo deu errado Tente novamente mais tarde Não importa o que eu fiz usando espaço de armazenamento para cima Eu gosto da ideia porém é muito cedo Talvez eu o reinstale em algumas semanas Um mês meses Quanto tempo você acha que leva para tirar todas as falhas</v>
      </c>
      <c r="J197" s="3"/>
      <c r="K197" s="3"/>
      <c r="L197" s="3"/>
      <c r="M197" s="3"/>
      <c r="N197" s="3"/>
      <c r="O197" s="3"/>
      <c r="P197" s="3"/>
      <c r="Q197" s="3"/>
      <c r="R197" s="3"/>
      <c r="S197" s="3"/>
      <c r="T197" s="3"/>
      <c r="U197" s="3"/>
      <c r="V197" s="3"/>
      <c r="W197" s="3"/>
      <c r="X197" s="3"/>
      <c r="Y197" s="3"/>
      <c r="Z197" s="3"/>
      <c r="AA197" s="3"/>
    </row>
    <row r="198" ht="105.75" customHeight="1">
      <c r="A198" s="4" t="s">
        <v>9</v>
      </c>
      <c r="B198" s="5" t="s">
        <v>206</v>
      </c>
      <c r="C198" s="4">
        <v>1.0</v>
      </c>
      <c r="D198" s="6">
        <v>45128.9262962963</v>
      </c>
      <c r="E198" s="7" t="str">
        <f t="shared" si="1"/>
        <v>2023-07-21</v>
      </c>
      <c r="F198" s="8" t="str">
        <f t="shared" si="2"/>
        <v> 22:13:52</v>
      </c>
      <c r="G198" s="9" t="str">
        <f t="shared" si="3"/>
        <v>Noite</v>
      </c>
      <c r="H198" s="10" t="str">
        <f>IFERROR(__xludf.DUMMYFUNCTION("GOOGLETRANSLATE(B198, ""en"", ""pt-br"")"),"Eu realmente amo esse aplicativo, mas queridos desenvolvedores, por favor me ajude: eu estava na zona com a Internet ruim, onde recebi um erro dizendo que o feed não pode ser carregado. Mas quando cheguei em casa, o problema não desapareceu. E, infelizmen"&amp;"te, ainda não posso postar por algum motivo, vejo meus tópicos e gostos. Limpei o cache, reinstalei o aplicativo, verifiquei o acesso à rede. Como posso resolver isso?")</f>
        <v>Eu realmente amo esse aplicativo, mas queridos desenvolvedores, por favor me ajude: eu estava na zona com a Internet ruim, onde recebi um erro dizendo que o feed não pode ser carregado. Mas quando cheguei em casa, o problema não desapareceu. E, infelizmente, ainda não posso postar por algum motivo, vejo meus tópicos e gostos. Limpei o cache, reinstalei o aplicativo, verifiquei o acesso à rede. Como posso resolver isso?</v>
      </c>
      <c r="I198" s="10" t="str">
        <f>IFERROR(__xludf.DUMMYFUNCTION("TRIM(REGEXREPLACE(H198,""[^a-zA-ZÀ-ú ]+"",""""))"),"Eu realmente amo esse aplicativo mas queridos desenvolvedores por favor me ajude eu estava na zona com a Internet ruim onde recebi um erro dizendo que o feed não pode ser carregado Mas quando cheguei em casa o problema não desapareceu E infelizmente ainda"&amp;" não posso postar por algum motivo vejo meus tópicos e gostos Limpei o cache reinstalei o aplicativo verifiquei o acesso à rede Como posso resolver isso")</f>
        <v>Eu realmente amo esse aplicativo mas queridos desenvolvedores por favor me ajude eu estava na zona com a Internet ruim onde recebi um erro dizendo que o feed não pode ser carregado Mas quando cheguei em casa o problema não desapareceu E infelizmente ainda não posso postar por algum motivo vejo meus tópicos e gostos Limpei o cache reinstalei o aplicativo verifiquei o acesso à rede Como posso resolver isso</v>
      </c>
      <c r="J198" s="3"/>
      <c r="K198" s="3"/>
      <c r="L198" s="3"/>
      <c r="M198" s="3"/>
      <c r="N198" s="3"/>
      <c r="O198" s="3"/>
      <c r="P198" s="3"/>
      <c r="Q198" s="3"/>
      <c r="R198" s="3"/>
      <c r="S198" s="3"/>
      <c r="T198" s="3"/>
      <c r="U198" s="3"/>
      <c r="V198" s="3"/>
      <c r="W198" s="3"/>
      <c r="X198" s="3"/>
      <c r="Y198" s="3"/>
      <c r="Z198" s="3"/>
      <c r="AA198" s="3"/>
    </row>
    <row r="199" ht="105.75" customHeight="1">
      <c r="A199" s="4" t="s">
        <v>9</v>
      </c>
      <c r="B199" s="5" t="s">
        <v>207</v>
      </c>
      <c r="C199" s="4">
        <v>1.0</v>
      </c>
      <c r="D199" s="6">
        <v>45113.668020833335</v>
      </c>
      <c r="E199" s="7" t="str">
        <f t="shared" si="1"/>
        <v>2023-07-06</v>
      </c>
      <c r="F199" s="8" t="str">
        <f t="shared" si="2"/>
        <v> 16:01:57</v>
      </c>
      <c r="G199" s="9" t="str">
        <f t="shared" si="3"/>
        <v>Tarde</v>
      </c>
      <c r="H199" s="10" t="str">
        <f>IFERROR(__xludf.DUMMYFUNCTION("GOOGLETRANSLATE(B199, ""en"", ""pt-br"")"),"App Bakwas! Eu me senti sem esperança, depois de fechar o aplicativo! Poling de notícias negativas demais! O aplicativo está travando enquanto algo escreve aqui, como, se eu adicionar parágrafo, perdendo as palavras, por quê? Conserte isso. E isso não aca"&amp;"bou. Não podemos salvar fotos de postagens que mais! Mais, os vídeos não têm voz! Experiência muito ruim !!")</f>
        <v>App Bakwas! Eu me senti sem esperança, depois de fechar o aplicativo! Poling de notícias negativas demais! O aplicativo está travando enquanto algo escreve aqui, como, se eu adicionar parágrafo, perdendo as palavras, por quê? Conserte isso. E isso não acabou. Não podemos salvar fotos de postagens que mais! Mais, os vídeos não têm voz! Experiência muito ruim !!</v>
      </c>
      <c r="I199" s="10" t="str">
        <f>IFERROR(__xludf.DUMMYFUNCTION("TRIM(REGEXREPLACE(H199,""[^a-zA-ZÀ-ú ]+"",""""))"),"App Bakwas Eu me senti sem esperança depois de fechar o aplicativo Poling de notícias negativas demais O aplicativo está travando enquanto algo escreve aqui como se eu adicionar parágrafo perdendo as palavras por quê Conserte isso E isso não acabou Não po"&amp;"demos salvar fotos de postagens que mais Mais os vídeos não têm voz Experiência muito ruim")</f>
        <v>App Bakwas Eu me senti sem esperança depois de fechar o aplicativo Poling de notícias negativas demais O aplicativo está travando enquanto algo escreve aqui como se eu adicionar parágrafo perdendo as palavras por quê Conserte isso E isso não acabou Não podemos salvar fotos de postagens que mais Mais os vídeos não têm voz Experiência muito ruim</v>
      </c>
      <c r="J199" s="3"/>
      <c r="K199" s="3"/>
      <c r="L199" s="3"/>
      <c r="M199" s="3"/>
      <c r="N199" s="3"/>
      <c r="O199" s="3"/>
      <c r="P199" s="3"/>
      <c r="Q199" s="3"/>
      <c r="R199" s="3"/>
      <c r="S199" s="3"/>
      <c r="T199" s="3"/>
      <c r="U199" s="3"/>
      <c r="V199" s="3"/>
      <c r="W199" s="3"/>
      <c r="X199" s="3"/>
      <c r="Y199" s="3"/>
      <c r="Z199" s="3"/>
      <c r="AA199" s="3"/>
    </row>
    <row r="200" ht="105.75" customHeight="1">
      <c r="A200" s="4" t="s">
        <v>9</v>
      </c>
      <c r="B200" s="5" t="s">
        <v>208</v>
      </c>
      <c r="C200" s="4">
        <v>5.0</v>
      </c>
      <c r="D200" s="6">
        <v>45129.35445601852</v>
      </c>
      <c r="E200" s="7" t="str">
        <f t="shared" si="1"/>
        <v>2023-07-22</v>
      </c>
      <c r="F200" s="8" t="str">
        <f t="shared" si="2"/>
        <v> 08:30:25</v>
      </c>
      <c r="G200" s="9" t="str">
        <f t="shared" si="3"/>
        <v>Manhã</v>
      </c>
      <c r="H200" s="10" t="str">
        <f>IFERROR(__xludf.DUMMYFUNCTION("GOOGLETRANSLATE(B200, ""en"", ""pt-br"")"),"Não é perfeito, mas pode ser ótimo se eles iniciarem pequenas melhorias, como hashtags e pesquisa mais abrangente. Funciona muito suave e a interface do usuário é limpa e simples. Espero que não fique muito inchado e ocupado como o Instagram. Muito melhor"&amp;" do que o pool de cessos que é o Twitter.")</f>
        <v>Não é perfeito, mas pode ser ótimo se eles iniciarem pequenas melhorias, como hashtags e pesquisa mais abrangente. Funciona muito suave e a interface do usuário é limpa e simples. Espero que não fique muito inchado e ocupado como o Instagram. Muito melhor do que o pool de cessos que é o Twitter.</v>
      </c>
      <c r="I200" s="10" t="str">
        <f>IFERROR(__xludf.DUMMYFUNCTION("TRIM(REGEXREPLACE(H200,""[^a-zA-ZÀ-ú ]+"",""""))"),"Não é perfeito mas pode ser ótimo se eles iniciarem pequenas melhorias como hashtags e pesquisa mais abrangente Funciona muito suave e a interface do usuário é limpa e simples Espero que não fique muito inchado e ocupado como o Instagram Muito melhor do q"&amp;"ue o pool de cessos que é o Twitter")</f>
        <v>Não é perfeito mas pode ser ótimo se eles iniciarem pequenas melhorias como hashtags e pesquisa mais abrangente Funciona muito suave e a interface do usuário é limpa e simples Espero que não fique muito inchado e ocupado como o Instagram Muito melhor do que o pool de cessos que é o Twitter</v>
      </c>
      <c r="J200" s="3"/>
      <c r="K200" s="3"/>
      <c r="L200" s="3"/>
      <c r="M200" s="3"/>
      <c r="N200" s="3"/>
      <c r="O200" s="3"/>
      <c r="P200" s="3"/>
      <c r="Q200" s="3"/>
      <c r="R200" s="3"/>
      <c r="S200" s="3"/>
      <c r="T200" s="3"/>
      <c r="U200" s="3"/>
      <c r="V200" s="3"/>
      <c r="W200" s="3"/>
      <c r="X200" s="3"/>
      <c r="Y200" s="3"/>
      <c r="Z200" s="3"/>
      <c r="AA200" s="3"/>
    </row>
    <row r="201" ht="105.75" customHeight="1">
      <c r="A201" s="4" t="s">
        <v>9</v>
      </c>
      <c r="B201" s="5" t="s">
        <v>209</v>
      </c>
      <c r="C201" s="4">
        <v>3.0</v>
      </c>
      <c r="D201" s="6">
        <v>45114.55820601852</v>
      </c>
      <c r="E201" s="7" t="str">
        <f t="shared" si="1"/>
        <v>2023-07-07</v>
      </c>
      <c r="F201" s="8" t="str">
        <f t="shared" si="2"/>
        <v> 13:23:49</v>
      </c>
      <c r="G201" s="9" t="str">
        <f t="shared" si="3"/>
        <v>Tarde</v>
      </c>
      <c r="H201" s="10" t="str">
        <f>IFERROR(__xludf.DUMMYFUNCTION("GOOGLETRANSLATE(B201, ""en"", ""pt-br"")"),"Pessoalmente, acho que a maneira como você organizou o nome de usuário e o UserID/AccountId é muito confuso: -Na página de pesquisa, a hierarquia de um perfil vai do UserID para o nome de usuário; Mas depois que você entra na página de perfil deles, a hie"&amp;"rarquia é a completa oposta -me deixa pensando novamente qual é o ID qual é o nome -parece que você combina a interface do Twitter e IG, mas ficou confuso, em vez disso, sugiro Talvez tente organizar a consistência da hierarquia da próxima vez que atualiz"&amp;"ar o aplicativo? TQ")</f>
        <v>Pessoalmente, acho que a maneira como você organizou o nome de usuário e o UserID/AccountId é muito confuso: -Na página de pesquisa, a hierarquia de um perfil vai do UserID para o nome de usuário; Mas depois que você entra na página de perfil deles, a hierarquia é a completa oposta -me deixa pensando novamente qual é o ID qual é o nome -parece que você combina a interface do Twitter e IG, mas ficou confuso, em vez disso, sugiro Talvez tente organizar a consistência da hierarquia da próxima vez que atualizar o aplicativo? TQ</v>
      </c>
      <c r="I201" s="10" t="str">
        <f>IFERROR(__xludf.DUMMYFUNCTION("TRIM(REGEXREPLACE(H201,""[^a-zA-ZÀ-ú ]+"",""""))"),"Pessoalmente acho que a maneira como você organizou o nome de usuário e o UserIDAccountId é muito confuso Na página de pesquisa a hierarquia de um perfil vai do UserID para o nome de usuário Mas depois que você entra na página de perfil deles a hierarquia"&amp;" é a completa oposta me deixa pensando novamente qual é o ID qual é o nome parece que você combina a interface do Twitter e IG mas ficou confuso em vez disso sugiro Talvez tente organizar a consistência da hierarquia da próxima vez que atualizar o aplicat"&amp;"ivo TQ")</f>
        <v>Pessoalmente acho que a maneira como você organizou o nome de usuário e o UserIDAccountId é muito confuso Na página de pesquisa a hierarquia de um perfil vai do UserID para o nome de usuário Mas depois que você entra na página de perfil deles a hierarquia é a completa oposta me deixa pensando novamente qual é o ID qual é o nome parece que você combina a interface do Twitter e IG mas ficou confuso em vez disso sugiro Talvez tente organizar a consistência da hierarquia da próxima vez que atualizar o aplicativo TQ</v>
      </c>
      <c r="J201" s="3"/>
      <c r="K201" s="3"/>
      <c r="L201" s="3"/>
      <c r="M201" s="3"/>
      <c r="N201" s="3"/>
      <c r="O201" s="3"/>
      <c r="P201" s="3"/>
      <c r="Q201" s="3"/>
      <c r="R201" s="3"/>
      <c r="S201" s="3"/>
      <c r="T201" s="3"/>
      <c r="U201" s="3"/>
      <c r="V201" s="3"/>
      <c r="W201" s="3"/>
      <c r="X201" s="3"/>
      <c r="Y201" s="3"/>
      <c r="Z201" s="3"/>
      <c r="AA201" s="3"/>
    </row>
    <row r="202" ht="105.75" customHeight="1">
      <c r="A202" s="4" t="s">
        <v>9</v>
      </c>
      <c r="B202" s="5" t="s">
        <v>210</v>
      </c>
      <c r="C202" s="4">
        <v>4.0</v>
      </c>
      <c r="D202" s="6">
        <v>45118.77997685185</v>
      </c>
      <c r="E202" s="7" t="str">
        <f t="shared" si="1"/>
        <v>2023-07-11</v>
      </c>
      <c r="F202" s="8" t="str">
        <f t="shared" si="2"/>
        <v> 18:43:10</v>
      </c>
      <c r="G202" s="9" t="str">
        <f t="shared" si="3"/>
        <v>Noite</v>
      </c>
      <c r="H202" s="10" t="str">
        <f>IFERROR(__xludf.DUMMYFUNCTION("GOOGLETRANSLATE(B202, ""en"", ""pt-br"")"),"O aplicativo é bom, mas o aplicativo é desnecessário. Com o A/An Facebook/Instagram/Twitter anteriormente em uso, encontro uso mínimo para uma [nova] versão dos mesmos aplicativos. Além disso ... você excluirá sua conta pessoal do IG quando excluir tópico"&amp;"s, que não são apenas redundantes, mas também uma violação diretamente dos meus direitos intelectuais, e não há NDA, Mou/Moa, ou quaisquer outros acordos contratuais nos termos e Acordos, antes de você fazer login e/ou sua conta sendo predefinida pelo [ap"&amp;"licativo], por si só.")</f>
        <v>O aplicativo é bom, mas o aplicativo é desnecessário. Com o A/An Facebook/Instagram/Twitter anteriormente em uso, encontro uso mínimo para uma [nova] versão dos mesmos aplicativos. Além disso ... você excluirá sua conta pessoal do IG quando excluir tópicos, que não são apenas redundantes, mas também uma violação diretamente dos meus direitos intelectuais, e não há NDA, Mou/Moa, ou quaisquer outros acordos contratuais nos termos e Acordos, antes de você fazer login e/ou sua conta sendo predefinida pelo [aplicativo], por si só.</v>
      </c>
      <c r="I202" s="10" t="str">
        <f>IFERROR(__xludf.DUMMYFUNCTION("TRIM(REGEXREPLACE(H202,""[^a-zA-ZÀ-ú ]+"",""""))"),"O aplicativo é bom mas o aplicativo é desnecessário Com o AAn FacebookInstagramTwitter anteriormente em uso encontro uso mínimo para uma nova versão dos mesmos aplicativos Além disso você excluirá sua conta pessoal do IG quando excluir tópicos que não são"&amp;" apenas redundantes mas também uma violação diretamente dos meus direitos intelectuais e não há NDA MouMoa ou quaisquer outros acordos contratuais nos termos e Acordos antes de você fazer login eou sua conta sendo predefinida pelo aplicativo por si só")</f>
        <v>O aplicativo é bom mas o aplicativo é desnecessário Com o AAn FacebookInstagramTwitter anteriormente em uso encontro uso mínimo para uma nova versão dos mesmos aplicativos Além disso você excluirá sua conta pessoal do IG quando excluir tópicos que não são apenas redundantes mas também uma violação diretamente dos meus direitos intelectuais e não há NDA MouMoa ou quaisquer outros acordos contratuais nos termos e Acordos antes de você fazer login eou sua conta sendo predefinida pelo aplicativo por si só</v>
      </c>
      <c r="J202" s="3"/>
      <c r="K202" s="3"/>
      <c r="L202" s="3"/>
      <c r="M202" s="3"/>
      <c r="N202" s="3"/>
      <c r="O202" s="3"/>
      <c r="P202" s="3"/>
      <c r="Q202" s="3"/>
      <c r="R202" s="3"/>
      <c r="S202" s="3"/>
      <c r="T202" s="3"/>
      <c r="U202" s="3"/>
      <c r="V202" s="3"/>
      <c r="W202" s="3"/>
      <c r="X202" s="3"/>
      <c r="Y202" s="3"/>
      <c r="Z202" s="3"/>
      <c r="AA202" s="3"/>
    </row>
    <row r="203" ht="105.75" customHeight="1">
      <c r="A203" s="4" t="s">
        <v>9</v>
      </c>
      <c r="B203" s="5" t="s">
        <v>211</v>
      </c>
      <c r="C203" s="4">
        <v>1.0</v>
      </c>
      <c r="D203" s="6">
        <v>45121.69987268518</v>
      </c>
      <c r="E203" s="7" t="str">
        <f t="shared" si="1"/>
        <v>2023-07-14</v>
      </c>
      <c r="F203" s="8" t="str">
        <f t="shared" si="2"/>
        <v> 16:47:49</v>
      </c>
      <c r="G203" s="9" t="str">
        <f t="shared" si="3"/>
        <v>Tarde</v>
      </c>
      <c r="H203" s="10" t="str">
        <f>IFERROR(__xludf.DUMMYFUNCTION("GOOGLETRANSLATE(B203, ""en"", ""pt-br"")"),"Sei que o aplicativo está em sua infância, mas essa coisa é realmente inconveniente. Só posso usar o aplicativo do meu telefone para postar. Não posso usá -lo no meu laptop, nem mesmo pegando algo da minha página do Instagram e postingsing. Por favor, con"&amp;"serte isso. Permita -nos postar de dispositivos que não sejam apenas telefones. Eu tenho uma visão falhada e isso se torna um problema real para mim, porque minha tela de telefone (e qualquer coisa que eu escrevo usando -a) é tão pequena.")</f>
        <v>Sei que o aplicativo está em sua infância, mas essa coisa é realmente inconveniente. Só posso usar o aplicativo do meu telefone para postar. Não posso usá -lo no meu laptop, nem mesmo pegando algo da minha página do Instagram e postingsing. Por favor, conserte isso. Permita -nos postar de dispositivos que não sejam apenas telefones. Eu tenho uma visão falhada e isso se torna um problema real para mim, porque minha tela de telefone (e qualquer coisa que eu escrevo usando -a) é tão pequena.</v>
      </c>
      <c r="I203" s="10" t="str">
        <f>IFERROR(__xludf.DUMMYFUNCTION("TRIM(REGEXREPLACE(H203,""[^a-zA-ZÀ-ú ]+"",""""))"),"Sei que o aplicativo está em sua infância mas essa coisa é realmente inconveniente Só posso usar o aplicativo do meu telefone para postar Não posso usá lo no meu laptop nem mesmo pegando algo da minha página do Instagram e postingsing Por favor conserte i"&amp;"sso Permita nos postar de dispositivos que não sejam apenas telefones Eu tenho uma visão falhada e isso se torna um problema real para mim porque minha tela de telefone e qualquer coisa que eu escrevo usando a é tão pequena")</f>
        <v>Sei que o aplicativo está em sua infância mas essa coisa é realmente inconveniente Só posso usar o aplicativo do meu telefone para postar Não posso usá lo no meu laptop nem mesmo pegando algo da minha página do Instagram e postingsing Por favor conserte isso Permita nos postar de dispositivos que não sejam apenas telefones Eu tenho uma visão falhada e isso se torna um problema real para mim porque minha tela de telefone e qualquer coisa que eu escrevo usando a é tão pequena</v>
      </c>
      <c r="J203" s="3"/>
      <c r="K203" s="3"/>
      <c r="L203" s="3"/>
      <c r="M203" s="3"/>
      <c r="N203" s="3"/>
      <c r="O203" s="3"/>
      <c r="P203" s="3"/>
      <c r="Q203" s="3"/>
      <c r="R203" s="3"/>
      <c r="S203" s="3"/>
      <c r="T203" s="3"/>
      <c r="U203" s="3"/>
      <c r="V203" s="3"/>
      <c r="W203" s="3"/>
      <c r="X203" s="3"/>
      <c r="Y203" s="3"/>
      <c r="Z203" s="3"/>
      <c r="AA203" s="3"/>
    </row>
    <row r="204" ht="105.75" customHeight="1">
      <c r="A204" s="4" t="s">
        <v>9</v>
      </c>
      <c r="B204" s="5" t="s">
        <v>212</v>
      </c>
      <c r="C204" s="4">
        <v>2.0</v>
      </c>
      <c r="D204" s="6">
        <v>45116.85173611111</v>
      </c>
      <c r="E204" s="7" t="str">
        <f t="shared" si="1"/>
        <v>2023-07-09</v>
      </c>
      <c r="F204" s="8" t="str">
        <f t="shared" si="2"/>
        <v> 20:26:30</v>
      </c>
      <c r="G204" s="9" t="str">
        <f t="shared" si="3"/>
        <v>Noite</v>
      </c>
      <c r="H204" s="10" t="str">
        <f>IFERROR(__xludf.DUMMYFUNCTION("GOOGLETRANSLATE(B204, ""en"", ""pt-br"")"),"Meh, estou em cima do muro sobre isso. Eu sei que é novo, mas tem várias coisas que precisam de consertar. A linha do tempo, se é assim que se chama, precisa mostrar coisas de quem eu sigo, nem todo mundo. Vou verificar as respostas para esses comentários"&amp;". Precisa de uma opção de modo escuro e capacidade de aumentar as fontes e talvez uma opção ousada também. Além disso, uma necessidade definitiva é quando você abre o aplicativo ou atualiza o thread, não vá até o topo. Mantenha o tópico onde parei, obriga"&amp;"do.")</f>
        <v>Meh, estou em cima do muro sobre isso. Eu sei que é novo, mas tem várias coisas que precisam de consertar. A linha do tempo, se é assim que se chama, precisa mostrar coisas de quem eu sigo, nem todo mundo. Vou verificar as respostas para esses comentários. Precisa de uma opção de modo escuro e capacidade de aumentar as fontes e talvez uma opção ousada também. Além disso, uma necessidade definitiva é quando você abre o aplicativo ou atualiza o thread, não vá até o topo. Mantenha o tópico onde parei, obrigado.</v>
      </c>
      <c r="I204" s="10" t="str">
        <f>IFERROR(__xludf.DUMMYFUNCTION("TRIM(REGEXREPLACE(H204,""[^a-zA-ZÀ-ú ]+"",""""))"),"Meh estou em cima do muro sobre isso Eu sei que é novo mas tem várias coisas que precisam de consertar A linha do tempo se é assim que se chama precisa mostrar coisas de quem eu sigo nem todo mundo Vou verificar as respostas para esses comentários Precisa"&amp;" de uma opção de modo escuro e capacidade de aumentar as fontes e talvez uma opção ousada também Além disso uma necessidade definitiva é quando você abre o aplicativo ou atualiza o thread não vá até o topo Mantenha o tópico onde parei obrigado")</f>
        <v>Meh estou em cima do muro sobre isso Eu sei que é novo mas tem várias coisas que precisam de consertar A linha do tempo se é assim que se chama precisa mostrar coisas de quem eu sigo nem todo mundo Vou verificar as respostas para esses comentários Precisa de uma opção de modo escuro e capacidade de aumentar as fontes e talvez uma opção ousada também Além disso uma necessidade definitiva é quando você abre o aplicativo ou atualiza o thread não vá até o topo Mantenha o tópico onde parei obrigado</v>
      </c>
      <c r="J204" s="3"/>
      <c r="K204" s="3"/>
      <c r="L204" s="3"/>
      <c r="M204" s="3"/>
      <c r="N204" s="3"/>
      <c r="O204" s="3"/>
      <c r="P204" s="3"/>
      <c r="Q204" s="3"/>
      <c r="R204" s="3"/>
      <c r="S204" s="3"/>
      <c r="T204" s="3"/>
      <c r="U204" s="3"/>
      <c r="V204" s="3"/>
      <c r="W204" s="3"/>
      <c r="X204" s="3"/>
      <c r="Y204" s="3"/>
      <c r="Z204" s="3"/>
      <c r="AA204" s="3"/>
    </row>
    <row r="205" ht="105.75" customHeight="1">
      <c r="A205" s="4" t="s">
        <v>9</v>
      </c>
      <c r="B205" s="5" t="s">
        <v>213</v>
      </c>
      <c r="C205" s="4">
        <v>2.0</v>
      </c>
      <c r="D205" s="6">
        <v>45113.421851851854</v>
      </c>
      <c r="E205" s="7" t="str">
        <f t="shared" si="1"/>
        <v>2023-07-06</v>
      </c>
      <c r="F205" s="8" t="str">
        <f t="shared" si="2"/>
        <v> 10:07:28</v>
      </c>
      <c r="G205" s="9" t="str">
        <f t="shared" si="3"/>
        <v>Manhã</v>
      </c>
      <c r="H205" s="10" t="str">
        <f>IFERROR(__xludf.DUMMYFUNCTION("GOOGLETRANSLATE(B205, ""en"", ""pt-br"")"),"Fico feliz em estar a bordo e animado para usar o aplicativo, mas no Android, só podemos acessar nossa ""galeria"" e não fotos de pastas individuais, o que significa que não consigo encontrar nenhuma das fotos que quero compartilhar. Tentando compartilhar"&amp;" várias fotos do aplicativo ""Fotos"" resulta no travamento do aplicativo.")</f>
        <v>Fico feliz em estar a bordo e animado para usar o aplicativo, mas no Android, só podemos acessar nossa "galeria" e não fotos de pastas individuais, o que significa que não consigo encontrar nenhuma das fotos que quero compartilhar. Tentando compartilhar várias fotos do aplicativo "Fotos" resulta no travamento do aplicativo.</v>
      </c>
      <c r="I205" s="10" t="str">
        <f>IFERROR(__xludf.DUMMYFUNCTION("TRIM(REGEXREPLACE(H205,""[^a-zA-ZÀ-ú ]+"",""""))"),"Fico feliz em estar a bordo e animado para usar o aplicativo mas no Android só podemos acessar nossa galeria e não fotos de pastas individuais o que significa que não consigo encontrar nenhuma das fotos que quero compartilhar Tentando compartilhar várias "&amp;"fotos do aplicativo Fotos resulta no travamento do aplicativo")</f>
        <v>Fico feliz em estar a bordo e animado para usar o aplicativo mas no Android só podemos acessar nossa galeria e não fotos de pastas individuais o que significa que não consigo encontrar nenhuma das fotos que quero compartilhar Tentando compartilhar várias fotos do aplicativo Fotos resulta no travamento do aplicativo</v>
      </c>
      <c r="J205" s="3"/>
      <c r="K205" s="3"/>
      <c r="L205" s="3"/>
      <c r="M205" s="3"/>
      <c r="N205" s="3"/>
      <c r="O205" s="3"/>
      <c r="P205" s="3"/>
      <c r="Q205" s="3"/>
      <c r="R205" s="3"/>
      <c r="S205" s="3"/>
      <c r="T205" s="3"/>
      <c r="U205" s="3"/>
      <c r="V205" s="3"/>
      <c r="W205" s="3"/>
      <c r="X205" s="3"/>
      <c r="Y205" s="3"/>
      <c r="Z205" s="3"/>
      <c r="AA205" s="3"/>
    </row>
    <row r="206" ht="105.75" customHeight="1">
      <c r="A206" s="4" t="s">
        <v>9</v>
      </c>
      <c r="B206" s="5" t="s">
        <v>214</v>
      </c>
      <c r="C206" s="4">
        <v>3.0</v>
      </c>
      <c r="D206" s="6">
        <v>45118.16979166667</v>
      </c>
      <c r="E206" s="7" t="str">
        <f t="shared" si="1"/>
        <v>2023-07-11</v>
      </c>
      <c r="F206" s="8" t="str">
        <f t="shared" si="2"/>
        <v> 04:04:30</v>
      </c>
      <c r="G206" s="9" t="str">
        <f t="shared" si="3"/>
        <v>Manhã</v>
      </c>
      <c r="H206" s="10" t="str">
        <f>IFERROR(__xludf.DUMMYFUNCTION("GOOGLETRANSLATE(B206, ""en"", ""pt-br"")"),"O conceito de aplicativo é bom. Mas o aplicativo precisa de alguma otimização. Existem algumas falhas no aplicativo e está drenando a bateria do meu dispositivo. Então, depois de algumas vezes, preciso consertar meus problemas de bateria. Torne os threads"&amp;" mais compatíveis. Por favor, corrigiu esses problemas o mais rápido possível.")</f>
        <v>O conceito de aplicativo é bom. Mas o aplicativo precisa de alguma otimização. Existem algumas falhas no aplicativo e está drenando a bateria do meu dispositivo. Então, depois de algumas vezes, preciso consertar meus problemas de bateria. Torne os threads mais compatíveis. Por favor, corrigiu esses problemas o mais rápido possível.</v>
      </c>
      <c r="I206" s="10" t="str">
        <f>IFERROR(__xludf.DUMMYFUNCTION("TRIM(REGEXREPLACE(H206,""[^a-zA-ZÀ-ú ]+"",""""))"),"O conceito de aplicativo é bom Mas o aplicativo precisa de alguma otimização Existem algumas falhas no aplicativo e está drenando a bateria do meu dispositivo Então depois de algumas vezes preciso consertar meus problemas de bateria Torne os threads mais "&amp;"compatíveis Por favor corrigiu esses problemas o mais rápido possível")</f>
        <v>O conceito de aplicativo é bom Mas o aplicativo precisa de alguma otimização Existem algumas falhas no aplicativo e está drenando a bateria do meu dispositivo Então depois de algumas vezes preciso consertar meus problemas de bateria Torne os threads mais compatíveis Por favor corrigiu esses problemas o mais rápido possível</v>
      </c>
      <c r="J206" s="3"/>
      <c r="K206" s="3"/>
      <c r="L206" s="3"/>
      <c r="M206" s="3"/>
      <c r="N206" s="3"/>
      <c r="O206" s="3"/>
      <c r="P206" s="3"/>
      <c r="Q206" s="3"/>
      <c r="R206" s="3"/>
      <c r="S206" s="3"/>
      <c r="T206" s="3"/>
      <c r="U206" s="3"/>
      <c r="V206" s="3"/>
      <c r="W206" s="3"/>
      <c r="X206" s="3"/>
      <c r="Y206" s="3"/>
      <c r="Z206" s="3"/>
      <c r="AA206" s="3"/>
    </row>
    <row r="207" ht="105.75" customHeight="1">
      <c r="A207" s="4" t="s">
        <v>9</v>
      </c>
      <c r="B207" s="5" t="s">
        <v>215</v>
      </c>
      <c r="C207" s="4">
        <v>4.0</v>
      </c>
      <c r="D207" s="6">
        <v>45119.32832175926</v>
      </c>
      <c r="E207" s="7" t="str">
        <f t="shared" si="1"/>
        <v>2023-07-12</v>
      </c>
      <c r="F207" s="8" t="str">
        <f t="shared" si="2"/>
        <v> 07:52:47</v>
      </c>
      <c r="G207" s="9" t="str">
        <f t="shared" si="3"/>
        <v>Manhã</v>
      </c>
      <c r="H207" s="10" t="str">
        <f>IFERROR(__xludf.DUMMYFUNCTION("GOOGLETRANSLATE(B207, ""en"", ""pt-br"")"),"Perdendo um monte de coisas que eu gostaria (algumas das quais eles acabam planejando acrescentar). Como ainda está em sua fase infantil, existem alguns insetos e soluços que precisam ser corrigidos, como a página inicial, a falha durante a recarga, falta"&amp;" de ordem em que os posts chegarão ao feed etc.")</f>
        <v>Perdendo um monte de coisas que eu gostaria (algumas das quais eles acabam planejando acrescentar). Como ainda está em sua fase infantil, existem alguns insetos e soluços que precisam ser corrigidos, como a página inicial, a falha durante a recarga, falta de ordem em que os posts chegarão ao feed etc.</v>
      </c>
      <c r="I207" s="10" t="str">
        <f>IFERROR(__xludf.DUMMYFUNCTION("TRIM(REGEXREPLACE(H207,""[^a-zA-ZÀ-ú ]+"",""""))"),"Perdendo um monte de coisas que eu gostaria algumas das quais eles acabam planejando acrescentar Como ainda está em sua fase infantil existem alguns insetos e soluços que precisam ser corrigidos como a página inicial a falha durante a recarga falta de ord"&amp;"em em que os posts chegarão ao feed etc")</f>
        <v>Perdendo um monte de coisas que eu gostaria algumas das quais eles acabam planejando acrescentar Como ainda está em sua fase infantil existem alguns insetos e soluços que precisam ser corrigidos como a página inicial a falha durante a recarga falta de ordem em que os posts chegarão ao feed etc</v>
      </c>
      <c r="J207" s="3"/>
      <c r="K207" s="3"/>
      <c r="L207" s="3"/>
      <c r="M207" s="3"/>
      <c r="N207" s="3"/>
      <c r="O207" s="3"/>
      <c r="P207" s="3"/>
      <c r="Q207" s="3"/>
      <c r="R207" s="3"/>
      <c r="S207" s="3"/>
      <c r="T207" s="3"/>
      <c r="U207" s="3"/>
      <c r="V207" s="3"/>
      <c r="W207" s="3"/>
      <c r="X207" s="3"/>
      <c r="Y207" s="3"/>
      <c r="Z207" s="3"/>
      <c r="AA207" s="3"/>
    </row>
    <row r="208" ht="105.75" customHeight="1">
      <c r="A208" s="4" t="s">
        <v>9</v>
      </c>
      <c r="B208" s="5" t="s">
        <v>216</v>
      </c>
      <c r="C208" s="4">
        <v>3.0</v>
      </c>
      <c r="D208" s="6">
        <v>45113.83730324074</v>
      </c>
      <c r="E208" s="7" t="str">
        <f t="shared" si="1"/>
        <v>2023-07-06</v>
      </c>
      <c r="F208" s="8" t="str">
        <f t="shared" si="2"/>
        <v> 20:05:43</v>
      </c>
      <c r="G208" s="9" t="str">
        <f t="shared" si="3"/>
        <v>Noite</v>
      </c>
      <c r="H208" s="10" t="str">
        <f>IFERROR(__xludf.DUMMYFUNCTION("GOOGLETRANSLATE(B208, ""en"", ""pt-br"")"),"A linha do tempo é caótica. Deve haver uma maneira de os indivíduos controlarem/escolherem o que querem ver e quem eles querem ler. Além disso, deve haver uma maneira de desativar a reprodução automática de mídia (vídeo). Fora isso, o aplicativo será incr"&amp;"ível.")</f>
        <v>A linha do tempo é caótica. Deve haver uma maneira de os indivíduos controlarem/escolherem o que querem ver e quem eles querem ler. Além disso, deve haver uma maneira de desativar a reprodução automática de mídia (vídeo). Fora isso, o aplicativo será incrível.</v>
      </c>
      <c r="I208" s="10" t="str">
        <f>IFERROR(__xludf.DUMMYFUNCTION("TRIM(REGEXREPLACE(H208,""[^a-zA-ZÀ-ú ]+"",""""))"),"A linha do tempo é caótica Deve haver uma maneira de os indivíduos controlaremescolherem o que querem ver e quem eles querem ler Além disso deve haver uma maneira de desativar a reprodução automática de mídia vídeo Fora isso o aplicativo será incrível")</f>
        <v>A linha do tempo é caótica Deve haver uma maneira de os indivíduos controlaremescolherem o que querem ver e quem eles querem ler Além disso deve haver uma maneira de desativar a reprodução automática de mídia vídeo Fora isso o aplicativo será incrível</v>
      </c>
      <c r="J208" s="3"/>
      <c r="K208" s="3"/>
      <c r="L208" s="3"/>
      <c r="M208" s="3"/>
      <c r="N208" s="3"/>
      <c r="O208" s="3"/>
      <c r="P208" s="3"/>
      <c r="Q208" s="3"/>
      <c r="R208" s="3"/>
      <c r="S208" s="3"/>
      <c r="T208" s="3"/>
      <c r="U208" s="3"/>
      <c r="V208" s="3"/>
      <c r="W208" s="3"/>
      <c r="X208" s="3"/>
      <c r="Y208" s="3"/>
      <c r="Z208" s="3"/>
      <c r="AA208" s="3"/>
    </row>
    <row r="209" ht="105.75" customHeight="1">
      <c r="A209" s="4" t="s">
        <v>9</v>
      </c>
      <c r="B209" s="5" t="s">
        <v>217</v>
      </c>
      <c r="C209" s="4">
        <v>2.0</v>
      </c>
      <c r="D209" s="6">
        <v>45119.187106481484</v>
      </c>
      <c r="E209" s="7" t="str">
        <f t="shared" si="1"/>
        <v>2023-07-12</v>
      </c>
      <c r="F209" s="8" t="str">
        <f t="shared" si="2"/>
        <v> 04:29:26</v>
      </c>
      <c r="G209" s="9" t="str">
        <f t="shared" si="3"/>
        <v>Manhã</v>
      </c>
      <c r="H209" s="10" t="str">
        <f>IFERROR(__xludf.DUMMYFUNCTION("GOOGLETRANSLATE(B209, ""en"", ""pt-br"")"),"Este é provavelmente o programa mais exagerado na história da Forever. O feed de notícias precisa desesperadamente de filtros e não há muita organização ou estrutura. É basicamente apenas uma versão reformatada do Facebook.")</f>
        <v>Este é provavelmente o programa mais exagerado na história da Forever. O feed de notícias precisa desesperadamente de filtros e não há muita organização ou estrutura. É basicamente apenas uma versão reformatada do Facebook.</v>
      </c>
      <c r="I209" s="10" t="str">
        <f>IFERROR(__xludf.DUMMYFUNCTION("TRIM(REGEXREPLACE(H209,""[^a-zA-ZÀ-ú ]+"",""""))"),"Este é provavelmente o programa mais exagerado na história da Forever O feed de notícias precisa desesperadamente de filtros e não há muita organização ou estrutura É basicamente apenas uma versão reformatada do Facebook")</f>
        <v>Este é provavelmente o programa mais exagerado na história da Forever O feed de notícias precisa desesperadamente de filtros e não há muita organização ou estrutura É basicamente apenas uma versão reformatada do Facebook</v>
      </c>
      <c r="J209" s="3"/>
      <c r="K209" s="3"/>
      <c r="L209" s="3"/>
      <c r="M209" s="3"/>
      <c r="N209" s="3"/>
      <c r="O209" s="3"/>
      <c r="P209" s="3"/>
      <c r="Q209" s="3"/>
      <c r="R209" s="3"/>
      <c r="S209" s="3"/>
      <c r="T209" s="3"/>
      <c r="U209" s="3"/>
      <c r="V209" s="3"/>
      <c r="W209" s="3"/>
      <c r="X209" s="3"/>
      <c r="Y209" s="3"/>
      <c r="Z209" s="3"/>
      <c r="AA209" s="3"/>
    </row>
    <row r="210" ht="105.75" customHeight="1">
      <c r="A210" s="4" t="s">
        <v>9</v>
      </c>
      <c r="B210" s="5" t="s">
        <v>218</v>
      </c>
      <c r="C210" s="4">
        <v>3.0</v>
      </c>
      <c r="D210" s="6">
        <v>45114.50982638889</v>
      </c>
      <c r="E210" s="7" t="str">
        <f t="shared" si="1"/>
        <v>2023-07-07</v>
      </c>
      <c r="F210" s="8" t="str">
        <f t="shared" si="2"/>
        <v> 12:14:09</v>
      </c>
      <c r="G210" s="9" t="str">
        <f t="shared" si="3"/>
        <v>Tarde</v>
      </c>
      <c r="H210" s="10" t="str">
        <f>IFERROR(__xludf.DUMMYFUNCTION("GOOGLETRANSLATE(B210, ""en"", ""pt-br"")"),"Até agora tudo bem. Eu gostaria que houvesse um recurso viral ou algo que me permita ver as postagens das pessoas que estou seguindo. Tudo o que tenho visto são marcas de seleção azuis aleatórias a manhã toda. Outro problema é que o aplicativo continua tr"&amp;"avando quando tento ver as respostas às postagens de outras pessoas. Toda vez. É irritante. Sei que é um novo aplicativo e estou apenas dizendo que precisa haver algumas correções. Obrigado pela nova oportunidade de crescer.")</f>
        <v>Até agora tudo bem. Eu gostaria que houvesse um recurso viral ou algo que me permita ver as postagens das pessoas que estou seguindo. Tudo o que tenho visto são marcas de seleção azuis aleatórias a manhã toda. Outro problema é que o aplicativo continua travando quando tento ver as respostas às postagens de outras pessoas. Toda vez. É irritante. Sei que é um novo aplicativo e estou apenas dizendo que precisa haver algumas correções. Obrigado pela nova oportunidade de crescer.</v>
      </c>
      <c r="I210" s="10" t="str">
        <f>IFERROR(__xludf.DUMMYFUNCTION("TRIM(REGEXREPLACE(H210,""[^a-zA-ZÀ-ú ]+"",""""))"),"Até agora tudo bem Eu gostaria que houvesse um recurso viral ou algo que me permita ver as postagens das pessoas que estou seguindo Tudo o que tenho visto são marcas de seleção azuis aleatórias a manhã toda Outro problema é que o aplicativo continua trava"&amp;"ndo quando tento ver as respostas às postagens de outras pessoas Toda vez É irritante Sei que é um novo aplicativo e estou apenas dizendo que precisa haver algumas correções Obrigado pela nova oportunidade de crescer")</f>
        <v>Até agora tudo bem Eu gostaria que houvesse um recurso viral ou algo que me permita ver as postagens das pessoas que estou seguindo Tudo o que tenho visto são marcas de seleção azuis aleatórias a manhã toda Outro problema é que o aplicativo continua travando quando tento ver as respostas às postagens de outras pessoas Toda vez É irritante Sei que é um novo aplicativo e estou apenas dizendo que precisa haver algumas correções Obrigado pela nova oportunidade de crescer</v>
      </c>
      <c r="J210" s="3"/>
      <c r="K210" s="3"/>
      <c r="L210" s="3"/>
      <c r="M210" s="3"/>
      <c r="N210" s="3"/>
      <c r="O210" s="3"/>
      <c r="P210" s="3"/>
      <c r="Q210" s="3"/>
      <c r="R210" s="3"/>
      <c r="S210" s="3"/>
      <c r="T210" s="3"/>
      <c r="U210" s="3"/>
      <c r="V210" s="3"/>
      <c r="W210" s="3"/>
      <c r="X210" s="3"/>
      <c r="Y210" s="3"/>
      <c r="Z210" s="3"/>
      <c r="AA210" s="3"/>
    </row>
    <row r="211" ht="105.75" customHeight="1">
      <c r="A211" s="4" t="s">
        <v>9</v>
      </c>
      <c r="B211" s="5" t="s">
        <v>219</v>
      </c>
      <c r="C211" s="4">
        <v>5.0</v>
      </c>
      <c r="D211" s="6">
        <v>45119.66709490741</v>
      </c>
      <c r="E211" s="7" t="str">
        <f t="shared" si="1"/>
        <v>2023-07-12</v>
      </c>
      <c r="F211" s="8" t="str">
        <f t="shared" si="2"/>
        <v> 16:00:37</v>
      </c>
      <c r="G211" s="9" t="str">
        <f t="shared" si="3"/>
        <v>Tarde</v>
      </c>
      <c r="H211" s="10" t="str">
        <f>IFERROR(__xludf.DUMMYFUNCTION("GOOGLETRANSLATE(B211, ""en"", ""pt-br"")"),"Um excelente começo para uma nova rede social! O aplicativo funciona bem no meu pixel, ele não caiu uma vez para mim. Sim, este meta aplicativo coleta dados, mas se você já possui o Facebook e o Instagram instalados no seu telefone, a adição de threads nã"&amp;"o faz diferença. Adoro a interface, é limpo e fácil aos olhos.")</f>
        <v>Um excelente começo para uma nova rede social! O aplicativo funciona bem no meu pixel, ele não caiu uma vez para mim. Sim, este meta aplicativo coleta dados, mas se você já possui o Facebook e o Instagram instalados no seu telefone, a adição de threads não faz diferença. Adoro a interface, é limpo e fácil aos olhos.</v>
      </c>
      <c r="I211" s="10" t="str">
        <f>IFERROR(__xludf.DUMMYFUNCTION("TRIM(REGEXREPLACE(H211,""[^a-zA-ZÀ-ú ]+"",""""))"),"Um excelente começo para uma nova rede social O aplicativo funciona bem no meu pixel ele não caiu uma vez para mim Sim este meta aplicativo coleta dados mas se você já possui o Facebook e o Instagram instalados no seu telefone a adição de threads não faz "&amp;"diferença Adoro a interface é limpo e fácil aos olhos")</f>
        <v>Um excelente começo para uma nova rede social O aplicativo funciona bem no meu pixel ele não caiu uma vez para mim Sim este meta aplicativo coleta dados mas se você já possui o Facebook e o Instagram instalados no seu telefone a adição de threads não faz diferença Adoro a interface é limpo e fácil aos olhos</v>
      </c>
      <c r="J211" s="3"/>
      <c r="K211" s="3"/>
      <c r="L211" s="3"/>
      <c r="M211" s="3"/>
      <c r="N211" s="3"/>
      <c r="O211" s="3"/>
      <c r="P211" s="3"/>
      <c r="Q211" s="3"/>
      <c r="R211" s="3"/>
      <c r="S211" s="3"/>
      <c r="T211" s="3"/>
      <c r="U211" s="3"/>
      <c r="V211" s="3"/>
      <c r="W211" s="3"/>
      <c r="X211" s="3"/>
      <c r="Y211" s="3"/>
      <c r="Z211" s="3"/>
      <c r="AA211" s="3"/>
    </row>
    <row r="212" ht="105.75" customHeight="1">
      <c r="A212" s="4" t="s">
        <v>9</v>
      </c>
      <c r="B212" s="5" t="s">
        <v>220</v>
      </c>
      <c r="C212" s="4">
        <v>3.0</v>
      </c>
      <c r="D212" s="6">
        <v>45114.548414351855</v>
      </c>
      <c r="E212" s="7" t="str">
        <f t="shared" si="1"/>
        <v>2023-07-07</v>
      </c>
      <c r="F212" s="8" t="str">
        <f t="shared" si="2"/>
        <v> 13:09:43</v>
      </c>
      <c r="G212" s="9" t="str">
        <f t="shared" si="3"/>
        <v>Tarde</v>
      </c>
      <c r="H212" s="10" t="str">
        <f>IFERROR(__xludf.DUMMYFUNCTION("GOOGLETRANSLATE(B212, ""en"", ""pt-br"")"),"Uma ótima primeira experiência, considerando que é um aplicativo V1. A coisa a melhorar, as falhas de aplicativos são frequentes, parece um pouco estranhas em telas grandes (comprimidos) e muitos recursos ausentes. O que o torna especial é que isso meio q"&amp;"ue me lembrou os primeiros anos do Twitter.")</f>
        <v>Uma ótima primeira experiência, considerando que é um aplicativo V1. A coisa a melhorar, as falhas de aplicativos são frequentes, parece um pouco estranhas em telas grandes (comprimidos) e muitos recursos ausentes. O que o torna especial é que isso meio que me lembrou os primeiros anos do Twitter.</v>
      </c>
      <c r="I212" s="10" t="str">
        <f>IFERROR(__xludf.DUMMYFUNCTION("TRIM(REGEXREPLACE(H212,""[^a-zA-ZÀ-ú ]+"",""""))"),"Uma ótima primeira experiência considerando que é um aplicativo V A coisa a melhorar as falhas de aplicativos são frequentes parece um pouco estranhas em telas grandes comprimidos e muitos recursos ausentes O que o torna especial é que isso meio que me le"&amp;"mbrou os primeiros anos do Twitter")</f>
        <v>Uma ótima primeira experiência considerando que é um aplicativo V A coisa a melhorar as falhas de aplicativos são frequentes parece um pouco estranhas em telas grandes comprimidos e muitos recursos ausentes O que o torna especial é que isso meio que me lembrou os primeiros anos do Twitter</v>
      </c>
      <c r="J212" s="3"/>
      <c r="K212" s="3"/>
      <c r="L212" s="3"/>
      <c r="M212" s="3"/>
      <c r="N212" s="3"/>
      <c r="O212" s="3"/>
      <c r="P212" s="3"/>
      <c r="Q212" s="3"/>
      <c r="R212" s="3"/>
      <c r="S212" s="3"/>
      <c r="T212" s="3"/>
      <c r="U212" s="3"/>
      <c r="V212" s="3"/>
      <c r="W212" s="3"/>
      <c r="X212" s="3"/>
      <c r="Y212" s="3"/>
      <c r="Z212" s="3"/>
      <c r="AA212" s="3"/>
    </row>
    <row r="213" ht="105.75" customHeight="1">
      <c r="A213" s="4" t="s">
        <v>9</v>
      </c>
      <c r="B213" s="5" t="s">
        <v>221</v>
      </c>
      <c r="C213" s="4">
        <v>2.0</v>
      </c>
      <c r="D213" s="6">
        <v>45119.795949074076</v>
      </c>
      <c r="E213" s="7" t="str">
        <f t="shared" si="1"/>
        <v>2023-07-12</v>
      </c>
      <c r="F213" s="8" t="str">
        <f t="shared" si="2"/>
        <v> 19:06:10</v>
      </c>
      <c r="G213" s="9" t="str">
        <f t="shared" si="3"/>
        <v>Noite</v>
      </c>
      <c r="H213" s="10" t="str">
        <f>IFERROR(__xludf.DUMMYFUNCTION("GOOGLETRANSLATE(B213, ""en"", ""pt-br"")"),"Está tudo bem, mas está faltando muitos recursos e algumas das coisas que já tem é um buggy. Não consigo fazer vídeos para jogar com som. Ou você assiste sem som ou congela imediatamente.")</f>
        <v>Está tudo bem, mas está faltando muitos recursos e algumas das coisas que já tem é um buggy. Não consigo fazer vídeos para jogar com som. Ou você assiste sem som ou congela imediatamente.</v>
      </c>
      <c r="I213" s="10" t="str">
        <f>IFERROR(__xludf.DUMMYFUNCTION("TRIM(REGEXREPLACE(H213,""[^a-zA-ZÀ-ú ]+"",""""))"),"Está tudo bem mas está faltando muitos recursos e algumas das coisas que já tem é um buggy Não consigo fazer vídeos para jogar com som Ou você assiste sem som ou congela imediatamente")</f>
        <v>Está tudo bem mas está faltando muitos recursos e algumas das coisas que já tem é um buggy Não consigo fazer vídeos para jogar com som Ou você assiste sem som ou congela imediatamente</v>
      </c>
      <c r="J213" s="3"/>
      <c r="K213" s="3"/>
      <c r="L213" s="3"/>
      <c r="M213" s="3"/>
      <c r="N213" s="3"/>
      <c r="O213" s="3"/>
      <c r="P213" s="3"/>
      <c r="Q213" s="3"/>
      <c r="R213" s="3"/>
      <c r="S213" s="3"/>
      <c r="T213" s="3"/>
      <c r="U213" s="3"/>
      <c r="V213" s="3"/>
      <c r="W213" s="3"/>
      <c r="X213" s="3"/>
      <c r="Y213" s="3"/>
      <c r="Z213" s="3"/>
      <c r="AA213" s="3"/>
    </row>
    <row r="214" ht="105.75" customHeight="1">
      <c r="A214" s="4" t="s">
        <v>9</v>
      </c>
      <c r="B214" s="5" t="s">
        <v>222</v>
      </c>
      <c r="C214" s="4">
        <v>2.0</v>
      </c>
      <c r="D214" s="6">
        <v>45114.55082175926</v>
      </c>
      <c r="E214" s="7" t="str">
        <f t="shared" si="1"/>
        <v>2023-07-07</v>
      </c>
      <c r="F214" s="8" t="str">
        <f t="shared" si="2"/>
        <v> 13:13:11</v>
      </c>
      <c r="G214" s="9" t="str">
        <f t="shared" si="3"/>
        <v>Tarde</v>
      </c>
      <c r="H214" s="10" t="str">
        <f>IFERROR(__xludf.DUMMYFUNCTION("GOOGLETRANSLATE(B214, ""en"", ""pt-br"")"),"Existem muitas pessoas aleatórias na minha linha do tempo. O algoritmo é terrível porque eles nem aparecem no meu Instagram. Eles não estão relacionados a nada que eu interajo. Eu preferiria que a guia padrão fosse apenas para mútuos.")</f>
        <v>Existem muitas pessoas aleatórias na minha linha do tempo. O algoritmo é terrível porque eles nem aparecem no meu Instagram. Eles não estão relacionados a nada que eu interajo. Eu preferiria que a guia padrão fosse apenas para mútuos.</v>
      </c>
      <c r="I214" s="10" t="str">
        <f>IFERROR(__xludf.DUMMYFUNCTION("TRIM(REGEXREPLACE(H214,""[^a-zA-ZÀ-ú ]+"",""""))"),"Existem muitas pessoas aleatórias na minha linha do tempo O algoritmo é terrível porque eles nem aparecem no meu Instagram Eles não estão relacionados a nada que eu interajo Eu preferiria que a guia padrão fosse apenas para mútuos")</f>
        <v>Existem muitas pessoas aleatórias na minha linha do tempo O algoritmo é terrível porque eles nem aparecem no meu Instagram Eles não estão relacionados a nada que eu interajo Eu preferiria que a guia padrão fosse apenas para mútuos</v>
      </c>
      <c r="J214" s="3"/>
      <c r="K214" s="3"/>
      <c r="L214" s="3"/>
      <c r="M214" s="3"/>
      <c r="N214" s="3"/>
      <c r="O214" s="3"/>
      <c r="P214" s="3"/>
      <c r="Q214" s="3"/>
      <c r="R214" s="3"/>
      <c r="S214" s="3"/>
      <c r="T214" s="3"/>
      <c r="U214" s="3"/>
      <c r="V214" s="3"/>
      <c r="W214" s="3"/>
      <c r="X214" s="3"/>
      <c r="Y214" s="3"/>
      <c r="Z214" s="3"/>
      <c r="AA214" s="3"/>
    </row>
    <row r="215" ht="105.75" customHeight="1">
      <c r="A215" s="4" t="s">
        <v>9</v>
      </c>
      <c r="B215" s="5" t="s">
        <v>223</v>
      </c>
      <c r="C215" s="4">
        <v>3.0</v>
      </c>
      <c r="D215" s="6">
        <v>45115.455046296294</v>
      </c>
      <c r="E215" s="7" t="str">
        <f t="shared" si="1"/>
        <v>2023-07-08</v>
      </c>
      <c r="F215" s="8" t="str">
        <f t="shared" si="2"/>
        <v> 10:55:16</v>
      </c>
      <c r="G215" s="9" t="str">
        <f t="shared" si="3"/>
        <v>Manhã</v>
      </c>
      <c r="H215" s="10" t="str">
        <f>IFERROR(__xludf.DUMMYFUNCTION("GOOGLETRANSLATE(B215, ""en"", ""pt-br"")"),"Gosto de como o aplicativo é muito mais rápido e mais leve que outros, a interface do usuário é atraente, mas algumas coisas são muito necessárias para serem adicionadas ao aplicativo: 1.Trending 2. Pesquisa por Post Text 3. Salvando imagens para a Galeri"&amp;"a 4. Salvando/Bookmarking Tópicos 5. Modo de mark para telas OLED (completamente preto), isso pode ser opcional ""dois tipos de modo escuro e um modo de luz ou mais para escolher"" 6. Ao digitar palavras em inglês entre palavras de árabe erro)")</f>
        <v>Gosto de como o aplicativo é muito mais rápido e mais leve que outros, a interface do usuário é atraente, mas algumas coisas são muito necessárias para serem adicionadas ao aplicativo: 1.Trending 2. Pesquisa por Post Text 3. Salvando imagens para a Galeria 4. Salvando/Bookmarking Tópicos 5. Modo de mark para telas OLED (completamente preto), isso pode ser opcional "dois tipos de modo escuro e um modo de luz ou mais para escolher" 6. Ao digitar palavras em inglês entre palavras de árabe erro)</v>
      </c>
      <c r="I215" s="10" t="str">
        <f>IFERROR(__xludf.DUMMYFUNCTION("TRIM(REGEXREPLACE(H215,""[^a-zA-ZÀ-ú ]+"",""""))"),"Gosto de como o aplicativo é muito mais rápido e mais leve que outros a interface do usuário é atraente mas algumas coisas são muito necessárias para serem adicionadas ao aplicativo Trending Pesquisa por Post Text Salvando imagens para a Galeria SalvandoB"&amp;"ookmarking Tópicos Modo de mark para telas OLED completamente preto isso pode ser opcional dois tipos de modo escuro e um modo de luz ou mais para escolher Ao digitar palavras em inglês entre palavras de árabe erro")</f>
        <v>Gosto de como o aplicativo é muito mais rápido e mais leve que outros a interface do usuário é atraente mas algumas coisas são muito necessárias para serem adicionadas ao aplicativo Trending Pesquisa por Post Text Salvando imagens para a Galeria SalvandoBookmarking Tópicos Modo de mark para telas OLED completamente preto isso pode ser opcional dois tipos de modo escuro e um modo de luz ou mais para escolher Ao digitar palavras em inglês entre palavras de árabe erro</v>
      </c>
      <c r="J215" s="3"/>
      <c r="K215" s="3"/>
      <c r="L215" s="3"/>
      <c r="M215" s="3"/>
      <c r="N215" s="3"/>
      <c r="O215" s="3"/>
      <c r="P215" s="3"/>
      <c r="Q215" s="3"/>
      <c r="R215" s="3"/>
      <c r="S215" s="3"/>
      <c r="T215" s="3"/>
      <c r="U215" s="3"/>
      <c r="V215" s="3"/>
      <c r="W215" s="3"/>
      <c r="X215" s="3"/>
      <c r="Y215" s="3"/>
      <c r="Z215" s="3"/>
      <c r="AA215" s="3"/>
    </row>
    <row r="216" ht="105.75" customHeight="1">
      <c r="A216" s="4" t="s">
        <v>9</v>
      </c>
      <c r="B216" s="5" t="s">
        <v>224</v>
      </c>
      <c r="C216" s="4">
        <v>3.0</v>
      </c>
      <c r="D216" s="6">
        <v>45115.561689814815</v>
      </c>
      <c r="E216" s="7" t="str">
        <f t="shared" si="1"/>
        <v>2023-07-08</v>
      </c>
      <c r="F216" s="8" t="str">
        <f t="shared" si="2"/>
        <v> 13:28:50</v>
      </c>
      <c r="G216" s="9" t="str">
        <f t="shared" si="3"/>
        <v>Tarde</v>
      </c>
      <c r="H216" s="10" t="str">
        <f>IFERROR(__xludf.DUMMYFUNCTION("GOOGLETRANSLATE(B216, ""en"", ""pt-br"")"),"Esta é uma sugestão rápida! Enquanto carregam arquivos, não há opção de navegar para sub -diretórios ... você só tem uma opção de fazer upload via galeria como um todo ... quero dizer, apenas toda a mídia do telefone é visível. Nenhuma opção de navegação "&amp;"para o subdiretório está disponível ... por favor, incorpore a mudança.")</f>
        <v>Esta é uma sugestão rápida! Enquanto carregam arquivos, não há opção de navegar para sub -diretórios ... você só tem uma opção de fazer upload via galeria como um todo ... quero dizer, apenas toda a mídia do telefone é visível. Nenhuma opção de navegação para o subdiretório está disponível ... por favor, incorpore a mudança.</v>
      </c>
      <c r="I216" s="10" t="str">
        <f>IFERROR(__xludf.DUMMYFUNCTION("TRIM(REGEXREPLACE(H216,""[^a-zA-ZÀ-ú ]+"",""""))"),"Esta é uma sugestão rápida Enquanto carregam arquivos não há opção de navegar para sub diretórios você só tem uma opção de fazer upload via galeria como um todo quero dizer apenas toda a mídia do telefone é visível Nenhuma opção de navegação para o subdir"&amp;"etório está disponível por favor incorpore a mudança")</f>
        <v>Esta é uma sugestão rápida Enquanto carregam arquivos não há opção de navegar para sub diretórios você só tem uma opção de fazer upload via galeria como um todo quero dizer apenas toda a mídia do telefone é visível Nenhuma opção de navegação para o subdiretório está disponível por favor incorpore a mudança</v>
      </c>
      <c r="J216" s="3"/>
      <c r="K216" s="3"/>
      <c r="L216" s="3"/>
      <c r="M216" s="3"/>
      <c r="N216" s="3"/>
      <c r="O216" s="3"/>
      <c r="P216" s="3"/>
      <c r="Q216" s="3"/>
      <c r="R216" s="3"/>
      <c r="S216" s="3"/>
      <c r="T216" s="3"/>
      <c r="U216" s="3"/>
      <c r="V216" s="3"/>
      <c r="W216" s="3"/>
      <c r="X216" s="3"/>
      <c r="Y216" s="3"/>
      <c r="Z216" s="3"/>
      <c r="AA216" s="3"/>
    </row>
    <row r="217" ht="105.75" customHeight="1">
      <c r="A217" s="4" t="s">
        <v>9</v>
      </c>
      <c r="B217" s="5" t="s">
        <v>225</v>
      </c>
      <c r="C217" s="4">
        <v>3.0</v>
      </c>
      <c r="D217" s="6">
        <v>45113.64917824074</v>
      </c>
      <c r="E217" s="7" t="str">
        <f t="shared" si="1"/>
        <v>2023-07-06</v>
      </c>
      <c r="F217" s="8" t="str">
        <f t="shared" si="2"/>
        <v> 15:34:49</v>
      </c>
      <c r="G217" s="9" t="str">
        <f t="shared" si="3"/>
        <v>Tarde</v>
      </c>
      <c r="H217" s="10" t="str">
        <f>IFERROR(__xludf.DUMMYFUNCTION("GOOGLETRANSLATE(B217, ""en"", ""pt-br"")"),"Até agora, o hype é promissor. No entanto, se você puder ajustar o botão ""Postar"" depois de digitar uma mensagem, tenho que clicar no botão ""Voltar"" para acessar o botão ""Post"", que será escondido atrás do teclado. Meio inconveniente - mas é claro q"&amp;"ue ainda não é o produto acabado ....")</f>
        <v>Até agora, o hype é promissor. No entanto, se você puder ajustar o botão "Postar" depois de digitar uma mensagem, tenho que clicar no botão "Voltar" para acessar o botão "Post", que será escondido atrás do teclado. Meio inconveniente - mas é claro que ainda não é o produto acabado ....</v>
      </c>
      <c r="I217" s="10" t="str">
        <f>IFERROR(__xludf.DUMMYFUNCTION("TRIM(REGEXREPLACE(H217,""[^a-zA-ZÀ-ú ]+"",""""))"),"Até agora o hype é promissor No entanto se você puder ajustar o botão Postar depois de digitar uma mensagem tenho que clicar no botão Voltar para acessar o botão Post que será escondido atrás do teclado Meio inconveniente mas é claro que ainda não é o pro"&amp;"duto acabado")</f>
        <v>Até agora o hype é promissor No entanto se você puder ajustar o botão Postar depois de digitar uma mensagem tenho que clicar no botão Voltar para acessar o botão Post que será escondido atrás do teclado Meio inconveniente mas é claro que ainda não é o produto acabado</v>
      </c>
      <c r="J217" s="3"/>
      <c r="K217" s="3"/>
      <c r="L217" s="3"/>
      <c r="M217" s="3"/>
      <c r="N217" s="3"/>
      <c r="O217" s="3"/>
      <c r="P217" s="3"/>
      <c r="Q217" s="3"/>
      <c r="R217" s="3"/>
      <c r="S217" s="3"/>
      <c r="T217" s="3"/>
      <c r="U217" s="3"/>
      <c r="V217" s="3"/>
      <c r="W217" s="3"/>
      <c r="X217" s="3"/>
      <c r="Y217" s="3"/>
      <c r="Z217" s="3"/>
      <c r="AA217" s="3"/>
    </row>
    <row r="218" ht="105.75" customHeight="1">
      <c r="A218" s="4" t="s">
        <v>9</v>
      </c>
      <c r="B218" s="5" t="s">
        <v>226</v>
      </c>
      <c r="C218" s="4">
        <v>3.0</v>
      </c>
      <c r="D218" s="6">
        <v>45114.36686342592</v>
      </c>
      <c r="E218" s="7" t="str">
        <f t="shared" si="1"/>
        <v>2023-07-07</v>
      </c>
      <c r="F218" s="8" t="str">
        <f t="shared" si="2"/>
        <v> 08:48:17</v>
      </c>
      <c r="G218" s="9" t="str">
        <f t="shared" si="3"/>
        <v>Manhã</v>
      </c>
      <c r="H218" s="10" t="str">
        <f>IFERROR(__xludf.DUMMYFUNCTION("GOOGLETRANSLATE(B218, ""en"", ""pt-br"")"),"Bom aplicativo para os primeiros dias, mas gostaria de ver rápida adoção de recursos mais padrão, como um botão de classificação na página inicial, melhores recursos de pesquisa, uma lista de amigos dedicados e melhor integração com os outros meta aplicat"&amp;"ivos. Ótimo para um produto de lançamento.")</f>
        <v>Bom aplicativo para os primeiros dias, mas gostaria de ver rápida adoção de recursos mais padrão, como um botão de classificação na página inicial, melhores recursos de pesquisa, uma lista de amigos dedicados e melhor integração com os outros meta aplicativos. Ótimo para um produto de lançamento.</v>
      </c>
      <c r="I218" s="10" t="str">
        <f>IFERROR(__xludf.DUMMYFUNCTION("TRIM(REGEXREPLACE(H218,""[^a-zA-ZÀ-ú ]+"",""""))"),"Bom aplicativo para os primeiros dias mas gostaria de ver rápida adoção de recursos mais padrão como um botão de classificação na página inicial melhores recursos de pesquisa uma lista de amigos dedicados e melhor integração com os outros meta aplicativos"&amp;" Ótimo para um produto de lançamento")</f>
        <v>Bom aplicativo para os primeiros dias mas gostaria de ver rápida adoção de recursos mais padrão como um botão de classificação na página inicial melhores recursos de pesquisa uma lista de amigos dedicados e melhor integração com os outros meta aplicativos Ótimo para um produto de lançamento</v>
      </c>
      <c r="J218" s="3"/>
      <c r="K218" s="3"/>
      <c r="L218" s="3"/>
      <c r="M218" s="3"/>
      <c r="N218" s="3"/>
      <c r="O218" s="3"/>
      <c r="P218" s="3"/>
      <c r="Q218" s="3"/>
      <c r="R218" s="3"/>
      <c r="S218" s="3"/>
      <c r="T218" s="3"/>
      <c r="U218" s="3"/>
      <c r="V218" s="3"/>
      <c r="W218" s="3"/>
      <c r="X218" s="3"/>
      <c r="Y218" s="3"/>
      <c r="Z218" s="3"/>
      <c r="AA218" s="3"/>
    </row>
    <row r="219" ht="105.75" customHeight="1">
      <c r="A219" s="4" t="s">
        <v>9</v>
      </c>
      <c r="B219" s="5" t="s">
        <v>227</v>
      </c>
      <c r="C219" s="4">
        <v>2.0</v>
      </c>
      <c r="D219" s="6">
        <v>45115.55378472222</v>
      </c>
      <c r="E219" s="7" t="str">
        <f t="shared" si="1"/>
        <v>2023-07-08</v>
      </c>
      <c r="F219" s="8" t="str">
        <f t="shared" si="2"/>
        <v> 13:17:27</v>
      </c>
      <c r="G219" s="9" t="str">
        <f t="shared" si="3"/>
        <v>Tarde</v>
      </c>
      <c r="H219" s="10" t="str">
        <f>IFERROR(__xludf.DUMMYFUNCTION("GOOGLETRANSLATE(B219, ""en"", ""pt-br"")"),"Até agora, uma interface suave, mas estes devem ser trabalhados; a) O aplicativo não tem tema sombrio, ele bate quando você tenta vincular as configurações do Instagram. b) Para ser mais interativo, os usuários devem ler cotações. c) Você não pode salvar/"&amp;"baixar mídia. d) Ter uma tabela de tendência ampliaria o discurso público. e) A página de perfil parece sem graça, um cabeçalho deve ser adicionado e, em seguida, um elevador de rosto. f) Ao digitar, meu Keboard cobre meu texto. Não consigo ver o que digi"&amp;"to. g) Um recurso DM deve ser adicionado. h) As configurações de aplicativos tornaram independentes.")</f>
        <v>Até agora, uma interface suave, mas estes devem ser trabalhados; a) O aplicativo não tem tema sombrio, ele bate quando você tenta vincular as configurações do Instagram. b) Para ser mais interativo, os usuários devem ler cotações. c) Você não pode salvar/baixar mídia. d) Ter uma tabela de tendência ampliaria o discurso público. e) A página de perfil parece sem graça, um cabeçalho deve ser adicionado e, em seguida, um elevador de rosto. f) Ao digitar, meu Keboard cobre meu texto. Não consigo ver o que digito. g) Um recurso DM deve ser adicionado. h) As configurações de aplicativos tornaram independentes.</v>
      </c>
      <c r="I219" s="10" t="str">
        <f>IFERROR(__xludf.DUMMYFUNCTION("TRIM(REGEXREPLACE(H219,""[^a-zA-ZÀ-ú ]+"",""""))"),"Até agora uma interface suave mas estes devem ser trabalhados a O aplicativo não tem tema sombrio ele bate quando você tenta vincular as configurações do Instagram b Para ser mais interativo os usuários devem ler cotações c Você não pode salvarbaixar mídi"&amp;"a d Ter uma tabela de tendência ampliaria o discurso público e A página de perfil parece sem graça um cabeçalho deve ser adicionado e em seguida um elevador de rosto f Ao digitar meu Keboard cobre meu texto Não consigo ver o que digito g Um recurso DM dev"&amp;"e ser adicionado h As configurações de aplicativos tornaram independentes")</f>
        <v>Até agora uma interface suave mas estes devem ser trabalhados a O aplicativo não tem tema sombrio ele bate quando você tenta vincular as configurações do Instagram b Para ser mais interativo os usuários devem ler cotações c Você não pode salvarbaixar mídia d Ter uma tabela de tendência ampliaria o discurso público e A página de perfil parece sem graça um cabeçalho deve ser adicionado e em seguida um elevador de rosto f Ao digitar meu Keboard cobre meu texto Não consigo ver o que digito g Um recurso DM deve ser adicionado h As configurações de aplicativos tornaram independentes</v>
      </c>
      <c r="J219" s="3"/>
      <c r="K219" s="3"/>
      <c r="L219" s="3"/>
      <c r="M219" s="3"/>
      <c r="N219" s="3"/>
      <c r="O219" s="3"/>
      <c r="P219" s="3"/>
      <c r="Q219" s="3"/>
      <c r="R219" s="3"/>
      <c r="S219" s="3"/>
      <c r="T219" s="3"/>
      <c r="U219" s="3"/>
      <c r="V219" s="3"/>
      <c r="W219" s="3"/>
      <c r="X219" s="3"/>
      <c r="Y219" s="3"/>
      <c r="Z219" s="3"/>
      <c r="AA219" s="3"/>
    </row>
    <row r="220" ht="105.75" customHeight="1">
      <c r="A220" s="4" t="s">
        <v>9</v>
      </c>
      <c r="B220" s="5" t="s">
        <v>228</v>
      </c>
      <c r="C220" s="4">
        <v>3.0</v>
      </c>
      <c r="D220" s="6">
        <v>45116.61883101852</v>
      </c>
      <c r="E220" s="7" t="str">
        <f t="shared" si="1"/>
        <v>2023-07-09</v>
      </c>
      <c r="F220" s="8" t="str">
        <f t="shared" si="2"/>
        <v> 14:51:07</v>
      </c>
      <c r="G220" s="9" t="str">
        <f t="shared" si="3"/>
        <v>Tarde</v>
      </c>
      <c r="H220" s="10" t="str">
        <f>IFERROR(__xludf.DUMMYFUNCTION("GOOGLETRANSLATE(B220, ""en"", ""pt-br"")"),"Nada mal como um novo aplicativo. No entanto, ele precisa de algumas melhorias dos recursos, além de alguns novos recursos ... Espero também que ele possa navegar por diferentes contas, como o Instagram. Eu tenho várias contas para vários propósitos e gos"&amp;"taria de ter contas de threads separadas que são facilmente navegadas.")</f>
        <v>Nada mal como um novo aplicativo. No entanto, ele precisa de algumas melhorias dos recursos, além de alguns novos recursos ... Espero também que ele possa navegar por diferentes contas, como o Instagram. Eu tenho várias contas para vários propósitos e gostaria de ter contas de threads separadas que são facilmente navegadas.</v>
      </c>
      <c r="I220" s="10" t="str">
        <f>IFERROR(__xludf.DUMMYFUNCTION("TRIM(REGEXREPLACE(H220,""[^a-zA-ZÀ-ú ]+"",""""))"),"Nada mal como um novo aplicativo No entanto ele precisa de algumas melhorias dos recursos além de alguns novos recursos Espero também que ele possa navegar por diferentes contas como o Instagram Eu tenho várias contas para vários propósitos e gostaria de "&amp;"ter contas de threads separadas que são facilmente navegadas")</f>
        <v>Nada mal como um novo aplicativo No entanto ele precisa de algumas melhorias dos recursos além de alguns novos recursos Espero também que ele possa navegar por diferentes contas como o Instagram Eu tenho várias contas para vários propósitos e gostaria de ter contas de threads separadas que são facilmente navegadas</v>
      </c>
      <c r="J220" s="3"/>
      <c r="K220" s="3"/>
      <c r="L220" s="3"/>
      <c r="M220" s="3"/>
      <c r="N220" s="3"/>
      <c r="O220" s="3"/>
      <c r="P220" s="3"/>
      <c r="Q220" s="3"/>
      <c r="R220" s="3"/>
      <c r="S220" s="3"/>
      <c r="T220" s="3"/>
      <c r="U220" s="3"/>
      <c r="V220" s="3"/>
      <c r="W220" s="3"/>
      <c r="X220" s="3"/>
      <c r="Y220" s="3"/>
      <c r="Z220" s="3"/>
      <c r="AA220" s="3"/>
    </row>
    <row r="221" ht="105.75" customHeight="1">
      <c r="A221" s="4" t="s">
        <v>9</v>
      </c>
      <c r="B221" s="5" t="s">
        <v>229</v>
      </c>
      <c r="C221" s="4">
        <v>3.0</v>
      </c>
      <c r="D221" s="6">
        <v>45117.785</v>
      </c>
      <c r="E221" s="7" t="str">
        <f t="shared" si="1"/>
        <v>2023-07-10</v>
      </c>
      <c r="F221" s="8" t="str">
        <f t="shared" si="2"/>
        <v> 18:50:24</v>
      </c>
      <c r="G221" s="9" t="str">
        <f t="shared" si="3"/>
        <v>Noite</v>
      </c>
      <c r="H221" s="10" t="str">
        <f>IFERROR(__xludf.DUMMYFUNCTION("GOOGLETRANSLATE(B221, ""en"", ""pt-br"")"),"No geral, uma boa experiência até agora, no entanto, poderia ser melhorada. Eu o usei apenas por um dia, mas a incapacidade de pesquisar adequadamente os tópicos me faz sentir como se eu veja postagens irrelevantes para mim do que as postagens com as quai"&amp;"s posso me relacionar. Seria útil ter hashtags disponíveis, mas eu entendo que, no momento, o aplicativo é um novo lançamento e ainda tem muito desenvolvimento. Esperançosamente, será capaz de dar cinco estrelas no futuro.")</f>
        <v>No geral, uma boa experiência até agora, no entanto, poderia ser melhorada. Eu o usei apenas por um dia, mas a incapacidade de pesquisar adequadamente os tópicos me faz sentir como se eu veja postagens irrelevantes para mim do que as postagens com as quais posso me relacionar. Seria útil ter hashtags disponíveis, mas eu entendo que, no momento, o aplicativo é um novo lançamento e ainda tem muito desenvolvimento. Esperançosamente, será capaz de dar cinco estrelas no futuro.</v>
      </c>
      <c r="I221" s="10" t="str">
        <f>IFERROR(__xludf.DUMMYFUNCTION("TRIM(REGEXREPLACE(H221,""[^a-zA-ZÀ-ú ]+"",""""))"),"No geral uma boa experiência até agora no entanto poderia ser melhorada Eu o usei apenas por um dia mas a incapacidade de pesquisar adequadamente os tópicos me faz sentir como se eu veja postagens irrelevantes para mim do que as postagens com as quais pos"&amp;"so me relacionar Seria útil ter hashtags disponíveis mas eu entendo que no momento o aplicativo é um novo lançamento e ainda tem muito desenvolvimento Esperançosamente será capaz de dar cinco estrelas no futuro")</f>
        <v>No geral uma boa experiência até agora no entanto poderia ser melhorada Eu o usei apenas por um dia mas a incapacidade de pesquisar adequadamente os tópicos me faz sentir como se eu veja postagens irrelevantes para mim do que as postagens com as quais posso me relacionar Seria útil ter hashtags disponíveis mas eu entendo que no momento o aplicativo é um novo lançamento e ainda tem muito desenvolvimento Esperançosamente será capaz de dar cinco estrelas no futuro</v>
      </c>
      <c r="J221" s="3"/>
      <c r="K221" s="3"/>
      <c r="L221" s="3"/>
      <c r="M221" s="3"/>
      <c r="N221" s="3"/>
      <c r="O221" s="3"/>
      <c r="P221" s="3"/>
      <c r="Q221" s="3"/>
      <c r="R221" s="3"/>
      <c r="S221" s="3"/>
      <c r="T221" s="3"/>
      <c r="U221" s="3"/>
      <c r="V221" s="3"/>
      <c r="W221" s="3"/>
      <c r="X221" s="3"/>
      <c r="Y221" s="3"/>
      <c r="Z221" s="3"/>
      <c r="AA221" s="3"/>
    </row>
    <row r="222" ht="105.75" customHeight="1">
      <c r="A222" s="4" t="s">
        <v>9</v>
      </c>
      <c r="B222" s="5" t="s">
        <v>230</v>
      </c>
      <c r="C222" s="4">
        <v>1.0</v>
      </c>
      <c r="D222" s="6">
        <v>45114.86798611111</v>
      </c>
      <c r="E222" s="7" t="str">
        <f t="shared" si="1"/>
        <v>2023-07-07</v>
      </c>
      <c r="F222" s="8" t="str">
        <f t="shared" si="2"/>
        <v> 20:49:54</v>
      </c>
      <c r="G222" s="9" t="str">
        <f t="shared" si="3"/>
        <v>Noite</v>
      </c>
      <c r="H222" s="10" t="str">
        <f>IFERROR(__xludf.DUMMYFUNCTION("GOOGLETRANSLATE(B222, ""en"", ""pt-br"")"),"Super Buggy, os anexos travam o aplicativo sempre que tento um como resposta, ou se era uma captura de tela na minha galeria, ou se é uma imagem grande. Além disso, meu teclado aparece e cobre o que estou digitando para que eu não possa ver erros de digit"&amp;"ação. Aplicativo super polido.")</f>
        <v>Super Buggy, os anexos travam o aplicativo sempre que tento um como resposta, ou se era uma captura de tela na minha galeria, ou se é uma imagem grande. Além disso, meu teclado aparece e cobre o que estou digitando para que eu não possa ver erros de digitação. Aplicativo super polido.</v>
      </c>
      <c r="I222" s="10" t="str">
        <f>IFERROR(__xludf.DUMMYFUNCTION("TRIM(REGEXREPLACE(H222,""[^a-zA-ZÀ-ú ]+"",""""))"),"Super Buggy os anexos travam o aplicativo sempre que tento um como resposta ou se era uma captura de tela na minha galeria ou se é uma imagem grande Além disso meu teclado aparece e cobre o que estou digitando para que eu não possa ver erros de digitação "&amp;"Aplicativo super polido")</f>
        <v>Super Buggy os anexos travam o aplicativo sempre que tento um como resposta ou se era uma captura de tela na minha galeria ou se é uma imagem grande Além disso meu teclado aparece e cobre o que estou digitando para que eu não possa ver erros de digitação Aplicativo super polido</v>
      </c>
      <c r="J222" s="3"/>
      <c r="K222" s="3"/>
      <c r="L222" s="3"/>
      <c r="M222" s="3"/>
      <c r="N222" s="3"/>
      <c r="O222" s="3"/>
      <c r="P222" s="3"/>
      <c r="Q222" s="3"/>
      <c r="R222" s="3"/>
      <c r="S222" s="3"/>
      <c r="T222" s="3"/>
      <c r="U222" s="3"/>
      <c r="V222" s="3"/>
      <c r="W222" s="3"/>
      <c r="X222" s="3"/>
      <c r="Y222" s="3"/>
      <c r="Z222" s="3"/>
      <c r="AA222" s="3"/>
    </row>
    <row r="223" ht="105.75" customHeight="1">
      <c r="A223" s="4" t="s">
        <v>9</v>
      </c>
      <c r="B223" s="5" t="s">
        <v>231</v>
      </c>
      <c r="C223" s="4">
        <v>3.0</v>
      </c>
      <c r="D223" s="6">
        <v>45114.06686342593</v>
      </c>
      <c r="E223" s="7" t="str">
        <f t="shared" si="1"/>
        <v>2023-07-07</v>
      </c>
      <c r="F223" s="8" t="str">
        <f t="shared" si="2"/>
        <v> 01:36:17</v>
      </c>
      <c r="G223" s="9" t="str">
        <f t="shared" si="3"/>
        <v>Manhã</v>
      </c>
      <c r="H223" s="10" t="str">
        <f>IFERROR(__xludf.DUMMYFUNCTION("GOOGLETRANSLATE(B223, ""en"", ""pt-br"")"),"PROS -Amigável Design da interface do usuário -Transferência de conta fácil -A adição em conformidade com o Instagram Contras -Default for You/Página seguinte junto -Pesquisa Pesquisa Usuários e não palavras -chave, menciona ou tags -No Função de mensagen"&amp;"s através de threads -no ""explorando"" página (página (página de exploração ""( Semelhante ao da página ""Search"" do Instagram, tenho certeza de que os contras que listados estão programados para serem atualizados/alterados/implementados; no entanto, co"&amp;"ntras como esses deveriam ter sido considerados antes do lançamento. Considerando a competição.")</f>
        <v>PROS -Amigável Design da interface do usuário -Transferência de conta fácil -A adição em conformidade com o Instagram Contras -Default for You/Página seguinte junto -Pesquisa Pesquisa Usuários e não palavras -chave, menciona ou tags -No Função de mensagens através de threads -no "explorando" página (página (página de exploração "( Semelhante ao da página "Search" do Instagram, tenho certeza de que os contras que listados estão programados para serem atualizados/alterados/implementados; no entanto, contras como esses deveriam ter sido considerados antes do lançamento. Considerando a competição.</v>
      </c>
      <c r="I223" s="10" t="str">
        <f>IFERROR(__xludf.DUMMYFUNCTION("TRIM(REGEXREPLACE(H223,""[^a-zA-ZÀ-ú ]+"",""""))"),"PROS Amigável Design da interface do usuário Transferência de conta fácil A adição em conformidade com o Instagram Contras Default for YouPágina seguinte junto Pesquisa Pesquisa Usuários e não palavras chave menciona ou tags No Função de mensagens através"&amp;" de threads no explorando página página página de exploração Semelhante ao da página Search do Instagram tenho certeza de que os contras que listados estão programados para serem atualizadosalteradosimplementados no entanto contras como esses deveriam ter"&amp;" sido considerados antes do lançamento Considerando a competição")</f>
        <v>PROS Amigável Design da interface do usuário Transferência de conta fácil A adição em conformidade com o Instagram Contras Default for YouPágina seguinte junto Pesquisa Pesquisa Usuários e não palavras chave menciona ou tags No Função de mensagens através de threads no explorando página página página de exploração Semelhante ao da página Search do Instagram tenho certeza de que os contras que listados estão programados para serem atualizadosalteradosimplementados no entanto contras como esses deveriam ter sido considerados antes do lançamento Considerando a competição</v>
      </c>
      <c r="J223" s="3"/>
      <c r="K223" s="3"/>
      <c r="L223" s="3"/>
      <c r="M223" s="3"/>
      <c r="N223" s="3"/>
      <c r="O223" s="3"/>
      <c r="P223" s="3"/>
      <c r="Q223" s="3"/>
      <c r="R223" s="3"/>
      <c r="S223" s="3"/>
      <c r="T223" s="3"/>
      <c r="U223" s="3"/>
      <c r="V223" s="3"/>
      <c r="W223" s="3"/>
      <c r="X223" s="3"/>
      <c r="Y223" s="3"/>
      <c r="Z223" s="3"/>
      <c r="AA223" s="3"/>
    </row>
    <row r="224" ht="105.75" customHeight="1">
      <c r="A224" s="4" t="s">
        <v>9</v>
      </c>
      <c r="B224" s="5" t="s">
        <v>232</v>
      </c>
      <c r="C224" s="4">
        <v>3.0</v>
      </c>
      <c r="D224" s="6">
        <v>45115.26429398148</v>
      </c>
      <c r="E224" s="7" t="str">
        <f t="shared" si="1"/>
        <v>2023-07-08</v>
      </c>
      <c r="F224" s="8" t="str">
        <f t="shared" si="2"/>
        <v> 06:20:35</v>
      </c>
      <c r="G224" s="9" t="str">
        <f t="shared" si="3"/>
        <v>Manhã</v>
      </c>
      <c r="H224" s="10" t="str">
        <f>IFERROR(__xludf.DUMMYFUNCTION("GOOGLETRANSLATE(B224, ""en"", ""pt-br"")"),"A experiência do usuário até agora é boa, limpa e arrumada e fácil de navegar, meu maior problema com ele, que não há modo escuro até agora, e as pessoas que seguem você podem encontrar facilmente e segui -lo, o que é uma coisa que Devo escolher em vez do"&amp;" sistema escolher para mim, reconheço que é um aplicativo do Instagram, mas quando se trata da escolha do usuário, é melhor deixar as seguintes coisas os usuários, não automaticamente, você encontra a mesma lista que migra para tópicos..")</f>
        <v>A experiência do usuário até agora é boa, limpa e arrumada e fácil de navegar, meu maior problema com ele, que não há modo escuro até agora, e as pessoas que seguem você podem encontrar facilmente e segui -lo, o que é uma coisa que Devo escolher em vez do sistema escolher para mim, reconheço que é um aplicativo do Instagram, mas quando se trata da escolha do usuário, é melhor deixar as seguintes coisas os usuários, não automaticamente, você encontra a mesma lista que migra para tópicos..</v>
      </c>
      <c r="I224" s="10" t="str">
        <f>IFERROR(__xludf.DUMMYFUNCTION("TRIM(REGEXREPLACE(H224,""[^a-zA-ZÀ-ú ]+"",""""))"),"A experiência do usuário até agora é boa limpa e arrumada e fácil de navegar meu maior problema com ele que não há modo escuro até agora e as pessoas que seguem você podem encontrar facilmente e segui lo o que é uma coisa que Devo escolher em vez do siste"&amp;"ma escolher para mim reconheço que é um aplicativo do Instagram mas quando se trata da escolha do usuário é melhor deixar as seguintes coisas os usuários não automaticamente você encontra a mesma lista que migra para tópicos")</f>
        <v>A experiência do usuário até agora é boa limpa e arrumada e fácil de navegar meu maior problema com ele que não há modo escuro até agora e as pessoas que seguem você podem encontrar facilmente e segui lo o que é uma coisa que Devo escolher em vez do sistema escolher para mim reconheço que é um aplicativo do Instagram mas quando se trata da escolha do usuário é melhor deixar as seguintes coisas os usuários não automaticamente você encontra a mesma lista que migra para tópicos</v>
      </c>
      <c r="J224" s="3"/>
      <c r="K224" s="3"/>
      <c r="L224" s="3"/>
      <c r="M224" s="3"/>
      <c r="N224" s="3"/>
      <c r="O224" s="3"/>
      <c r="P224" s="3"/>
      <c r="Q224" s="3"/>
      <c r="R224" s="3"/>
      <c r="S224" s="3"/>
      <c r="T224" s="3"/>
      <c r="U224" s="3"/>
      <c r="V224" s="3"/>
      <c r="W224" s="3"/>
      <c r="X224" s="3"/>
      <c r="Y224" s="3"/>
      <c r="Z224" s="3"/>
      <c r="AA224" s="3"/>
    </row>
    <row r="225" ht="105.75" customHeight="1">
      <c r="A225" s="4" t="s">
        <v>9</v>
      </c>
      <c r="B225" s="5" t="s">
        <v>233</v>
      </c>
      <c r="C225" s="4">
        <v>3.0</v>
      </c>
      <c r="D225" s="6">
        <v>45114.04331018519</v>
      </c>
      <c r="E225" s="7" t="str">
        <f t="shared" si="1"/>
        <v>2023-07-07</v>
      </c>
      <c r="F225" s="8" t="str">
        <f t="shared" si="2"/>
        <v> 01:02:22</v>
      </c>
      <c r="G225" s="9" t="str">
        <f t="shared" si="3"/>
        <v>Manhã</v>
      </c>
      <c r="H225" s="10" t="str">
        <f>IFERROR(__xludf.DUMMYFUNCTION("GOOGLETRANSLATE(B225, ""en"", ""pt-br"")"),"É um ótimo aplicativo. mas ainda preciso de uma melhoria. Seria ótimo se você envie uma mensagem para compartilhar um tópico para seu amigo, porque agora o compartilhamento de outro aplicativo é a única maneira. Talvez um recurso para conhecer pessoas que"&amp;" o seguem de volta e visualize thread gostou. Por último, adicione a capacidade de adicionar GIF ao seu tópico.")</f>
        <v>É um ótimo aplicativo. mas ainda preciso de uma melhoria. Seria ótimo se você envie uma mensagem para compartilhar um tópico para seu amigo, porque agora o compartilhamento de outro aplicativo é a única maneira. Talvez um recurso para conhecer pessoas que o seguem de volta e visualize thread gostou. Por último, adicione a capacidade de adicionar GIF ao seu tópico.</v>
      </c>
      <c r="I225" s="10" t="str">
        <f>IFERROR(__xludf.DUMMYFUNCTION("TRIM(REGEXREPLACE(H225,""[^a-zA-ZÀ-ú ]+"",""""))"),"É um ótimo aplicativo mas ainda preciso de uma melhoria Seria ótimo se você envie uma mensagem para compartilhar um tópico para seu amigo porque agora o compartilhamento de outro aplicativo é a única maneira Talvez um recurso para conhecer pessoas que o s"&amp;"eguem de volta e visualize thread gostou Por último adicione a capacidade de adicionar GIF ao seu tópico")</f>
        <v>É um ótimo aplicativo mas ainda preciso de uma melhoria Seria ótimo se você envie uma mensagem para compartilhar um tópico para seu amigo porque agora o compartilhamento de outro aplicativo é a única maneira Talvez um recurso para conhecer pessoas que o seguem de volta e visualize thread gostou Por último adicione a capacidade de adicionar GIF ao seu tópico</v>
      </c>
      <c r="J225" s="3"/>
      <c r="K225" s="3"/>
      <c r="L225" s="3"/>
      <c r="M225" s="3"/>
      <c r="N225" s="3"/>
      <c r="O225" s="3"/>
      <c r="P225" s="3"/>
      <c r="Q225" s="3"/>
      <c r="R225" s="3"/>
      <c r="S225" s="3"/>
      <c r="T225" s="3"/>
      <c r="U225" s="3"/>
      <c r="V225" s="3"/>
      <c r="W225" s="3"/>
      <c r="X225" s="3"/>
      <c r="Y225" s="3"/>
      <c r="Z225" s="3"/>
      <c r="AA225" s="3"/>
    </row>
    <row r="226" ht="105.75" customHeight="1">
      <c r="A226" s="4" t="s">
        <v>9</v>
      </c>
      <c r="B226" s="5" t="s">
        <v>234</v>
      </c>
      <c r="C226" s="4">
        <v>4.0</v>
      </c>
      <c r="D226" s="6">
        <v>45115.55505787037</v>
      </c>
      <c r="E226" s="7" t="str">
        <f t="shared" si="1"/>
        <v>2023-07-08</v>
      </c>
      <c r="F226" s="8" t="str">
        <f t="shared" si="2"/>
        <v> 13:19:17</v>
      </c>
      <c r="G226" s="9" t="str">
        <f t="shared" si="3"/>
        <v>Tarde</v>
      </c>
      <c r="H226" s="10" t="str">
        <f>IFERROR(__xludf.DUMMYFUNCTION("GOOGLETRANSLATE(B226, ""en"", ""pt-br"")"),"Faltam alguns recursos no momento, o que é compreensível e estou ansioso por atualizações futuras, mas há um enorme problema para mim neste aplicativo. Eu tento fazer upload de mais de uma foto que ele trava e se recusa a abrir por alguns minutos HopeFu, "&amp;"isso pode ser consertado")</f>
        <v>Faltam alguns recursos no momento, o que é compreensível e estou ansioso por atualizações futuras, mas há um enorme problema para mim neste aplicativo. Eu tento fazer upload de mais de uma foto que ele trava e se recusa a abrir por alguns minutos HopeFu, isso pode ser consertado</v>
      </c>
      <c r="I226" s="10" t="str">
        <f>IFERROR(__xludf.DUMMYFUNCTION("TRIM(REGEXREPLACE(H226,""[^a-zA-ZÀ-ú ]+"",""""))"),"Faltam alguns recursos no momento o que é compreensível e estou ansioso por atualizações futuras mas há um enorme problema para mim neste aplicativo Eu tento fazer upload de mais de uma foto que ele trava e se recusa a abrir por alguns minutos HopeFu isso"&amp;" pode ser consertado")</f>
        <v>Faltam alguns recursos no momento o que é compreensível e estou ansioso por atualizações futuras mas há um enorme problema para mim neste aplicativo Eu tento fazer upload de mais de uma foto que ele trava e se recusa a abrir por alguns minutos HopeFu isso pode ser consertado</v>
      </c>
      <c r="J226" s="3"/>
      <c r="K226" s="3"/>
      <c r="L226" s="3"/>
      <c r="M226" s="3"/>
      <c r="N226" s="3"/>
      <c r="O226" s="3"/>
      <c r="P226" s="3"/>
      <c r="Q226" s="3"/>
      <c r="R226" s="3"/>
      <c r="S226" s="3"/>
      <c r="T226" s="3"/>
      <c r="U226" s="3"/>
      <c r="V226" s="3"/>
      <c r="W226" s="3"/>
      <c r="X226" s="3"/>
      <c r="Y226" s="3"/>
      <c r="Z226" s="3"/>
      <c r="AA226" s="3"/>
    </row>
    <row r="227" ht="105.75" customHeight="1">
      <c r="A227" s="4" t="s">
        <v>9</v>
      </c>
      <c r="B227" s="5" t="s">
        <v>235</v>
      </c>
      <c r="C227" s="4">
        <v>2.0</v>
      </c>
      <c r="D227" s="6">
        <v>45122.1794212963</v>
      </c>
      <c r="E227" s="7" t="str">
        <f t="shared" si="1"/>
        <v>2023-07-15</v>
      </c>
      <c r="F227" s="8" t="str">
        <f t="shared" si="2"/>
        <v> 04:18:22</v>
      </c>
      <c r="G227" s="9" t="str">
        <f t="shared" si="3"/>
        <v>Manhã</v>
      </c>
      <c r="H227" s="10" t="str">
        <f>IFERROR(__xludf.DUMMYFUNCTION("GOOGLETRANSLATE(B227, ""en"", ""pt-br"")"),"Não encontrei muitos problemas, principalmente porque não sou muito pôster, por isso não estou adicionando fotos e tudo mais, mas nos últimos dias meu feed está cheio de contas que não sigo. Às vezes é porque alguém que eu sigo comentou ou repensou, mas e"&amp;"sse geralmente não é mais o caso. Eu uso o aplicativo para acompanhar e me envolver com as pessoas que eu realmente sigo, nem todo mundo")</f>
        <v>Não encontrei muitos problemas, principalmente porque não sou muito pôster, por isso não estou adicionando fotos e tudo mais, mas nos últimos dias meu feed está cheio de contas que não sigo. Às vezes é porque alguém que eu sigo comentou ou repensou, mas esse geralmente não é mais o caso. Eu uso o aplicativo para acompanhar e me envolver com as pessoas que eu realmente sigo, nem todo mundo</v>
      </c>
      <c r="I227" s="10" t="str">
        <f>IFERROR(__xludf.DUMMYFUNCTION("TRIM(REGEXREPLACE(H227,""[^a-zA-ZÀ-ú ]+"",""""))"),"Não encontrei muitos problemas principalmente porque não sou muito pôster por isso não estou adicionando fotos e tudo mais mas nos últimos dias meu feed está cheio de contas que não sigo Às vezes é porque alguém que eu sigo comentou ou repensou mas esse g"&amp;"eralmente não é mais o caso Eu uso o aplicativo para acompanhar e me envolver com as pessoas que eu realmente sigo nem todo mundo")</f>
        <v>Não encontrei muitos problemas principalmente porque não sou muito pôster por isso não estou adicionando fotos e tudo mais mas nos últimos dias meu feed está cheio de contas que não sigo Às vezes é porque alguém que eu sigo comentou ou repensou mas esse geralmente não é mais o caso Eu uso o aplicativo para acompanhar e me envolver com as pessoas que eu realmente sigo nem todo mundo</v>
      </c>
      <c r="J227" s="3"/>
      <c r="K227" s="3"/>
      <c r="L227" s="3"/>
      <c r="M227" s="3"/>
      <c r="N227" s="3"/>
      <c r="O227" s="3"/>
      <c r="P227" s="3"/>
      <c r="Q227" s="3"/>
      <c r="R227" s="3"/>
      <c r="S227" s="3"/>
      <c r="T227" s="3"/>
      <c r="U227" s="3"/>
      <c r="V227" s="3"/>
      <c r="W227" s="3"/>
      <c r="X227" s="3"/>
      <c r="Y227" s="3"/>
      <c r="Z227" s="3"/>
      <c r="AA227" s="3"/>
    </row>
    <row r="228" ht="105.75" customHeight="1">
      <c r="A228" s="4" t="s">
        <v>9</v>
      </c>
      <c r="B228" s="5" t="s">
        <v>236</v>
      </c>
      <c r="C228" s="4">
        <v>2.0</v>
      </c>
      <c r="D228" s="6">
        <v>45114.698541666665</v>
      </c>
      <c r="E228" s="7" t="str">
        <f t="shared" si="1"/>
        <v>2023-07-07</v>
      </c>
      <c r="F228" s="8" t="str">
        <f t="shared" si="2"/>
        <v> 16:45:54</v>
      </c>
      <c r="G228" s="9" t="str">
        <f t="shared" si="3"/>
        <v>Tarde</v>
      </c>
      <c r="H228" s="10" t="str">
        <f>IFERROR(__xludf.DUMMYFUNCTION("GOOGLETRANSLATE(B228, ""en"", ""pt-br"")"),"É bom. Parece divertido e viciante de alguma forma. No entanto, sinto que o Twitter era melhor porque tinha tags e poderíamos navegar por eventos e notícias atuais. Infelizmente, esses recursos não existem em threads. Espero que tags e pesquisas por notíc"&amp;"ias ou tópicos específicos sejam adicionados ao aplicativo.")</f>
        <v>É bom. Parece divertido e viciante de alguma forma. No entanto, sinto que o Twitter era melhor porque tinha tags e poderíamos navegar por eventos e notícias atuais. Infelizmente, esses recursos não existem em threads. Espero que tags e pesquisas por notícias ou tópicos específicos sejam adicionados ao aplicativo.</v>
      </c>
      <c r="I228" s="10" t="str">
        <f>IFERROR(__xludf.DUMMYFUNCTION("TRIM(REGEXREPLACE(H228,""[^a-zA-ZÀ-ú ]+"",""""))"),"É bom Parece divertido e viciante de alguma forma No entanto sinto que o Twitter era melhor porque tinha tags e poderíamos navegar por eventos e notícias atuais Infelizmente esses recursos não existem em threads Espero que tags e pesquisas por notícias ou"&amp;" tópicos específicos sejam adicionados ao aplicativo")</f>
        <v>É bom Parece divertido e viciante de alguma forma No entanto sinto que o Twitter era melhor porque tinha tags e poderíamos navegar por eventos e notícias atuais Infelizmente esses recursos não existem em threads Espero que tags e pesquisas por notícias ou tópicos específicos sejam adicionados ao aplicativo</v>
      </c>
      <c r="J228" s="3"/>
      <c r="K228" s="3"/>
      <c r="L228" s="3"/>
      <c r="M228" s="3"/>
      <c r="N228" s="3"/>
      <c r="O228" s="3"/>
      <c r="P228" s="3"/>
      <c r="Q228" s="3"/>
      <c r="R228" s="3"/>
      <c r="S228" s="3"/>
      <c r="T228" s="3"/>
      <c r="U228" s="3"/>
      <c r="V228" s="3"/>
      <c r="W228" s="3"/>
      <c r="X228" s="3"/>
      <c r="Y228" s="3"/>
      <c r="Z228" s="3"/>
      <c r="AA228" s="3"/>
    </row>
    <row r="229" ht="105.75" customHeight="1">
      <c r="A229" s="4" t="s">
        <v>9</v>
      </c>
      <c r="B229" s="5" t="s">
        <v>237</v>
      </c>
      <c r="C229" s="4">
        <v>2.0</v>
      </c>
      <c r="D229" s="6">
        <v>45126.0462962963</v>
      </c>
      <c r="E229" s="7" t="str">
        <f t="shared" si="1"/>
        <v>2023-07-19</v>
      </c>
      <c r="F229" s="8" t="str">
        <f t="shared" si="2"/>
        <v> 01:06:40</v>
      </c>
      <c r="G229" s="9" t="str">
        <f t="shared" si="3"/>
        <v>Manhã</v>
      </c>
      <c r="H229" s="10" t="str">
        <f>IFERROR(__xludf.DUMMYFUNCTION("GOOGLETRANSLATE(B229, ""en"", ""pt-br"")"),"Estou dando uma estrela de duas pessoas porque aprecio o que você está tentando nos dar, mas desejei que pudesse haver mais funções disponíveis. Como uma opção de tradução, isso nos ajudará, porque parte da coisa nela é de um idioma diferente, para entend"&amp;"er que precisamos de uma opção de tradução. Aguardo com expectativa mais desenvolvimento deste aplicativo e desejo que você não ignore esta revisão e analise profundamente o assunto.")</f>
        <v>Estou dando uma estrela de duas pessoas porque aprecio o que você está tentando nos dar, mas desejei que pudesse haver mais funções disponíveis. Como uma opção de tradução, isso nos ajudará, porque parte da coisa nela é de um idioma diferente, para entender que precisamos de uma opção de tradução. Aguardo com expectativa mais desenvolvimento deste aplicativo e desejo que você não ignore esta revisão e analise profundamente o assunto.</v>
      </c>
      <c r="I229" s="10" t="str">
        <f>IFERROR(__xludf.DUMMYFUNCTION("TRIM(REGEXREPLACE(H229,""[^a-zA-ZÀ-ú ]+"",""""))"),"Estou dando uma estrela de duas pessoas porque aprecio o que você está tentando nos dar mas desejei que pudesse haver mais funções disponíveis Como uma opção de tradução isso nos ajudará porque parte da coisa nela é de um idioma diferente para entender qu"&amp;"e precisamos de uma opção de tradução Aguardo com expectativa mais desenvolvimento deste aplicativo e desejo que você não ignore esta revisão e analise profundamente o assunto")</f>
        <v>Estou dando uma estrela de duas pessoas porque aprecio o que você está tentando nos dar mas desejei que pudesse haver mais funções disponíveis Como uma opção de tradução isso nos ajudará porque parte da coisa nela é de um idioma diferente para entender que precisamos de uma opção de tradução Aguardo com expectativa mais desenvolvimento deste aplicativo e desejo que você não ignore esta revisão e analise profundamente o assunto</v>
      </c>
      <c r="J229" s="3"/>
      <c r="K229" s="3"/>
      <c r="L229" s="3"/>
      <c r="M229" s="3"/>
      <c r="N229" s="3"/>
      <c r="O229" s="3"/>
      <c r="P229" s="3"/>
      <c r="Q229" s="3"/>
      <c r="R229" s="3"/>
      <c r="S229" s="3"/>
      <c r="T229" s="3"/>
      <c r="U229" s="3"/>
      <c r="V229" s="3"/>
      <c r="W229" s="3"/>
      <c r="X229" s="3"/>
      <c r="Y229" s="3"/>
      <c r="Z229" s="3"/>
      <c r="AA229" s="3"/>
    </row>
    <row r="230" ht="105.75" customHeight="1">
      <c r="A230" s="4" t="s">
        <v>9</v>
      </c>
      <c r="B230" s="5" t="s">
        <v>238</v>
      </c>
      <c r="C230" s="4">
        <v>1.0</v>
      </c>
      <c r="D230" s="6">
        <v>45113.548159722224</v>
      </c>
      <c r="E230" s="7" t="str">
        <f t="shared" si="1"/>
        <v>2023-07-06</v>
      </c>
      <c r="F230" s="8" t="str">
        <f t="shared" si="2"/>
        <v> 13:09:21</v>
      </c>
      <c r="G230" s="9" t="str">
        <f t="shared" si="3"/>
        <v>Tarde</v>
      </c>
      <c r="H230" s="10" t="str">
        <f>IFERROR(__xludf.DUMMYFUNCTION("GOOGLETRANSLATE(B230, ""en"", ""pt-br"")"),"ATUALIZAÇÃO: Tentei reinstalar o aplicativo para descobrir que eles mudaram o sistema e nos impedir de se inscrever no email e que precisamos usar a conta do Instagram !!! Se eu quiser fazer a conta além do Insta, por que me forçar a não fazê -lo? Tentei "&amp;"me inscrever, mas na última etapa, quando você precisa concordar com a política que eu tiro concordo, mas meu processo termina, tudo foi bom até esta etapa, concordo apenas começar a recarregar o que nada aconteceu e depois tap.")</f>
        <v>ATUALIZAÇÃO: Tentei reinstalar o aplicativo para descobrir que eles mudaram o sistema e nos impedir de se inscrever no email e que precisamos usar a conta do Instagram !!! Se eu quiser fazer a conta além do Insta, por que me forçar a não fazê -lo? Tentei me inscrever, mas na última etapa, quando você precisa concordar com a política que eu tiro concordo, mas meu processo termina, tudo foi bom até esta etapa, concordo apenas começar a recarregar o que nada aconteceu e depois tap.</v>
      </c>
      <c r="I230" s="10" t="str">
        <f>IFERROR(__xludf.DUMMYFUNCTION("TRIM(REGEXREPLACE(H230,""[^a-zA-ZÀ-ú ]+"",""""))"),"ATUALIZAÇÃO Tentei reinstalar o aplicativo para descobrir que eles mudaram o sistema e nos impedir de se inscrever no email e que precisamos usar a conta do Instagram Se eu quiser fazer a conta além do Insta por que me forçar a não fazê lo Tentei me inscr"&amp;"ever mas na última etapa quando você precisa concordar com a política que eu tiro concordo mas meu processo termina tudo foi bom até esta etapa concordo apenas começar a recarregar o que nada aconteceu e depois tap")</f>
        <v>ATUALIZAÇÃO Tentei reinstalar o aplicativo para descobrir que eles mudaram o sistema e nos impedir de se inscrever no email e que precisamos usar a conta do Instagram Se eu quiser fazer a conta além do Insta por que me forçar a não fazê lo Tentei me inscrever mas na última etapa quando você precisa concordar com a política que eu tiro concordo mas meu processo termina tudo foi bom até esta etapa concordo apenas começar a recarregar o que nada aconteceu e depois tap</v>
      </c>
      <c r="J230" s="3"/>
      <c r="K230" s="3"/>
      <c r="L230" s="3"/>
      <c r="M230" s="3"/>
      <c r="N230" s="3"/>
      <c r="O230" s="3"/>
      <c r="P230" s="3"/>
      <c r="Q230" s="3"/>
      <c r="R230" s="3"/>
      <c r="S230" s="3"/>
      <c r="T230" s="3"/>
      <c r="U230" s="3"/>
      <c r="V230" s="3"/>
      <c r="W230" s="3"/>
      <c r="X230" s="3"/>
      <c r="Y230" s="3"/>
      <c r="Z230" s="3"/>
      <c r="AA230" s="3"/>
    </row>
    <row r="231" ht="105.75" customHeight="1">
      <c r="A231" s="4" t="s">
        <v>9</v>
      </c>
      <c r="B231" s="5" t="s">
        <v>239</v>
      </c>
      <c r="C231" s="4">
        <v>3.0</v>
      </c>
      <c r="D231" s="6">
        <v>45120.8428587963</v>
      </c>
      <c r="E231" s="7" t="str">
        <f t="shared" si="1"/>
        <v>2023-07-13</v>
      </c>
      <c r="F231" s="8" t="str">
        <f t="shared" si="2"/>
        <v> 20:13:43</v>
      </c>
      <c r="G231" s="9" t="str">
        <f t="shared" si="3"/>
        <v>Noite</v>
      </c>
      <c r="H231" s="10" t="str">
        <f>IFERROR(__xludf.DUMMYFUNCTION("GOOGLETRANSLATE(B231, ""en"", ""pt-br"")"),"Eu absolutamente amando meu tempo aqui. No entanto, é preciso haver um feed dedicado para as pessoas que você segue e não apenas pessoas aleatórias misturadas com o seguinte. E para o feed misto, ele precisa se basear em seus interesses. No momento, as po"&amp;"stagens misturadas no seu feed são de pessoas completamente aleatórias, sem rima ou razão. Até as pessoas falando idiomas diferentes. Uma grande falha neste aplicativo. Ele também precisa de um site adequado e totalmente funcional.")</f>
        <v>Eu absolutamente amando meu tempo aqui. No entanto, é preciso haver um feed dedicado para as pessoas que você segue e não apenas pessoas aleatórias misturadas com o seguinte. E para o feed misto, ele precisa se basear em seus interesses. No momento, as postagens misturadas no seu feed são de pessoas completamente aleatórias, sem rima ou razão. Até as pessoas falando idiomas diferentes. Uma grande falha neste aplicativo. Ele também precisa de um site adequado e totalmente funcional.</v>
      </c>
      <c r="I231" s="10" t="str">
        <f>IFERROR(__xludf.DUMMYFUNCTION("TRIM(REGEXREPLACE(H231,""[^a-zA-ZÀ-ú ]+"",""""))"),"Eu absolutamente amando meu tempo aqui No entanto é preciso haver um feed dedicado para as pessoas que você segue e não apenas pessoas aleatórias misturadas com o seguinte E para o feed misto ele precisa se basear em seus interesses No momento as postagen"&amp;"s misturadas no seu feed são de pessoas completamente aleatórias sem rima ou razão Até as pessoas falando idiomas diferentes Uma grande falha neste aplicativo Ele também precisa de um site adequado e totalmente funcional")</f>
        <v>Eu absolutamente amando meu tempo aqui No entanto é preciso haver um feed dedicado para as pessoas que você segue e não apenas pessoas aleatórias misturadas com o seguinte E para o feed misto ele precisa se basear em seus interesses No momento as postagens misturadas no seu feed são de pessoas completamente aleatórias sem rima ou razão Até as pessoas falando idiomas diferentes Uma grande falha neste aplicativo Ele também precisa de um site adequado e totalmente funcional</v>
      </c>
      <c r="J231" s="3"/>
      <c r="K231" s="3"/>
      <c r="L231" s="3"/>
      <c r="M231" s="3"/>
      <c r="N231" s="3"/>
      <c r="O231" s="3"/>
      <c r="P231" s="3"/>
      <c r="Q231" s="3"/>
      <c r="R231" s="3"/>
      <c r="S231" s="3"/>
      <c r="T231" s="3"/>
      <c r="U231" s="3"/>
      <c r="V231" s="3"/>
      <c r="W231" s="3"/>
      <c r="X231" s="3"/>
      <c r="Y231" s="3"/>
      <c r="Z231" s="3"/>
      <c r="AA231" s="3"/>
    </row>
    <row r="232" ht="105.75" customHeight="1">
      <c r="A232" s="4" t="s">
        <v>9</v>
      </c>
      <c r="B232" s="5" t="s">
        <v>240</v>
      </c>
      <c r="C232" s="4">
        <v>1.0</v>
      </c>
      <c r="D232" s="6">
        <v>45115.23836805556</v>
      </c>
      <c r="E232" s="7" t="str">
        <f t="shared" si="1"/>
        <v>2023-07-08</v>
      </c>
      <c r="F232" s="8" t="str">
        <f t="shared" si="2"/>
        <v> 05:43:15</v>
      </c>
      <c r="G232" s="9" t="str">
        <f t="shared" si="3"/>
        <v>Manhã</v>
      </c>
      <c r="H232" s="10" t="str">
        <f>IFERROR(__xludf.DUMMYFUNCTION("GOOGLETRANSLATE(B232, ""en"", ""pt-br"")"),"Não há necessidade de construir e lançar este aplicativo. No entanto, se Zuke desperdiçou muito dinheiro no trabalho de pasta de cópias. O aplicativo é inútil. Ele trava, os recursos não funcionam, @ não está funcionando, o design não é muito fácil de usa"&amp;"r e por que está conectado ao Instagram?")</f>
        <v>Não há necessidade de construir e lançar este aplicativo. No entanto, se Zuke desperdiçou muito dinheiro no trabalho de pasta de cópias. O aplicativo é inútil. Ele trava, os recursos não funcionam, @ não está funcionando, o design não é muito fácil de usar e por que está conectado ao Instagram?</v>
      </c>
      <c r="I232" s="10" t="str">
        <f>IFERROR(__xludf.DUMMYFUNCTION("TRIM(REGEXREPLACE(H232,""[^a-zA-ZÀ-ú ]+"",""""))"),"Não há necessidade de construir e lançar este aplicativo No entanto se Zuke desperdiçou muito dinheiro no trabalho de pasta de cópias O aplicativo é inútil Ele trava os recursos não funcionam não está funcionando o design não é muito fácil de usar e por q"&amp;"ue está conectado ao Instagram")</f>
        <v>Não há necessidade de construir e lançar este aplicativo No entanto se Zuke desperdiçou muito dinheiro no trabalho de pasta de cópias O aplicativo é inútil Ele trava os recursos não funcionam não está funcionando o design não é muito fácil de usar e por que está conectado ao Instagram</v>
      </c>
      <c r="J232" s="3"/>
      <c r="K232" s="3"/>
      <c r="L232" s="3"/>
      <c r="M232" s="3"/>
      <c r="N232" s="3"/>
      <c r="O232" s="3"/>
      <c r="P232" s="3"/>
      <c r="Q232" s="3"/>
      <c r="R232" s="3"/>
      <c r="S232" s="3"/>
      <c r="T232" s="3"/>
      <c r="U232" s="3"/>
      <c r="V232" s="3"/>
      <c r="W232" s="3"/>
      <c r="X232" s="3"/>
      <c r="Y232" s="3"/>
      <c r="Z232" s="3"/>
      <c r="AA232" s="3"/>
    </row>
    <row r="233" ht="105.75" customHeight="1">
      <c r="A233" s="4" t="s">
        <v>9</v>
      </c>
      <c r="B233" s="5" t="s">
        <v>241</v>
      </c>
      <c r="C233" s="4">
        <v>2.0</v>
      </c>
      <c r="D233" s="6">
        <v>45113.613854166666</v>
      </c>
      <c r="E233" s="7" t="str">
        <f t="shared" si="1"/>
        <v>2023-07-06</v>
      </c>
      <c r="F233" s="8" t="str">
        <f t="shared" si="2"/>
        <v> 14:43:57</v>
      </c>
      <c r="G233" s="9" t="str">
        <f t="shared" si="3"/>
        <v>Tarde</v>
      </c>
      <c r="H233" s="10" t="str">
        <f>IFERROR(__xludf.DUMMYFUNCTION("GOOGLETRANSLATE(B233, ""en"", ""pt-br"")"),"A experiência do usuário é muito boa em comparação com o Twitter, mas alguns recursos estão faltando, por exemplo, não posso no meu perfil as pessoas que estou seguindo, e também não consigo ver outros seguintes, espero que esse recurso chegue em breve e "&amp;"o logotipo do aplicativo não parece profissional. Espero que eles não acresçam muito conteúdo promovido, como o Twitter.")</f>
        <v>A experiência do usuário é muito boa em comparação com o Twitter, mas alguns recursos estão faltando, por exemplo, não posso no meu perfil as pessoas que estou seguindo, e também não consigo ver outros seguintes, espero que esse recurso chegue em breve e o logotipo do aplicativo não parece profissional. Espero que eles não acresçam muito conteúdo promovido, como o Twitter.</v>
      </c>
      <c r="I233" s="10" t="str">
        <f>IFERROR(__xludf.DUMMYFUNCTION("TRIM(REGEXREPLACE(H233,""[^a-zA-ZÀ-ú ]+"",""""))"),"A experiência do usuário é muito boa em comparação com o Twitter mas alguns recursos estão faltando por exemplo não posso no meu perfil as pessoas que estou seguindo e também não consigo ver outros seguintes espero que esse recurso chegue em breve e o log"&amp;"otipo do aplicativo não parece profissional Espero que eles não acresçam muito conteúdo promovido como o Twitter")</f>
        <v>A experiência do usuário é muito boa em comparação com o Twitter mas alguns recursos estão faltando por exemplo não posso no meu perfil as pessoas que estou seguindo e também não consigo ver outros seguintes espero que esse recurso chegue em breve e o logotipo do aplicativo não parece profissional Espero que eles não acresçam muito conteúdo promovido como o Twitter</v>
      </c>
      <c r="J233" s="3"/>
      <c r="K233" s="3"/>
      <c r="L233" s="3"/>
      <c r="M233" s="3"/>
      <c r="N233" s="3"/>
      <c r="O233" s="3"/>
      <c r="P233" s="3"/>
      <c r="Q233" s="3"/>
      <c r="R233" s="3"/>
      <c r="S233" s="3"/>
      <c r="T233" s="3"/>
      <c r="U233" s="3"/>
      <c r="V233" s="3"/>
      <c r="W233" s="3"/>
      <c r="X233" s="3"/>
      <c r="Y233" s="3"/>
      <c r="Z233" s="3"/>
      <c r="AA233" s="3"/>
    </row>
    <row r="234" ht="105.75" customHeight="1">
      <c r="A234" s="4" t="s">
        <v>9</v>
      </c>
      <c r="B234" s="5" t="s">
        <v>242</v>
      </c>
      <c r="C234" s="4">
        <v>3.0</v>
      </c>
      <c r="D234" s="6">
        <v>45115.091770833336</v>
      </c>
      <c r="E234" s="7" t="str">
        <f t="shared" si="1"/>
        <v>2023-07-08</v>
      </c>
      <c r="F234" s="8" t="str">
        <f t="shared" si="2"/>
        <v> 02:12:09</v>
      </c>
      <c r="G234" s="9" t="str">
        <f t="shared" si="3"/>
        <v>Manhã</v>
      </c>
      <c r="H234" s="10" t="str">
        <f>IFERROR(__xludf.DUMMYFUNCTION("GOOGLETRANSLATE(B234, ""en"", ""pt-br"")"),"Estava funcionando bem, então, de repente, saiu e me retirou do Instagram. Consegui fazer login novamente no Instagram, mas não nos threads. Tentando reinstalar, mas agora não está instalando. (?) Atualização: conseguiu reinstalar. Não sei o que aconteceu"&amp;". Talvez um possível hack? Ainda bem que tenho algumas precauções de segurança.")</f>
        <v>Estava funcionando bem, então, de repente, saiu e me retirou do Instagram. Consegui fazer login novamente no Instagram, mas não nos threads. Tentando reinstalar, mas agora não está instalando. (?) Atualização: conseguiu reinstalar. Não sei o que aconteceu. Talvez um possível hack? Ainda bem que tenho algumas precauções de segurança.</v>
      </c>
      <c r="I234" s="10" t="str">
        <f>IFERROR(__xludf.DUMMYFUNCTION("TRIM(REGEXREPLACE(H234,""[^a-zA-ZÀ-ú ]+"",""""))"),"Estava funcionando bem então de repente saiu e me retirou do Instagram Consegui fazer login novamente no Instagram mas não nos threads Tentando reinstalar mas agora não está instalando Atualização conseguiu reinstalar Não sei o que aconteceu Talvez um pos"&amp;"sível hack Ainda bem que tenho algumas precauções de segurança")</f>
        <v>Estava funcionando bem então de repente saiu e me retirou do Instagram Consegui fazer login novamente no Instagram mas não nos threads Tentando reinstalar mas agora não está instalando Atualização conseguiu reinstalar Não sei o que aconteceu Talvez um possível hack Ainda bem que tenho algumas precauções de segurança</v>
      </c>
      <c r="J234" s="3"/>
      <c r="K234" s="3"/>
      <c r="L234" s="3"/>
      <c r="M234" s="3"/>
      <c r="N234" s="3"/>
      <c r="O234" s="3"/>
      <c r="P234" s="3"/>
      <c r="Q234" s="3"/>
      <c r="R234" s="3"/>
      <c r="S234" s="3"/>
      <c r="T234" s="3"/>
      <c r="U234" s="3"/>
      <c r="V234" s="3"/>
      <c r="W234" s="3"/>
      <c r="X234" s="3"/>
      <c r="Y234" s="3"/>
      <c r="Z234" s="3"/>
      <c r="AA234" s="3"/>
    </row>
    <row r="235" ht="105.75" customHeight="1">
      <c r="A235" s="4" t="s">
        <v>9</v>
      </c>
      <c r="B235" s="5" t="s">
        <v>243</v>
      </c>
      <c r="C235" s="4">
        <v>3.0</v>
      </c>
      <c r="D235" s="6">
        <v>45119.61271990741</v>
      </c>
      <c r="E235" s="7" t="str">
        <f t="shared" si="1"/>
        <v>2023-07-12</v>
      </c>
      <c r="F235" s="8" t="str">
        <f t="shared" si="2"/>
        <v> 14:42:19</v>
      </c>
      <c r="G235" s="9" t="str">
        <f t="shared" si="3"/>
        <v>Tarde</v>
      </c>
      <c r="H235" s="10" t="str">
        <f>IFERROR(__xludf.DUMMYFUNCTION("GOOGLETRANSLATE(B235, ""en"", ""pt-br"")"),"Adoro até agora, mas precisa de melhorias. Realmente precisa de hashtags. E eu odeio que celebridades e negócios sejam o que você vê principalmente. Eu quero ver as pessoas menores. Eu quero ser capaz de encontrar artista. E quero uma maneira de compartil"&amp;"har meu post para pessoas que estariam interessadas nele, em vez de esperar que um estranho goste. O algoritmo está funcionando, mas pode usar melhorias.")</f>
        <v>Adoro até agora, mas precisa de melhorias. Realmente precisa de hashtags. E eu odeio que celebridades e negócios sejam o que você vê principalmente. Eu quero ver as pessoas menores. Eu quero ser capaz de encontrar artista. E quero uma maneira de compartilhar meu post para pessoas que estariam interessadas nele, em vez de esperar que um estranho goste. O algoritmo está funcionando, mas pode usar melhorias.</v>
      </c>
      <c r="I235" s="10" t="str">
        <f>IFERROR(__xludf.DUMMYFUNCTION("TRIM(REGEXREPLACE(H235,""[^a-zA-ZÀ-ú ]+"",""""))"),"Adoro até agora mas precisa de melhorias Realmente precisa de hashtags E eu odeio que celebridades e negócios sejam o que você vê principalmente Eu quero ver as pessoas menores Eu quero ser capaz de encontrar artista E quero uma maneira de compartilhar me"&amp;"u post para pessoas que estariam interessadas nele em vez de esperar que um estranho goste O algoritmo está funcionando mas pode usar melhorias")</f>
        <v>Adoro até agora mas precisa de melhorias Realmente precisa de hashtags E eu odeio que celebridades e negócios sejam o que você vê principalmente Eu quero ver as pessoas menores Eu quero ser capaz de encontrar artista E quero uma maneira de compartilhar meu post para pessoas que estariam interessadas nele em vez de esperar que um estranho goste O algoritmo está funcionando mas pode usar melhorias</v>
      </c>
      <c r="J235" s="3"/>
      <c r="K235" s="3"/>
      <c r="L235" s="3"/>
      <c r="M235" s="3"/>
      <c r="N235" s="3"/>
      <c r="O235" s="3"/>
      <c r="P235" s="3"/>
      <c r="Q235" s="3"/>
      <c r="R235" s="3"/>
      <c r="S235" s="3"/>
      <c r="T235" s="3"/>
      <c r="U235" s="3"/>
      <c r="V235" s="3"/>
      <c r="W235" s="3"/>
      <c r="X235" s="3"/>
      <c r="Y235" s="3"/>
      <c r="Z235" s="3"/>
      <c r="AA235" s="3"/>
    </row>
    <row r="236" ht="105.75" customHeight="1">
      <c r="A236" s="4" t="s">
        <v>9</v>
      </c>
      <c r="B236" s="5" t="s">
        <v>244</v>
      </c>
      <c r="C236" s="4">
        <v>5.0</v>
      </c>
      <c r="D236" s="6">
        <v>45131.468125</v>
      </c>
      <c r="E236" s="7" t="str">
        <f t="shared" si="1"/>
        <v>2023-07-24</v>
      </c>
      <c r="F236" s="8" t="str">
        <f t="shared" si="2"/>
        <v> 11:14:06</v>
      </c>
      <c r="G236" s="9" t="str">
        <f t="shared" si="3"/>
        <v>Manhã</v>
      </c>
      <c r="H236" s="10" t="str">
        <f>IFERROR(__xludf.DUMMYFUNCTION("GOOGLETRANSLATE(B236, ""en"", ""pt-br"")"),"Até agora tudo bem. Ainda está nos estágios iniciais, e mais recursos estão sendo criados como é usado, mas até agora a experiência tem sido ótima e a comunidade é favorável, positiva e útil. Parece haver um esforço conjunto nos novos usuários para bloque"&amp;"ar desinformação, discurso de ódio, racismo e foco em compartilhar fatos e notícias reais.")</f>
        <v>Até agora tudo bem. Ainda está nos estágios iniciais, e mais recursos estão sendo criados como é usado, mas até agora a experiência tem sido ótima e a comunidade é favorável, positiva e útil. Parece haver um esforço conjunto nos novos usuários para bloquear desinformação, discurso de ódio, racismo e foco em compartilhar fatos e notícias reais.</v>
      </c>
      <c r="I236" s="10" t="str">
        <f>IFERROR(__xludf.DUMMYFUNCTION("TRIM(REGEXREPLACE(H236,""[^a-zA-ZÀ-ú ]+"",""""))"),"Até agora tudo bem Ainda está nos estágios iniciais e mais recursos estão sendo criados como é usado mas até agora a experiência tem sido ótima e a comunidade é favorável positiva e útil Parece haver um esforço conjunto nos novos usuários para bloquear de"&amp;"sinformação discurso de ódio racismo e foco em compartilhar fatos e notícias reais")</f>
        <v>Até agora tudo bem Ainda está nos estágios iniciais e mais recursos estão sendo criados como é usado mas até agora a experiência tem sido ótima e a comunidade é favorável positiva e útil Parece haver um esforço conjunto nos novos usuários para bloquear desinformação discurso de ódio racismo e foco em compartilhar fatos e notícias reais</v>
      </c>
      <c r="J236" s="3"/>
      <c r="K236" s="3"/>
      <c r="L236" s="3"/>
      <c r="M236" s="3"/>
      <c r="N236" s="3"/>
      <c r="O236" s="3"/>
      <c r="P236" s="3"/>
      <c r="Q236" s="3"/>
      <c r="R236" s="3"/>
      <c r="S236" s="3"/>
      <c r="T236" s="3"/>
      <c r="U236" s="3"/>
      <c r="V236" s="3"/>
      <c r="W236" s="3"/>
      <c r="X236" s="3"/>
      <c r="Y236" s="3"/>
      <c r="Z236" s="3"/>
      <c r="AA236" s="3"/>
    </row>
    <row r="237" ht="105.75" customHeight="1">
      <c r="A237" s="4" t="s">
        <v>9</v>
      </c>
      <c r="B237" s="5" t="s">
        <v>245</v>
      </c>
      <c r="C237" s="4">
        <v>3.0</v>
      </c>
      <c r="D237" s="6">
        <v>45114.67570601852</v>
      </c>
      <c r="E237" s="7" t="str">
        <f t="shared" si="1"/>
        <v>2023-07-07</v>
      </c>
      <c r="F237" s="8" t="str">
        <f t="shared" si="2"/>
        <v> 16:13:01</v>
      </c>
      <c r="G237" s="9" t="str">
        <f t="shared" si="3"/>
        <v>Tarde</v>
      </c>
      <c r="H237" s="10" t="str">
        <f>IFERROR(__xludf.DUMMYFUNCTION("GOOGLETRANSLATE(B237, ""en"", ""pt-br"")"),"Precisa de filtros para o feed de notícias. Eu não me importo com ""coisas que podem lhe interessar""! Eu só quero ver as postagens das pessoas que eu sigo, é isso! No geral, um bom aplicativo, mas muito spam do conteúdo sugerido. Precisa de filtros. Seri"&amp;"amente.")</f>
        <v>Precisa de filtros para o feed de notícias. Eu não me importo com "coisas que podem lhe interessar"! Eu só quero ver as postagens das pessoas que eu sigo, é isso! No geral, um bom aplicativo, mas muito spam do conteúdo sugerido. Precisa de filtros. Seriamente.</v>
      </c>
      <c r="I237" s="10" t="str">
        <f>IFERROR(__xludf.DUMMYFUNCTION("TRIM(REGEXREPLACE(H237,""[^a-zA-ZÀ-ú ]+"",""""))"),"Precisa de filtros para o feed de notícias Eu não me importo com coisas que podem lhe interessar Eu só quero ver as postagens das pessoas que eu sigo é isso No geral um bom aplicativo mas muito spam do conteúdo sugerido Precisa de filtros Seriamente")</f>
        <v>Precisa de filtros para o feed de notícias Eu não me importo com coisas que podem lhe interessar Eu só quero ver as postagens das pessoas que eu sigo é isso No geral um bom aplicativo mas muito spam do conteúdo sugerido Precisa de filtros Seriamente</v>
      </c>
      <c r="J237" s="3"/>
      <c r="K237" s="3"/>
      <c r="L237" s="3"/>
      <c r="M237" s="3"/>
      <c r="N237" s="3"/>
      <c r="O237" s="3"/>
      <c r="P237" s="3"/>
      <c r="Q237" s="3"/>
      <c r="R237" s="3"/>
      <c r="S237" s="3"/>
      <c r="T237" s="3"/>
      <c r="U237" s="3"/>
      <c r="V237" s="3"/>
      <c r="W237" s="3"/>
      <c r="X237" s="3"/>
      <c r="Y237" s="3"/>
      <c r="Z237" s="3"/>
      <c r="AA237" s="3"/>
    </row>
    <row r="238" ht="105.75" customHeight="1">
      <c r="A238" s="4" t="s">
        <v>9</v>
      </c>
      <c r="B238" s="5" t="s">
        <v>246</v>
      </c>
      <c r="C238" s="4">
        <v>2.0</v>
      </c>
      <c r="D238" s="6">
        <v>45121.01259259259</v>
      </c>
      <c r="E238" s="7" t="str">
        <f t="shared" si="1"/>
        <v>2023-07-14</v>
      </c>
      <c r="F238" s="8" t="str">
        <f t="shared" si="2"/>
        <v> 00:18:08</v>
      </c>
      <c r="G238" s="9" t="str">
        <f t="shared" si="3"/>
        <v>Manhã</v>
      </c>
      <c r="H238" s="10" t="str">
        <f>IFERROR(__xludf.DUMMYFUNCTION("GOOGLETRANSLATE(B238, ""en"", ""pt-br"")"),"Precisa de uma tonelada de trabalho, mas vou aguentar a esperança. Não há pesquisa real. Sem teclado GIF. Alguns insetos gritantes. Definitivamente lançado cedo, mas com isso em mente, é bastante suave para o que faz.")</f>
        <v>Precisa de uma tonelada de trabalho, mas vou aguentar a esperança. Não há pesquisa real. Sem teclado GIF. Alguns insetos gritantes. Definitivamente lançado cedo, mas com isso em mente, é bastante suave para o que faz.</v>
      </c>
      <c r="I238" s="10" t="str">
        <f>IFERROR(__xludf.DUMMYFUNCTION("TRIM(REGEXREPLACE(H238,""[^a-zA-ZÀ-ú ]+"",""""))"),"Precisa de uma tonelada de trabalho mas vou aguentar a esperança Não há pesquisa real Sem teclado GIF Alguns insetos gritantes Definitivamente lançado cedo mas com isso em mente é bastante suave para o que faz")</f>
        <v>Precisa de uma tonelada de trabalho mas vou aguentar a esperança Não há pesquisa real Sem teclado GIF Alguns insetos gritantes Definitivamente lançado cedo mas com isso em mente é bastante suave para o que faz</v>
      </c>
      <c r="J238" s="3"/>
      <c r="K238" s="3"/>
      <c r="L238" s="3"/>
      <c r="M238" s="3"/>
      <c r="N238" s="3"/>
      <c r="O238" s="3"/>
      <c r="P238" s="3"/>
      <c r="Q238" s="3"/>
      <c r="R238" s="3"/>
      <c r="S238" s="3"/>
      <c r="T238" s="3"/>
      <c r="U238" s="3"/>
      <c r="V238" s="3"/>
      <c r="W238" s="3"/>
      <c r="X238" s="3"/>
      <c r="Y238" s="3"/>
      <c r="Z238" s="3"/>
      <c r="AA238" s="3"/>
    </row>
    <row r="239" ht="105.75" customHeight="1">
      <c r="A239" s="4" t="s">
        <v>9</v>
      </c>
      <c r="B239" s="5" t="s">
        <v>247</v>
      </c>
      <c r="C239" s="4">
        <v>5.0</v>
      </c>
      <c r="D239" s="6">
        <v>45114.481782407405</v>
      </c>
      <c r="E239" s="7" t="str">
        <f t="shared" si="1"/>
        <v>2023-07-07</v>
      </c>
      <c r="F239" s="8" t="str">
        <f t="shared" si="2"/>
        <v> 11:33:46</v>
      </c>
      <c r="G239" s="9" t="str">
        <f t="shared" si="3"/>
        <v>Manhã</v>
      </c>
      <c r="H239" s="10" t="str">
        <f>IFERROR(__xludf.DUMMYFUNCTION("GOOGLETRANSLATE(B239, ""en"", ""pt-br"")"),"Simplificado é uma das muitas ferramentas de IA que tentei e é a minha favorita até agora. Agradeço a ferramenta de reescrita (é a que mais uso). Às vezes, não consigo reunir meus pensamentos, mas essa ferramenta organiza e limpa esses pensamentos para mi"&amp;"m. Posso confiar nele para me fornecer uma cópia profissional e limpa de reescrita que eu usei para atualizar meu currículo. Esta é apenas uma das poucas coisas que faz além de poder continuar sua escrita ou (trocadilhos) simplificá -lo.")</f>
        <v>Simplificado é uma das muitas ferramentas de IA que tentei e é a minha favorita até agora. Agradeço a ferramenta de reescrita (é a que mais uso). Às vezes, não consigo reunir meus pensamentos, mas essa ferramenta organiza e limpa esses pensamentos para mim. Posso confiar nele para me fornecer uma cópia profissional e limpa de reescrita que eu usei para atualizar meu currículo. Esta é apenas uma das poucas coisas que faz além de poder continuar sua escrita ou (trocadilhos) simplificá -lo.</v>
      </c>
      <c r="I239" s="10" t="str">
        <f>IFERROR(__xludf.DUMMYFUNCTION("TRIM(REGEXREPLACE(H239,""[^a-zA-ZÀ-ú ]+"",""""))"),"Simplificado é uma das muitas ferramentas de IA que tentei e é a minha favorita até agora Agradeço a ferramenta de reescrita é a que mais uso Às vezes não consigo reunir meus pensamentos mas essa ferramenta organiza e limpa esses pensamentos para mim Poss"&amp;"o confiar nele para me fornecer uma cópia profissional e limpa de reescrita que eu usei para atualizar meu currículo Esta é apenas uma das poucas coisas que faz além de poder continuar sua escrita ou trocadilhos simplificá lo")</f>
        <v>Simplificado é uma das muitas ferramentas de IA que tentei e é a minha favorita até agora Agradeço a ferramenta de reescrita é a que mais uso Às vezes não consigo reunir meus pensamentos mas essa ferramenta organiza e limpa esses pensamentos para mim Posso confiar nele para me fornecer uma cópia profissional e limpa de reescrita que eu usei para atualizar meu currículo Esta é apenas uma das poucas coisas que faz além de poder continuar sua escrita ou trocadilhos simplificá lo</v>
      </c>
      <c r="J239" s="3"/>
      <c r="K239" s="3"/>
      <c r="L239" s="3"/>
      <c r="M239" s="3"/>
      <c r="N239" s="3"/>
      <c r="O239" s="3"/>
      <c r="P239" s="3"/>
      <c r="Q239" s="3"/>
      <c r="R239" s="3"/>
      <c r="S239" s="3"/>
      <c r="T239" s="3"/>
      <c r="U239" s="3"/>
      <c r="V239" s="3"/>
      <c r="W239" s="3"/>
      <c r="X239" s="3"/>
      <c r="Y239" s="3"/>
      <c r="Z239" s="3"/>
      <c r="AA239" s="3"/>
    </row>
    <row r="240" ht="105.75" customHeight="1">
      <c r="A240" s="4" t="s">
        <v>9</v>
      </c>
      <c r="B240" s="5" t="s">
        <v>248</v>
      </c>
      <c r="C240" s="4">
        <v>4.0</v>
      </c>
      <c r="D240" s="6">
        <v>45114.506689814814</v>
      </c>
      <c r="E240" s="7" t="str">
        <f t="shared" si="1"/>
        <v>2023-07-07</v>
      </c>
      <c r="F240" s="8" t="str">
        <f t="shared" si="2"/>
        <v> 12:09:38</v>
      </c>
      <c r="G240" s="9" t="str">
        <f t="shared" si="3"/>
        <v>Tarde</v>
      </c>
      <c r="H240" s="10" t="str">
        <f>IFERROR(__xludf.DUMMYFUNCTION("GOOGLETRANSLATE(B240, ""en"", ""pt-br"")"),"Bom começo. Perdendo alguns recursos muito úteis que estão no aplicativo ... pássaro (e outras plataformas de mídia social) como um seguidores/apenas feeds seguintes, e a interface do usuário poderia usar alguns tocando, mas, caso contrário, este é um bom"&amp;" começo para um novo social plataforma de mídia.")</f>
        <v>Bom começo. Perdendo alguns recursos muito úteis que estão no aplicativo ... pássaro (e outras plataformas de mídia social) como um seguidores/apenas feeds seguintes, e a interface do usuário poderia usar alguns tocando, mas, caso contrário, este é um bom começo para um novo social plataforma de mídia.</v>
      </c>
      <c r="I240" s="10" t="str">
        <f>IFERROR(__xludf.DUMMYFUNCTION("TRIM(REGEXREPLACE(H240,""[^a-zA-ZÀ-ú ]+"",""""))"),"Bom começo Perdendo alguns recursos muito úteis que estão no aplicativo pássaro e outras plataformas de mídia social como um seguidoresapenas feeds seguintes e a interface do usuário poderia usar alguns tocando mas caso contrário este é um bom começo para"&amp;" um novo social plataforma de mídia")</f>
        <v>Bom começo Perdendo alguns recursos muito úteis que estão no aplicativo pássaro e outras plataformas de mídia social como um seguidoresapenas feeds seguintes e a interface do usuário poderia usar alguns tocando mas caso contrário este é um bom começo para um novo social plataforma de mídia</v>
      </c>
      <c r="J240" s="3"/>
      <c r="K240" s="3"/>
      <c r="L240" s="3"/>
      <c r="M240" s="3"/>
      <c r="N240" s="3"/>
      <c r="O240" s="3"/>
      <c r="P240" s="3"/>
      <c r="Q240" s="3"/>
      <c r="R240" s="3"/>
      <c r="S240" s="3"/>
      <c r="T240" s="3"/>
      <c r="U240" s="3"/>
      <c r="V240" s="3"/>
      <c r="W240" s="3"/>
      <c r="X240" s="3"/>
      <c r="Y240" s="3"/>
      <c r="Z240" s="3"/>
      <c r="AA240" s="3"/>
    </row>
    <row r="241" ht="105.75" customHeight="1">
      <c r="A241" s="4" t="s">
        <v>9</v>
      </c>
      <c r="B241" s="5" t="s">
        <v>249</v>
      </c>
      <c r="C241" s="4">
        <v>4.0</v>
      </c>
      <c r="D241" s="6">
        <v>45130.9834375</v>
      </c>
      <c r="E241" s="7" t="str">
        <f t="shared" si="1"/>
        <v>2023-07-23</v>
      </c>
      <c r="F241" s="8" t="str">
        <f t="shared" si="2"/>
        <v> 23:36:09</v>
      </c>
      <c r="G241" s="9" t="str">
        <f t="shared" si="3"/>
        <v>Noite</v>
      </c>
      <c r="H241" s="10" t="str">
        <f>IFERROR(__xludf.DUMMYFUNCTION("GOOGLETRANSLATE(B241, ""en"", ""pt-br"")"),"Estou feliz com o aplicativo até agora. Eu gostaria que houvesse alguns outros recursos, como uma lista de favoritos ou a guia seguinte para que eu pudesse alternar. É bom poder ver pessoas com interesses semelhantes e não ser enterrado sob bots e outros "&amp;"conteúdos odiosos. Estou ansioso por atualizações futuras.")</f>
        <v>Estou feliz com o aplicativo até agora. Eu gostaria que houvesse alguns outros recursos, como uma lista de favoritos ou a guia seguinte para que eu pudesse alternar. É bom poder ver pessoas com interesses semelhantes e não ser enterrado sob bots e outros conteúdos odiosos. Estou ansioso por atualizações futuras.</v>
      </c>
      <c r="I241" s="10" t="str">
        <f>IFERROR(__xludf.DUMMYFUNCTION("TRIM(REGEXREPLACE(H241,""[^a-zA-ZÀ-ú ]+"",""""))"),"Estou feliz com o aplicativo até agora Eu gostaria que houvesse alguns outros recursos como uma lista de favoritos ou a guia seguinte para que eu pudesse alternar É bom poder ver pessoas com interesses semelhantes e não ser enterrado sob bots e outros con"&amp;"teúdos odiosos Estou ansioso por atualizações futuras")</f>
        <v>Estou feliz com o aplicativo até agora Eu gostaria que houvesse alguns outros recursos como uma lista de favoritos ou a guia seguinte para que eu pudesse alternar É bom poder ver pessoas com interesses semelhantes e não ser enterrado sob bots e outros conteúdos odiosos Estou ansioso por atualizações futuras</v>
      </c>
      <c r="J241" s="3"/>
      <c r="K241" s="3"/>
      <c r="L241" s="3"/>
      <c r="M241" s="3"/>
      <c r="N241" s="3"/>
      <c r="O241" s="3"/>
      <c r="P241" s="3"/>
      <c r="Q241" s="3"/>
      <c r="R241" s="3"/>
      <c r="S241" s="3"/>
      <c r="T241" s="3"/>
      <c r="U241" s="3"/>
      <c r="V241" s="3"/>
      <c r="W241" s="3"/>
      <c r="X241" s="3"/>
      <c r="Y241" s="3"/>
      <c r="Z241" s="3"/>
      <c r="AA241" s="3"/>
    </row>
    <row r="242" ht="105.75" customHeight="1">
      <c r="A242" s="4" t="s">
        <v>9</v>
      </c>
      <c r="B242" s="5" t="s">
        <v>250</v>
      </c>
      <c r="C242" s="4">
        <v>1.0</v>
      </c>
      <c r="D242" s="6">
        <v>45117.85306712963</v>
      </c>
      <c r="E242" s="7" t="str">
        <f t="shared" si="1"/>
        <v>2023-07-10</v>
      </c>
      <c r="F242" s="8" t="str">
        <f t="shared" si="2"/>
        <v> 20:28:25</v>
      </c>
      <c r="G242" s="9" t="str">
        <f t="shared" si="3"/>
        <v>Noite</v>
      </c>
      <c r="H242" s="10" t="str">
        <f>IFERROR(__xludf.DUMMYFUNCTION("GOOGLETRANSLATE(B242, ""en"", ""pt-br"")"),"Não há opção para editar erros de digitação. Não consigo ver onde adicionar um vídeo. Na verdade, não consigo ver onde adicionar ou postar nada! Gerenciou uma vez, mas não sabe como? Meus ícones parecem estar faltando! Usando o tablet e o telefone tentado"&amp;"! Não flui para mim! Vou esperar até que funcione corretamente antes de investir muito tempo com isso!")</f>
        <v>Não há opção para editar erros de digitação. Não consigo ver onde adicionar um vídeo. Na verdade, não consigo ver onde adicionar ou postar nada! Gerenciou uma vez, mas não sabe como? Meus ícones parecem estar faltando! Usando o tablet e o telefone tentado! Não flui para mim! Vou esperar até que funcione corretamente antes de investir muito tempo com isso!</v>
      </c>
      <c r="I242" s="10" t="str">
        <f>IFERROR(__xludf.DUMMYFUNCTION("TRIM(REGEXREPLACE(H242,""[^a-zA-ZÀ-ú ]+"",""""))"),"Não há opção para editar erros de digitação Não consigo ver onde adicionar um vídeo Na verdade não consigo ver onde adicionar ou postar nada Gerenciou uma vez mas não sabe como Meus ícones parecem estar faltando Usando o tablet e o telefone tentado Não fl"&amp;"ui para mim Vou esperar até que funcione corretamente antes de investir muito tempo com isso")</f>
        <v>Não há opção para editar erros de digitação Não consigo ver onde adicionar um vídeo Na verdade não consigo ver onde adicionar ou postar nada Gerenciou uma vez mas não sabe como Meus ícones parecem estar faltando Usando o tablet e o telefone tentado Não flui para mim Vou esperar até que funcione corretamente antes de investir muito tempo com isso</v>
      </c>
      <c r="J242" s="3"/>
      <c r="K242" s="3"/>
      <c r="L242" s="3"/>
      <c r="M242" s="3"/>
      <c r="N242" s="3"/>
      <c r="O242" s="3"/>
      <c r="P242" s="3"/>
      <c r="Q242" s="3"/>
      <c r="R242" s="3"/>
      <c r="S242" s="3"/>
      <c r="T242" s="3"/>
      <c r="U242" s="3"/>
      <c r="V242" s="3"/>
      <c r="W242" s="3"/>
      <c r="X242" s="3"/>
      <c r="Y242" s="3"/>
      <c r="Z242" s="3"/>
      <c r="AA242" s="3"/>
    </row>
    <row r="243" ht="105.75" customHeight="1">
      <c r="A243" s="4" t="s">
        <v>9</v>
      </c>
      <c r="B243" s="5" t="s">
        <v>251</v>
      </c>
      <c r="C243" s="4">
        <v>3.0</v>
      </c>
      <c r="D243" s="6">
        <v>45114.62260416667</v>
      </c>
      <c r="E243" s="7" t="str">
        <f t="shared" si="1"/>
        <v>2023-07-07</v>
      </c>
      <c r="F243" s="8" t="str">
        <f t="shared" si="2"/>
        <v> 14:56:33</v>
      </c>
      <c r="G243" s="9" t="str">
        <f t="shared" si="3"/>
        <v>Tarde</v>
      </c>
      <c r="H243" s="10" t="str">
        <f>IFERROR(__xludf.DUMMYFUNCTION("GOOGLETRANSLATE(B243, ""en"", ""pt-br"")"),"O aplicativo está bem bem (apenas a versão do Instagram do Twitter basicamente), mas minha questão principal é como não há como desligar as postagens sugeridas, para que todas as pessoas que eu sigo sejam afogadas em um monte de tópicos de pessoas com que"&amp;"m não me importo . A única maneira de descobrir como me livrar deles é silenciar contas individuais, mas isso é muito esforço.")</f>
        <v>O aplicativo está bem bem (apenas a versão do Instagram do Twitter basicamente), mas minha questão principal é como não há como desligar as postagens sugeridas, para que todas as pessoas que eu sigo sejam afogadas em um monte de tópicos de pessoas com quem não me importo . A única maneira de descobrir como me livrar deles é silenciar contas individuais, mas isso é muito esforço.</v>
      </c>
      <c r="I243" s="10" t="str">
        <f>IFERROR(__xludf.DUMMYFUNCTION("TRIM(REGEXREPLACE(H243,""[^a-zA-ZÀ-ú ]+"",""""))"),"O aplicativo está bem bem apenas a versão do Instagram do Twitter basicamente mas minha questão principal é como não há como desligar as postagens sugeridas para que todas as pessoas que eu sigo sejam afogadas em um monte de tópicos de pessoas com quem nã"&amp;"o me importo A única maneira de descobrir como me livrar deles é silenciar contas individuais mas isso é muito esforço")</f>
        <v>O aplicativo está bem bem apenas a versão do Instagram do Twitter basicamente mas minha questão principal é como não há como desligar as postagens sugeridas para que todas as pessoas que eu sigo sejam afogadas em um monte de tópicos de pessoas com quem não me importo A única maneira de descobrir como me livrar deles é silenciar contas individuais mas isso é muito esforço</v>
      </c>
      <c r="J243" s="3"/>
      <c r="K243" s="3"/>
      <c r="L243" s="3"/>
      <c r="M243" s="3"/>
      <c r="N243" s="3"/>
      <c r="O243" s="3"/>
      <c r="P243" s="3"/>
      <c r="Q243" s="3"/>
      <c r="R243" s="3"/>
      <c r="S243" s="3"/>
      <c r="T243" s="3"/>
      <c r="U243" s="3"/>
      <c r="V243" s="3"/>
      <c r="W243" s="3"/>
      <c r="X243" s="3"/>
      <c r="Y243" s="3"/>
      <c r="Z243" s="3"/>
      <c r="AA243" s="3"/>
    </row>
    <row r="244" ht="105.75" customHeight="1">
      <c r="A244" s="4" t="s">
        <v>9</v>
      </c>
      <c r="B244" s="5" t="s">
        <v>252</v>
      </c>
      <c r="C244" s="4">
        <v>3.0</v>
      </c>
      <c r="D244" s="6">
        <v>45113.766122685185</v>
      </c>
      <c r="E244" s="7" t="str">
        <f t="shared" si="1"/>
        <v>2023-07-06</v>
      </c>
      <c r="F244" s="8" t="str">
        <f t="shared" si="2"/>
        <v> 18:23:13</v>
      </c>
      <c r="G244" s="9" t="str">
        <f t="shared" si="3"/>
        <v>Noite</v>
      </c>
      <c r="H244" s="10" t="str">
        <f>IFERROR(__xludf.DUMMYFUNCTION("GOOGLETRANSLATE(B244, ""en"", ""pt-br"")"),"Muito boa ideia como uma extensão do Instagram, embora ultimamente haja esse bug acontecendo onde nada carrega, não posso verificar minhas notificações, threads ou atualizar meu feed porque 'ocorreu um erro'. Não tenho certeza se sou o único que experimen"&amp;"ta isso, mas espero que seja corrigido rapidamente.")</f>
        <v>Muito boa ideia como uma extensão do Instagram, embora ultimamente haja esse bug acontecendo onde nada carrega, não posso verificar minhas notificações, threads ou atualizar meu feed porque 'ocorreu um erro'. Não tenho certeza se sou o único que experimenta isso, mas espero que seja corrigido rapidamente.</v>
      </c>
      <c r="I244" s="10" t="str">
        <f>IFERROR(__xludf.DUMMYFUNCTION("TRIM(REGEXREPLACE(H244,""[^a-zA-ZÀ-ú ]+"",""""))"),"Muito boa ideia como uma extensão do Instagram embora ultimamente haja esse bug acontecendo onde nada carrega não posso verificar minhas notificações threads ou atualizar meu feed porque ocorreu um erro Não tenho certeza se sou o único que experimenta iss"&amp;"o mas espero que seja corrigido rapidamente")</f>
        <v>Muito boa ideia como uma extensão do Instagram embora ultimamente haja esse bug acontecendo onde nada carrega não posso verificar minhas notificações threads ou atualizar meu feed porque ocorreu um erro Não tenho certeza se sou o único que experimenta isso mas espero que seja corrigido rapidamente</v>
      </c>
      <c r="J244" s="3"/>
      <c r="K244" s="3"/>
      <c r="L244" s="3"/>
      <c r="M244" s="3"/>
      <c r="N244" s="3"/>
      <c r="O244" s="3"/>
      <c r="P244" s="3"/>
      <c r="Q244" s="3"/>
      <c r="R244" s="3"/>
      <c r="S244" s="3"/>
      <c r="T244" s="3"/>
      <c r="U244" s="3"/>
      <c r="V244" s="3"/>
      <c r="W244" s="3"/>
      <c r="X244" s="3"/>
      <c r="Y244" s="3"/>
      <c r="Z244" s="3"/>
      <c r="AA244" s="3"/>
    </row>
    <row r="245" ht="105.75" customHeight="1">
      <c r="A245" s="4" t="s">
        <v>9</v>
      </c>
      <c r="B245" s="5" t="s">
        <v>253</v>
      </c>
      <c r="C245" s="4">
        <v>1.0</v>
      </c>
      <c r="D245" s="6">
        <v>45117.132002314815</v>
      </c>
      <c r="E245" s="7" t="str">
        <f t="shared" si="1"/>
        <v>2023-07-10</v>
      </c>
      <c r="F245" s="8" t="str">
        <f t="shared" si="2"/>
        <v> 03:10:05</v>
      </c>
      <c r="G245" s="9" t="str">
        <f t="shared" si="3"/>
        <v>Manhã</v>
      </c>
      <c r="H245" s="10" t="str">
        <f>IFERROR(__xludf.DUMMYFUNCTION("GOOGLETRANSLATE(B245, ""en"", ""pt-br"")"),"Eu não posso nem usá -lo corretamente. Quando comecei a rolar ou pelo menos ir para as outras guias, ele começou a falhar e se sobrepõe tudo. Por favor, corrija este bug na próxima atualização, não posso ter a mesma experiência que o que meus outros amigo"&amp;"s fazem.")</f>
        <v>Eu não posso nem usá -lo corretamente. Quando comecei a rolar ou pelo menos ir para as outras guias, ele começou a falhar e se sobrepõe tudo. Por favor, corrija este bug na próxima atualização, não posso ter a mesma experiência que o que meus outros amigos fazem.</v>
      </c>
      <c r="I245" s="10" t="str">
        <f>IFERROR(__xludf.DUMMYFUNCTION("TRIM(REGEXREPLACE(H245,""[^a-zA-ZÀ-ú ]+"",""""))"),"Eu não posso nem usá lo corretamente Quando comecei a rolar ou pelo menos ir para as outras guias ele começou a falhar e se sobrepõe tudo Por favor corrija este bug na próxima atualização não posso ter a mesma experiência que o que meus outros amigos faze"&amp;"m")</f>
        <v>Eu não posso nem usá lo corretamente Quando comecei a rolar ou pelo menos ir para as outras guias ele começou a falhar e se sobrepõe tudo Por favor corrija este bug na próxima atualização não posso ter a mesma experiência que o que meus outros amigos fazem</v>
      </c>
      <c r="J245" s="3"/>
      <c r="K245" s="3"/>
      <c r="L245" s="3"/>
      <c r="M245" s="3"/>
      <c r="N245" s="3"/>
      <c r="O245" s="3"/>
      <c r="P245" s="3"/>
      <c r="Q245" s="3"/>
      <c r="R245" s="3"/>
      <c r="S245" s="3"/>
      <c r="T245" s="3"/>
      <c r="U245" s="3"/>
      <c r="V245" s="3"/>
      <c r="W245" s="3"/>
      <c r="X245" s="3"/>
      <c r="Y245" s="3"/>
      <c r="Z245" s="3"/>
      <c r="AA245" s="3"/>
    </row>
    <row r="246" ht="105.75" customHeight="1">
      <c r="A246" s="4" t="s">
        <v>9</v>
      </c>
      <c r="B246" s="5" t="s">
        <v>254</v>
      </c>
      <c r="C246" s="4">
        <v>1.0</v>
      </c>
      <c r="D246" s="6">
        <v>45129.077465277776</v>
      </c>
      <c r="E246" s="7" t="str">
        <f t="shared" si="1"/>
        <v>2023-07-22</v>
      </c>
      <c r="F246" s="8" t="str">
        <f t="shared" si="2"/>
        <v> 01:51:33</v>
      </c>
      <c r="G246" s="9" t="str">
        <f t="shared" si="3"/>
        <v>Manhã</v>
      </c>
      <c r="H246" s="10" t="str">
        <f>IFERROR(__xludf.DUMMYFUNCTION("GOOGLETRANSLATE(B246, ""en"", ""pt-br"")"),"Seria ótimo se eu pudesse acompanhar as pessoas. A ""armadilha de spam"" me tem como um falso positivo. Eu enviei um ticket de suporte três vezes e respondi ao seu tópico sobre o problema várias vezes, mas nenhuma resposta. Está além de frustrante e estou"&amp;" quase pronto para excluir minha conta. Se o problema for corrigido, adicionarei mais estrelas à minha classificação e mudarei minha revisão.")</f>
        <v>Seria ótimo se eu pudesse acompanhar as pessoas. A "armadilha de spam" me tem como um falso positivo. Eu enviei um ticket de suporte três vezes e respondi ao seu tópico sobre o problema várias vezes, mas nenhuma resposta. Está além de frustrante e estou quase pronto para excluir minha conta. Se o problema for corrigido, adicionarei mais estrelas à minha classificação e mudarei minha revisão.</v>
      </c>
      <c r="I246" s="10" t="str">
        <f>IFERROR(__xludf.DUMMYFUNCTION("TRIM(REGEXREPLACE(H246,""[^a-zA-ZÀ-ú ]+"",""""))"),"Seria ótimo se eu pudesse acompanhar as pessoas A armadilha de spam me tem como um falso positivo Eu enviei um ticket de suporte três vezes e respondi ao seu tópico sobre o problema várias vezes mas nenhuma resposta Está além de frustrante e estou quase p"&amp;"ronto para excluir minha conta Se o problema for corrigido adicionarei mais estrelas à minha classificação e mudarei minha revisão")</f>
        <v>Seria ótimo se eu pudesse acompanhar as pessoas A armadilha de spam me tem como um falso positivo Eu enviei um ticket de suporte três vezes e respondi ao seu tópico sobre o problema várias vezes mas nenhuma resposta Está além de frustrante e estou quase pronto para excluir minha conta Se o problema for corrigido adicionarei mais estrelas à minha classificação e mudarei minha revisão</v>
      </c>
      <c r="J246" s="3"/>
      <c r="K246" s="3"/>
      <c r="L246" s="3"/>
      <c r="M246" s="3"/>
      <c r="N246" s="3"/>
      <c r="O246" s="3"/>
      <c r="P246" s="3"/>
      <c r="Q246" s="3"/>
      <c r="R246" s="3"/>
      <c r="S246" s="3"/>
      <c r="T246" s="3"/>
      <c r="U246" s="3"/>
      <c r="V246" s="3"/>
      <c r="W246" s="3"/>
      <c r="X246" s="3"/>
      <c r="Y246" s="3"/>
      <c r="Z246" s="3"/>
      <c r="AA246" s="3"/>
    </row>
    <row r="247" ht="105.75" customHeight="1">
      <c r="A247" s="4" t="s">
        <v>9</v>
      </c>
      <c r="B247" s="5" t="s">
        <v>255</v>
      </c>
      <c r="C247" s="4">
        <v>3.0</v>
      </c>
      <c r="D247" s="6">
        <v>45117.49208333333</v>
      </c>
      <c r="E247" s="7" t="str">
        <f t="shared" si="1"/>
        <v>2023-07-10</v>
      </c>
      <c r="F247" s="8" t="str">
        <f t="shared" si="2"/>
        <v> 11:48:36</v>
      </c>
      <c r="G247" s="9" t="str">
        <f t="shared" si="3"/>
        <v>Manhã</v>
      </c>
      <c r="H247" s="10" t="str">
        <f>IFERROR(__xludf.DUMMYFUNCTION("GOOGLETRANSLATE(B247, ""en"", ""pt-br"")"),"O que há de errado em ter que pressionar o botão do alto -falante se você quiser fazer upload de um vídeo hein ?? O botão é tão pequeno e, na maioria das vezes, os usuários esqueceram de pressionar esse botão ... é tão estúpido. Além disso, qual é o objet"&amp;"ivo de seguir alguém, se vamos ver as postagens de pessoas aleatórias em nossa TL de qualquer maneira? Não veja para onde você está indo com isso honestamente. Exceto pela suavidade da interface do usuário, o UX é notavelmente pior do que seus concorrente"&amp;"s.")</f>
        <v>O que há de errado em ter que pressionar o botão do alto -falante se você quiser fazer upload de um vídeo hein ?? O botão é tão pequeno e, na maioria das vezes, os usuários esqueceram de pressionar esse botão ... é tão estúpido. Além disso, qual é o objetivo de seguir alguém, se vamos ver as postagens de pessoas aleatórias em nossa TL de qualquer maneira? Não veja para onde você está indo com isso honestamente. Exceto pela suavidade da interface do usuário, o UX é notavelmente pior do que seus concorrentes.</v>
      </c>
      <c r="I247" s="10" t="str">
        <f>IFERROR(__xludf.DUMMYFUNCTION("TRIM(REGEXREPLACE(H247,""[^a-zA-ZÀ-ú ]+"",""""))"),"O que há de errado em ter que pressionar o botão do alto falante se você quiser fazer upload de um vídeo hein O botão é tão pequeno e na maioria das vezes os usuários esqueceram de pressionar esse botão é tão estúpido Além disso qual é o objetivo de segui"&amp;"r alguém se vamos ver as postagens de pessoas aleatórias em nossa TL de qualquer maneira Não veja para onde você está indo com isso honestamente Exceto pela suavidade da interface do usuário o UX é notavelmente pior do que seus concorrentes")</f>
        <v>O que há de errado em ter que pressionar o botão do alto falante se você quiser fazer upload de um vídeo hein O botão é tão pequeno e na maioria das vezes os usuários esqueceram de pressionar esse botão é tão estúpido Além disso qual é o objetivo de seguir alguém se vamos ver as postagens de pessoas aleatórias em nossa TL de qualquer maneira Não veja para onde você está indo com isso honestamente Exceto pela suavidade da interface do usuário o UX é notavelmente pior do que seus concorrentes</v>
      </c>
      <c r="J247" s="3"/>
      <c r="K247" s="3"/>
      <c r="L247" s="3"/>
      <c r="M247" s="3"/>
      <c r="N247" s="3"/>
      <c r="O247" s="3"/>
      <c r="P247" s="3"/>
      <c r="Q247" s="3"/>
      <c r="R247" s="3"/>
      <c r="S247" s="3"/>
      <c r="T247" s="3"/>
      <c r="U247" s="3"/>
      <c r="V247" s="3"/>
      <c r="W247" s="3"/>
      <c r="X247" s="3"/>
      <c r="Y247" s="3"/>
      <c r="Z247" s="3"/>
      <c r="AA247" s="3"/>
    </row>
    <row r="248" ht="105.75" customHeight="1">
      <c r="A248" s="4" t="s">
        <v>9</v>
      </c>
      <c r="B248" s="5" t="s">
        <v>256</v>
      </c>
      <c r="C248" s="4">
        <v>1.0</v>
      </c>
      <c r="D248" s="6">
        <v>45114.35434027778</v>
      </c>
      <c r="E248" s="7" t="str">
        <f t="shared" si="1"/>
        <v>2023-07-07</v>
      </c>
      <c r="F248" s="8" t="str">
        <f t="shared" si="2"/>
        <v> 08:30:15</v>
      </c>
      <c r="G248" s="9" t="str">
        <f t="shared" si="3"/>
        <v>Manhã</v>
      </c>
      <c r="H248" s="10" t="str">
        <f>IFERROR(__xludf.DUMMYFUNCTION("GOOGLETRANSLATE(B248, ""en"", ""pt-br"")"),"É difícil afirmar que este é um aplicativo ""independente"", pois você precisa de uma conta do Instagram para acessá -lo. Não uso o Instagram e provavelmente não fará mais tentativas de usar threads. A primeira impressão é ... nenhuma impressão.")</f>
        <v>É difícil afirmar que este é um aplicativo "independente", pois você precisa de uma conta do Instagram para acessá -lo. Não uso o Instagram e provavelmente não fará mais tentativas de usar threads. A primeira impressão é ... nenhuma impressão.</v>
      </c>
      <c r="I248" s="10" t="str">
        <f>IFERROR(__xludf.DUMMYFUNCTION("TRIM(REGEXREPLACE(H248,""[^a-zA-ZÀ-ú ]+"",""""))"),"É difícil afirmar que este é um aplicativo independente pois você precisa de uma conta do Instagram para acessá lo Não uso o Instagram e provavelmente não fará mais tentativas de usar threads A primeira impressão é nenhuma impressão")</f>
        <v>É difícil afirmar que este é um aplicativo independente pois você precisa de uma conta do Instagram para acessá lo Não uso o Instagram e provavelmente não fará mais tentativas de usar threads A primeira impressão é nenhuma impressão</v>
      </c>
      <c r="J248" s="3"/>
      <c r="K248" s="3"/>
      <c r="L248" s="3"/>
      <c r="M248" s="3"/>
      <c r="N248" s="3"/>
      <c r="O248" s="3"/>
      <c r="P248" s="3"/>
      <c r="Q248" s="3"/>
      <c r="R248" s="3"/>
      <c r="S248" s="3"/>
      <c r="T248" s="3"/>
      <c r="U248" s="3"/>
      <c r="V248" s="3"/>
      <c r="W248" s="3"/>
      <c r="X248" s="3"/>
      <c r="Y248" s="3"/>
      <c r="Z248" s="3"/>
      <c r="AA248" s="3"/>
    </row>
    <row r="249" ht="105.75" customHeight="1">
      <c r="A249" s="4" t="s">
        <v>9</v>
      </c>
      <c r="B249" s="5" t="s">
        <v>257</v>
      </c>
      <c r="C249" s="4">
        <v>4.0</v>
      </c>
      <c r="D249" s="6">
        <v>45114.082650462966</v>
      </c>
      <c r="E249" s="7" t="str">
        <f t="shared" si="1"/>
        <v>2023-07-07</v>
      </c>
      <c r="F249" s="8" t="str">
        <f t="shared" si="2"/>
        <v> 01:59:01</v>
      </c>
      <c r="G249" s="9" t="str">
        <f t="shared" si="3"/>
        <v>Manhã</v>
      </c>
      <c r="H249" s="10" t="str">
        <f>IFERROR(__xludf.DUMMYFUNCTION("GOOGLETRANSLATE(B249, ""en"", ""pt-br"")"),"Até agora tudo bem! Precisamos ser capazes de selecionar de que álbum queremos postar uma foto. No momento, isso não nos dá essa opção. Além disso, quando respondemos a alguém, parece que tudo faz parte de um tópico em vez de mostrar a quem estamos respon"&amp;"dendo. Bom começo, pequenas correções aqui e ali para fazê -lo funcionar.")</f>
        <v>Até agora tudo bem! Precisamos ser capazes de selecionar de que álbum queremos postar uma foto. No momento, isso não nos dá essa opção. Além disso, quando respondemos a alguém, parece que tudo faz parte de um tópico em vez de mostrar a quem estamos respondendo. Bom começo, pequenas correções aqui e ali para fazê -lo funcionar.</v>
      </c>
      <c r="I249" s="10" t="str">
        <f>IFERROR(__xludf.DUMMYFUNCTION("TRIM(REGEXREPLACE(H249,""[^a-zA-ZÀ-ú ]+"",""""))"),"Até agora tudo bem Precisamos ser capazes de selecionar de que álbum queremos postar uma foto No momento isso não nos dá essa opção Além disso quando respondemos a alguém parece que tudo faz parte de um tópico em vez de mostrar a quem estamos respondendo "&amp;"Bom começo pequenas correções aqui e ali para fazê lo funcionar")</f>
        <v>Até agora tudo bem Precisamos ser capazes de selecionar de que álbum queremos postar uma foto No momento isso não nos dá essa opção Além disso quando respondemos a alguém parece que tudo faz parte de um tópico em vez de mostrar a quem estamos respondendo Bom começo pequenas correções aqui e ali para fazê lo funcionar</v>
      </c>
      <c r="J249" s="3"/>
      <c r="K249" s="3"/>
      <c r="L249" s="3"/>
      <c r="M249" s="3"/>
      <c r="N249" s="3"/>
      <c r="O249" s="3"/>
      <c r="P249" s="3"/>
      <c r="Q249" s="3"/>
      <c r="R249" s="3"/>
      <c r="S249" s="3"/>
      <c r="T249" s="3"/>
      <c r="U249" s="3"/>
      <c r="V249" s="3"/>
      <c r="W249" s="3"/>
      <c r="X249" s="3"/>
      <c r="Y249" s="3"/>
      <c r="Z249" s="3"/>
      <c r="AA249" s="3"/>
    </row>
    <row r="250" ht="105.75" customHeight="1">
      <c r="A250" s="4" t="s">
        <v>9</v>
      </c>
      <c r="B250" s="5" t="s">
        <v>258</v>
      </c>
      <c r="C250" s="4">
        <v>3.0</v>
      </c>
      <c r="D250" s="6">
        <v>45122.47222222222</v>
      </c>
      <c r="E250" s="7" t="str">
        <f t="shared" si="1"/>
        <v>2023-07-15</v>
      </c>
      <c r="F250" s="8" t="str">
        <f t="shared" si="2"/>
        <v> 11:20:00</v>
      </c>
      <c r="G250" s="9" t="str">
        <f t="shared" si="3"/>
        <v>Manhã</v>
      </c>
      <c r="H250" s="10" t="str">
        <f>IFERROR(__xludf.DUMMYFUNCTION("GOOGLETRANSLATE(B250, ""en"", ""pt-br"")"),"Instalado pela primeira vez no meu iPhone. Funcionou bem por alguns dias, mas parou de mostrar notificações (apenas continua dizendo que tente novamente). Refrescante não ajuda. Reinstalar não ajuda. Não consigo ver comentários sobre outras postagens. Ten"&amp;"tei a versão Android e obteve exatamente a mesma experiência. Precisa de consertar")</f>
        <v>Instalado pela primeira vez no meu iPhone. Funcionou bem por alguns dias, mas parou de mostrar notificações (apenas continua dizendo que tente novamente). Refrescante não ajuda. Reinstalar não ajuda. Não consigo ver comentários sobre outras postagens. Tentei a versão Android e obteve exatamente a mesma experiência. Precisa de consertar</v>
      </c>
      <c r="I250" s="10" t="str">
        <f>IFERROR(__xludf.DUMMYFUNCTION("TRIM(REGEXREPLACE(H250,""[^a-zA-ZÀ-ú ]+"",""""))"),"Instalado pela primeira vez no meu iPhone Funcionou bem por alguns dias mas parou de mostrar notificações apenas continua dizendo que tente novamente Refrescante não ajuda Reinstalar não ajuda Não consigo ver comentários sobre outras postagens Tentei a ve"&amp;"rsão Android e obteve exatamente a mesma experiência Precisa de consertar")</f>
        <v>Instalado pela primeira vez no meu iPhone Funcionou bem por alguns dias mas parou de mostrar notificações apenas continua dizendo que tente novamente Refrescante não ajuda Reinstalar não ajuda Não consigo ver comentários sobre outras postagens Tentei a versão Android e obteve exatamente a mesma experiência Precisa de consertar</v>
      </c>
      <c r="J250" s="3"/>
      <c r="K250" s="3"/>
      <c r="L250" s="3"/>
      <c r="M250" s="3"/>
      <c r="N250" s="3"/>
      <c r="O250" s="3"/>
      <c r="P250" s="3"/>
      <c r="Q250" s="3"/>
      <c r="R250" s="3"/>
      <c r="S250" s="3"/>
      <c r="T250" s="3"/>
      <c r="U250" s="3"/>
      <c r="V250" s="3"/>
      <c r="W250" s="3"/>
      <c r="X250" s="3"/>
      <c r="Y250" s="3"/>
      <c r="Z250" s="3"/>
      <c r="AA250" s="3"/>
    </row>
    <row r="251" ht="105.75" customHeight="1">
      <c r="A251" s="4" t="s">
        <v>9</v>
      </c>
      <c r="B251" s="5" t="s">
        <v>259</v>
      </c>
      <c r="C251" s="4">
        <v>3.0</v>
      </c>
      <c r="D251" s="6">
        <v>45114.83221064815</v>
      </c>
      <c r="E251" s="7" t="str">
        <f t="shared" si="1"/>
        <v>2023-07-07</v>
      </c>
      <c r="F251" s="8" t="str">
        <f t="shared" si="2"/>
        <v> 19:58:23</v>
      </c>
      <c r="G251" s="9" t="str">
        <f t="shared" si="3"/>
        <v>Noite</v>
      </c>
      <c r="H251" s="10" t="str">
        <f>IFERROR(__xludf.DUMMYFUNCTION("GOOGLETRANSLATE(B251, ""en"", ""pt-br"")"),"Desejo que as fotos/vídeos/reais não ocupem a maior parte da página e faça com que pareça outro aplicativo Insta! Gosta de estar o mais próximo como o Twitter Copycat e deixar a prioridade repousar no texto e principalmente as postagens das pessoas! Gosta"&amp;"ria que houvesse uma opção mais fácil de nos errar de todos aqueles seguidores da Insta para nos seguir aqui")</f>
        <v>Desejo que as fotos/vídeos/reais não ocupem a maior parte da página e faça com que pareça outro aplicativo Insta! Gosta de estar o mais próximo como o Twitter Copycat e deixar a prioridade repousar no texto e principalmente as postagens das pessoas! Gostaria que houvesse uma opção mais fácil de nos errar de todos aqueles seguidores da Insta para nos seguir aqui</v>
      </c>
      <c r="I251" s="10" t="str">
        <f>IFERROR(__xludf.DUMMYFUNCTION("TRIM(REGEXREPLACE(H251,""[^a-zA-ZÀ-ú ]+"",""""))"),"Desejo que as fotosvídeosreais não ocupem a maior parte da página e faça com que pareça outro aplicativo Insta Gosta de estar o mais próximo como o Twitter Copycat e deixar a prioridade repousar no texto e principalmente as postagens das pessoas Gostaria "&amp;"que houvesse uma opção mais fácil de nos errar de todos aqueles seguidores da Insta para nos seguir aqui")</f>
        <v>Desejo que as fotosvídeosreais não ocupem a maior parte da página e faça com que pareça outro aplicativo Insta Gosta de estar o mais próximo como o Twitter Copycat e deixar a prioridade repousar no texto e principalmente as postagens das pessoas Gostaria que houvesse uma opção mais fácil de nos errar de todos aqueles seguidores da Insta para nos seguir aqui</v>
      </c>
      <c r="J251" s="3"/>
      <c r="K251" s="3"/>
      <c r="L251" s="3"/>
      <c r="M251" s="3"/>
      <c r="N251" s="3"/>
      <c r="O251" s="3"/>
      <c r="P251" s="3"/>
      <c r="Q251" s="3"/>
      <c r="R251" s="3"/>
      <c r="S251" s="3"/>
      <c r="T251" s="3"/>
      <c r="U251" s="3"/>
      <c r="V251" s="3"/>
      <c r="W251" s="3"/>
      <c r="X251" s="3"/>
      <c r="Y251" s="3"/>
      <c r="Z251" s="3"/>
      <c r="AA251" s="3"/>
    </row>
    <row r="252" ht="105.75" customHeight="1">
      <c r="A252" s="4" t="s">
        <v>9</v>
      </c>
      <c r="B252" s="5" t="s">
        <v>260</v>
      </c>
      <c r="C252" s="4">
        <v>3.0</v>
      </c>
      <c r="D252" s="6">
        <v>45114.32099537037</v>
      </c>
      <c r="E252" s="7" t="str">
        <f t="shared" si="1"/>
        <v>2023-07-07</v>
      </c>
      <c r="F252" s="8" t="str">
        <f t="shared" si="2"/>
        <v> 07:42:14</v>
      </c>
      <c r="G252" s="9" t="str">
        <f t="shared" si="3"/>
        <v>Manhã</v>
      </c>
      <c r="H252" s="10" t="str">
        <f>IFERROR(__xludf.DUMMYFUNCTION("GOOGLETRANSLATE(B252, ""en"", ""pt-br"")"),"Falhas em momentos aleatórios e você deve recarregar o aplicativo. Talvez uma vez que progride, ele se estabilizará. Necessidade urgente de uma opção de tradução. Além disso, a opção de salvar um tópico seria bom. Também seriam os threads na direção certa"&amp;".")</f>
        <v>Falhas em momentos aleatórios e você deve recarregar o aplicativo. Talvez uma vez que progride, ele se estabilizará. Necessidade urgente de uma opção de tradução. Além disso, a opção de salvar um tópico seria bom. Também seriam os threads na direção certa.</v>
      </c>
      <c r="I252" s="10" t="str">
        <f>IFERROR(__xludf.DUMMYFUNCTION("TRIM(REGEXREPLACE(H252,""[^a-zA-ZÀ-ú ]+"",""""))"),"Falhas em momentos aleatórios e você deve recarregar o aplicativo Talvez uma vez que progride ele se estabilizará Necessidade urgente de uma opção de tradução Além disso a opção de salvar um tópico seria bom Também seriam os threads na direção certa")</f>
        <v>Falhas em momentos aleatórios e você deve recarregar o aplicativo Talvez uma vez que progride ele se estabilizará Necessidade urgente de uma opção de tradução Além disso a opção de salvar um tópico seria bom Também seriam os threads na direção certa</v>
      </c>
      <c r="J252" s="3"/>
      <c r="K252" s="3"/>
      <c r="L252" s="3"/>
      <c r="M252" s="3"/>
      <c r="N252" s="3"/>
      <c r="O252" s="3"/>
      <c r="P252" s="3"/>
      <c r="Q252" s="3"/>
      <c r="R252" s="3"/>
      <c r="S252" s="3"/>
      <c r="T252" s="3"/>
      <c r="U252" s="3"/>
      <c r="V252" s="3"/>
      <c r="W252" s="3"/>
      <c r="X252" s="3"/>
      <c r="Y252" s="3"/>
      <c r="Z252" s="3"/>
      <c r="AA252" s="3"/>
    </row>
    <row r="253" ht="105.75" customHeight="1">
      <c r="A253" s="4" t="s">
        <v>9</v>
      </c>
      <c r="B253" s="5" t="s">
        <v>261</v>
      </c>
      <c r="C253" s="4">
        <v>1.0</v>
      </c>
      <c r="D253" s="6">
        <v>45130.335069444445</v>
      </c>
      <c r="E253" s="7" t="str">
        <f t="shared" si="1"/>
        <v>2023-07-23</v>
      </c>
      <c r="F253" s="8" t="str">
        <f t="shared" si="2"/>
        <v> 08:02:30</v>
      </c>
      <c r="G253" s="9" t="str">
        <f t="shared" si="3"/>
        <v>Manhã</v>
      </c>
      <c r="H253" s="10" t="str">
        <f>IFERROR(__xludf.DUMMYFUNCTION("GOOGLETRANSLATE(B253, ""en"", ""pt-br"")"),"Um aplicativo terrível que ninguém precisava. Nada funciona aqui como deveria. A interface do usuário está desordenada, com anúncios em todas as páginas e a integração dos rolos é um pesadelo. Falar sobre privacidade no contexto da Meta é uma causa perdid"&amp;"a, então não vou me debruçar muito sobre isso.")</f>
        <v>Um aplicativo terrível que ninguém precisava. Nada funciona aqui como deveria. A interface do usuário está desordenada, com anúncios em todas as páginas e a integração dos rolos é um pesadelo. Falar sobre privacidade no contexto da Meta é uma causa perdida, então não vou me debruçar muito sobre isso.</v>
      </c>
      <c r="I253" s="10" t="str">
        <f>IFERROR(__xludf.DUMMYFUNCTION("TRIM(REGEXREPLACE(H253,""[^a-zA-ZÀ-ú ]+"",""""))"),"Um aplicativo terrível que ninguém precisava Nada funciona aqui como deveria A interface do usuário está desordenada com anúncios em todas as páginas e a integração dos rolos é um pesadelo Falar sobre privacidade no contexto da Meta é uma causa perdida en"&amp;"tão não vou me debruçar muito sobre isso")</f>
        <v>Um aplicativo terrível que ninguém precisava Nada funciona aqui como deveria A interface do usuário está desordenada com anúncios em todas as páginas e a integração dos rolos é um pesadelo Falar sobre privacidade no contexto da Meta é uma causa perdida então não vou me debruçar muito sobre isso</v>
      </c>
      <c r="J253" s="3"/>
      <c r="K253" s="3"/>
      <c r="L253" s="3"/>
      <c r="M253" s="3"/>
      <c r="N253" s="3"/>
      <c r="O253" s="3"/>
      <c r="P253" s="3"/>
      <c r="Q253" s="3"/>
      <c r="R253" s="3"/>
      <c r="S253" s="3"/>
      <c r="T253" s="3"/>
      <c r="U253" s="3"/>
      <c r="V253" s="3"/>
      <c r="W253" s="3"/>
      <c r="X253" s="3"/>
      <c r="Y253" s="3"/>
      <c r="Z253" s="3"/>
      <c r="AA253" s="3"/>
    </row>
    <row r="254" ht="105.75" customHeight="1">
      <c r="A254" s="4" t="s">
        <v>9</v>
      </c>
      <c r="B254" s="5" t="s">
        <v>262</v>
      </c>
      <c r="C254" s="4">
        <v>3.0</v>
      </c>
      <c r="D254" s="6">
        <v>45113.86025462963</v>
      </c>
      <c r="E254" s="7" t="str">
        <f t="shared" si="1"/>
        <v>2023-07-06</v>
      </c>
      <c r="F254" s="8" t="str">
        <f t="shared" si="2"/>
        <v> 20:38:46</v>
      </c>
      <c r="G254" s="9" t="str">
        <f t="shared" si="3"/>
        <v>Noite</v>
      </c>
      <c r="H254" s="10" t="str">
        <f>IFERROR(__xludf.DUMMYFUNCTION("GOOGLETRANSLATE(B254, ""en"", ""pt-br"")"),"Espero que ele tenha um recurso de modo escuro e também tenha mensagens, para que pelo menos possamos enviar foto, vídeo ou VM para lá. Eu também espero que possa haver um recurso onde você também possa colocar histórias de vídeo e fotos. Por fim, é muito"&amp;" difícil mudar de conta, então espero que você possa fazer algo com ela. Obrigado.")</f>
        <v>Espero que ele tenha um recurso de modo escuro e também tenha mensagens, para que pelo menos possamos enviar foto, vídeo ou VM para lá. Eu também espero que possa haver um recurso onde você também possa colocar histórias de vídeo e fotos. Por fim, é muito difícil mudar de conta, então espero que você possa fazer algo com ela. Obrigado.</v>
      </c>
      <c r="I254" s="10" t="str">
        <f>IFERROR(__xludf.DUMMYFUNCTION("TRIM(REGEXREPLACE(H254,""[^a-zA-ZÀ-ú ]+"",""""))"),"Espero que ele tenha um recurso de modo escuro e também tenha mensagens para que pelo menos possamos enviar foto vídeo ou VM para lá Eu também espero que possa haver um recurso onde você também possa colocar histórias de vídeo e fotos Por fim é muito difí"&amp;"cil mudar de conta então espero que você possa fazer algo com ela Obrigado")</f>
        <v>Espero que ele tenha um recurso de modo escuro e também tenha mensagens para que pelo menos possamos enviar foto vídeo ou VM para lá Eu também espero que possa haver um recurso onde você também possa colocar histórias de vídeo e fotos Por fim é muito difícil mudar de conta então espero que você possa fazer algo com ela Obrigado</v>
      </c>
      <c r="J254" s="3"/>
      <c r="K254" s="3"/>
      <c r="L254" s="3"/>
      <c r="M254" s="3"/>
      <c r="N254" s="3"/>
      <c r="O254" s="3"/>
      <c r="P254" s="3"/>
      <c r="Q254" s="3"/>
      <c r="R254" s="3"/>
      <c r="S254" s="3"/>
      <c r="T254" s="3"/>
      <c r="U254" s="3"/>
      <c r="V254" s="3"/>
      <c r="W254" s="3"/>
      <c r="X254" s="3"/>
      <c r="Y254" s="3"/>
      <c r="Z254" s="3"/>
      <c r="AA254" s="3"/>
    </row>
    <row r="255" ht="105.75" customHeight="1">
      <c r="A255" s="4" t="s">
        <v>9</v>
      </c>
      <c r="B255" s="5" t="s">
        <v>263</v>
      </c>
      <c r="C255" s="4">
        <v>2.0</v>
      </c>
      <c r="D255" s="6">
        <v>45114.63849537037</v>
      </c>
      <c r="E255" s="7" t="str">
        <f t="shared" si="1"/>
        <v>2023-07-07</v>
      </c>
      <c r="F255" s="8" t="str">
        <f t="shared" si="2"/>
        <v> 15:19:26</v>
      </c>
      <c r="G255" s="9" t="str">
        <f t="shared" si="3"/>
        <v>Tarde</v>
      </c>
      <c r="H255" s="10" t="str">
        <f>IFERROR(__xludf.DUMMYFUNCTION("GOOGLETRANSLATE(B255, ""en"", ""pt-br"")"),"O App parece realmente uma ótima comunidade levou isso muito bem. Mas terei que dar 2 partidas, porque esse aplicativo não gosta da minha melhor fotografia que tirei, não consigo carregá -la toda vez que tento fazer upload dessa foto em particular e o upl"&amp;"oad falha, não sei por que, mas corrija isso. E se você deseja que os desenvolvedores desejem verificar o arquivo que está causando um problema, caiu livremente para chegar, eu adoraria ajudar e ter uma alternativa melhor no Twitter. De qualquer forma, bo"&amp;"m trabalho na interface do usuário e coisas👍")</f>
        <v>O App parece realmente uma ótima comunidade levou isso muito bem. Mas terei que dar 2 partidas, porque esse aplicativo não gosta da minha melhor fotografia que tirei, não consigo carregá -la toda vez que tento fazer upload dessa foto em particular e o upload falha, não sei por que, mas corrija isso. E se você deseja que os desenvolvedores desejem verificar o arquivo que está causando um problema, caiu livremente para chegar, eu adoraria ajudar e ter uma alternativa melhor no Twitter. De qualquer forma, bom trabalho na interface do usuário e coisas👍</v>
      </c>
      <c r="I255" s="10" t="str">
        <f>IFERROR(__xludf.DUMMYFUNCTION("TRIM(REGEXREPLACE(H255,""[^a-zA-ZÀ-ú ]+"",""""))"),"O App parece realmente uma ótima comunidade levou isso muito bem Mas terei que dar partidas porque esse aplicativo não gosta da minha melhor fotografia que tirei não consigo carregá la toda vez que tento fazer upload dessa foto em particular e o upload fa"&amp;"lha não sei por que mas corrija isso E se você deseja que os desenvolvedores desejem verificar o arquivo que está causando um problema caiu livremente para chegar eu adoraria ajudar e ter uma alternativa melhor no Twitter De qualquer forma bom trabalho na"&amp;" interface do usuário e coisas")</f>
        <v>O App parece realmente uma ótima comunidade levou isso muito bem Mas terei que dar partidas porque esse aplicativo não gosta da minha melhor fotografia que tirei não consigo carregá la toda vez que tento fazer upload dessa foto em particular e o upload falha não sei por que mas corrija isso E se você deseja que os desenvolvedores desejem verificar o arquivo que está causando um problema caiu livremente para chegar eu adoraria ajudar e ter uma alternativa melhor no Twitter De qualquer forma bom trabalho na interface do usuário e coisas</v>
      </c>
      <c r="J255" s="3"/>
      <c r="K255" s="3"/>
      <c r="L255" s="3"/>
      <c r="M255" s="3"/>
      <c r="N255" s="3"/>
      <c r="O255" s="3"/>
      <c r="P255" s="3"/>
      <c r="Q255" s="3"/>
      <c r="R255" s="3"/>
      <c r="S255" s="3"/>
      <c r="T255" s="3"/>
      <c r="U255" s="3"/>
      <c r="V255" s="3"/>
      <c r="W255" s="3"/>
      <c r="X255" s="3"/>
      <c r="Y255" s="3"/>
      <c r="Z255" s="3"/>
      <c r="AA255" s="3"/>
    </row>
    <row r="256" ht="105.75" customHeight="1">
      <c r="A256" s="4" t="s">
        <v>9</v>
      </c>
      <c r="B256" s="5" t="s">
        <v>264</v>
      </c>
      <c r="C256" s="4">
        <v>2.0</v>
      </c>
      <c r="D256" s="6">
        <v>45114.91427083333</v>
      </c>
      <c r="E256" s="7" t="str">
        <f t="shared" si="1"/>
        <v>2023-07-07</v>
      </c>
      <c r="F256" s="8" t="str">
        <f t="shared" si="2"/>
        <v> 21:56:33</v>
      </c>
      <c r="G256" s="9" t="str">
        <f t="shared" si="3"/>
        <v>Noite</v>
      </c>
      <c r="H256" s="10" t="str">
        <f>IFERROR(__xludf.DUMMYFUNCTION("GOOGLETRANSLATE(B256, ""en"", ""pt-br"")"),"Ainda muito buggy e não utilizável. Tópicos Discapare. A biografia é sincronizada com o IG, mesmo depois de corrigir isso algumas vezes. Também não estou feliz com toda a permanência disso. Deseja mais controle sobre os dados, privacidade e propriedade de"&amp;" dados.")</f>
        <v>Ainda muito buggy e não utilizável. Tópicos Discapare. A biografia é sincronizada com o IG, mesmo depois de corrigir isso algumas vezes. Também não estou feliz com toda a permanência disso. Deseja mais controle sobre os dados, privacidade e propriedade de dados.</v>
      </c>
      <c r="I256" s="10" t="str">
        <f>IFERROR(__xludf.DUMMYFUNCTION("TRIM(REGEXREPLACE(H256,""[^a-zA-ZÀ-ú ]+"",""""))"),"Ainda muito buggy e não utilizável Tópicos Discapare A biografia é sincronizada com o IG mesmo depois de corrigir isso algumas vezes Também não estou feliz com toda a permanência disso Deseja mais controle sobre os dados privacidade e propriedade de dados")</f>
        <v>Ainda muito buggy e não utilizável Tópicos Discapare A biografia é sincronizada com o IG mesmo depois de corrigir isso algumas vezes Também não estou feliz com toda a permanência disso Deseja mais controle sobre os dados privacidade e propriedade de dados</v>
      </c>
      <c r="J256" s="3"/>
      <c r="K256" s="3"/>
      <c r="L256" s="3"/>
      <c r="M256" s="3"/>
      <c r="N256" s="3"/>
      <c r="O256" s="3"/>
      <c r="P256" s="3"/>
      <c r="Q256" s="3"/>
      <c r="R256" s="3"/>
      <c r="S256" s="3"/>
      <c r="T256" s="3"/>
      <c r="U256" s="3"/>
      <c r="V256" s="3"/>
      <c r="W256" s="3"/>
      <c r="X256" s="3"/>
      <c r="Y256" s="3"/>
      <c r="Z256" s="3"/>
      <c r="AA256" s="3"/>
    </row>
    <row r="257" ht="105.75" customHeight="1">
      <c r="A257" s="4" t="s">
        <v>9</v>
      </c>
      <c r="B257" s="5" t="s">
        <v>265</v>
      </c>
      <c r="C257" s="4">
        <v>1.0</v>
      </c>
      <c r="D257" s="6">
        <v>45130.888819444444</v>
      </c>
      <c r="E257" s="7" t="str">
        <f t="shared" si="1"/>
        <v>2023-07-23</v>
      </c>
      <c r="F257" s="8" t="str">
        <f t="shared" si="2"/>
        <v> 21:19:54</v>
      </c>
      <c r="G257" s="9" t="str">
        <f t="shared" si="3"/>
        <v>Noite</v>
      </c>
      <c r="H257" s="10" t="str">
        <f>IFERROR(__xludf.DUMMYFUNCTION("GOOGLETRANSLATE(B257, ""en"", ""pt-br"")"),"Foi ótimo no começo. Agora, os threads de texto não estão postando. Reinstalei o aplicativo, limpei o cache, mudei a conexão com a Internet e ainda tenho o mesmo problema. Muito decepcionante")</f>
        <v>Foi ótimo no começo. Agora, os threads de texto não estão postando. Reinstalei o aplicativo, limpei o cache, mudei a conexão com a Internet e ainda tenho o mesmo problema. Muito decepcionante</v>
      </c>
      <c r="I257" s="10" t="str">
        <f>IFERROR(__xludf.DUMMYFUNCTION("TRIM(REGEXREPLACE(H257,""[^a-zA-ZÀ-ú ]+"",""""))"),"Foi ótimo no começo Agora os threads de texto não estão postando Reinstalei o aplicativo limpei o cache mudei a conexão com a Internet e ainda tenho o mesmo problema Muito decepcionante")</f>
        <v>Foi ótimo no começo Agora os threads de texto não estão postando Reinstalei o aplicativo limpei o cache mudei a conexão com a Internet e ainda tenho o mesmo problema Muito decepcionante</v>
      </c>
      <c r="J257" s="3"/>
      <c r="K257" s="3"/>
      <c r="L257" s="3"/>
      <c r="M257" s="3"/>
      <c r="N257" s="3"/>
      <c r="O257" s="3"/>
      <c r="P257" s="3"/>
      <c r="Q257" s="3"/>
      <c r="R257" s="3"/>
      <c r="S257" s="3"/>
      <c r="T257" s="3"/>
      <c r="U257" s="3"/>
      <c r="V257" s="3"/>
      <c r="W257" s="3"/>
      <c r="X257" s="3"/>
      <c r="Y257" s="3"/>
      <c r="Z257" s="3"/>
      <c r="AA257" s="3"/>
    </row>
    <row r="258" ht="105.75" customHeight="1">
      <c r="A258" s="4" t="s">
        <v>9</v>
      </c>
      <c r="B258" s="5" t="s">
        <v>266</v>
      </c>
      <c r="C258" s="4">
        <v>1.0</v>
      </c>
      <c r="D258" s="6">
        <v>45123.85444444444</v>
      </c>
      <c r="E258" s="7" t="str">
        <f t="shared" si="1"/>
        <v>2023-07-16</v>
      </c>
      <c r="F258" s="8" t="str">
        <f t="shared" si="2"/>
        <v> 20:30:24</v>
      </c>
      <c r="G258" s="9" t="str">
        <f t="shared" si="3"/>
        <v>Noite</v>
      </c>
      <c r="H258" s="10" t="str">
        <f>IFERROR(__xludf.DUMMYFUNCTION("GOOGLETRANSLATE(B258, ""en"", ""pt-br"")"),"Estava funcionando perfeitamente até alguns dias atrás e agora não consigo ver nada na minha guia Atividade, não posso postar novos tópicos, não posso responder a nenhum tópico, só posso ver o primeiro post em um tópico Mas nenhuma das respostas. Ainda po"&amp;"sso gostar de tópicos e seguir as pessoas e é isso. É muito inútil ter um aplicativo de mídia social se eu não puder interagir com nenhum dos meus amigos e seguidores. Tão desapontado. Eu realmente pensei que havia encontrado um substituto viável para aqu"&amp;"ele aplicativo de trem de um pássaro azul.")</f>
        <v>Estava funcionando perfeitamente até alguns dias atrás e agora não consigo ver nada na minha guia Atividade, não posso postar novos tópicos, não posso responder a nenhum tópico, só posso ver o primeiro post em um tópico Mas nenhuma das respostas. Ainda posso gostar de tópicos e seguir as pessoas e é isso. É muito inútil ter um aplicativo de mídia social se eu não puder interagir com nenhum dos meus amigos e seguidores. Tão desapontado. Eu realmente pensei que havia encontrado um substituto viável para aquele aplicativo de trem de um pássaro azul.</v>
      </c>
      <c r="I258" s="10" t="str">
        <f>IFERROR(__xludf.DUMMYFUNCTION("TRIM(REGEXREPLACE(H258,""[^a-zA-ZÀ-ú ]+"",""""))"),"Estava funcionando perfeitamente até alguns dias atrás e agora não consigo ver nada na minha guia Atividade não posso postar novos tópicos não posso responder a nenhum tópico só posso ver o primeiro post em um tópico Mas nenhuma das respostas Ainda posso "&amp;"gostar de tópicos e seguir as pessoas e é isso É muito inútil ter um aplicativo de mídia social se eu não puder interagir com nenhum dos meus amigos e seguidores Tão desapontado Eu realmente pensei que havia encontrado um substituto viável para aquele apl"&amp;"icativo de trem de um pássaro azul")</f>
        <v>Estava funcionando perfeitamente até alguns dias atrás e agora não consigo ver nada na minha guia Atividade não posso postar novos tópicos não posso responder a nenhum tópico só posso ver o primeiro post em um tópico Mas nenhuma das respostas Ainda posso gostar de tópicos e seguir as pessoas e é isso É muito inútil ter um aplicativo de mídia social se eu não puder interagir com nenhum dos meus amigos e seguidores Tão desapontado Eu realmente pensei que havia encontrado um substituto viável para aquele aplicativo de trem de um pássaro azul</v>
      </c>
      <c r="J258" s="3"/>
      <c r="K258" s="3"/>
      <c r="L258" s="3"/>
      <c r="M258" s="3"/>
      <c r="N258" s="3"/>
      <c r="O258" s="3"/>
      <c r="P258" s="3"/>
      <c r="Q258" s="3"/>
      <c r="R258" s="3"/>
      <c r="S258" s="3"/>
      <c r="T258" s="3"/>
      <c r="U258" s="3"/>
      <c r="V258" s="3"/>
      <c r="W258" s="3"/>
      <c r="X258" s="3"/>
      <c r="Y258" s="3"/>
      <c r="Z258" s="3"/>
      <c r="AA258" s="3"/>
    </row>
    <row r="259" ht="105.75" customHeight="1">
      <c r="A259" s="4" t="s">
        <v>9</v>
      </c>
      <c r="B259" s="5" t="s">
        <v>267</v>
      </c>
      <c r="C259" s="4">
        <v>3.0</v>
      </c>
      <c r="D259" s="6">
        <v>45117.12509259259</v>
      </c>
      <c r="E259" s="7" t="str">
        <f t="shared" si="1"/>
        <v>2023-07-10</v>
      </c>
      <c r="F259" s="8" t="str">
        <f t="shared" si="2"/>
        <v> 03:00:08</v>
      </c>
      <c r="G259" s="9" t="str">
        <f t="shared" si="3"/>
        <v>Manhã</v>
      </c>
      <c r="H259" s="10" t="str">
        <f>IFERROR(__xludf.DUMMYFUNCTION("GOOGLETRANSLATE(B259, ""en"", ""pt-br"")"),"Problema1: Onde está a seguinte guia ?? Problema2: Quando eu digito um texto e ele se alça, o texto não rola para cima. Em vez disso, ele é coberto por baixo do teclado na tela que estou digitando ao impossibilitar o texto enquanto estou digitando. Recurs"&amp;"os desejados: essas 5 reações do Facebook ao lado do coração padrão. E o não. De visualizações em tópicos como o Twitter.")</f>
        <v>Problema1: Onde está a seguinte guia ?? Problema2: Quando eu digito um texto e ele se alça, o texto não rola para cima. Em vez disso, ele é coberto por baixo do teclado na tela que estou digitando ao impossibilitar o texto enquanto estou digitando. Recursos desejados: essas 5 reações do Facebook ao lado do coração padrão. E o não. De visualizações em tópicos como o Twitter.</v>
      </c>
      <c r="I259" s="10" t="str">
        <f>IFERROR(__xludf.DUMMYFUNCTION("TRIM(REGEXREPLACE(H259,""[^a-zA-ZÀ-ú ]+"",""""))"),"Problema Onde está a seguinte guia Problema Quando eu digito um texto e ele se alça o texto não rola para cima Em vez disso ele é coberto por baixo do teclado na tela que estou digitando ao impossibilitar o texto enquanto estou digitando Recursos desejado"&amp;"s essas reações do Facebook ao lado do coração padrão E o não De visualizações em tópicos como o Twitter")</f>
        <v>Problema Onde está a seguinte guia Problema Quando eu digito um texto e ele se alça o texto não rola para cima Em vez disso ele é coberto por baixo do teclado na tela que estou digitando ao impossibilitar o texto enquanto estou digitando Recursos desejados essas reações do Facebook ao lado do coração padrão E o não De visualizações em tópicos como o Twitter</v>
      </c>
      <c r="J259" s="3"/>
      <c r="K259" s="3"/>
      <c r="L259" s="3"/>
      <c r="M259" s="3"/>
      <c r="N259" s="3"/>
      <c r="O259" s="3"/>
      <c r="P259" s="3"/>
      <c r="Q259" s="3"/>
      <c r="R259" s="3"/>
      <c r="S259" s="3"/>
      <c r="T259" s="3"/>
      <c r="U259" s="3"/>
      <c r="V259" s="3"/>
      <c r="W259" s="3"/>
      <c r="X259" s="3"/>
      <c r="Y259" s="3"/>
      <c r="Z259" s="3"/>
      <c r="AA259" s="3"/>
    </row>
    <row r="260" ht="105.75" customHeight="1">
      <c r="A260" s="4" t="s">
        <v>9</v>
      </c>
      <c r="B260" s="5" t="s">
        <v>268</v>
      </c>
      <c r="C260" s="4">
        <v>1.0</v>
      </c>
      <c r="D260" s="6">
        <v>45126.661412037036</v>
      </c>
      <c r="E260" s="7" t="str">
        <f t="shared" si="1"/>
        <v>2023-07-19</v>
      </c>
      <c r="F260" s="8" t="str">
        <f t="shared" si="2"/>
        <v> 15:52:26</v>
      </c>
      <c r="G260" s="9" t="str">
        <f t="shared" si="3"/>
        <v>Tarde</v>
      </c>
      <c r="H260" s="10" t="str">
        <f>IFERROR(__xludf.DUMMYFUNCTION("GOOGLETRANSLATE(B260, ""en"", ""pt-br"")"),"É apenas uma versão twitterizada do Instagram. Nada mais nada mais. E depois de algumas semanas, cheia de relatos indesejados, desagradáveis, falsos e falsos que ninguém queria e ninguém pediu. Desde que assine tudo o que tenho feito é bloquear e silencia"&amp;"r contas. E o fato de não ter tantos recursos até hoje. Diga o que quiser, mas eu prefiro ficar no Twitter e no Instagram.")</f>
        <v>É apenas uma versão twitterizada do Instagram. Nada mais nada mais. E depois de algumas semanas, cheia de relatos indesejados, desagradáveis, falsos e falsos que ninguém queria e ninguém pediu. Desde que assine tudo o que tenho feito é bloquear e silenciar contas. E o fato de não ter tantos recursos até hoje. Diga o que quiser, mas eu prefiro ficar no Twitter e no Instagram.</v>
      </c>
      <c r="I260" s="10" t="str">
        <f>IFERROR(__xludf.DUMMYFUNCTION("TRIM(REGEXREPLACE(H260,""[^a-zA-ZÀ-ú ]+"",""""))"),"É apenas uma versão twitterizada do Instagram Nada mais nada mais E depois de algumas semanas cheia de relatos indesejados desagradáveis falsos e falsos que ninguém queria e ninguém pediu Desde que assine tudo o que tenho feito é bloquear e silenciar cont"&amp;"as E o fato de não ter tantos recursos até hoje Diga o que quiser mas eu prefiro ficar no Twitter e no Instagram")</f>
        <v>É apenas uma versão twitterizada do Instagram Nada mais nada mais E depois de algumas semanas cheia de relatos indesejados desagradáveis falsos e falsos que ninguém queria e ninguém pediu Desde que assine tudo o que tenho feito é bloquear e silenciar contas E o fato de não ter tantos recursos até hoje Diga o que quiser mas eu prefiro ficar no Twitter e no Instagram</v>
      </c>
      <c r="J260" s="3"/>
      <c r="K260" s="3"/>
      <c r="L260" s="3"/>
      <c r="M260" s="3"/>
      <c r="N260" s="3"/>
      <c r="O260" s="3"/>
      <c r="P260" s="3"/>
      <c r="Q260" s="3"/>
      <c r="R260" s="3"/>
      <c r="S260" s="3"/>
      <c r="T260" s="3"/>
      <c r="U260" s="3"/>
      <c r="V260" s="3"/>
      <c r="W260" s="3"/>
      <c r="X260" s="3"/>
      <c r="Y260" s="3"/>
      <c r="Z260" s="3"/>
      <c r="AA260" s="3"/>
    </row>
    <row r="261" ht="105.75" customHeight="1">
      <c r="A261" s="4" t="s">
        <v>9</v>
      </c>
      <c r="B261" s="5" t="s">
        <v>269</v>
      </c>
      <c r="C261" s="4">
        <v>1.0</v>
      </c>
      <c r="D261" s="6">
        <v>45113.10356481482</v>
      </c>
      <c r="E261" s="7" t="str">
        <f t="shared" si="1"/>
        <v>2023-07-06</v>
      </c>
      <c r="F261" s="8" t="str">
        <f t="shared" si="2"/>
        <v> 02:29:08</v>
      </c>
      <c r="G261" s="9" t="str">
        <f t="shared" si="3"/>
        <v>Manhã</v>
      </c>
      <c r="H261" s="10" t="str">
        <f>IFERROR(__xludf.DUMMYFUNCTION("GOOGLETRANSLATE(B261, ""en"", ""pt-br"")"),"Assim que eu me conectei no aplicativo, a coisa toda é uma bagunça insuficiente inutilizável. Não consigo nem ver minha tela, são apenas pixels rasgando em todas as direções. Acho que ainda não chegou perto de ser otimizado para todos os dispositivos.")</f>
        <v>Assim que eu me conectei no aplicativo, a coisa toda é uma bagunça insuficiente inutilizável. Não consigo nem ver minha tela, são apenas pixels rasgando em todas as direções. Acho que ainda não chegou perto de ser otimizado para todos os dispositivos.</v>
      </c>
      <c r="I261" s="10" t="str">
        <f>IFERROR(__xludf.DUMMYFUNCTION("TRIM(REGEXREPLACE(H261,""[^a-zA-ZÀ-ú ]+"",""""))"),"Assim que eu me conectei no aplicativo a coisa toda é uma bagunça insuficiente inutilizável Não consigo nem ver minha tela são apenas pixels rasgando em todas as direções Acho que ainda não chegou perto de ser otimizado para todos os dispositivos")</f>
        <v>Assim que eu me conectei no aplicativo a coisa toda é uma bagunça insuficiente inutilizável Não consigo nem ver minha tela são apenas pixels rasgando em todas as direções Acho que ainda não chegou perto de ser otimizado para todos os dispositivos</v>
      </c>
      <c r="J261" s="3"/>
      <c r="K261" s="3"/>
      <c r="L261" s="3"/>
      <c r="M261" s="3"/>
      <c r="N261" s="3"/>
      <c r="O261" s="3"/>
      <c r="P261" s="3"/>
      <c r="Q261" s="3"/>
      <c r="R261" s="3"/>
      <c r="S261" s="3"/>
      <c r="T261" s="3"/>
      <c r="U261" s="3"/>
      <c r="V261" s="3"/>
      <c r="W261" s="3"/>
      <c r="X261" s="3"/>
      <c r="Y261" s="3"/>
      <c r="Z261" s="3"/>
      <c r="AA261" s="3"/>
    </row>
    <row r="262" ht="105.75" customHeight="1">
      <c r="A262" s="4" t="s">
        <v>9</v>
      </c>
      <c r="B262" s="5" t="s">
        <v>270</v>
      </c>
      <c r="C262" s="4">
        <v>2.0</v>
      </c>
      <c r="D262" s="6">
        <v>45117.371516203704</v>
      </c>
      <c r="E262" s="7" t="str">
        <f t="shared" si="1"/>
        <v>2023-07-10</v>
      </c>
      <c r="F262" s="8" t="str">
        <f t="shared" si="2"/>
        <v> 08:54:59</v>
      </c>
      <c r="G262" s="9" t="str">
        <f t="shared" si="3"/>
        <v>Manhã</v>
      </c>
      <c r="H262" s="10" t="str">
        <f>IFERROR(__xludf.DUMMYFUNCTION("GOOGLETRANSLATE(B262, ""en"", ""pt-br"")"),"As deficiências de segurança não apenas são prevalentes, mas a colocação de ""postagem"" e outros botões interativos na parte inferior da página significa que eles são obscurecidos pelos qwerty e no Google Keypads na maioria dos smartphones. Em comparação"&amp;", o Twitter possui todas as funções em cima da página.")</f>
        <v>As deficiências de segurança não apenas são prevalentes, mas a colocação de "postagem" e outros botões interativos na parte inferior da página significa que eles são obscurecidos pelos qwerty e no Google Keypads na maioria dos smartphones. Em comparação, o Twitter possui todas as funções em cima da página.</v>
      </c>
      <c r="I262" s="10" t="str">
        <f>IFERROR(__xludf.DUMMYFUNCTION("TRIM(REGEXREPLACE(H262,""[^a-zA-ZÀ-ú ]+"",""""))"),"As deficiências de segurança não apenas são prevalentes mas a colocação de postagem e outros botões interativos na parte inferior da página significa que eles são obscurecidos pelos qwerty e no Google Keypads na maioria dos smartphones Em comparação o Twi"&amp;"tter possui todas as funções em cima da página")</f>
        <v>As deficiências de segurança não apenas são prevalentes mas a colocação de postagem e outros botões interativos na parte inferior da página significa que eles são obscurecidos pelos qwerty e no Google Keypads na maioria dos smartphones Em comparação o Twitter possui todas as funções em cima da página</v>
      </c>
      <c r="J262" s="3"/>
      <c r="K262" s="3"/>
      <c r="L262" s="3"/>
      <c r="M262" s="3"/>
      <c r="N262" s="3"/>
      <c r="O262" s="3"/>
      <c r="P262" s="3"/>
      <c r="Q262" s="3"/>
      <c r="R262" s="3"/>
      <c r="S262" s="3"/>
      <c r="T262" s="3"/>
      <c r="U262" s="3"/>
      <c r="V262" s="3"/>
      <c r="W262" s="3"/>
      <c r="X262" s="3"/>
      <c r="Y262" s="3"/>
      <c r="Z262" s="3"/>
      <c r="AA262" s="3"/>
    </row>
    <row r="263" ht="105.75" customHeight="1">
      <c r="A263" s="4" t="s">
        <v>9</v>
      </c>
      <c r="B263" s="5" t="s">
        <v>271</v>
      </c>
      <c r="C263" s="4">
        <v>3.0</v>
      </c>
      <c r="D263" s="6">
        <v>45119.667916666665</v>
      </c>
      <c r="E263" s="7" t="str">
        <f t="shared" si="1"/>
        <v>2023-07-12</v>
      </c>
      <c r="F263" s="8" t="str">
        <f t="shared" si="2"/>
        <v> 16:01:48</v>
      </c>
      <c r="G263" s="9" t="str">
        <f t="shared" si="3"/>
        <v>Tarde</v>
      </c>
      <c r="H263" s="10" t="str">
        <f>IFERROR(__xludf.DUMMYFUNCTION("GOOGLETRANSLATE(B263, ""en"", ""pt-br"")"),"É um novo aplicativo de tendências ... é bom, mas acho que há algo que você deve consertá -lo ... como se não houvesse um recurso de conversa ... às vezes, falta quando você rola ... nas configurações, deve haver tema escuro definido. ..Se você tiver Andr"&amp;"oid versão 10 ou você tem a versão mais recente do iOS 14, pode ativar o tema escuro, se não tiver, não pode .... mas não é tão ruim não tão bom ... 😃")</f>
        <v>É um novo aplicativo de tendências ... é bom, mas acho que há algo que você deve consertá -lo ... como se não houvesse um recurso de conversa ... às vezes, falta quando você rola ... nas configurações, deve haver tema escuro definido. ..Se você tiver Android versão 10 ou você tem a versão mais recente do iOS 14, pode ativar o tema escuro, se não tiver, não pode .... mas não é tão ruim não tão bom ... 😃</v>
      </c>
      <c r="I263" s="10" t="str">
        <f>IFERROR(__xludf.DUMMYFUNCTION("TRIM(REGEXREPLACE(H263,""[^a-zA-ZÀ-ú ]+"",""""))"),"É um novo aplicativo de tendências é bom mas acho que há algo que você deve consertá lo como se não houvesse um recurso de conversa às vezes falta quando você rola nas configurações deve haver tema escuro definido Se você tiver Android versão ou você tem "&amp;"a versão mais recente do iOS pode ativar o tema escuro se não tiver não pode mas não é tão ruim não tão bom")</f>
        <v>É um novo aplicativo de tendências é bom mas acho que há algo que você deve consertá lo como se não houvesse um recurso de conversa às vezes falta quando você rola nas configurações deve haver tema escuro definido Se você tiver Android versão ou você tem a versão mais recente do iOS pode ativar o tema escuro se não tiver não pode mas não é tão ruim não tão bom</v>
      </c>
      <c r="J263" s="3"/>
      <c r="K263" s="3"/>
      <c r="L263" s="3"/>
      <c r="M263" s="3"/>
      <c r="N263" s="3"/>
      <c r="O263" s="3"/>
      <c r="P263" s="3"/>
      <c r="Q263" s="3"/>
      <c r="R263" s="3"/>
      <c r="S263" s="3"/>
      <c r="T263" s="3"/>
      <c r="U263" s="3"/>
      <c r="V263" s="3"/>
      <c r="W263" s="3"/>
      <c r="X263" s="3"/>
      <c r="Y263" s="3"/>
      <c r="Z263" s="3"/>
      <c r="AA263" s="3"/>
    </row>
    <row r="264" ht="105.75" customHeight="1">
      <c r="A264" s="4" t="s">
        <v>9</v>
      </c>
      <c r="B264" s="5" t="s">
        <v>272</v>
      </c>
      <c r="C264" s="4">
        <v>1.0</v>
      </c>
      <c r="D264" s="6">
        <v>45123.57989583333</v>
      </c>
      <c r="E264" s="7" t="str">
        <f t="shared" si="1"/>
        <v>2023-07-16</v>
      </c>
      <c r="F264" s="8" t="str">
        <f t="shared" si="2"/>
        <v> 13:55:03</v>
      </c>
      <c r="G264" s="9" t="str">
        <f t="shared" si="3"/>
        <v>Tarde</v>
      </c>
      <c r="H264" s="10" t="str">
        <f>IFERROR(__xludf.DUMMYFUNCTION("GOOGLETRANSLATE(B264, ""en"", ""pt-br"")"),"Tópicos, um aplicativo do Instagram é um grande não-não para mim. O aplicativo é falhado, lento e chato. É como uma versão ruim do Twitter que ninguém pediu. Por que eu gostaria de usar outro aplicativo para compartilhar atualizações de texto e participar"&amp;" de conversas públicas quando já posso fazer isso no Instagram ou no Twitter? O aplicativo também me deixa nervoso com minha privacidade e segurança, pois pode compartilhar meus dados com terceiros sem me dizer. Tópicos, um aplicativo do Instagram não val"&amp;"e o meu tempo ou a memória do meu telefone.")</f>
        <v>Tópicos, um aplicativo do Instagram é um grande não-não para mim. O aplicativo é falhado, lento e chato. É como uma versão ruim do Twitter que ninguém pediu. Por que eu gostaria de usar outro aplicativo para compartilhar atualizações de texto e participar de conversas públicas quando já posso fazer isso no Instagram ou no Twitter? O aplicativo também me deixa nervoso com minha privacidade e segurança, pois pode compartilhar meus dados com terceiros sem me dizer. Tópicos, um aplicativo do Instagram não vale o meu tempo ou a memória do meu telefone.</v>
      </c>
      <c r="I264" s="10" t="str">
        <f>IFERROR(__xludf.DUMMYFUNCTION("TRIM(REGEXREPLACE(H264,""[^a-zA-ZÀ-ú ]+"",""""))"),"Tópicos um aplicativo do Instagram é um grande nãonão para mim O aplicativo é falhado lento e chato É como uma versão ruim do Twitter que ninguém pediu Por que eu gostaria de usar outro aplicativo para compartilhar atualizações de texto e participar de co"&amp;"nversas públicas quando já posso fazer isso no Instagram ou no Twitter O aplicativo também me deixa nervoso com minha privacidade e segurança pois pode compartilhar meus dados com terceiros sem me dizer Tópicos um aplicativo do Instagram não vale o meu te"&amp;"mpo ou a memória do meu telefone")</f>
        <v>Tópicos um aplicativo do Instagram é um grande nãonão para mim O aplicativo é falhado lento e chato É como uma versão ruim do Twitter que ninguém pediu Por que eu gostaria de usar outro aplicativo para compartilhar atualizações de texto e participar de conversas públicas quando já posso fazer isso no Instagram ou no Twitter O aplicativo também me deixa nervoso com minha privacidade e segurança pois pode compartilhar meus dados com terceiros sem me dizer Tópicos um aplicativo do Instagram não vale o meu tempo ou a memória do meu telefone</v>
      </c>
      <c r="J264" s="3"/>
      <c r="K264" s="3"/>
      <c r="L264" s="3"/>
      <c r="M264" s="3"/>
      <c r="N264" s="3"/>
      <c r="O264" s="3"/>
      <c r="P264" s="3"/>
      <c r="Q264" s="3"/>
      <c r="R264" s="3"/>
      <c r="S264" s="3"/>
      <c r="T264" s="3"/>
      <c r="U264" s="3"/>
      <c r="V264" s="3"/>
      <c r="W264" s="3"/>
      <c r="X264" s="3"/>
      <c r="Y264" s="3"/>
      <c r="Z264" s="3"/>
      <c r="AA264" s="3"/>
    </row>
    <row r="265" ht="105.75" customHeight="1">
      <c r="A265" s="4" t="s">
        <v>9</v>
      </c>
      <c r="B265" s="5" t="s">
        <v>273</v>
      </c>
      <c r="C265" s="4">
        <v>1.0</v>
      </c>
      <c r="D265" s="6">
        <v>45113.62412037037</v>
      </c>
      <c r="E265" s="7" t="str">
        <f t="shared" si="1"/>
        <v>2023-07-06</v>
      </c>
      <c r="F265" s="8" t="str">
        <f t="shared" si="2"/>
        <v> 14:58:44</v>
      </c>
      <c r="G265" s="9" t="str">
        <f t="shared" si="3"/>
        <v>Tarde</v>
      </c>
      <c r="H265" s="10" t="str">
        <f>IFERROR(__xludf.DUMMYFUNCTION("GOOGLETRANSLATE(B265, ""en"", ""pt-br"")"),"Feed totalmente em branco depois de seguir várias contas principais. O aplicativo parece quebrado e não faz nada. Não aparecem mensagens, sem conteúdo. Pesquisando os usuários funciona e segui -los funciona. Mas não há feeds depois de adicioná -los.")</f>
        <v>Feed totalmente em branco depois de seguir várias contas principais. O aplicativo parece quebrado e não faz nada. Não aparecem mensagens, sem conteúdo. Pesquisando os usuários funciona e segui -los funciona. Mas não há feeds depois de adicioná -los.</v>
      </c>
      <c r="I265" s="10" t="str">
        <f>IFERROR(__xludf.DUMMYFUNCTION("TRIM(REGEXREPLACE(H265,""[^a-zA-ZÀ-ú ]+"",""""))"),"Feed totalmente em branco depois de seguir várias contas principais O aplicativo parece quebrado e não faz nada Não aparecem mensagens sem conteúdo Pesquisando os usuários funciona e segui los funciona Mas não há feeds depois de adicioná los")</f>
        <v>Feed totalmente em branco depois de seguir várias contas principais O aplicativo parece quebrado e não faz nada Não aparecem mensagens sem conteúdo Pesquisando os usuários funciona e segui los funciona Mas não há feeds depois de adicioná los</v>
      </c>
      <c r="J265" s="3"/>
      <c r="K265" s="3"/>
      <c r="L265" s="3"/>
      <c r="M265" s="3"/>
      <c r="N265" s="3"/>
      <c r="O265" s="3"/>
      <c r="P265" s="3"/>
      <c r="Q265" s="3"/>
      <c r="R265" s="3"/>
      <c r="S265" s="3"/>
      <c r="T265" s="3"/>
      <c r="U265" s="3"/>
      <c r="V265" s="3"/>
      <c r="W265" s="3"/>
      <c r="X265" s="3"/>
      <c r="Y265" s="3"/>
      <c r="Z265" s="3"/>
      <c r="AA265" s="3"/>
    </row>
    <row r="266" ht="105.75" customHeight="1">
      <c r="A266" s="4" t="s">
        <v>9</v>
      </c>
      <c r="B266" s="5" t="s">
        <v>274</v>
      </c>
      <c r="C266" s="4">
        <v>3.0</v>
      </c>
      <c r="D266" s="6">
        <v>45114.27915509259</v>
      </c>
      <c r="E266" s="7" t="str">
        <f t="shared" si="1"/>
        <v>2023-07-07</v>
      </c>
      <c r="F266" s="8" t="str">
        <f t="shared" si="2"/>
        <v> 06:41:59</v>
      </c>
      <c r="G266" s="9" t="str">
        <f t="shared" si="3"/>
        <v>Manhã</v>
      </c>
      <c r="H266" s="10" t="str">
        <f>IFERROR(__xludf.DUMMYFUNCTION("GOOGLETRANSLATE(B266, ""en"", ""pt-br"")"),"Acabei de baixar isso hoje à noite, mas já tenho um monte de sentimentos. Primeiro, dê -nos uma guia a seguir, onde todas as postagens de pessoas que eu sigo aparecem em ordem cronológica. Se eu quiser encontrar novas pessoas, usarei esse algoritmo louco "&amp;"que você está indo, mas, enquanto isso, estou apenas escondendo e bloqueando e não estou realmente envolvido com as contas que realmente quero ver. Mas até agora, o aplicativo parece bastante fácil de usar. Quando eu realmente vejo um post de alguém que s"&amp;"igo, é claro.")</f>
        <v>Acabei de baixar isso hoje à noite, mas já tenho um monte de sentimentos. Primeiro, dê -nos uma guia a seguir, onde todas as postagens de pessoas que eu sigo aparecem em ordem cronológica. Se eu quiser encontrar novas pessoas, usarei esse algoritmo louco que você está indo, mas, enquanto isso, estou apenas escondendo e bloqueando e não estou realmente envolvido com as contas que realmente quero ver. Mas até agora, o aplicativo parece bastante fácil de usar. Quando eu realmente vejo um post de alguém que sigo, é claro.</v>
      </c>
      <c r="I266" s="10" t="str">
        <f>IFERROR(__xludf.DUMMYFUNCTION("TRIM(REGEXREPLACE(H266,""[^a-zA-ZÀ-ú ]+"",""""))"),"Acabei de baixar isso hoje à noite mas já tenho um monte de sentimentos Primeiro dê nos uma guia a seguir onde todas as postagens de pessoas que eu sigo aparecem em ordem cronológica Se eu quiser encontrar novas pessoas usarei esse algoritmo louco que voc"&amp;"ê está indo mas enquanto isso estou apenas escondendo e bloqueando e não estou realmente envolvido com as contas que realmente quero ver Mas até agora o aplicativo parece bastante fácil de usar Quando eu realmente vejo um post de alguém que sigo é claro")</f>
        <v>Acabei de baixar isso hoje à noite mas já tenho um monte de sentimentos Primeiro dê nos uma guia a seguir onde todas as postagens de pessoas que eu sigo aparecem em ordem cronológica Se eu quiser encontrar novas pessoas usarei esse algoritmo louco que você está indo mas enquanto isso estou apenas escondendo e bloqueando e não estou realmente envolvido com as contas que realmente quero ver Mas até agora o aplicativo parece bastante fácil de usar Quando eu realmente vejo um post de alguém que sigo é claro</v>
      </c>
      <c r="J266" s="3"/>
      <c r="K266" s="3"/>
      <c r="L266" s="3"/>
      <c r="M266" s="3"/>
      <c r="N266" s="3"/>
      <c r="O266" s="3"/>
      <c r="P266" s="3"/>
      <c r="Q266" s="3"/>
      <c r="R266" s="3"/>
      <c r="S266" s="3"/>
      <c r="T266" s="3"/>
      <c r="U266" s="3"/>
      <c r="V266" s="3"/>
      <c r="W266" s="3"/>
      <c r="X266" s="3"/>
      <c r="Y266" s="3"/>
      <c r="Z266" s="3"/>
      <c r="AA266" s="3"/>
    </row>
    <row r="267" ht="105.75" customHeight="1">
      <c r="A267" s="4" t="s">
        <v>9</v>
      </c>
      <c r="B267" s="5" t="s">
        <v>275</v>
      </c>
      <c r="C267" s="4">
        <v>1.0</v>
      </c>
      <c r="D267" s="6">
        <v>45114.69877314815</v>
      </c>
      <c r="E267" s="7" t="str">
        <f t="shared" si="1"/>
        <v>2023-07-07</v>
      </c>
      <c r="F267" s="8" t="str">
        <f t="shared" si="2"/>
        <v> 16:46:14</v>
      </c>
      <c r="G267" s="9" t="str">
        <f t="shared" si="3"/>
        <v>Tarde</v>
      </c>
      <c r="H267" s="10" t="str">
        <f>IFERROR(__xludf.DUMMYFUNCTION("GOOGLETRANSLATE(B267, ""en"", ""pt-br"")"),"Não está funcionando! Eu desinstalei e instalei duas vezes, mas ainda não posso fazer upload de fotos. Quero dizer, eu consegui até o momento em que o instalei no primeiro dia, mas agora hoje continua dizendo que não conseguiu fazer o upload, não é um pro"&amp;"blema no meu fim, eu já faço a solução básica de problemas no meu telefone também, reiniciei meu telefone reiniciei a rede verifique se o outro Aplicativos sociais também como YT e Netflix está tudo bem. Carregado no ig &amp; fb, ele já está carregado, mas o "&amp;"de thread ainda não é desde as 4 da manhã")</f>
        <v>Não está funcionando! Eu desinstalei e instalei duas vezes, mas ainda não posso fazer upload de fotos. Quero dizer, eu consegui até o momento em que o instalei no primeiro dia, mas agora hoje continua dizendo que não conseguiu fazer o upload, não é um problema no meu fim, eu já faço a solução básica de problemas no meu telefone também, reiniciei meu telefone reiniciei a rede verifique se o outro Aplicativos sociais também como YT e Netflix está tudo bem. Carregado no ig &amp; fb, ele já está carregado, mas o de thread ainda não é desde as 4 da manhã</v>
      </c>
      <c r="I267" s="10" t="str">
        <f>IFERROR(__xludf.DUMMYFUNCTION("TRIM(REGEXREPLACE(H267,""[^a-zA-ZÀ-ú ]+"",""""))"),"Não está funcionando Eu desinstalei e instalei duas vezes mas ainda não posso fazer upload de fotos Quero dizer eu consegui até o momento em que o instalei no primeiro dia mas agora hoje continua dizendo que não conseguiu fazer o upload não é um problema "&amp;"no meu fim eu já faço a solução básica de problemas no meu telefone também reiniciei meu telefone reiniciei a rede verifique se o outro Aplicativos sociais também como YT e Netflix está tudo bem Carregado no ig fb ele já está carregado mas o de thread ain"&amp;"da não é desde as da manhã")</f>
        <v>Não está funcionando Eu desinstalei e instalei duas vezes mas ainda não posso fazer upload de fotos Quero dizer eu consegui até o momento em que o instalei no primeiro dia mas agora hoje continua dizendo que não conseguiu fazer o upload não é um problema no meu fim eu já faço a solução básica de problemas no meu telefone também reiniciei meu telefone reiniciei a rede verifique se o outro Aplicativos sociais também como YT e Netflix está tudo bem Carregado no ig fb ele já está carregado mas o de thread ainda não é desde as da manhã</v>
      </c>
      <c r="J267" s="3"/>
      <c r="K267" s="3"/>
      <c r="L267" s="3"/>
      <c r="M267" s="3"/>
      <c r="N267" s="3"/>
      <c r="O267" s="3"/>
      <c r="P267" s="3"/>
      <c r="Q267" s="3"/>
      <c r="R267" s="3"/>
      <c r="S267" s="3"/>
      <c r="T267" s="3"/>
      <c r="U267" s="3"/>
      <c r="V267" s="3"/>
      <c r="W267" s="3"/>
      <c r="X267" s="3"/>
      <c r="Y267" s="3"/>
      <c r="Z267" s="3"/>
      <c r="AA267" s="3"/>
    </row>
    <row r="268" ht="105.75" customHeight="1">
      <c r="A268" s="4" t="s">
        <v>9</v>
      </c>
      <c r="B268" s="5" t="s">
        <v>276</v>
      </c>
      <c r="C268" s="4">
        <v>4.0</v>
      </c>
      <c r="D268" s="6">
        <v>45128.115069444444</v>
      </c>
      <c r="E268" s="7" t="str">
        <f t="shared" si="1"/>
        <v>2023-07-21</v>
      </c>
      <c r="F268" s="8" t="str">
        <f t="shared" si="2"/>
        <v> 02:45:42</v>
      </c>
      <c r="G268" s="9" t="str">
        <f t="shared" si="3"/>
        <v>Manhã</v>
      </c>
      <c r="H268" s="10" t="str">
        <f>IFERROR(__xludf.DUMMYFUNCTION("GOOGLETRANSLATE(B268, ""en"", ""pt-br"")"),"Os recursos básicos funcionam conforme o esperado. Mas já é hora de obter uma grande atualização com recursos mais complexos, como threads editar, traduzir threads, capacidade de fixar threads, melhor página de alimentação, otimização de players de vídeo "&amp;"e hastagd de trabalho. Uma página de tendência seria boa também. Mas o aplicativo atual é muito bom. 4/5.")</f>
        <v>Os recursos básicos funcionam conforme o esperado. Mas já é hora de obter uma grande atualização com recursos mais complexos, como threads editar, traduzir threads, capacidade de fixar threads, melhor página de alimentação, otimização de players de vídeo e hastagd de trabalho. Uma página de tendência seria boa também. Mas o aplicativo atual é muito bom. 4/5.</v>
      </c>
      <c r="I268" s="10" t="str">
        <f>IFERROR(__xludf.DUMMYFUNCTION("TRIM(REGEXREPLACE(H268,""[^a-zA-ZÀ-ú ]+"",""""))"),"Os recursos básicos funcionam conforme o esperado Mas já é hora de obter uma grande atualização com recursos mais complexos como threads editar traduzir threads capacidade de fixar threads melhor página de alimentação otimização de players de vídeo e hast"&amp;"agd de trabalho Uma página de tendência seria boa também Mas o aplicativo atual é muito bom")</f>
        <v>Os recursos básicos funcionam conforme o esperado Mas já é hora de obter uma grande atualização com recursos mais complexos como threads editar traduzir threads capacidade de fixar threads melhor página de alimentação otimização de players de vídeo e hastagd de trabalho Uma página de tendência seria boa também Mas o aplicativo atual é muito bom</v>
      </c>
      <c r="J268" s="3"/>
      <c r="K268" s="3"/>
      <c r="L268" s="3"/>
      <c r="M268" s="3"/>
      <c r="N268" s="3"/>
      <c r="O268" s="3"/>
      <c r="P268" s="3"/>
      <c r="Q268" s="3"/>
      <c r="R268" s="3"/>
      <c r="S268" s="3"/>
      <c r="T268" s="3"/>
      <c r="U268" s="3"/>
      <c r="V268" s="3"/>
      <c r="W268" s="3"/>
      <c r="X268" s="3"/>
      <c r="Y268" s="3"/>
      <c r="Z268" s="3"/>
      <c r="AA268" s="3"/>
    </row>
    <row r="269" ht="105.75" customHeight="1">
      <c r="A269" s="4" t="s">
        <v>9</v>
      </c>
      <c r="B269" s="5" t="s">
        <v>277</v>
      </c>
      <c r="C269" s="4">
        <v>1.0</v>
      </c>
      <c r="D269" s="6">
        <v>45118.26907407407</v>
      </c>
      <c r="E269" s="7" t="str">
        <f t="shared" si="1"/>
        <v>2023-07-11</v>
      </c>
      <c r="F269" s="8" t="str">
        <f t="shared" si="2"/>
        <v> 06:27:28</v>
      </c>
      <c r="G269" s="9" t="str">
        <f t="shared" si="3"/>
        <v>Manhã</v>
      </c>
      <c r="H269" s="10" t="str">
        <f>IFERROR(__xludf.DUMMYFUNCTION("GOOGLETRANSLATE(B269, ""en"", ""pt-br"")"),"Por que vocês não corrigem seus bugs quando eu o baixei pela primeira vez, o login foi bom e, quando eu rolar as coisas que estão sendo sobrepôs, não consegui ver uma palavra, eu a excluí e baixei novamente, mas o mesmo O problema ocorre o tempo todo, con"&amp;"serte -o o mais rápido possível")</f>
        <v>Por que vocês não corrigem seus bugs quando eu o baixei pela primeira vez, o login foi bom e, quando eu rolar as coisas que estão sendo sobrepôs, não consegui ver uma palavra, eu a excluí e baixei novamente, mas o mesmo O problema ocorre o tempo todo, conserte -o o mais rápido possível</v>
      </c>
      <c r="I269" s="10" t="str">
        <f>IFERROR(__xludf.DUMMYFUNCTION("TRIM(REGEXREPLACE(H269,""[^a-zA-ZÀ-ú ]+"",""""))"),"Por que vocês não corrigem seus bugs quando eu o baixei pela primeira vez o login foi bom e quando eu rolar as coisas que estão sendo sobrepôs não consegui ver uma palavra eu a excluí e baixei novamente mas o mesmo O problema ocorre o tempo todo conserte "&amp;"o o mais rápido possível")</f>
        <v>Por que vocês não corrigem seus bugs quando eu o baixei pela primeira vez o login foi bom e quando eu rolar as coisas que estão sendo sobrepôs não consegui ver uma palavra eu a excluí e baixei novamente mas o mesmo O problema ocorre o tempo todo conserte o o mais rápido possível</v>
      </c>
      <c r="J269" s="3"/>
      <c r="K269" s="3"/>
      <c r="L269" s="3"/>
      <c r="M269" s="3"/>
      <c r="N269" s="3"/>
      <c r="O269" s="3"/>
      <c r="P269" s="3"/>
      <c r="Q269" s="3"/>
      <c r="R269" s="3"/>
      <c r="S269" s="3"/>
      <c r="T269" s="3"/>
      <c r="U269" s="3"/>
      <c r="V269" s="3"/>
      <c r="W269" s="3"/>
      <c r="X269" s="3"/>
      <c r="Y269" s="3"/>
      <c r="Z269" s="3"/>
      <c r="AA269" s="3"/>
    </row>
    <row r="270" ht="105.75" customHeight="1">
      <c r="A270" s="4" t="s">
        <v>9</v>
      </c>
      <c r="B270" s="5" t="s">
        <v>278</v>
      </c>
      <c r="C270" s="4">
        <v>1.0</v>
      </c>
      <c r="D270" s="6">
        <v>45115.84675925926</v>
      </c>
      <c r="E270" s="7" t="str">
        <f t="shared" si="1"/>
        <v>2023-07-08</v>
      </c>
      <c r="F270" s="8" t="str">
        <f t="shared" si="2"/>
        <v> 20:19:20</v>
      </c>
      <c r="G270" s="9" t="str">
        <f t="shared" si="3"/>
        <v>Noite</v>
      </c>
      <c r="H270" s="10" t="str">
        <f>IFERROR(__xludf.DUMMYFUNCTION("GOOGLETRANSLATE(B270, ""en"", ""pt-br"")"),"Não gosto que não possa editar uma imagem antes de postá -la. Além disso, quando quero postar uma foto, toda a minha galeria apenas se espalha, sem pastas. É estressante. Além deles, é um ótimo aplicativo ps. Podemos ter humor sombrio🙂")</f>
        <v>Não gosto que não possa editar uma imagem antes de postá -la. Além disso, quando quero postar uma foto, toda a minha galeria apenas se espalha, sem pastas. É estressante. Além deles, é um ótimo aplicativo ps. Podemos ter humor sombrio🙂</v>
      </c>
      <c r="I270" s="10" t="str">
        <f>IFERROR(__xludf.DUMMYFUNCTION("TRIM(REGEXREPLACE(H270,""[^a-zA-ZÀ-ú ]+"",""""))"),"Não gosto que não possa editar uma imagem antes de postá la Além disso quando quero postar uma foto toda a minha galeria apenas se espalha sem pastas É estressante Além deles é um ótimo aplicativo ps Podemos ter humor sombrio")</f>
        <v>Não gosto que não possa editar uma imagem antes de postá la Além disso quando quero postar uma foto toda a minha galeria apenas se espalha sem pastas É estressante Além deles é um ótimo aplicativo ps Podemos ter humor sombrio</v>
      </c>
      <c r="J270" s="3"/>
      <c r="K270" s="3"/>
      <c r="L270" s="3"/>
      <c r="M270" s="3"/>
      <c r="N270" s="3"/>
      <c r="O270" s="3"/>
      <c r="P270" s="3"/>
      <c r="Q270" s="3"/>
      <c r="R270" s="3"/>
      <c r="S270" s="3"/>
      <c r="T270" s="3"/>
      <c r="U270" s="3"/>
      <c r="V270" s="3"/>
      <c r="W270" s="3"/>
      <c r="X270" s="3"/>
      <c r="Y270" s="3"/>
      <c r="Z270" s="3"/>
      <c r="AA270" s="3"/>
    </row>
    <row r="271" ht="105.75" customHeight="1">
      <c r="A271" s="4" t="s">
        <v>9</v>
      </c>
      <c r="B271" s="5" t="s">
        <v>279</v>
      </c>
      <c r="C271" s="4">
        <v>2.0</v>
      </c>
      <c r="D271" s="6">
        <v>45114.651412037034</v>
      </c>
      <c r="E271" s="7" t="str">
        <f t="shared" si="1"/>
        <v>2023-07-07</v>
      </c>
      <c r="F271" s="8" t="str">
        <f t="shared" si="2"/>
        <v> 15:38:02</v>
      </c>
      <c r="G271" s="9" t="str">
        <f t="shared" si="3"/>
        <v>Tarde</v>
      </c>
      <c r="H271" s="10" t="str">
        <f>IFERROR(__xludf.DUMMYFUNCTION("GOOGLETRANSLATE(B271, ""en"", ""pt-br"")"),"O aplicativo funciona bem, mas você não pode pesquisar tópicos por frases ou hashtags -chave, o que significa que a experiência parece extremamente cortada e cortada. As boas partes do Twitter é que facilitou a descoberta de novas pessoas a seguir com bas"&amp;"e no que elas disseram, além de encontrar autores e artistas que você não teria encontrado de outra forma. Os threads fazem para que você não possa realmente fazer isso. Você só pode seguir as pessoas que você já conhece e não pode ver a arte por pessoas "&amp;"que você não segue ou algo assim.")</f>
        <v>O aplicativo funciona bem, mas você não pode pesquisar tópicos por frases ou hashtags -chave, o que significa que a experiência parece extremamente cortada e cortada. As boas partes do Twitter é que facilitou a descoberta de novas pessoas a seguir com base no que elas disseram, além de encontrar autores e artistas que você não teria encontrado de outra forma. Os threads fazem para que você não possa realmente fazer isso. Você só pode seguir as pessoas que você já conhece e não pode ver a arte por pessoas que você não segue ou algo assim.</v>
      </c>
      <c r="I271" s="10" t="str">
        <f>IFERROR(__xludf.DUMMYFUNCTION("TRIM(REGEXREPLACE(H271,""[^a-zA-ZÀ-ú ]+"",""""))"),"O aplicativo funciona bem mas você não pode pesquisar tópicos por frases ou hashtags chave o que significa que a experiência parece extremamente cortada e cortada As boas partes do Twitter é que facilitou a descoberta de novas pessoas a seguir com base no"&amp;" que elas disseram além de encontrar autores e artistas que você não teria encontrado de outra forma Os threads fazem para que você não possa realmente fazer isso Você só pode seguir as pessoas que você já conhece e não pode ver a arte por pessoas que voc"&amp;"ê não segue ou algo assim")</f>
        <v>O aplicativo funciona bem mas você não pode pesquisar tópicos por frases ou hashtags chave o que significa que a experiência parece extremamente cortada e cortada As boas partes do Twitter é que facilitou a descoberta de novas pessoas a seguir com base no que elas disseram além de encontrar autores e artistas que você não teria encontrado de outra forma Os threads fazem para que você não possa realmente fazer isso Você só pode seguir as pessoas que você já conhece e não pode ver a arte por pessoas que você não segue ou algo assim</v>
      </c>
      <c r="J271" s="3"/>
      <c r="K271" s="3"/>
      <c r="L271" s="3"/>
      <c r="M271" s="3"/>
      <c r="N271" s="3"/>
      <c r="O271" s="3"/>
      <c r="P271" s="3"/>
      <c r="Q271" s="3"/>
      <c r="R271" s="3"/>
      <c r="S271" s="3"/>
      <c r="T271" s="3"/>
      <c r="U271" s="3"/>
      <c r="V271" s="3"/>
      <c r="W271" s="3"/>
      <c r="X271" s="3"/>
      <c r="Y271" s="3"/>
      <c r="Z271" s="3"/>
      <c r="AA271" s="3"/>
    </row>
    <row r="272" ht="105.75" customHeight="1">
      <c r="A272" s="4" t="s">
        <v>9</v>
      </c>
      <c r="B272" s="5" t="s">
        <v>280</v>
      </c>
      <c r="C272" s="4">
        <v>1.0</v>
      </c>
      <c r="D272" s="6">
        <v>45126.34947916667</v>
      </c>
      <c r="E272" s="7" t="str">
        <f t="shared" si="1"/>
        <v>2023-07-19</v>
      </c>
      <c r="F272" s="8" t="str">
        <f t="shared" si="2"/>
        <v> 08:23:15</v>
      </c>
      <c r="G272" s="9" t="str">
        <f t="shared" si="3"/>
        <v>Manhã</v>
      </c>
      <c r="H272" s="10" t="str">
        <f>IFERROR(__xludf.DUMMYFUNCTION("GOOGLETRANSLATE(B272, ""en"", ""pt-br"")"),"Minha revisão pode melhorar com o tempo, mas precisa de muita melhoria ... trava muito e mostra algumas coisas irritantes na minha tela. Muitos posts entregues da ONU continuam aparecendo na minha tela e é irritante .. eu gostaria de poder compartilhar mi"&amp;"nha tela para que você possa vê -la")</f>
        <v>Minha revisão pode melhorar com o tempo, mas precisa de muita melhoria ... trava muito e mostra algumas coisas irritantes na minha tela. Muitos posts entregues da ONU continuam aparecendo na minha tela e é irritante .. eu gostaria de poder compartilhar minha tela para que você possa vê -la</v>
      </c>
      <c r="I272" s="10" t="str">
        <f>IFERROR(__xludf.DUMMYFUNCTION("TRIM(REGEXREPLACE(H272,""[^a-zA-ZÀ-ú ]+"",""""))"),"Minha revisão pode melhorar com o tempo mas precisa de muita melhoria trava muito e mostra algumas coisas irritantes na minha tela Muitos posts entregues da ONU continuam aparecendo na minha tela e é irritante eu gostaria de poder compartilhar minha tela "&amp;"para que você possa vê la")</f>
        <v>Minha revisão pode melhorar com o tempo mas precisa de muita melhoria trava muito e mostra algumas coisas irritantes na minha tela Muitos posts entregues da ONU continuam aparecendo na minha tela e é irritante eu gostaria de poder compartilhar minha tela para que você possa vê la</v>
      </c>
      <c r="J272" s="3"/>
      <c r="K272" s="3"/>
      <c r="L272" s="3"/>
      <c r="M272" s="3"/>
      <c r="N272" s="3"/>
      <c r="O272" s="3"/>
      <c r="P272" s="3"/>
      <c r="Q272" s="3"/>
      <c r="R272" s="3"/>
      <c r="S272" s="3"/>
      <c r="T272" s="3"/>
      <c r="U272" s="3"/>
      <c r="V272" s="3"/>
      <c r="W272" s="3"/>
      <c r="X272" s="3"/>
      <c r="Y272" s="3"/>
      <c r="Z272" s="3"/>
      <c r="AA272" s="3"/>
    </row>
    <row r="273" ht="105.75" customHeight="1">
      <c r="A273" s="4" t="s">
        <v>9</v>
      </c>
      <c r="B273" s="5" t="s">
        <v>281</v>
      </c>
      <c r="C273" s="4">
        <v>4.0</v>
      </c>
      <c r="D273" s="6">
        <v>45114.094201388885</v>
      </c>
      <c r="E273" s="7" t="str">
        <f t="shared" si="1"/>
        <v>2023-07-07</v>
      </c>
      <c r="F273" s="8" t="str">
        <f t="shared" si="2"/>
        <v> 02:15:39</v>
      </c>
      <c r="G273" s="9" t="str">
        <f t="shared" si="3"/>
        <v>Manhã</v>
      </c>
      <c r="H273" s="10" t="str">
        <f>IFERROR(__xludf.DUMMYFUNCTION("GOOGLETRANSLATE(B273, ""en"", ""pt-br"")"),"Ótima versão de um determinado aplicativo de mídia social. Por favor, adicione a capacidade de mudar de conta! Eu tenho várias contas do Instagram que posso alternar facilmente, portanto, tenho várias contas de threads que gostaria de alterar.")</f>
        <v>Ótima versão de um determinado aplicativo de mídia social. Por favor, adicione a capacidade de mudar de conta! Eu tenho várias contas do Instagram que posso alternar facilmente, portanto, tenho várias contas de threads que gostaria de alterar.</v>
      </c>
      <c r="I273" s="10" t="str">
        <f>IFERROR(__xludf.DUMMYFUNCTION("TRIM(REGEXREPLACE(H273,""[^a-zA-ZÀ-ú ]+"",""""))"),"Ótima versão de um determinado aplicativo de mídia social Por favor adicione a capacidade de mudar de conta Eu tenho várias contas do Instagram que posso alternar facilmente portanto tenho várias contas de threads que gostaria de alterar")</f>
        <v>Ótima versão de um determinado aplicativo de mídia social Por favor adicione a capacidade de mudar de conta Eu tenho várias contas do Instagram que posso alternar facilmente portanto tenho várias contas de threads que gostaria de alterar</v>
      </c>
      <c r="J273" s="3"/>
      <c r="K273" s="3"/>
      <c r="L273" s="3"/>
      <c r="M273" s="3"/>
      <c r="N273" s="3"/>
      <c r="O273" s="3"/>
      <c r="P273" s="3"/>
      <c r="Q273" s="3"/>
      <c r="R273" s="3"/>
      <c r="S273" s="3"/>
      <c r="T273" s="3"/>
      <c r="U273" s="3"/>
      <c r="V273" s="3"/>
      <c r="W273" s="3"/>
      <c r="X273" s="3"/>
      <c r="Y273" s="3"/>
      <c r="Z273" s="3"/>
      <c r="AA273" s="3"/>
    </row>
    <row r="274" ht="105.75" customHeight="1">
      <c r="A274" s="4" t="s">
        <v>9</v>
      </c>
      <c r="B274" s="5" t="s">
        <v>282</v>
      </c>
      <c r="C274" s="4">
        <v>1.0</v>
      </c>
      <c r="D274" s="6">
        <v>45113.669224537036</v>
      </c>
      <c r="E274" s="7" t="str">
        <f t="shared" si="1"/>
        <v>2023-07-06</v>
      </c>
      <c r="F274" s="8" t="str">
        <f t="shared" si="2"/>
        <v> 16:03:41</v>
      </c>
      <c r="G274" s="9" t="str">
        <f t="shared" si="3"/>
        <v>Tarde</v>
      </c>
      <c r="H274" s="10" t="str">
        <f>IFERROR(__xludf.DUMMYFUNCTION("GOOGLETRANSLATE(B274, ""en"", ""pt-br"")"),"Eu recebo problemas de fantasmas graves do aplicativo. Ele desaparece quando abro o comutador de tarefas e volta ao aplicativo, mas acontece novamente quando faço qualquer coisa tão simples quanto rolar. Tenho certeza de que é o aplicativo porque todos os"&amp;" outros aplicativos além disso estão bem. Meu telefone é um Sony Experia XZ Premium G8141 Running Android 9 Build 47.2.a.10.107")</f>
        <v>Eu recebo problemas de fantasmas graves do aplicativo. Ele desaparece quando abro o comutador de tarefas e volta ao aplicativo, mas acontece novamente quando faço qualquer coisa tão simples quanto rolar. Tenho certeza de que é o aplicativo porque todos os outros aplicativos além disso estão bem. Meu telefone é um Sony Experia XZ Premium G8141 Running Android 9 Build 47.2.a.10.107</v>
      </c>
      <c r="I274" s="10" t="str">
        <f>IFERROR(__xludf.DUMMYFUNCTION("TRIM(REGEXREPLACE(H274,""[^a-zA-ZÀ-ú ]+"",""""))"),"Eu recebo problemas de fantasmas graves do aplicativo Ele desaparece quando abro o comutador de tarefas e volta ao aplicativo mas acontece novamente quando faço qualquer coisa tão simples quanto rolar Tenho certeza de que é o aplicativo porque todos os ou"&amp;"tros aplicativos além disso estão bem Meu telefone é um Sony Experia XZ Premium G Running Android Build a")</f>
        <v>Eu recebo problemas de fantasmas graves do aplicativo Ele desaparece quando abro o comutador de tarefas e volta ao aplicativo mas acontece novamente quando faço qualquer coisa tão simples quanto rolar Tenho certeza de que é o aplicativo porque todos os outros aplicativos além disso estão bem Meu telefone é um Sony Experia XZ Premium G Running Android Build a</v>
      </c>
      <c r="J274" s="3"/>
      <c r="K274" s="3"/>
      <c r="L274" s="3"/>
      <c r="M274" s="3"/>
      <c r="N274" s="3"/>
      <c r="O274" s="3"/>
      <c r="P274" s="3"/>
      <c r="Q274" s="3"/>
      <c r="R274" s="3"/>
      <c r="S274" s="3"/>
      <c r="T274" s="3"/>
      <c r="U274" s="3"/>
      <c r="V274" s="3"/>
      <c r="W274" s="3"/>
      <c r="X274" s="3"/>
      <c r="Y274" s="3"/>
      <c r="Z274" s="3"/>
      <c r="AA274" s="3"/>
    </row>
    <row r="275" ht="105.75" customHeight="1">
      <c r="A275" s="4" t="s">
        <v>9</v>
      </c>
      <c r="B275" s="5" t="s">
        <v>283</v>
      </c>
      <c r="C275" s="4">
        <v>5.0</v>
      </c>
      <c r="D275" s="6">
        <v>45128.72513888889</v>
      </c>
      <c r="E275" s="7" t="str">
        <f t="shared" si="1"/>
        <v>2023-07-21</v>
      </c>
      <c r="F275" s="8" t="str">
        <f t="shared" si="2"/>
        <v> 17:24:12</v>
      </c>
      <c r="G275" s="9" t="str">
        <f t="shared" si="3"/>
        <v>Tarde</v>
      </c>
      <c r="H275" s="10" t="str">
        <f>IFERROR(__xludf.DUMMYFUNCTION("GOOGLETRANSLATE(B275, ""en"", ""pt-br"")"),"Isso é muito alternativo para o aplicativo Blue Bird. É realmente divertido e menos tóxico, mas há alguns recursos que ainda estão faltando 1. a guia a seguir, por mais que eu goste de ver os tópicos das pessoas, quero ver o que eu segui. 2. Hashtags, que"&amp;"ro dizer, se você quiser tender algo que precisa usar isso. 3. Tendência, desculpe, estou tão acostumado a olhar para o que é o ATM das tendências 4. Botão de pesquisa funcional. Não apenas a pessoa que você pode pesquisar, mas praticamente tudo")</f>
        <v>Isso é muito alternativo para o aplicativo Blue Bird. É realmente divertido e menos tóxico, mas há alguns recursos que ainda estão faltando 1. a guia a seguir, por mais que eu goste de ver os tópicos das pessoas, quero ver o que eu segui. 2. Hashtags, quero dizer, se você quiser tender algo que precisa usar isso. 3. Tendência, desculpe, estou tão acostumado a olhar para o que é o ATM das tendências 4. Botão de pesquisa funcional. Não apenas a pessoa que você pode pesquisar, mas praticamente tudo</v>
      </c>
      <c r="I275" s="10" t="str">
        <f>IFERROR(__xludf.DUMMYFUNCTION("TRIM(REGEXREPLACE(H275,""[^a-zA-ZÀ-ú ]+"",""""))"),"Isso é muito alternativo para o aplicativo Blue Bird É realmente divertido e menos tóxico mas há alguns recursos que ainda estão faltando a guia a seguir por mais que eu goste de ver os tópicos das pessoas quero ver o que eu segui Hashtags quero dizer se "&amp;"você quiser tender algo que precisa usar isso Tendência desculpe estou tão acostumado a olhar para o que é o ATM das tendências Botão de pesquisa funcional Não apenas a pessoa que você pode pesquisar mas praticamente tudo")</f>
        <v>Isso é muito alternativo para o aplicativo Blue Bird É realmente divertido e menos tóxico mas há alguns recursos que ainda estão faltando a guia a seguir por mais que eu goste de ver os tópicos das pessoas quero ver o que eu segui Hashtags quero dizer se você quiser tender algo que precisa usar isso Tendência desculpe estou tão acostumado a olhar para o que é o ATM das tendências Botão de pesquisa funcional Não apenas a pessoa que você pode pesquisar mas praticamente tudo</v>
      </c>
      <c r="J275" s="3"/>
      <c r="K275" s="3"/>
      <c r="L275" s="3"/>
      <c r="M275" s="3"/>
      <c r="N275" s="3"/>
      <c r="O275" s="3"/>
      <c r="P275" s="3"/>
      <c r="Q275" s="3"/>
      <c r="R275" s="3"/>
      <c r="S275" s="3"/>
      <c r="T275" s="3"/>
      <c r="U275" s="3"/>
      <c r="V275" s="3"/>
      <c r="W275" s="3"/>
      <c r="X275" s="3"/>
      <c r="Y275" s="3"/>
      <c r="Z275" s="3"/>
      <c r="AA275" s="3"/>
    </row>
    <row r="276" ht="105.75" customHeight="1">
      <c r="A276" s="4" t="s">
        <v>9</v>
      </c>
      <c r="B276" s="5" t="s">
        <v>284</v>
      </c>
      <c r="C276" s="4">
        <v>4.0</v>
      </c>
      <c r="D276" s="6">
        <v>45114.66002314815</v>
      </c>
      <c r="E276" s="7" t="str">
        <f t="shared" si="1"/>
        <v>2023-07-07</v>
      </c>
      <c r="F276" s="8" t="str">
        <f t="shared" si="2"/>
        <v> 15:50:26</v>
      </c>
      <c r="G276" s="9" t="str">
        <f t="shared" si="3"/>
        <v>Tarde</v>
      </c>
      <c r="H276" s="10" t="str">
        <f>IFERROR(__xludf.DUMMYFUNCTION("GOOGLETRANSLATE(B276, ""en"", ""pt-br"")"),"Eu realmente gostei desse aplicativo. Eu baixei hoje e à noite está começando a ficar falhando como sempre que estou rolando os textos e fotos várias vezes. Eu até desinstalei e reinstalei, mas o problema ainda é o mesmo, corrija -o, espero obter uma resp"&amp;"osta 😟")</f>
        <v>Eu realmente gostei desse aplicativo. Eu baixei hoje e à noite está começando a ficar falhando como sempre que estou rolando os textos e fotos várias vezes. Eu até desinstalei e reinstalei, mas o problema ainda é o mesmo, corrija -o, espero obter uma resposta 😟</v>
      </c>
      <c r="I276" s="10" t="str">
        <f>IFERROR(__xludf.DUMMYFUNCTION("TRIM(REGEXREPLACE(H276,""[^a-zA-ZÀ-ú ]+"",""""))"),"Eu realmente gostei desse aplicativo Eu baixei hoje e à noite está começando a ficar falhando como sempre que estou rolando os textos e fotos várias vezes Eu até desinstalei e reinstalei mas o problema ainda é o mesmo corrija o espero obter uma resposta")</f>
        <v>Eu realmente gostei desse aplicativo Eu baixei hoje e à noite está começando a ficar falhando como sempre que estou rolando os textos e fotos várias vezes Eu até desinstalei e reinstalei mas o problema ainda é o mesmo corrija o espero obter uma resposta</v>
      </c>
      <c r="J276" s="3"/>
      <c r="K276" s="3"/>
      <c r="L276" s="3"/>
      <c r="M276" s="3"/>
      <c r="N276" s="3"/>
      <c r="O276" s="3"/>
      <c r="P276" s="3"/>
      <c r="Q276" s="3"/>
      <c r="R276" s="3"/>
      <c r="S276" s="3"/>
      <c r="T276" s="3"/>
      <c r="U276" s="3"/>
      <c r="V276" s="3"/>
      <c r="W276" s="3"/>
      <c r="X276" s="3"/>
      <c r="Y276" s="3"/>
      <c r="Z276" s="3"/>
      <c r="AA276" s="3"/>
    </row>
    <row r="277" ht="105.75" customHeight="1">
      <c r="A277" s="4" t="s">
        <v>9</v>
      </c>
      <c r="B277" s="5" t="s">
        <v>285</v>
      </c>
      <c r="C277" s="4">
        <v>3.0</v>
      </c>
      <c r="D277" s="6">
        <v>45116.70993055555</v>
      </c>
      <c r="E277" s="7" t="str">
        <f t="shared" si="1"/>
        <v>2023-07-09</v>
      </c>
      <c r="F277" s="8" t="str">
        <f t="shared" si="2"/>
        <v> 17:02:18</v>
      </c>
      <c r="G277" s="9" t="str">
        <f t="shared" si="3"/>
        <v>Tarde</v>
      </c>
      <c r="H277" s="10" t="str">
        <f>IFERROR(__xludf.DUMMYFUNCTION("GOOGLETRANSLATE(B277, ""en"", ""pt-br"")"),"Ok, vou deixar você saber o motivo das minhas 3 estrelas. Este aplicativo está bem, eu só tenho um pequeno problema com ele. Tem o mesmo problema que o Instagram tem. É difícil conhecer aqueles que estão seguindo você. Na lista de seguidores, eles devem s"&amp;"er algo como um ícone que informa que alguém está seguindo de volta para que se possa deixar de seguir facilmente aqueles que não estão seguindo de volta. Por favor, faça esta atualização, é realmente útil.")</f>
        <v>Ok, vou deixar você saber o motivo das minhas 3 estrelas. Este aplicativo está bem, eu só tenho um pequeno problema com ele. Tem o mesmo problema que o Instagram tem. É difícil conhecer aqueles que estão seguindo você. Na lista de seguidores, eles devem ser algo como um ícone que informa que alguém está seguindo de volta para que se possa deixar de seguir facilmente aqueles que não estão seguindo de volta. Por favor, faça esta atualização, é realmente útil.</v>
      </c>
      <c r="I277" s="10" t="str">
        <f>IFERROR(__xludf.DUMMYFUNCTION("TRIM(REGEXREPLACE(H277,""[^a-zA-ZÀ-ú ]+"",""""))"),"Ok vou deixar você saber o motivo das minhas estrelas Este aplicativo está bem eu só tenho um pequeno problema com ele Tem o mesmo problema que o Instagram tem É difícil conhecer aqueles que estão seguindo você Na lista de seguidores eles devem ser algo c"&amp;"omo um ícone que informa que alguém está seguindo de volta para que se possa deixar de seguir facilmente aqueles que não estão seguindo de volta Por favor faça esta atualização é realmente útil")</f>
        <v>Ok vou deixar você saber o motivo das minhas estrelas Este aplicativo está bem eu só tenho um pequeno problema com ele Tem o mesmo problema que o Instagram tem É difícil conhecer aqueles que estão seguindo você Na lista de seguidores eles devem ser algo como um ícone que informa que alguém está seguindo de volta para que se possa deixar de seguir facilmente aqueles que não estão seguindo de volta Por favor faça esta atualização é realmente útil</v>
      </c>
      <c r="J277" s="3"/>
      <c r="K277" s="3"/>
      <c r="L277" s="3"/>
      <c r="M277" s="3"/>
      <c r="N277" s="3"/>
      <c r="O277" s="3"/>
      <c r="P277" s="3"/>
      <c r="Q277" s="3"/>
      <c r="R277" s="3"/>
      <c r="S277" s="3"/>
      <c r="T277" s="3"/>
      <c r="U277" s="3"/>
      <c r="V277" s="3"/>
      <c r="W277" s="3"/>
      <c r="X277" s="3"/>
      <c r="Y277" s="3"/>
      <c r="Z277" s="3"/>
      <c r="AA277" s="3"/>
    </row>
    <row r="278" ht="105.75" customHeight="1">
      <c r="A278" s="4" t="s">
        <v>9</v>
      </c>
      <c r="B278" s="5" t="s">
        <v>286</v>
      </c>
      <c r="C278" s="4">
        <v>3.0</v>
      </c>
      <c r="D278" s="6">
        <v>45115.37568287037</v>
      </c>
      <c r="E278" s="7" t="str">
        <f t="shared" si="1"/>
        <v>2023-07-08</v>
      </c>
      <c r="F278" s="8" t="str">
        <f t="shared" si="2"/>
        <v> 09:00:59</v>
      </c>
      <c r="G278" s="9" t="str">
        <f t="shared" si="3"/>
        <v>Manhã</v>
      </c>
      <c r="H278" s="10" t="str">
        <f>IFERROR(__xludf.DUMMYFUNCTION("GOOGLETRANSLATE(B278, ""en"", ""pt-br"")"),"Depois de alguns dias de uso do aplicativo, aqui são as coisas que espero ser atualizadas. 1. Para você se alimentar. Eu vejo pessoas aleatórias mais do que as pessoas que eu realmente sigo. 2. Hashtags. Eu acho que isso ajudará no alcance e a se envolver"&amp;" com pessoas do seu nicho. 3. Opção do modo escuro. 4. Guia Galeria. É frustrante ter que rolar para baixo apenas para encontrar uma imagem que eu queria postar. 5. Escrevendo uma resposta. Não vejo nada que escrevo porque o teclado o bloqueia durante a d"&amp;"igitação. 6. Algoritmo. Tudo é tão aleatório no momento.")</f>
        <v>Depois de alguns dias de uso do aplicativo, aqui são as coisas que espero ser atualizadas. 1. Para você se alimentar. Eu vejo pessoas aleatórias mais do que as pessoas que eu realmente sigo. 2. Hashtags. Eu acho que isso ajudará no alcance e a se envolver com pessoas do seu nicho. 3. Opção do modo escuro. 4. Guia Galeria. É frustrante ter que rolar para baixo apenas para encontrar uma imagem que eu queria postar. 5. Escrevendo uma resposta. Não vejo nada que escrevo porque o teclado o bloqueia durante a digitação. 6. Algoritmo. Tudo é tão aleatório no momento.</v>
      </c>
      <c r="I278" s="10" t="str">
        <f>IFERROR(__xludf.DUMMYFUNCTION("TRIM(REGEXREPLACE(H278,""[^a-zA-ZÀ-ú ]+"",""""))"),"Depois de alguns dias de uso do aplicativo aqui são as coisas que espero ser atualizadas Para você se alimentar Eu vejo pessoas aleatórias mais do que as pessoas que eu realmente sigo Hashtags Eu acho que isso ajudará no alcance e a se envolver com pessoa"&amp;"s do seu nicho Opção do modo escuro Guia Galeria É frustrante ter que rolar para baixo apenas para encontrar uma imagem que eu queria postar Escrevendo uma resposta Não vejo nada que escrevo porque o teclado o bloqueia durante a digitação Algoritmo Tudo é"&amp;" tão aleatório no momento")</f>
        <v>Depois de alguns dias de uso do aplicativo aqui são as coisas que espero ser atualizadas Para você se alimentar Eu vejo pessoas aleatórias mais do que as pessoas que eu realmente sigo Hashtags Eu acho que isso ajudará no alcance e a se envolver com pessoas do seu nicho Opção do modo escuro Guia Galeria É frustrante ter que rolar para baixo apenas para encontrar uma imagem que eu queria postar Escrevendo uma resposta Não vejo nada que escrevo porque o teclado o bloqueia durante a digitação Algoritmo Tudo é tão aleatório no momento</v>
      </c>
      <c r="J278" s="3"/>
      <c r="K278" s="3"/>
      <c r="L278" s="3"/>
      <c r="M278" s="3"/>
      <c r="N278" s="3"/>
      <c r="O278" s="3"/>
      <c r="P278" s="3"/>
      <c r="Q278" s="3"/>
      <c r="R278" s="3"/>
      <c r="S278" s="3"/>
      <c r="T278" s="3"/>
      <c r="U278" s="3"/>
      <c r="V278" s="3"/>
      <c r="W278" s="3"/>
      <c r="X278" s="3"/>
      <c r="Y278" s="3"/>
      <c r="Z278" s="3"/>
      <c r="AA278" s="3"/>
    </row>
    <row r="279" ht="105.75" customHeight="1">
      <c r="A279" s="4" t="s">
        <v>9</v>
      </c>
      <c r="B279" s="5" t="s">
        <v>287</v>
      </c>
      <c r="C279" s="4">
        <v>3.0</v>
      </c>
      <c r="D279" s="6">
        <v>45114.787627314814</v>
      </c>
      <c r="E279" s="7" t="str">
        <f t="shared" si="1"/>
        <v>2023-07-07</v>
      </c>
      <c r="F279" s="8" t="str">
        <f t="shared" si="2"/>
        <v> 18:54:11</v>
      </c>
      <c r="G279" s="9" t="str">
        <f t="shared" si="3"/>
        <v>Noite</v>
      </c>
      <c r="H279" s="10" t="str">
        <f>IFERROR(__xludf.DUMMYFUNCTION("GOOGLETRANSLATE(B279, ""en"", ""pt-br"")"),"É bom, mas não tão bom. Precisa de mais otimização e a interface do usuário parece chata. O que eu quero ver não vem neste aplicativo. O que eu quero ver deve vir, como o Instagram. Caso contrário, o aplicativo se tornará inutilizável para todos e este ap"&amp;"licativo tem mudo, bloqueio, ocultar opções não ""não está interessado neste vídeo"" ou threads ""espero que você entenda o que estou tentando dizer aqui.")</f>
        <v>É bom, mas não tão bom. Precisa de mais otimização e a interface do usuário parece chata. O que eu quero ver não vem neste aplicativo. O que eu quero ver deve vir, como o Instagram. Caso contrário, o aplicativo se tornará inutilizável para todos e este aplicativo tem mudo, bloqueio, ocultar opções não "não está interessado neste vídeo" ou threads "espero que você entenda o que estou tentando dizer aqui.</v>
      </c>
      <c r="I279" s="10" t="str">
        <f>IFERROR(__xludf.DUMMYFUNCTION("TRIM(REGEXREPLACE(H279,""[^a-zA-ZÀ-ú ]+"",""""))"),"É bom mas não tão bom Precisa de mais otimização e a interface do usuário parece chata O que eu quero ver não vem neste aplicativo O que eu quero ver deve vir como o Instagram Caso contrário o aplicativo se tornará inutilizável para todos e este aplicativ"&amp;"o tem mudo bloqueio ocultar opções não não está interessado neste vídeo ou threads espero que você entenda o que estou tentando dizer aqui")</f>
        <v>É bom mas não tão bom Precisa de mais otimização e a interface do usuário parece chata O que eu quero ver não vem neste aplicativo O que eu quero ver deve vir como o Instagram Caso contrário o aplicativo se tornará inutilizável para todos e este aplicativo tem mudo bloqueio ocultar opções não não está interessado neste vídeo ou threads espero que você entenda o que estou tentando dizer aqui</v>
      </c>
      <c r="J279" s="3"/>
      <c r="K279" s="3"/>
      <c r="L279" s="3"/>
      <c r="M279" s="3"/>
      <c r="N279" s="3"/>
      <c r="O279" s="3"/>
      <c r="P279" s="3"/>
      <c r="Q279" s="3"/>
      <c r="R279" s="3"/>
      <c r="S279" s="3"/>
      <c r="T279" s="3"/>
      <c r="U279" s="3"/>
      <c r="V279" s="3"/>
      <c r="W279" s="3"/>
      <c r="X279" s="3"/>
      <c r="Y279" s="3"/>
      <c r="Z279" s="3"/>
      <c r="AA279" s="3"/>
    </row>
    <row r="280" ht="105.75" customHeight="1">
      <c r="A280" s="4" t="s">
        <v>9</v>
      </c>
      <c r="B280" s="5" t="s">
        <v>288</v>
      </c>
      <c r="C280" s="4">
        <v>3.0</v>
      </c>
      <c r="D280" s="6">
        <v>45116.39871527778</v>
      </c>
      <c r="E280" s="7" t="str">
        <f t="shared" si="1"/>
        <v>2023-07-09</v>
      </c>
      <c r="F280" s="8" t="str">
        <f t="shared" si="2"/>
        <v> 09:34:09</v>
      </c>
      <c r="G280" s="9" t="str">
        <f t="shared" si="3"/>
        <v>Manhã</v>
      </c>
      <c r="H280" s="10" t="str">
        <f>IFERROR(__xludf.DUMMYFUNCTION("GOOGLETRANSLATE(B280, ""en"", ""pt-br"")"),"até agora tudo bem. Ainda há recursos ausentes no aplicativo como DMS, câmera, etc. (também o Algo parece muito longe), mas uma coisa que acho decepcionante é o recurso de modo escuro. Eu naveguei no aplicativo para encontrar o botão para ativá -lo ou des"&amp;"ligar e, infelizmente, não há um. Meu telefone (Samsung Android 9) tem um tema para que não possa se transformar no modo escuro e não faz com que os aplicativos se transformem no modo escuro. Por favor, por favor, adicione um recurso de modo escuro, pois "&amp;"pode ajudar outros usuários como eu a navegar de maneira mais confortável!")</f>
        <v>até agora tudo bem. Ainda há recursos ausentes no aplicativo como DMS, câmera, etc. (também o Algo parece muito longe), mas uma coisa que acho decepcionante é o recurso de modo escuro. Eu naveguei no aplicativo para encontrar o botão para ativá -lo ou desligar e, infelizmente, não há um. Meu telefone (Samsung Android 9) tem um tema para que não possa se transformar no modo escuro e não faz com que os aplicativos se transformem no modo escuro. Por favor, por favor, adicione um recurso de modo escuro, pois pode ajudar outros usuários como eu a navegar de maneira mais confortável!</v>
      </c>
      <c r="I280" s="10" t="str">
        <f>IFERROR(__xludf.DUMMYFUNCTION("TRIM(REGEXREPLACE(H280,""[^a-zA-ZÀ-ú ]+"",""""))"),"até agora tudo bem Ainda há recursos ausentes no aplicativo como DMS câmera etc também o Algo parece muito longe mas uma coisa que acho decepcionante é o recurso de modo escuro Eu naveguei no aplicativo para encontrar o botão para ativá lo ou desligar e i"&amp;"nfelizmente não há um Meu telefone Samsung Android tem um tema para que não possa se transformar no modo escuro e não faz com que os aplicativos se transformem no modo escuro Por favor por favor adicione um recurso de modo escuro pois pode ajudar outros u"&amp;"suários como eu a navegar de maneira mais confortável")</f>
        <v>até agora tudo bem Ainda há recursos ausentes no aplicativo como DMS câmera etc também o Algo parece muito longe mas uma coisa que acho decepcionante é o recurso de modo escuro Eu naveguei no aplicativo para encontrar o botão para ativá lo ou desligar e infelizmente não há um Meu telefone Samsung Android tem um tema para que não possa se transformar no modo escuro e não faz com que os aplicativos se transformem no modo escuro Por favor por favor adicione um recurso de modo escuro pois pode ajudar outros usuários como eu a navegar de maneira mais confortável</v>
      </c>
      <c r="J280" s="3"/>
      <c r="K280" s="3"/>
      <c r="L280" s="3"/>
      <c r="M280" s="3"/>
      <c r="N280" s="3"/>
      <c r="O280" s="3"/>
      <c r="P280" s="3"/>
      <c r="Q280" s="3"/>
      <c r="R280" s="3"/>
      <c r="S280" s="3"/>
      <c r="T280" s="3"/>
      <c r="U280" s="3"/>
      <c r="V280" s="3"/>
      <c r="W280" s="3"/>
      <c r="X280" s="3"/>
      <c r="Y280" s="3"/>
      <c r="Z280" s="3"/>
      <c r="AA280" s="3"/>
    </row>
    <row r="281" ht="105.75" customHeight="1">
      <c r="A281" s="4" t="s">
        <v>9</v>
      </c>
      <c r="B281" s="5" t="s">
        <v>289</v>
      </c>
      <c r="C281" s="4">
        <v>4.0</v>
      </c>
      <c r="D281" s="6">
        <v>45116.04896990741</v>
      </c>
      <c r="E281" s="7" t="str">
        <f t="shared" si="1"/>
        <v>2023-07-09</v>
      </c>
      <c r="F281" s="8" t="str">
        <f t="shared" si="2"/>
        <v> 01:10:31</v>
      </c>
      <c r="G281" s="9" t="str">
        <f t="shared" si="3"/>
        <v>Manhã</v>
      </c>
      <c r="H281" s="10" t="str">
        <f>IFERROR(__xludf.DUMMYFUNCTION("GOOGLETRANSLATE(B281, ""en"", ""pt-br"")"),"Os gráficos são fenomenais. Adicione as tendências com base na localização e um botão de acompanhar/deixar de seguir em cada opção de botão de elipse de thread e também adicione DMS. Caso contrário, um divisor de águas este. Parabéns à equipe! PS Não vend"&amp;"a o cheque azul!")</f>
        <v>Os gráficos são fenomenais. Adicione as tendências com base na localização e um botão de acompanhar/deixar de seguir em cada opção de botão de elipse de thread e também adicione DMS. Caso contrário, um divisor de águas este. Parabéns à equipe! PS Não venda o cheque azul!</v>
      </c>
      <c r="I281" s="10" t="str">
        <f>IFERROR(__xludf.DUMMYFUNCTION("TRIM(REGEXREPLACE(H281,""[^a-zA-ZÀ-ú ]+"",""""))"),"Os gráficos são fenomenais Adicione as tendências com base na localização e um botão de acompanhardeixar de seguir em cada opção de botão de elipse de thread e também adicione DMS Caso contrário um divisor de águas este Parabéns à equipe PS Não venda o ch"&amp;"eque azul")</f>
        <v>Os gráficos são fenomenais Adicione as tendências com base na localização e um botão de acompanhardeixar de seguir em cada opção de botão de elipse de thread e também adicione DMS Caso contrário um divisor de águas este Parabéns à equipe PS Não venda o cheque azul</v>
      </c>
      <c r="J281" s="3"/>
      <c r="K281" s="3"/>
      <c r="L281" s="3"/>
      <c r="M281" s="3"/>
      <c r="N281" s="3"/>
      <c r="O281" s="3"/>
      <c r="P281" s="3"/>
      <c r="Q281" s="3"/>
      <c r="R281" s="3"/>
      <c r="S281" s="3"/>
      <c r="T281" s="3"/>
      <c r="U281" s="3"/>
      <c r="V281" s="3"/>
      <c r="W281" s="3"/>
      <c r="X281" s="3"/>
      <c r="Y281" s="3"/>
      <c r="Z281" s="3"/>
      <c r="AA281" s="3"/>
    </row>
    <row r="282" ht="105.75" customHeight="1">
      <c r="A282" s="4" t="s">
        <v>9</v>
      </c>
      <c r="B282" s="5" t="s">
        <v>290</v>
      </c>
      <c r="C282" s="4">
        <v>3.0</v>
      </c>
      <c r="D282" s="6">
        <v>45129.647152777776</v>
      </c>
      <c r="E282" s="7" t="str">
        <f t="shared" si="1"/>
        <v>2023-07-22</v>
      </c>
      <c r="F282" s="8" t="str">
        <f t="shared" si="2"/>
        <v> 15:31:54</v>
      </c>
      <c r="G282" s="9" t="str">
        <f t="shared" si="3"/>
        <v>Tarde</v>
      </c>
      <c r="H282" s="10" t="str">
        <f>IFERROR(__xludf.DUMMYFUNCTION("GOOGLETRANSLATE(B282, ""en"", ""pt-br"")"),"O aplicativo é bom, mas você precisa clicar sempre em 🔇 para obter o som do vídeo. Isso é muito irritante. Eu quero uma versão sonora como insta. Lá, não precisávamos de clique sempre no som para reproduzir som. Tudo está bem 👍 Resolva meu problema e vo"&amp;"u mudar minha resenha para 5⭐. Obrigado!")</f>
        <v>O aplicativo é bom, mas você precisa clicar sempre em 🔇 para obter o som do vídeo. Isso é muito irritante. Eu quero uma versão sonora como insta. Lá, não precisávamos de clique sempre no som para reproduzir som. Tudo está bem 👍 Resolva meu problema e vou mudar minha resenha para 5⭐. Obrigado!</v>
      </c>
      <c r="I282" s="10" t="str">
        <f>IFERROR(__xludf.DUMMYFUNCTION("TRIM(REGEXREPLACE(H282,""[^a-zA-ZÀ-ú ]+"",""""))"),"O aplicativo é bom mas você precisa clicar sempre em para obter o som do vídeo Isso é muito irritante Eu quero uma versão sonora como insta Lá não precisávamos de clique sempre no som para reproduzir som Tudo está bem Resolva meu problema e vou mudar minh"&amp;"a resenha para Obrigado")</f>
        <v>O aplicativo é bom mas você precisa clicar sempre em para obter o som do vídeo Isso é muito irritante Eu quero uma versão sonora como insta Lá não precisávamos de clique sempre no som para reproduzir som Tudo está bem Resolva meu problema e vou mudar minha resenha para Obrigado</v>
      </c>
      <c r="J282" s="3"/>
      <c r="K282" s="3"/>
      <c r="L282" s="3"/>
      <c r="M282" s="3"/>
      <c r="N282" s="3"/>
      <c r="O282" s="3"/>
      <c r="P282" s="3"/>
      <c r="Q282" s="3"/>
      <c r="R282" s="3"/>
      <c r="S282" s="3"/>
      <c r="T282" s="3"/>
      <c r="U282" s="3"/>
      <c r="V282" s="3"/>
      <c r="W282" s="3"/>
      <c r="X282" s="3"/>
      <c r="Y282" s="3"/>
      <c r="Z282" s="3"/>
      <c r="AA282" s="3"/>
    </row>
    <row r="283" ht="105.75" customHeight="1">
      <c r="A283" s="4" t="s">
        <v>9</v>
      </c>
      <c r="B283" s="5" t="s">
        <v>291</v>
      </c>
      <c r="C283" s="4">
        <v>4.0</v>
      </c>
      <c r="D283" s="6">
        <v>45120.82983796296</v>
      </c>
      <c r="E283" s="7" t="str">
        <f t="shared" si="1"/>
        <v>2023-07-13</v>
      </c>
      <c r="F283" s="8" t="str">
        <f t="shared" si="2"/>
        <v> 19:54:58</v>
      </c>
      <c r="G283" s="9" t="str">
        <f t="shared" si="3"/>
        <v>Noite</v>
      </c>
      <c r="H283" s="10" t="str">
        <f>IFERROR(__xludf.DUMMYFUNCTION("GOOGLETRANSLATE(B283, ""en"", ""pt-br"")"),"Tudo bem, difícil de explorar novo conteúdo, ainda não há página de exploração. Difícil de encontrar conteúdo de tendências/conteúdo atual. O aplicativo está muito vazio no momento, mas faz o que precisa. Eu gostaria de ver o conteúdo de tendências/ conte"&amp;"údo de notícias e uma maneira de explorar novos conteúdos sem rolar novas postagens de contas que eu sigo atualmente na página inicial")</f>
        <v>Tudo bem, difícil de explorar novo conteúdo, ainda não há página de exploração. Difícil de encontrar conteúdo de tendências/conteúdo atual. O aplicativo está muito vazio no momento, mas faz o que precisa. Eu gostaria de ver o conteúdo de tendências/ conteúdo de notícias e uma maneira de explorar novos conteúdos sem rolar novas postagens de contas que eu sigo atualmente na página inicial</v>
      </c>
      <c r="I283" s="10" t="str">
        <f>IFERROR(__xludf.DUMMYFUNCTION("TRIM(REGEXREPLACE(H283,""[^a-zA-ZÀ-ú ]+"",""""))"),"Tudo bem difícil de explorar novo conteúdo ainda não há página de exploração Difícil de encontrar conteúdo de tendênciasconteúdo atual O aplicativo está muito vazio no momento mas faz o que precisa Eu gostaria de ver o conteúdo de tendências conteúdo de n"&amp;"otícias e uma maneira de explorar novos conteúdos sem rolar novas postagens de contas que eu sigo atualmente na página inicial")</f>
        <v>Tudo bem difícil de explorar novo conteúdo ainda não há página de exploração Difícil de encontrar conteúdo de tendênciasconteúdo atual O aplicativo está muito vazio no momento mas faz o que precisa Eu gostaria de ver o conteúdo de tendências conteúdo de notícias e uma maneira de explorar novos conteúdos sem rolar novas postagens de contas que eu sigo atualmente na página inicial</v>
      </c>
      <c r="J283" s="3"/>
      <c r="K283" s="3"/>
      <c r="L283" s="3"/>
      <c r="M283" s="3"/>
      <c r="N283" s="3"/>
      <c r="O283" s="3"/>
      <c r="P283" s="3"/>
      <c r="Q283" s="3"/>
      <c r="R283" s="3"/>
      <c r="S283" s="3"/>
      <c r="T283" s="3"/>
      <c r="U283" s="3"/>
      <c r="V283" s="3"/>
      <c r="W283" s="3"/>
      <c r="X283" s="3"/>
      <c r="Y283" s="3"/>
      <c r="Z283" s="3"/>
      <c r="AA283" s="3"/>
    </row>
    <row r="284" ht="105.75" customHeight="1">
      <c r="A284" s="4" t="s">
        <v>9</v>
      </c>
      <c r="B284" s="5" t="s">
        <v>292</v>
      </c>
      <c r="C284" s="4">
        <v>1.0</v>
      </c>
      <c r="D284" s="6">
        <v>45113.12766203703</v>
      </c>
      <c r="E284" s="7" t="str">
        <f t="shared" si="1"/>
        <v>2023-07-06</v>
      </c>
      <c r="F284" s="8" t="str">
        <f t="shared" si="2"/>
        <v> 03:03:50</v>
      </c>
      <c r="G284" s="9" t="str">
        <f t="shared" si="3"/>
        <v>Manhã</v>
      </c>
      <c r="H284" s="10" t="str">
        <f>IFERROR(__xludf.DUMMYFUNCTION("GOOGLETRANSLATE(B284, ""en"", ""pt-br"")"),"Eu acho que é muito cedo para que este aplicativo seja lançado porque ele tem muitos problemas e recursos importantes como: - O design é tão aleatório copiar literalmente do Instagram com algumas coisas do Twitter - a página de perfil é tão chata que nem "&amp;"sequer tem Cabeçalho - Como diabos não há tema sombrio ?? .")</f>
        <v>Eu acho que é muito cedo para que este aplicativo seja lançado porque ele tem muitos problemas e recursos importantes como: - O design é tão aleatório copiar literalmente do Instagram com algumas coisas do Twitter - a página de perfil é tão chata que nem sequer tem Cabeçalho - Como diabos não há tema sombrio ?? .</v>
      </c>
      <c r="I284" s="10" t="str">
        <f>IFERROR(__xludf.DUMMYFUNCTION("TRIM(REGEXREPLACE(H284,""[^a-zA-ZÀ-ú ]+"",""""))"),"Eu acho que é muito cedo para que este aplicativo seja lançado porque ele tem muitos problemas e recursos importantes como O design é tão aleatório copiar literalmente do Instagram com algumas coisas do Twitter a página de perfil é tão chata que nem seque"&amp;"r tem Cabeçalho Como diabos não há tema sombrio")</f>
        <v>Eu acho que é muito cedo para que este aplicativo seja lançado porque ele tem muitos problemas e recursos importantes como O design é tão aleatório copiar literalmente do Instagram com algumas coisas do Twitter a página de perfil é tão chata que nem sequer tem Cabeçalho Como diabos não há tema sombrio</v>
      </c>
      <c r="J284" s="3"/>
      <c r="K284" s="3"/>
      <c r="L284" s="3"/>
      <c r="M284" s="3"/>
      <c r="N284" s="3"/>
      <c r="O284" s="3"/>
      <c r="P284" s="3"/>
      <c r="Q284" s="3"/>
      <c r="R284" s="3"/>
      <c r="S284" s="3"/>
      <c r="T284" s="3"/>
      <c r="U284" s="3"/>
      <c r="V284" s="3"/>
      <c r="W284" s="3"/>
      <c r="X284" s="3"/>
      <c r="Y284" s="3"/>
      <c r="Z284" s="3"/>
      <c r="AA284" s="3"/>
    </row>
    <row r="285" ht="105.75" customHeight="1">
      <c r="A285" s="4" t="s">
        <v>9</v>
      </c>
      <c r="B285" s="5" t="s">
        <v>293</v>
      </c>
      <c r="C285" s="4">
        <v>1.0</v>
      </c>
      <c r="D285" s="6">
        <v>45122.096979166665</v>
      </c>
      <c r="E285" s="7" t="str">
        <f t="shared" si="1"/>
        <v>2023-07-15</v>
      </c>
      <c r="F285" s="8" t="str">
        <f t="shared" si="2"/>
        <v> 02:19:39</v>
      </c>
      <c r="G285" s="9" t="str">
        <f t="shared" si="3"/>
        <v>Manhã</v>
      </c>
      <c r="H285" s="10" t="str">
        <f>IFERROR(__xludf.DUMMYFUNCTION("GOOGLETRANSLATE(B285, ""en"", ""pt-br"")"),"Publicidade altamente enganosa. Deve ser um aplicativo independente, mas, em vez disso, está disponível apenas vinculado à sua conta do Instagram. Se fosse independente, eu provavelmente o usaria - o mundo precisa de uma alternativa ao Twitter ... e ao In"&amp;"stagram (mesmo que ambos sejam meta). Desinstalado.")</f>
        <v>Publicidade altamente enganosa. Deve ser um aplicativo independente, mas, em vez disso, está disponível apenas vinculado à sua conta do Instagram. Se fosse independente, eu provavelmente o usaria - o mundo precisa de uma alternativa ao Twitter ... e ao Instagram (mesmo que ambos sejam meta). Desinstalado.</v>
      </c>
      <c r="I285" s="10" t="str">
        <f>IFERROR(__xludf.DUMMYFUNCTION("TRIM(REGEXREPLACE(H285,""[^a-zA-ZÀ-ú ]+"",""""))"),"Publicidade altamente enganosa Deve ser um aplicativo independente mas em vez disso está disponível apenas vinculado à sua conta do Instagram Se fosse independente eu provavelmente o usaria o mundo precisa de uma alternativa ao Twitter e ao Instagram mesm"&amp;"o que ambos sejam meta Desinstalado")</f>
        <v>Publicidade altamente enganosa Deve ser um aplicativo independente mas em vez disso está disponível apenas vinculado à sua conta do Instagram Se fosse independente eu provavelmente o usaria o mundo precisa de uma alternativa ao Twitter e ao Instagram mesmo que ambos sejam meta Desinstalado</v>
      </c>
      <c r="J285" s="3"/>
      <c r="K285" s="3"/>
      <c r="L285" s="3"/>
      <c r="M285" s="3"/>
      <c r="N285" s="3"/>
      <c r="O285" s="3"/>
      <c r="P285" s="3"/>
      <c r="Q285" s="3"/>
      <c r="R285" s="3"/>
      <c r="S285" s="3"/>
      <c r="T285" s="3"/>
      <c r="U285" s="3"/>
      <c r="V285" s="3"/>
      <c r="W285" s="3"/>
      <c r="X285" s="3"/>
      <c r="Y285" s="3"/>
      <c r="Z285" s="3"/>
      <c r="AA285" s="3"/>
    </row>
    <row r="286" ht="105.75" customHeight="1">
      <c r="A286" s="4" t="s">
        <v>9</v>
      </c>
      <c r="B286" s="5" t="s">
        <v>294</v>
      </c>
      <c r="C286" s="4">
        <v>4.0</v>
      </c>
      <c r="D286" s="6">
        <v>45114.863217592596</v>
      </c>
      <c r="E286" s="7" t="str">
        <f t="shared" si="1"/>
        <v>2023-07-07</v>
      </c>
      <c r="F286" s="8" t="str">
        <f t="shared" si="2"/>
        <v> 20:43:02</v>
      </c>
      <c r="G286" s="9" t="str">
        <f t="shared" si="3"/>
        <v>Noite</v>
      </c>
      <c r="H286" s="10" t="str">
        <f>IFERROR(__xludf.DUMMYFUNCTION("GOOGLETRANSLATE(B286, ""en"", ""pt-br"")"),"O aplicativo até agora parece bom, mas o único problema é que, quando tento fazer upload de uma foto, o aplicativo trava. Há muitos recursos que o aplicativo precisa no momento que as pessoas mencionaram (também uma versão da web seria boa, pois estou mui"&amp;"to no meu computador), mas parece apressado.")</f>
        <v>O aplicativo até agora parece bom, mas o único problema é que, quando tento fazer upload de uma foto, o aplicativo trava. Há muitos recursos que o aplicativo precisa no momento que as pessoas mencionaram (também uma versão da web seria boa, pois estou muito no meu computador), mas parece apressado.</v>
      </c>
      <c r="I286" s="10" t="str">
        <f>IFERROR(__xludf.DUMMYFUNCTION("TRIM(REGEXREPLACE(H286,""[^a-zA-ZÀ-ú ]+"",""""))"),"O aplicativo até agora parece bom mas o único problema é que quando tento fazer upload de uma foto o aplicativo trava Há muitos recursos que o aplicativo precisa no momento que as pessoas mencionaram também uma versão da web seria boa pois estou muito no "&amp;"meu computador mas parece apressado")</f>
        <v>O aplicativo até agora parece bom mas o único problema é que quando tento fazer upload de uma foto o aplicativo trava Há muitos recursos que o aplicativo precisa no momento que as pessoas mencionaram também uma versão da web seria boa pois estou muito no meu computador mas parece apressado</v>
      </c>
      <c r="J286" s="3"/>
      <c r="K286" s="3"/>
      <c r="L286" s="3"/>
      <c r="M286" s="3"/>
      <c r="N286" s="3"/>
      <c r="O286" s="3"/>
      <c r="P286" s="3"/>
      <c r="Q286" s="3"/>
      <c r="R286" s="3"/>
      <c r="S286" s="3"/>
      <c r="T286" s="3"/>
      <c r="U286" s="3"/>
      <c r="V286" s="3"/>
      <c r="W286" s="3"/>
      <c r="X286" s="3"/>
      <c r="Y286" s="3"/>
      <c r="Z286" s="3"/>
      <c r="AA286" s="3"/>
    </row>
    <row r="287" ht="105.75" customHeight="1">
      <c r="A287" s="4" t="s">
        <v>9</v>
      </c>
      <c r="B287" s="5" t="s">
        <v>295</v>
      </c>
      <c r="C287" s="4">
        <v>3.0</v>
      </c>
      <c r="D287" s="6">
        <v>45120.09920138889</v>
      </c>
      <c r="E287" s="7" t="str">
        <f t="shared" si="1"/>
        <v>2023-07-13</v>
      </c>
      <c r="F287" s="8" t="str">
        <f t="shared" si="2"/>
        <v> 02:22:51</v>
      </c>
      <c r="G287" s="9" t="str">
        <f t="shared" si="3"/>
        <v>Manhã</v>
      </c>
      <c r="H287" s="10" t="str">
        <f>IFERROR(__xludf.DUMMYFUNCTION("GOOGLETRANSLATE(B287, ""en"", ""pt-br"")"),"Bom começo, mas bugs intermitentes. Hoje, enquanto eu estava seguindo as pessoas de volta, ele começaria periodicamente a piscar esta caixa que dizia: ""Algo deu errado, tente novamente"", essa caixa desapareceria e depois reapareceu como um estroboscópio"&amp;" sem como sair, além de forçar a parada do aplicativo . Então, uma vez reiniciado, todas as pessoas que eu acabei de seguir apenas mostrariam como novos pedidos, mesmo que eu os seguisse? Frustrante! Todas essas falhas começaram desde a atualização ontem")</f>
        <v>Bom começo, mas bugs intermitentes. Hoje, enquanto eu estava seguindo as pessoas de volta, ele começaria periodicamente a piscar esta caixa que dizia: "Algo deu errado, tente novamente", essa caixa desapareceria e depois reapareceu como um estroboscópio sem como sair, além de forçar a parada do aplicativo . Então, uma vez reiniciado, todas as pessoas que eu acabei de seguir apenas mostrariam como novos pedidos, mesmo que eu os seguisse? Frustrante! Todas essas falhas começaram desde a atualização ontem</v>
      </c>
      <c r="I287" s="10" t="str">
        <f>IFERROR(__xludf.DUMMYFUNCTION("TRIM(REGEXREPLACE(H287,""[^a-zA-ZÀ-ú ]+"",""""))"),"Bom começo mas bugs intermitentes Hoje enquanto eu estava seguindo as pessoas de volta ele começaria periodicamente a piscar esta caixa que dizia Algo deu errado tente novamente essa caixa desapareceria e depois reapareceu como um estroboscópio sem como s"&amp;"air além de forçar a parada do aplicativo Então uma vez reiniciado todas as pessoas que eu acabei de seguir apenas mostrariam como novos pedidos mesmo que eu os seguisse Frustrante Todas essas falhas começaram desde a atualização ontem")</f>
        <v>Bom começo mas bugs intermitentes Hoje enquanto eu estava seguindo as pessoas de volta ele começaria periodicamente a piscar esta caixa que dizia Algo deu errado tente novamente essa caixa desapareceria e depois reapareceu como um estroboscópio sem como sair além de forçar a parada do aplicativo Então uma vez reiniciado todas as pessoas que eu acabei de seguir apenas mostrariam como novos pedidos mesmo que eu os seguisse Frustrante Todas essas falhas começaram desde a atualização ontem</v>
      </c>
      <c r="J287" s="3"/>
      <c r="K287" s="3"/>
      <c r="L287" s="3"/>
      <c r="M287" s="3"/>
      <c r="N287" s="3"/>
      <c r="O287" s="3"/>
      <c r="P287" s="3"/>
      <c r="Q287" s="3"/>
      <c r="R287" s="3"/>
      <c r="S287" s="3"/>
      <c r="T287" s="3"/>
      <c r="U287" s="3"/>
      <c r="V287" s="3"/>
      <c r="W287" s="3"/>
      <c r="X287" s="3"/>
      <c r="Y287" s="3"/>
      <c r="Z287" s="3"/>
      <c r="AA287" s="3"/>
    </row>
    <row r="288" ht="105.75" customHeight="1">
      <c r="A288" s="4" t="s">
        <v>9</v>
      </c>
      <c r="B288" s="5" t="s">
        <v>296</v>
      </c>
      <c r="C288" s="4">
        <v>3.0</v>
      </c>
      <c r="D288" s="6">
        <v>45120.01130787037</v>
      </c>
      <c r="E288" s="7" t="str">
        <f t="shared" si="1"/>
        <v>2023-07-13</v>
      </c>
      <c r="F288" s="8" t="str">
        <f t="shared" si="2"/>
        <v> 00:16:17</v>
      </c>
      <c r="G288" s="9" t="str">
        <f t="shared" si="3"/>
        <v>Manhã</v>
      </c>
      <c r="H288" s="10" t="str">
        <f>IFERROR(__xludf.DUMMYFUNCTION("GOOGLETRANSLATE(B288, ""en"", ""pt-br"")"),"Aplicativo decente com a funcionalidade mais básica da microblog. Apenas grande devido ao nome da marca - se isso fosse uma startup, isso estaria morto na água. Falta funcionalidade básica, como uma interface da Web e inscrições de usuário sem precisar vi"&amp;"ncular uma conta do Instagram. O recurso de bloco também não está funcionando, pois você ainda pode ver as postagens de um usuário do bloqueador.")</f>
        <v>Aplicativo decente com a funcionalidade mais básica da microblog. Apenas grande devido ao nome da marca - se isso fosse uma startup, isso estaria morto na água. Falta funcionalidade básica, como uma interface da Web e inscrições de usuário sem precisar vincular uma conta do Instagram. O recurso de bloco também não está funcionando, pois você ainda pode ver as postagens de um usuário do bloqueador.</v>
      </c>
      <c r="I288" s="10" t="str">
        <f>IFERROR(__xludf.DUMMYFUNCTION("TRIM(REGEXREPLACE(H288,""[^a-zA-ZÀ-ú ]+"",""""))"),"Aplicativo decente com a funcionalidade mais básica da microblog Apenas grande devido ao nome da marca se isso fosse uma startup isso estaria morto na água Falta funcionalidade básica como uma interface da Web e inscrições de usuário sem precisar vincular"&amp;" uma conta do Instagram O recurso de bloco também não está funcionando pois você ainda pode ver as postagens de um usuário do bloqueador")</f>
        <v>Aplicativo decente com a funcionalidade mais básica da microblog Apenas grande devido ao nome da marca se isso fosse uma startup isso estaria morto na água Falta funcionalidade básica como uma interface da Web e inscrições de usuário sem precisar vincular uma conta do Instagram O recurso de bloco também não está funcionando pois você ainda pode ver as postagens de um usuário do bloqueador</v>
      </c>
      <c r="J288" s="3"/>
      <c r="K288" s="3"/>
      <c r="L288" s="3"/>
      <c r="M288" s="3"/>
      <c r="N288" s="3"/>
      <c r="O288" s="3"/>
      <c r="P288" s="3"/>
      <c r="Q288" s="3"/>
      <c r="R288" s="3"/>
      <c r="S288" s="3"/>
      <c r="T288" s="3"/>
      <c r="U288" s="3"/>
      <c r="V288" s="3"/>
      <c r="W288" s="3"/>
      <c r="X288" s="3"/>
      <c r="Y288" s="3"/>
      <c r="Z288" s="3"/>
      <c r="AA288" s="3"/>
    </row>
    <row r="289" ht="105.75" customHeight="1">
      <c r="A289" s="4" t="s">
        <v>9</v>
      </c>
      <c r="B289" s="5" t="s">
        <v>297</v>
      </c>
      <c r="C289" s="4">
        <v>3.0</v>
      </c>
      <c r="D289" s="6">
        <v>45118.283171296294</v>
      </c>
      <c r="E289" s="7" t="str">
        <f t="shared" si="1"/>
        <v>2023-07-11</v>
      </c>
      <c r="F289" s="8" t="str">
        <f t="shared" si="2"/>
        <v> 06:47:46</v>
      </c>
      <c r="G289" s="9" t="str">
        <f t="shared" si="3"/>
        <v>Manhã</v>
      </c>
      <c r="H289" s="10" t="str">
        <f>IFERROR(__xludf.DUMMYFUNCTION("GOOGLETRANSLATE(B289, ""en"", ""pt-br"")"),"Como a maioria das pessoas está dizendo, o aplicativo é decente. Ele precisa de mais recursos. Você não pode salvar fotos ou vídeos do seu feed. Ele também precisa de um modo de mídia de visualização. Acredito que, eventualmente, todos migrarão do Twitter"&amp;" para este aplicativo, assim que as atualizações e novos recursos entrarem.")</f>
        <v>Como a maioria das pessoas está dizendo, o aplicativo é decente. Ele precisa de mais recursos. Você não pode salvar fotos ou vídeos do seu feed. Ele também precisa de um modo de mídia de visualização. Acredito que, eventualmente, todos migrarão do Twitter para este aplicativo, assim que as atualizações e novos recursos entrarem.</v>
      </c>
      <c r="I289" s="10" t="str">
        <f>IFERROR(__xludf.DUMMYFUNCTION("TRIM(REGEXREPLACE(H289,""[^a-zA-ZÀ-ú ]+"",""""))"),"Como a maioria das pessoas está dizendo o aplicativo é decente Ele precisa de mais recursos Você não pode salvar fotos ou vídeos do seu feed Ele também precisa de um modo de mídia de visualização Acredito que eventualmente todos migrarão do Twitter para e"&amp;"ste aplicativo assim que as atualizações e novos recursos entrarem")</f>
        <v>Como a maioria das pessoas está dizendo o aplicativo é decente Ele precisa de mais recursos Você não pode salvar fotos ou vídeos do seu feed Ele também precisa de um modo de mídia de visualização Acredito que eventualmente todos migrarão do Twitter para este aplicativo assim que as atualizações e novos recursos entrarem</v>
      </c>
      <c r="J289" s="3"/>
      <c r="K289" s="3"/>
      <c r="L289" s="3"/>
      <c r="M289" s="3"/>
      <c r="N289" s="3"/>
      <c r="O289" s="3"/>
      <c r="P289" s="3"/>
      <c r="Q289" s="3"/>
      <c r="R289" s="3"/>
      <c r="S289" s="3"/>
      <c r="T289" s="3"/>
      <c r="U289" s="3"/>
      <c r="V289" s="3"/>
      <c r="W289" s="3"/>
      <c r="X289" s="3"/>
      <c r="Y289" s="3"/>
      <c r="Z289" s="3"/>
      <c r="AA289" s="3"/>
    </row>
    <row r="290" ht="105.75" customHeight="1">
      <c r="A290" s="4" t="s">
        <v>9</v>
      </c>
      <c r="B290" s="5" t="s">
        <v>298</v>
      </c>
      <c r="C290" s="4">
        <v>3.0</v>
      </c>
      <c r="D290" s="6">
        <v>45125.13384259259</v>
      </c>
      <c r="E290" s="7" t="str">
        <f t="shared" si="1"/>
        <v>2023-07-18</v>
      </c>
      <c r="F290" s="8" t="str">
        <f t="shared" si="2"/>
        <v> 03:12:44</v>
      </c>
      <c r="G290" s="9" t="str">
        <f t="shared" si="3"/>
        <v>Manhã</v>
      </c>
      <c r="H290" s="10" t="str">
        <f>IFERROR(__xludf.DUMMYFUNCTION("GOOGLETRANSLATE(B290, ""en"", ""pt-br"")"),"É bastante vazio como um aplicativo, mas isso também significa que você só pode complementar os recursos neste momento, o que é emocionante. É preciso haver uma maneira mais fácil de passar do Instagram para os threads. Ter dois aplicativos é um pouco dem"&amp;"ais. Seria legal se os dois pudessem viver no mesmo espaço")</f>
        <v>É bastante vazio como um aplicativo, mas isso também significa que você só pode complementar os recursos neste momento, o que é emocionante. É preciso haver uma maneira mais fácil de passar do Instagram para os threads. Ter dois aplicativos é um pouco demais. Seria legal se os dois pudessem viver no mesmo espaço</v>
      </c>
      <c r="I290" s="10" t="str">
        <f>IFERROR(__xludf.DUMMYFUNCTION("TRIM(REGEXREPLACE(H290,""[^a-zA-ZÀ-ú ]+"",""""))"),"É bastante vazio como um aplicativo mas isso também significa que você só pode complementar os recursos neste momento o que é emocionante É preciso haver uma maneira mais fácil de passar do Instagram para os threads Ter dois aplicativos é um pouco demais "&amp;"Seria legal se os dois pudessem viver no mesmo espaço")</f>
        <v>É bastante vazio como um aplicativo mas isso também significa que você só pode complementar os recursos neste momento o que é emocionante É preciso haver uma maneira mais fácil de passar do Instagram para os threads Ter dois aplicativos é um pouco demais Seria legal se os dois pudessem viver no mesmo espaço</v>
      </c>
      <c r="J290" s="3"/>
      <c r="K290" s="3"/>
      <c r="L290" s="3"/>
      <c r="M290" s="3"/>
      <c r="N290" s="3"/>
      <c r="O290" s="3"/>
      <c r="P290" s="3"/>
      <c r="Q290" s="3"/>
      <c r="R290" s="3"/>
      <c r="S290" s="3"/>
      <c r="T290" s="3"/>
      <c r="U290" s="3"/>
      <c r="V290" s="3"/>
      <c r="W290" s="3"/>
      <c r="X290" s="3"/>
      <c r="Y290" s="3"/>
      <c r="Z290" s="3"/>
      <c r="AA290" s="3"/>
    </row>
    <row r="291" ht="105.75" customHeight="1">
      <c r="A291" s="4" t="s">
        <v>9</v>
      </c>
      <c r="B291" s="5" t="s">
        <v>299</v>
      </c>
      <c r="C291" s="4">
        <v>3.0</v>
      </c>
      <c r="D291" s="6">
        <v>45120.89508101852</v>
      </c>
      <c r="E291" s="7" t="str">
        <f t="shared" si="1"/>
        <v>2023-07-13</v>
      </c>
      <c r="F291" s="8" t="str">
        <f t="shared" si="2"/>
        <v> 21:28:55</v>
      </c>
      <c r="G291" s="9" t="str">
        <f t="shared" si="3"/>
        <v>Noite</v>
      </c>
      <c r="H291" s="10" t="str">
        <f>IFERROR(__xludf.DUMMYFUNCTION("GOOGLETRANSLATE(B291, ""en"", ""pt-br"")"),"Uma opção bem -vinda para fugir do Twitter, mas a migração, embora indolor, vem sem alguns aspectos muito necessários. Pesquisando por palavras -chave para postagens sobre um assunto não podem ser feitas. Nenhuma opção para ver assuntos de tendências tamb"&amp;"ém. E o aplicativo nem sempre mantém sua última posição, resultando às vezes em reiniciar desde o início do seu feed. A atualização recente corrigiu a rolagem jerky; Todo o resto está pendente de mais atualizações!")</f>
        <v>Uma opção bem -vinda para fugir do Twitter, mas a migração, embora indolor, vem sem alguns aspectos muito necessários. Pesquisando por palavras -chave para postagens sobre um assunto não podem ser feitas. Nenhuma opção para ver assuntos de tendências também. E o aplicativo nem sempre mantém sua última posição, resultando às vezes em reiniciar desde o início do seu feed. A atualização recente corrigiu a rolagem jerky; Todo o resto está pendente de mais atualizações!</v>
      </c>
      <c r="I291" s="10" t="str">
        <f>IFERROR(__xludf.DUMMYFUNCTION("TRIM(REGEXREPLACE(H291,""[^a-zA-ZÀ-ú ]+"",""""))"),"Uma opção bem vinda para fugir do Twitter mas a migração embora indolor vem sem alguns aspectos muito necessários Pesquisando por palavras chave para postagens sobre um assunto não podem ser feitas Nenhuma opção para ver assuntos de tendências também E o "&amp;"aplicativo nem sempre mantém sua última posição resultando às vezes em reiniciar desde o início do seu feed A atualização recente corrigiu a rolagem jerky Todo o resto está pendente de mais atualizações")</f>
        <v>Uma opção bem vinda para fugir do Twitter mas a migração embora indolor vem sem alguns aspectos muito necessários Pesquisando por palavras chave para postagens sobre um assunto não podem ser feitas Nenhuma opção para ver assuntos de tendências também E o aplicativo nem sempre mantém sua última posição resultando às vezes em reiniciar desde o início do seu feed A atualização recente corrigiu a rolagem jerky Todo o resto está pendente de mais atualizações</v>
      </c>
      <c r="J291" s="3"/>
      <c r="K291" s="3"/>
      <c r="L291" s="3"/>
      <c r="M291" s="3"/>
      <c r="N291" s="3"/>
      <c r="O291" s="3"/>
      <c r="P291" s="3"/>
      <c r="Q291" s="3"/>
      <c r="R291" s="3"/>
      <c r="S291" s="3"/>
      <c r="T291" s="3"/>
      <c r="U291" s="3"/>
      <c r="V291" s="3"/>
      <c r="W291" s="3"/>
      <c r="X291" s="3"/>
      <c r="Y291" s="3"/>
      <c r="Z291" s="3"/>
      <c r="AA291" s="3"/>
    </row>
    <row r="292" ht="105.75" customHeight="1">
      <c r="A292" s="4" t="s">
        <v>9</v>
      </c>
      <c r="B292" s="5" t="s">
        <v>300</v>
      </c>
      <c r="C292" s="4">
        <v>3.0</v>
      </c>
      <c r="D292" s="6">
        <v>45114.49920138889</v>
      </c>
      <c r="E292" s="7" t="str">
        <f t="shared" si="1"/>
        <v>2023-07-07</v>
      </c>
      <c r="F292" s="8" t="str">
        <f t="shared" si="2"/>
        <v> 11:58:51</v>
      </c>
      <c r="G292" s="9" t="str">
        <f t="shared" si="3"/>
        <v>Manhã</v>
      </c>
      <c r="H292" s="10" t="str">
        <f>IFERROR(__xludf.DUMMYFUNCTION("GOOGLETRANSLATE(B292, ""en"", ""pt-br"")"),"Eu realmente não vejo o apelo disso. Sim, é um rival para o Twitter e outros enfeites, mas por enquanto, não parece muito promissor. Interface chata, nenhuma opção para o que é mostrado em nosso feed, sem explorar ou página de tendência, mesmo sem hashtag"&amp;"s. O sistema de moderação funciona, e os filtros são bons, diferentemente do Twitter, onde é muito menos moderado lá. Mas o Twitter geral ainda é um aplicativo melhor na minha opinião.")</f>
        <v>Eu realmente não vejo o apelo disso. Sim, é um rival para o Twitter e outros enfeites, mas por enquanto, não parece muito promissor. Interface chata, nenhuma opção para o que é mostrado em nosso feed, sem explorar ou página de tendência, mesmo sem hashtags. O sistema de moderação funciona, e os filtros são bons, diferentemente do Twitter, onde é muito menos moderado lá. Mas o Twitter geral ainda é um aplicativo melhor na minha opinião.</v>
      </c>
      <c r="I292" s="10" t="str">
        <f>IFERROR(__xludf.DUMMYFUNCTION("TRIM(REGEXREPLACE(H292,""[^a-zA-ZÀ-ú ]+"",""""))"),"Eu realmente não vejo o apelo disso Sim é um rival para o Twitter e outros enfeites mas por enquanto não parece muito promissor Interface chata nenhuma opção para o que é mostrado em nosso feed sem explorar ou página de tendência mesmo sem hashtags O sist"&amp;"ema de moderação funciona e os filtros são bons diferentemente do Twitter onde é muito menos moderado lá Mas o Twitter geral ainda é um aplicativo melhor na minha opinião")</f>
        <v>Eu realmente não vejo o apelo disso Sim é um rival para o Twitter e outros enfeites mas por enquanto não parece muito promissor Interface chata nenhuma opção para o que é mostrado em nosso feed sem explorar ou página de tendência mesmo sem hashtags O sistema de moderação funciona e os filtros são bons diferentemente do Twitter onde é muito menos moderado lá Mas o Twitter geral ainda é um aplicativo melhor na minha opinião</v>
      </c>
      <c r="J292" s="3"/>
      <c r="K292" s="3"/>
      <c r="L292" s="3"/>
      <c r="M292" s="3"/>
      <c r="N292" s="3"/>
      <c r="O292" s="3"/>
      <c r="P292" s="3"/>
      <c r="Q292" s="3"/>
      <c r="R292" s="3"/>
      <c r="S292" s="3"/>
      <c r="T292" s="3"/>
      <c r="U292" s="3"/>
      <c r="V292" s="3"/>
      <c r="W292" s="3"/>
      <c r="X292" s="3"/>
      <c r="Y292" s="3"/>
      <c r="Z292" s="3"/>
      <c r="AA292" s="3"/>
    </row>
    <row r="293" ht="105.75" customHeight="1">
      <c r="A293" s="4" t="s">
        <v>9</v>
      </c>
      <c r="B293" s="5" t="s">
        <v>301</v>
      </c>
      <c r="C293" s="4">
        <v>3.0</v>
      </c>
      <c r="D293" s="6">
        <v>45114.505960648145</v>
      </c>
      <c r="E293" s="7" t="str">
        <f t="shared" si="1"/>
        <v>2023-07-07</v>
      </c>
      <c r="F293" s="8" t="str">
        <f t="shared" si="2"/>
        <v> 12:08:35</v>
      </c>
      <c r="G293" s="9" t="str">
        <f t="shared" si="3"/>
        <v>Tarde</v>
      </c>
      <c r="H293" s="10" t="str">
        <f>IFERROR(__xludf.DUMMYFUNCTION("GOOGLETRANSLATE(B293, ""en"", ""pt-br"")"),"Eu tenho experimentado falhas frequentes ao tentar carregar respostas e às vezes não vejo resposta do botão LIFT. Este aplicativo tem um grande potencial, no momento, o que estou procurando na próxima atualização é um botão de tradução.")</f>
        <v>Eu tenho experimentado falhas frequentes ao tentar carregar respostas e às vezes não vejo resposta do botão LIFT. Este aplicativo tem um grande potencial, no momento, o que estou procurando na próxima atualização é um botão de tradução.</v>
      </c>
      <c r="I293" s="10" t="str">
        <f>IFERROR(__xludf.DUMMYFUNCTION("TRIM(REGEXREPLACE(H293,""[^a-zA-ZÀ-ú ]+"",""""))"),"Eu tenho experimentado falhas frequentes ao tentar carregar respostas e às vezes não vejo resposta do botão LIFT Este aplicativo tem um grande potencial no momento o que estou procurando na próxima atualização é um botão de tradução")</f>
        <v>Eu tenho experimentado falhas frequentes ao tentar carregar respostas e às vezes não vejo resposta do botão LIFT Este aplicativo tem um grande potencial no momento o que estou procurando na próxima atualização é um botão de tradução</v>
      </c>
      <c r="J293" s="3"/>
      <c r="K293" s="3"/>
      <c r="L293" s="3"/>
      <c r="M293" s="3"/>
      <c r="N293" s="3"/>
      <c r="O293" s="3"/>
      <c r="P293" s="3"/>
      <c r="Q293" s="3"/>
      <c r="R293" s="3"/>
      <c r="S293" s="3"/>
      <c r="T293" s="3"/>
      <c r="U293" s="3"/>
      <c r="V293" s="3"/>
      <c r="W293" s="3"/>
      <c r="X293" s="3"/>
      <c r="Y293" s="3"/>
      <c r="Z293" s="3"/>
      <c r="AA293" s="3"/>
    </row>
    <row r="294" ht="105.75" customHeight="1">
      <c r="A294" s="4" t="s">
        <v>9</v>
      </c>
      <c r="B294" s="5" t="s">
        <v>302</v>
      </c>
      <c r="C294" s="4">
        <v>1.0</v>
      </c>
      <c r="D294" s="6">
        <v>45113.93082175926</v>
      </c>
      <c r="E294" s="7" t="str">
        <f t="shared" si="1"/>
        <v>2023-07-06</v>
      </c>
      <c r="F294" s="8" t="str">
        <f t="shared" si="2"/>
        <v> 22:20:23</v>
      </c>
      <c r="G294" s="9" t="str">
        <f t="shared" si="3"/>
        <v>Noite</v>
      </c>
      <c r="H294" s="10" t="str">
        <f>IFERROR(__xludf.DUMMYFUNCTION("GOOGLETRANSLATE(B294, ""en"", ""pt-br"")"),"O aplicativo está muito flagelo devido à forte quantidade de tráfego. Os artigos e legendas escritos estão penetrando em todas as guias e tela. Não foi possível executar tarefas específicas, portanto, corrija esses problemas o mais rápido possível.")</f>
        <v>O aplicativo está muito flagelo devido à forte quantidade de tráfego. Os artigos e legendas escritos estão penetrando em todas as guias e tela. Não foi possível executar tarefas específicas, portanto, corrija esses problemas o mais rápido possível.</v>
      </c>
      <c r="I294" s="10" t="str">
        <f>IFERROR(__xludf.DUMMYFUNCTION("TRIM(REGEXREPLACE(H294,""[^a-zA-ZÀ-ú ]+"",""""))"),"O aplicativo está muito flagelo devido à forte quantidade de tráfego Os artigos e legendas escritos estão penetrando em todas as guias e tela Não foi possível executar tarefas específicas portanto corrija esses problemas o mais rápido possível")</f>
        <v>O aplicativo está muito flagelo devido à forte quantidade de tráfego Os artigos e legendas escritos estão penetrando em todas as guias e tela Não foi possível executar tarefas específicas portanto corrija esses problemas o mais rápido possível</v>
      </c>
      <c r="J294" s="3"/>
      <c r="K294" s="3"/>
      <c r="L294" s="3"/>
      <c r="M294" s="3"/>
      <c r="N294" s="3"/>
      <c r="O294" s="3"/>
      <c r="P294" s="3"/>
      <c r="Q294" s="3"/>
      <c r="R294" s="3"/>
      <c r="S294" s="3"/>
      <c r="T294" s="3"/>
      <c r="U294" s="3"/>
      <c r="V294" s="3"/>
      <c r="W294" s="3"/>
      <c r="X294" s="3"/>
      <c r="Y294" s="3"/>
      <c r="Z294" s="3"/>
      <c r="AA294" s="3"/>
    </row>
    <row r="295" ht="105.75" customHeight="1">
      <c r="A295" s="4" t="s">
        <v>9</v>
      </c>
      <c r="B295" s="5" t="s">
        <v>303</v>
      </c>
      <c r="C295" s="4">
        <v>4.0</v>
      </c>
      <c r="D295" s="6">
        <v>45113.7156712963</v>
      </c>
      <c r="E295" s="7" t="str">
        <f t="shared" si="1"/>
        <v>2023-07-06</v>
      </c>
      <c r="F295" s="8" t="str">
        <f t="shared" si="2"/>
        <v> 17:10:34</v>
      </c>
      <c r="G295" s="9" t="str">
        <f t="shared" si="3"/>
        <v>Tarde</v>
      </c>
      <c r="H295" s="10" t="str">
        <f>IFERROR(__xludf.DUMMYFUNCTION("GOOGLETRANSLATE(B295, ""en"", ""pt-br"")"),"A primeira impressão do aplicativo é boa, mas seria melhor se houvesse um recurso de login de contas múltiplas como no Insta e se estivesse conectado ao Insta com um nome de usuário em vez de mostrar um número no perfil. E será melhor que haverá opção par"&amp;"a gostar no Insta, por gravação dupla.")</f>
        <v>A primeira impressão do aplicativo é boa, mas seria melhor se houvesse um recurso de login de contas múltiplas como no Insta e se estivesse conectado ao Insta com um nome de usuário em vez de mostrar um número no perfil. E será melhor que haverá opção para gostar no Insta, por gravação dupla.</v>
      </c>
      <c r="I295" s="10" t="str">
        <f>IFERROR(__xludf.DUMMYFUNCTION("TRIM(REGEXREPLACE(H295,""[^a-zA-ZÀ-ú ]+"",""""))"),"A primeira impressão do aplicativo é boa mas seria melhor se houvesse um recurso de login de contas múltiplas como no Insta e se estivesse conectado ao Insta com um nome de usuário em vez de mostrar um número no perfil E será melhor que haverá opção para "&amp;"gostar no Insta por gravação dupla")</f>
        <v>A primeira impressão do aplicativo é boa mas seria melhor se houvesse um recurso de login de contas múltiplas como no Insta e se estivesse conectado ao Insta com um nome de usuário em vez de mostrar um número no perfil E será melhor que haverá opção para gostar no Insta por gravação dupla</v>
      </c>
      <c r="J295" s="3"/>
      <c r="K295" s="3"/>
      <c r="L295" s="3"/>
      <c r="M295" s="3"/>
      <c r="N295" s="3"/>
      <c r="O295" s="3"/>
      <c r="P295" s="3"/>
      <c r="Q295" s="3"/>
      <c r="R295" s="3"/>
      <c r="S295" s="3"/>
      <c r="T295" s="3"/>
      <c r="U295" s="3"/>
      <c r="V295" s="3"/>
      <c r="W295" s="3"/>
      <c r="X295" s="3"/>
      <c r="Y295" s="3"/>
      <c r="Z295" s="3"/>
      <c r="AA295" s="3"/>
    </row>
    <row r="296" ht="105.75" customHeight="1">
      <c r="A296" s="4" t="s">
        <v>9</v>
      </c>
      <c r="B296" s="5" t="s">
        <v>304</v>
      </c>
      <c r="C296" s="4">
        <v>2.0</v>
      </c>
      <c r="D296" s="6">
        <v>45114.357627314814</v>
      </c>
      <c r="E296" s="7" t="str">
        <f t="shared" si="1"/>
        <v>2023-07-07</v>
      </c>
      <c r="F296" s="8" t="str">
        <f t="shared" si="2"/>
        <v> 08:34:59</v>
      </c>
      <c r="G296" s="9" t="str">
        <f t="shared" si="3"/>
        <v>Manhã</v>
      </c>
      <c r="H296" s="10" t="str">
        <f>IFERROR(__xludf.DUMMYFUNCTION("GOOGLETRANSLATE(B296, ""en"", ""pt-br"")"),"Há muitos problemas, primeiro não posso editar meu perfil, ele me dá erro ao pressionar o botão Concluído, o segundo link para o Insta não é tão bom como pressionar o cancelamento do seguinte nos threads não seguidos no Insta, terceiro eu selecionei apena"&amp;"s alguns ACC para Siga de Insta em vez de todos no Insta, mas está mostrando a todos que seguem o Insta como seguindo os threads!")</f>
        <v>Há muitos problemas, primeiro não posso editar meu perfil, ele me dá erro ao pressionar o botão Concluído, o segundo link para o Insta não é tão bom como pressionar o cancelamento do seguinte nos threads não seguidos no Insta, terceiro eu selecionei apenas alguns ACC para Siga de Insta em vez de todos no Insta, mas está mostrando a todos que seguem o Insta como seguindo os threads!</v>
      </c>
      <c r="I296" s="10" t="str">
        <f>IFERROR(__xludf.DUMMYFUNCTION("TRIM(REGEXREPLACE(H296,""[^a-zA-ZÀ-ú ]+"",""""))"),"Há muitos problemas primeiro não posso editar meu perfil ele me dá erro ao pressionar o botão Concluído o segundo link para o Insta não é tão bom como pressionar o cancelamento do seguinte nos threads não seguidos no Insta terceiro eu selecionei apenas al"&amp;"guns ACC para Siga de Insta em vez de todos no Insta mas está mostrando a todos que seguem o Insta como seguindo os threads")</f>
        <v>Há muitos problemas primeiro não posso editar meu perfil ele me dá erro ao pressionar o botão Concluído o segundo link para o Insta não é tão bom como pressionar o cancelamento do seguinte nos threads não seguidos no Insta terceiro eu selecionei apenas alguns ACC para Siga de Insta em vez de todos no Insta mas está mostrando a todos que seguem o Insta como seguindo os threads</v>
      </c>
      <c r="J296" s="3"/>
      <c r="K296" s="3"/>
      <c r="L296" s="3"/>
      <c r="M296" s="3"/>
      <c r="N296" s="3"/>
      <c r="O296" s="3"/>
      <c r="P296" s="3"/>
      <c r="Q296" s="3"/>
      <c r="R296" s="3"/>
      <c r="S296" s="3"/>
      <c r="T296" s="3"/>
      <c r="U296" s="3"/>
      <c r="V296" s="3"/>
      <c r="W296" s="3"/>
      <c r="X296" s="3"/>
      <c r="Y296" s="3"/>
      <c r="Z296" s="3"/>
      <c r="AA296" s="3"/>
    </row>
    <row r="297" ht="105.75" customHeight="1">
      <c r="A297" s="4" t="s">
        <v>9</v>
      </c>
      <c r="B297" s="5" t="s">
        <v>305</v>
      </c>
      <c r="C297" s="4">
        <v>1.0</v>
      </c>
      <c r="D297" s="6">
        <v>45120.603310185186</v>
      </c>
      <c r="E297" s="7" t="str">
        <f t="shared" si="1"/>
        <v>2023-07-13</v>
      </c>
      <c r="F297" s="8" t="str">
        <f t="shared" si="2"/>
        <v> 14:28:46</v>
      </c>
      <c r="G297" s="9" t="str">
        <f t="shared" si="3"/>
        <v>Tarde</v>
      </c>
      <c r="H297" s="10" t="str">
        <f>IFERROR(__xludf.DUMMYFUNCTION("GOOGLETRANSLATE(B297, ""en"", ""pt-br"")"),"As postagens aqui são o lixo mais mundano e vaporoso que eu já vi. Parece seriamente que a IA está fazendo todas as postagens. Além disso, não há como atualizar o alimento principal (e somente !!) com novo conteúdo. Você está preso com o mesmo feed ao lon"&amp;"go do dia, o que apenas obtém um novo conteúdo a ele à medida que o dia passa.")</f>
        <v>As postagens aqui são o lixo mais mundano e vaporoso que eu já vi. Parece seriamente que a IA está fazendo todas as postagens. Além disso, não há como atualizar o alimento principal (e somente !!) com novo conteúdo. Você está preso com o mesmo feed ao longo do dia, o que apenas obtém um novo conteúdo a ele à medida que o dia passa.</v>
      </c>
      <c r="I297" s="10" t="str">
        <f>IFERROR(__xludf.DUMMYFUNCTION("TRIM(REGEXREPLACE(H297,""[^a-zA-ZÀ-ú ]+"",""""))"),"As postagens aqui são o lixo mais mundano e vaporoso que eu já vi Parece seriamente que a IA está fazendo todas as postagens Além disso não há como atualizar o alimento principal e somente com novo conteúdo Você está preso com o mesmo feed ao longo do dia"&amp;" o que apenas obtém um novo conteúdo a ele à medida que o dia passa")</f>
        <v>As postagens aqui são o lixo mais mundano e vaporoso que eu já vi Parece seriamente que a IA está fazendo todas as postagens Além disso não há como atualizar o alimento principal e somente com novo conteúdo Você está preso com o mesmo feed ao longo do dia o que apenas obtém um novo conteúdo a ele à medida que o dia passa</v>
      </c>
      <c r="J297" s="3"/>
      <c r="K297" s="3"/>
      <c r="L297" s="3"/>
      <c r="M297" s="3"/>
      <c r="N297" s="3"/>
      <c r="O297" s="3"/>
      <c r="P297" s="3"/>
      <c r="Q297" s="3"/>
      <c r="R297" s="3"/>
      <c r="S297" s="3"/>
      <c r="T297" s="3"/>
      <c r="U297" s="3"/>
      <c r="V297" s="3"/>
      <c r="W297" s="3"/>
      <c r="X297" s="3"/>
      <c r="Y297" s="3"/>
      <c r="Z297" s="3"/>
      <c r="AA297" s="3"/>
    </row>
    <row r="298" ht="105.75" customHeight="1">
      <c r="A298" s="4" t="s">
        <v>9</v>
      </c>
      <c r="B298" s="5" t="s">
        <v>306</v>
      </c>
      <c r="C298" s="4">
        <v>1.0</v>
      </c>
      <c r="D298" s="6">
        <v>45117.598125</v>
      </c>
      <c r="E298" s="7" t="str">
        <f t="shared" si="1"/>
        <v>2023-07-10</v>
      </c>
      <c r="F298" s="8" t="str">
        <f t="shared" si="2"/>
        <v> 14:21:18</v>
      </c>
      <c r="G298" s="9" t="str">
        <f t="shared" si="3"/>
        <v>Tarde</v>
      </c>
      <c r="H298" s="10" t="str">
        <f>IFERROR(__xludf.DUMMYFUNCTION("GOOGLETRANSLATE(B298, ""en"", ""pt-br"")"),"Pior experiência. Tentando fazer upload da postagem desde ontem, o thread falhou ao fazer o upload da mensagem é sempre que a mensagem. Muito frustrante. Fiz tudo o que é o cache limpo, o SO atualiza n tudo. Experiência ainda patética. Esse tipo de coisa "&amp;"não era esperado de um meta produto.")</f>
        <v>Pior experiência. Tentando fazer upload da postagem desde ontem, o thread falhou ao fazer o upload da mensagem é sempre que a mensagem. Muito frustrante. Fiz tudo o que é o cache limpo, o SO atualiza n tudo. Experiência ainda patética. Esse tipo de coisa não era esperado de um meta produto.</v>
      </c>
      <c r="I298" s="10" t="str">
        <f>IFERROR(__xludf.DUMMYFUNCTION("TRIM(REGEXREPLACE(H298,""[^a-zA-ZÀ-ú ]+"",""""))"),"Pior experiência Tentando fazer upload da postagem desde ontem o thread falhou ao fazer o upload da mensagem é sempre que a mensagem Muito frustrante Fiz tudo o que é o cache limpo o SO atualiza n tudo Experiência ainda patética Esse tipo de coisa não era"&amp;" esperado de um meta produto")</f>
        <v>Pior experiência Tentando fazer upload da postagem desde ontem o thread falhou ao fazer o upload da mensagem é sempre que a mensagem Muito frustrante Fiz tudo o que é o cache limpo o SO atualiza n tudo Experiência ainda patética Esse tipo de coisa não era esperado de um meta produto</v>
      </c>
      <c r="J298" s="3"/>
      <c r="K298" s="3"/>
      <c r="L298" s="3"/>
      <c r="M298" s="3"/>
      <c r="N298" s="3"/>
      <c r="O298" s="3"/>
      <c r="P298" s="3"/>
      <c r="Q298" s="3"/>
      <c r="R298" s="3"/>
      <c r="S298" s="3"/>
      <c r="T298" s="3"/>
      <c r="U298" s="3"/>
      <c r="V298" s="3"/>
      <c r="W298" s="3"/>
      <c r="X298" s="3"/>
      <c r="Y298" s="3"/>
      <c r="Z298" s="3"/>
      <c r="AA298" s="3"/>
    </row>
    <row r="299" ht="105.75" customHeight="1">
      <c r="A299" s="4" t="s">
        <v>9</v>
      </c>
      <c r="B299" s="5" t="s">
        <v>307</v>
      </c>
      <c r="C299" s="4">
        <v>1.0</v>
      </c>
      <c r="D299" s="6">
        <v>45114.86685185185</v>
      </c>
      <c r="E299" s="7" t="str">
        <f t="shared" si="1"/>
        <v>2023-07-07</v>
      </c>
      <c r="F299" s="8" t="str">
        <f t="shared" si="2"/>
        <v> 20:48:16</v>
      </c>
      <c r="G299" s="9" t="str">
        <f t="shared" si="3"/>
        <v>Noite</v>
      </c>
      <c r="H299" s="10" t="str">
        <f>IFERROR(__xludf.DUMMYFUNCTION("GOOGLETRANSLATE(B299, ""en"", ""pt-br"")"),"Gostaria de ter feito mais pesquisa antes de baixar este aplicativo. O feed está cheio de postagens de pessoas que não sigo e é impossível encontrar postagens de pessoas que eu faço. Agora não posso excluí -lo ou a meta também excluirá minha conta do Inst"&amp;"agram, então é assim que eles o prendem a mantê -lo. Desativando todas as notificações neste aplicativo e simplesmente não o usará, pois é lixo. Gostaria que houvesse uma opção para zero estrelas!")</f>
        <v>Gostaria de ter feito mais pesquisa antes de baixar este aplicativo. O feed está cheio de postagens de pessoas que não sigo e é impossível encontrar postagens de pessoas que eu faço. Agora não posso excluí -lo ou a meta também excluirá minha conta do Instagram, então é assim que eles o prendem a mantê -lo. Desativando todas as notificações neste aplicativo e simplesmente não o usará, pois é lixo. Gostaria que houvesse uma opção para zero estrelas!</v>
      </c>
      <c r="I299" s="10" t="str">
        <f>IFERROR(__xludf.DUMMYFUNCTION("TRIM(REGEXREPLACE(H299,""[^a-zA-ZÀ-ú ]+"",""""))"),"Gostaria de ter feito mais pesquisa antes de baixar este aplicativo O feed está cheio de postagens de pessoas que não sigo e é impossível encontrar postagens de pessoas que eu faço Agora não posso excluí lo ou a meta também excluirá minha conta do Instagr"&amp;"am então é assim que eles o prendem a mantê lo Desativando todas as notificações neste aplicativo e simplesmente não o usará pois é lixo Gostaria que houvesse uma opção para zero estrelas")</f>
        <v>Gostaria de ter feito mais pesquisa antes de baixar este aplicativo O feed está cheio de postagens de pessoas que não sigo e é impossível encontrar postagens de pessoas que eu faço Agora não posso excluí lo ou a meta também excluirá minha conta do Instagram então é assim que eles o prendem a mantê lo Desativando todas as notificações neste aplicativo e simplesmente não o usará pois é lixo Gostaria que houvesse uma opção para zero estrelas</v>
      </c>
      <c r="J299" s="3"/>
      <c r="K299" s="3"/>
      <c r="L299" s="3"/>
      <c r="M299" s="3"/>
      <c r="N299" s="3"/>
      <c r="O299" s="3"/>
      <c r="P299" s="3"/>
      <c r="Q299" s="3"/>
      <c r="R299" s="3"/>
      <c r="S299" s="3"/>
      <c r="T299" s="3"/>
      <c r="U299" s="3"/>
      <c r="V299" s="3"/>
      <c r="W299" s="3"/>
      <c r="X299" s="3"/>
      <c r="Y299" s="3"/>
      <c r="Z299" s="3"/>
      <c r="AA299" s="3"/>
    </row>
    <row r="300" ht="105.75" customHeight="1">
      <c r="A300" s="4" t="s">
        <v>9</v>
      </c>
      <c r="B300" s="5" t="s">
        <v>308</v>
      </c>
      <c r="C300" s="4">
        <v>1.0</v>
      </c>
      <c r="D300" s="6">
        <v>45119.80627314815</v>
      </c>
      <c r="E300" s="7" t="str">
        <f t="shared" si="1"/>
        <v>2023-07-12</v>
      </c>
      <c r="F300" s="8" t="str">
        <f t="shared" si="2"/>
        <v> 19:21:02</v>
      </c>
      <c r="G300" s="9" t="str">
        <f t="shared" si="3"/>
        <v>Noite</v>
      </c>
      <c r="H300" s="10" t="str">
        <f>IFERROR(__xludf.DUMMYFUNCTION("GOOGLETRANSLATE(B300, ""en"", ""pt-br"")"),"Quer gostar tanto, mas não é bom. Você não pode procurar nada além de outras contas. Você não pode digitar nenhuma palavra na barra de pesquisa e encontrar outras pessoas falando sobre a mesma coisa. Não é tópicos de tendência. É apenas uma linha do tempo"&amp;" de pessoas que os threads sugerem a você e geralmente é uma celebridade ou um influenciador. O aplicativo não é bom.")</f>
        <v>Quer gostar tanto, mas não é bom. Você não pode procurar nada além de outras contas. Você não pode digitar nenhuma palavra na barra de pesquisa e encontrar outras pessoas falando sobre a mesma coisa. Não é tópicos de tendência. É apenas uma linha do tempo de pessoas que os threads sugerem a você e geralmente é uma celebridade ou um influenciador. O aplicativo não é bom.</v>
      </c>
      <c r="I300" s="10" t="str">
        <f>IFERROR(__xludf.DUMMYFUNCTION("TRIM(REGEXREPLACE(H300,""[^a-zA-ZÀ-ú ]+"",""""))"),"Quer gostar tanto mas não é bom Você não pode procurar nada além de outras contas Você não pode digitar nenhuma palavra na barra de pesquisa e encontrar outras pessoas falando sobre a mesma coisa Não é tópicos de tendência É apenas uma linha do tempo de p"&amp;"essoas que os threads sugerem a você e geralmente é uma celebridade ou um influenciador O aplicativo não é bom")</f>
        <v>Quer gostar tanto mas não é bom Você não pode procurar nada além de outras contas Você não pode digitar nenhuma palavra na barra de pesquisa e encontrar outras pessoas falando sobre a mesma coisa Não é tópicos de tendência É apenas uma linha do tempo de pessoas que os threads sugerem a você e geralmente é uma celebridade ou um influenciador O aplicativo não é bom</v>
      </c>
      <c r="J300" s="3"/>
      <c r="K300" s="3"/>
      <c r="L300" s="3"/>
      <c r="M300" s="3"/>
      <c r="N300" s="3"/>
      <c r="O300" s="3"/>
      <c r="P300" s="3"/>
      <c r="Q300" s="3"/>
      <c r="R300" s="3"/>
      <c r="S300" s="3"/>
      <c r="T300" s="3"/>
      <c r="U300" s="3"/>
      <c r="V300" s="3"/>
      <c r="W300" s="3"/>
      <c r="X300" s="3"/>
      <c r="Y300" s="3"/>
      <c r="Z300" s="3"/>
      <c r="AA300" s="3"/>
    </row>
    <row r="301" ht="105.75" customHeight="1">
      <c r="A301" s="4" t="s">
        <v>9</v>
      </c>
      <c r="B301" s="5" t="s">
        <v>309</v>
      </c>
      <c r="C301" s="4">
        <v>1.0</v>
      </c>
      <c r="D301" s="6">
        <v>45123.57693287037</v>
      </c>
      <c r="E301" s="7" t="str">
        <f t="shared" si="1"/>
        <v>2023-07-16</v>
      </c>
      <c r="F301" s="8" t="str">
        <f t="shared" si="2"/>
        <v> 13:50:47</v>
      </c>
      <c r="G301" s="9" t="str">
        <f t="shared" si="3"/>
        <v>Tarde</v>
      </c>
      <c r="H301" s="10" t="str">
        <f>IFERROR(__xludf.DUMMYFUNCTION("GOOGLETRANSLATE(B301, ""en"", ""pt-br"")"),"Lamento quando criei uma conta neste aplicativo de lixo. Também parou de funcionar apenas porque estou no país que o aplicativo não está disponível. Eu usei a VPN para acessar e depois de 2-3 dias, os posts pararam de aparecer e dizem ""algo deu errado, t"&amp;"ente novamente"" e não posso postar também, e mesmo que eu queira desativar minha conta, ele diz que ""não conseguiu desativar "". O que há de errado com este aplicativo inútil. Há o Twitter e basta, não há necessidade de criar um lixo de clone com a mesm"&amp;"a idéia que o Twitter.")</f>
        <v>Lamento quando criei uma conta neste aplicativo de lixo. Também parou de funcionar apenas porque estou no país que o aplicativo não está disponível. Eu usei a VPN para acessar e depois de 2-3 dias, os posts pararam de aparecer e dizem "algo deu errado, tente novamente" e não posso postar também, e mesmo que eu queira desativar minha conta, ele diz que "não conseguiu desativar ". O que há de errado com este aplicativo inútil. Há o Twitter e basta, não há necessidade de criar um lixo de clone com a mesma idéia que o Twitter.</v>
      </c>
      <c r="I301" s="10" t="str">
        <f>IFERROR(__xludf.DUMMYFUNCTION("TRIM(REGEXREPLACE(H301,""[^a-zA-ZÀ-ú ]+"",""""))"),"Lamento quando criei uma conta neste aplicativo de lixo Também parou de funcionar apenas porque estou no país que o aplicativo não está disponível Eu usei a VPN para acessar e depois de dias os posts pararam de aparecer e dizem algo deu errado tente novam"&amp;"ente e não posso postar também e mesmo que eu queira desativar minha conta ele diz que não conseguiu desativar O que há de errado com este aplicativo inútil Há o Twitter e basta não há necessidade de criar um lixo de clone com a mesma idéia que o Twitter")</f>
        <v>Lamento quando criei uma conta neste aplicativo de lixo Também parou de funcionar apenas porque estou no país que o aplicativo não está disponível Eu usei a VPN para acessar e depois de dias os posts pararam de aparecer e dizem algo deu errado tente novamente e não posso postar também e mesmo que eu queira desativar minha conta ele diz que não conseguiu desativar O que há de errado com este aplicativo inútil Há o Twitter e basta não há necessidade de criar um lixo de clone com a mesma idéia que o Twitter</v>
      </c>
      <c r="J301" s="3"/>
      <c r="K301" s="3"/>
      <c r="L301" s="3"/>
      <c r="M301" s="3"/>
      <c r="N301" s="3"/>
      <c r="O301" s="3"/>
      <c r="P301" s="3"/>
      <c r="Q301" s="3"/>
      <c r="R301" s="3"/>
      <c r="S301" s="3"/>
      <c r="T301" s="3"/>
      <c r="U301" s="3"/>
      <c r="V301" s="3"/>
      <c r="W301" s="3"/>
      <c r="X301" s="3"/>
      <c r="Y301" s="3"/>
      <c r="Z301" s="3"/>
      <c r="AA301" s="3"/>
    </row>
    <row r="302" ht="105.75" customHeight="1">
      <c r="A302" s="4" t="s">
        <v>9</v>
      </c>
      <c r="B302" s="5" t="s">
        <v>310</v>
      </c>
      <c r="C302" s="4">
        <v>3.0</v>
      </c>
      <c r="D302" s="6">
        <v>45113.61047453704</v>
      </c>
      <c r="E302" s="7" t="str">
        <f t="shared" si="1"/>
        <v>2023-07-06</v>
      </c>
      <c r="F302" s="8" t="str">
        <f t="shared" si="2"/>
        <v> 14:39:05</v>
      </c>
      <c r="G302" s="9" t="str">
        <f t="shared" si="3"/>
        <v>Tarde</v>
      </c>
      <c r="H302" s="10" t="str">
        <f>IFERROR(__xludf.DUMMYFUNCTION("GOOGLETRANSLATE(B302, ""en"", ""pt-br"")"),"O aplicativo trava ao anexar uma imagem. Estou usando um Samsung Galaxy S9 e vi outros, mesmo no iPhone, relatarem esse problema, mas nenhum reconhecimento oficial parece ter lançado. Espero que eles consertem isso muito rapidamente, porque é um pouco irr"&amp;"itante.")</f>
        <v>O aplicativo trava ao anexar uma imagem. Estou usando um Samsung Galaxy S9 e vi outros, mesmo no iPhone, relatarem esse problema, mas nenhum reconhecimento oficial parece ter lançado. Espero que eles consertem isso muito rapidamente, porque é um pouco irritante.</v>
      </c>
      <c r="I302" s="10" t="str">
        <f>IFERROR(__xludf.DUMMYFUNCTION("TRIM(REGEXREPLACE(H302,""[^a-zA-ZÀ-ú ]+"",""""))"),"O aplicativo trava ao anexar uma imagem Estou usando um Samsung Galaxy S e vi outros mesmo no iPhone relatarem esse problema mas nenhum reconhecimento oficial parece ter lançado Espero que eles consertem isso muito rapidamente porque é um pouco irritante")</f>
        <v>O aplicativo trava ao anexar uma imagem Estou usando um Samsung Galaxy S e vi outros mesmo no iPhone relatarem esse problema mas nenhum reconhecimento oficial parece ter lançado Espero que eles consertem isso muito rapidamente porque é um pouco irritante</v>
      </c>
      <c r="J302" s="3"/>
      <c r="K302" s="3"/>
      <c r="L302" s="3"/>
      <c r="M302" s="3"/>
      <c r="N302" s="3"/>
      <c r="O302" s="3"/>
      <c r="P302" s="3"/>
      <c r="Q302" s="3"/>
      <c r="R302" s="3"/>
      <c r="S302" s="3"/>
      <c r="T302" s="3"/>
      <c r="U302" s="3"/>
      <c r="V302" s="3"/>
      <c r="W302" s="3"/>
      <c r="X302" s="3"/>
      <c r="Y302" s="3"/>
      <c r="Z302" s="3"/>
      <c r="AA302" s="3"/>
    </row>
    <row r="303" ht="105.75" customHeight="1">
      <c r="A303" s="4" t="s">
        <v>9</v>
      </c>
      <c r="B303" s="5" t="s">
        <v>311</v>
      </c>
      <c r="C303" s="4">
        <v>2.0</v>
      </c>
      <c r="D303" s="6">
        <v>45114.022314814814</v>
      </c>
      <c r="E303" s="7" t="str">
        <f t="shared" si="1"/>
        <v>2023-07-07</v>
      </c>
      <c r="F303" s="8" t="str">
        <f t="shared" si="2"/>
        <v> 00:32:08</v>
      </c>
      <c r="G303" s="9" t="str">
        <f t="shared" si="3"/>
        <v>Manhã</v>
      </c>
      <c r="H303" s="10" t="str">
        <f>IFERROR(__xludf.DUMMYFUNCTION("GOOGLETRANSLATE(B303, ""en"", ""pt-br"")"),"Por enquanto, dou duas estrelas, já que a interface do aplicativo está agindo estranhamente. Parece que a tela está deslizando o tempo todo sempre que eu tentava rolar. Talvez porque seja um aplicativo bastante novo. Espero que tenha sido consertado em br"&amp;"eve. É irritante não ser capaz de fazer nada.")</f>
        <v>Por enquanto, dou duas estrelas, já que a interface do aplicativo está agindo estranhamente. Parece que a tela está deslizando o tempo todo sempre que eu tentava rolar. Talvez porque seja um aplicativo bastante novo. Espero que tenha sido consertado em breve. É irritante não ser capaz de fazer nada.</v>
      </c>
      <c r="I303" s="10" t="str">
        <f>IFERROR(__xludf.DUMMYFUNCTION("TRIM(REGEXREPLACE(H303,""[^a-zA-ZÀ-ú ]+"",""""))"),"Por enquanto dou duas estrelas já que a interface do aplicativo está agindo estranhamente Parece que a tela está deslizando o tempo todo sempre que eu tentava rolar Talvez porque seja um aplicativo bastante novo Espero que tenha sido consertado em breve É"&amp;" irritante não ser capaz de fazer nada")</f>
        <v>Por enquanto dou duas estrelas já que a interface do aplicativo está agindo estranhamente Parece que a tela está deslizando o tempo todo sempre que eu tentava rolar Talvez porque seja um aplicativo bastante novo Espero que tenha sido consertado em breve É irritante não ser capaz de fazer nada</v>
      </c>
      <c r="J303" s="3"/>
      <c r="K303" s="3"/>
      <c r="L303" s="3"/>
      <c r="M303" s="3"/>
      <c r="N303" s="3"/>
      <c r="O303" s="3"/>
      <c r="P303" s="3"/>
      <c r="Q303" s="3"/>
      <c r="R303" s="3"/>
      <c r="S303" s="3"/>
      <c r="T303" s="3"/>
      <c r="U303" s="3"/>
      <c r="V303" s="3"/>
      <c r="W303" s="3"/>
      <c r="X303" s="3"/>
      <c r="Y303" s="3"/>
      <c r="Z303" s="3"/>
      <c r="AA303" s="3"/>
    </row>
    <row r="304" ht="105.75" customHeight="1">
      <c r="A304" s="4" t="s">
        <v>9</v>
      </c>
      <c r="B304" s="5" t="s">
        <v>312</v>
      </c>
      <c r="C304" s="4">
        <v>3.0</v>
      </c>
      <c r="D304" s="6">
        <v>45119.542395833334</v>
      </c>
      <c r="E304" s="7" t="str">
        <f t="shared" si="1"/>
        <v>2023-07-12</v>
      </c>
      <c r="F304" s="8" t="str">
        <f t="shared" si="2"/>
        <v> 13:01:03</v>
      </c>
      <c r="G304" s="9" t="str">
        <f t="shared" si="3"/>
        <v>Tarde</v>
      </c>
      <c r="H304" s="10" t="str">
        <f>IFERROR(__xludf.DUMMYFUNCTION("GOOGLETRANSLATE(B304, ""en"", ""pt-br"")"),"Atualmente, não existe nenhuma opção de interface da web para computadores, o que é um grande problema para mim (assim como para muitos outros no meu setor). Eu só acesso a competição (Twitter) via navegadores da web no meu computador. Eu sigo negócios e "&amp;"serviços em meu setor durante o trabalho (multi monitores em lugar comum do meu setor). Sem interesse em seguir da tela pequena de 6,8 ""do meu telefone. Obrigado por ler")</f>
        <v>Atualmente, não existe nenhuma opção de interface da web para computadores, o que é um grande problema para mim (assim como para muitos outros no meu setor). Eu só acesso a competição (Twitter) via navegadores da web no meu computador. Eu sigo negócios e serviços em meu setor durante o trabalho (multi monitores em lugar comum do meu setor). Sem interesse em seguir da tela pequena de 6,8 "do meu telefone. Obrigado por ler</v>
      </c>
      <c r="I304" s="10" t="str">
        <f>IFERROR(__xludf.DUMMYFUNCTION("TRIM(REGEXREPLACE(H304,""[^a-zA-ZÀ-ú ]+"",""""))"),"Atualmente não existe nenhuma opção de interface da web para computadores o que é um grande problema para mim assim como para muitos outros no meu setor Eu só acesso a competição Twitter via navegadores da web no meu computador Eu sigo negócios e serviços"&amp;" em meu setor durante o trabalho multi monitores em lugar comum do meu setor Sem interesse em seguir da tela pequena de do meu telefone Obrigado por ler")</f>
        <v>Atualmente não existe nenhuma opção de interface da web para computadores o que é um grande problema para mim assim como para muitos outros no meu setor Eu só acesso a competição Twitter via navegadores da web no meu computador Eu sigo negócios e serviços em meu setor durante o trabalho multi monitores em lugar comum do meu setor Sem interesse em seguir da tela pequena de do meu telefone Obrigado por ler</v>
      </c>
      <c r="J304" s="3"/>
      <c r="K304" s="3"/>
      <c r="L304" s="3"/>
      <c r="M304" s="3"/>
      <c r="N304" s="3"/>
      <c r="O304" s="3"/>
      <c r="P304" s="3"/>
      <c r="Q304" s="3"/>
      <c r="R304" s="3"/>
      <c r="S304" s="3"/>
      <c r="T304" s="3"/>
      <c r="U304" s="3"/>
      <c r="V304" s="3"/>
      <c r="W304" s="3"/>
      <c r="X304" s="3"/>
      <c r="Y304" s="3"/>
      <c r="Z304" s="3"/>
      <c r="AA304" s="3"/>
    </row>
    <row r="305" ht="105.75" customHeight="1">
      <c r="A305" s="4" t="s">
        <v>9</v>
      </c>
      <c r="B305" s="5" t="s">
        <v>313</v>
      </c>
      <c r="C305" s="4">
        <v>1.0</v>
      </c>
      <c r="D305" s="6">
        <v>45119.425833333335</v>
      </c>
      <c r="E305" s="7" t="str">
        <f t="shared" si="1"/>
        <v>2023-07-12</v>
      </c>
      <c r="F305" s="8" t="str">
        <f t="shared" si="2"/>
        <v> 10:13:12</v>
      </c>
      <c r="G305" s="9" t="str">
        <f t="shared" si="3"/>
        <v>Manhã</v>
      </c>
      <c r="H305" s="10" t="str">
        <f>IFERROR(__xludf.DUMMYFUNCTION("GOOGLETRANSLATE(B305, ""en"", ""pt-br"")"),"Um desperdício! Acho que não precisamos de tópicos. Não tem absolutamente nada a oferecer. O Instagram é mais do que suficiente. É apenas uma versão mais fraca de um aplicativo de mídia social comum. Deseja excluir minha conta, mas isso também excluirá in"&amp;"stantaneamente minha conta do Instagram. Isso é tático muito ruim e barato. Estou muito desapontado. Devo excluir meu Instagram também.")</f>
        <v>Um desperdício! Acho que não precisamos de tópicos. Não tem absolutamente nada a oferecer. O Instagram é mais do que suficiente. É apenas uma versão mais fraca de um aplicativo de mídia social comum. Deseja excluir minha conta, mas isso também excluirá instantaneamente minha conta do Instagram. Isso é tático muito ruim e barato. Estou muito desapontado. Devo excluir meu Instagram também.</v>
      </c>
      <c r="I305" s="10" t="str">
        <f>IFERROR(__xludf.DUMMYFUNCTION("TRIM(REGEXREPLACE(H305,""[^a-zA-ZÀ-ú ]+"",""""))"),"Um desperdício Acho que não precisamos de tópicos Não tem absolutamente nada a oferecer O Instagram é mais do que suficiente É apenas uma versão mais fraca de um aplicativo de mídia social comum Deseja excluir minha conta mas isso também excluirá instanta"&amp;"neamente minha conta do Instagram Isso é tático muito ruim e barato Estou muito desapontado Devo excluir meu Instagram também")</f>
        <v>Um desperdício Acho que não precisamos de tópicos Não tem absolutamente nada a oferecer O Instagram é mais do que suficiente É apenas uma versão mais fraca de um aplicativo de mídia social comum Deseja excluir minha conta mas isso também excluirá instantaneamente minha conta do Instagram Isso é tático muito ruim e barato Estou muito desapontado Devo excluir meu Instagram também</v>
      </c>
      <c r="J305" s="3"/>
      <c r="K305" s="3"/>
      <c r="L305" s="3"/>
      <c r="M305" s="3"/>
      <c r="N305" s="3"/>
      <c r="O305" s="3"/>
      <c r="P305" s="3"/>
      <c r="Q305" s="3"/>
      <c r="R305" s="3"/>
      <c r="S305" s="3"/>
      <c r="T305" s="3"/>
      <c r="U305" s="3"/>
      <c r="V305" s="3"/>
      <c r="W305" s="3"/>
      <c r="X305" s="3"/>
      <c r="Y305" s="3"/>
      <c r="Z305" s="3"/>
      <c r="AA305" s="3"/>
    </row>
    <row r="306" ht="105.75" customHeight="1">
      <c r="A306" s="4" t="s">
        <v>9</v>
      </c>
      <c r="B306" s="5" t="s">
        <v>314</v>
      </c>
      <c r="C306" s="4">
        <v>3.0</v>
      </c>
      <c r="D306" s="6">
        <v>45113.03648148148</v>
      </c>
      <c r="E306" s="7" t="str">
        <f t="shared" si="1"/>
        <v>2023-07-06</v>
      </c>
      <c r="F306" s="8" t="str">
        <f t="shared" si="2"/>
        <v> 00:52:32</v>
      </c>
      <c r="G306" s="9" t="str">
        <f t="shared" si="3"/>
        <v>Manhã</v>
      </c>
      <c r="H306" s="10" t="str">
        <f>IFERROR(__xludf.DUMMYFUNCTION("GOOGLETRANSLATE(B306, ""en"", ""pt-br"")"),"É interessante até agora, mas muitos de nós usamos muito mais do que os aplicativos móveis. Demorou muito tempo para o Instagram descobrir isso, mas eles finalmente deram uma versão de desktop semi-válida. Os tópicos devem fazer o mesmo. Talvez até mesmo "&amp;"em pleno. E o FB deve quebrar a moratória nos links de parsing threads ao compartilhar nossos perfis. Não podemos todos nos dar bem?")</f>
        <v>É interessante até agora, mas muitos de nós usamos muito mais do que os aplicativos móveis. Demorou muito tempo para o Instagram descobrir isso, mas eles finalmente deram uma versão de desktop semi-válida. Os tópicos devem fazer o mesmo. Talvez até mesmo em pleno. E o FB deve quebrar a moratória nos links de parsing threads ao compartilhar nossos perfis. Não podemos todos nos dar bem?</v>
      </c>
      <c r="I306" s="10" t="str">
        <f>IFERROR(__xludf.DUMMYFUNCTION("TRIM(REGEXREPLACE(H306,""[^a-zA-ZÀ-ú ]+"",""""))"),"É interessante até agora mas muitos de nós usamos muito mais do que os aplicativos móveis Demorou muito tempo para o Instagram descobrir isso mas eles finalmente deram uma versão de desktop semiválida Os tópicos devem fazer o mesmo Talvez até mesmo em ple"&amp;"no E o FB deve quebrar a moratória nos links de parsing threads ao compartilhar nossos perfis Não podemos todos nos dar bem")</f>
        <v>É interessante até agora mas muitos de nós usamos muito mais do que os aplicativos móveis Demorou muito tempo para o Instagram descobrir isso mas eles finalmente deram uma versão de desktop semiválida Os tópicos devem fazer o mesmo Talvez até mesmo em pleno E o FB deve quebrar a moratória nos links de parsing threads ao compartilhar nossos perfis Não podemos todos nos dar bem</v>
      </c>
      <c r="J306" s="3"/>
      <c r="K306" s="3"/>
      <c r="L306" s="3"/>
      <c r="M306" s="3"/>
      <c r="N306" s="3"/>
      <c r="O306" s="3"/>
      <c r="P306" s="3"/>
      <c r="Q306" s="3"/>
      <c r="R306" s="3"/>
      <c r="S306" s="3"/>
      <c r="T306" s="3"/>
      <c r="U306" s="3"/>
      <c r="V306" s="3"/>
      <c r="W306" s="3"/>
      <c r="X306" s="3"/>
      <c r="Y306" s="3"/>
      <c r="Z306" s="3"/>
      <c r="AA306" s="3"/>
    </row>
    <row r="307" ht="105.75" customHeight="1">
      <c r="A307" s="4" t="s">
        <v>9</v>
      </c>
      <c r="B307" s="5" t="s">
        <v>315</v>
      </c>
      <c r="C307" s="4">
        <v>4.0</v>
      </c>
      <c r="D307" s="6">
        <v>45113.72015046296</v>
      </c>
      <c r="E307" s="7" t="str">
        <f t="shared" si="1"/>
        <v>2023-07-06</v>
      </c>
      <c r="F307" s="8" t="str">
        <f t="shared" si="2"/>
        <v> 17:17:01</v>
      </c>
      <c r="G307" s="9" t="str">
        <f t="shared" si="3"/>
        <v>Tarde</v>
      </c>
      <c r="H307" s="10" t="str">
        <f>IFERROR(__xludf.DUMMYFUNCTION("GOOGLETRANSLATE(B307, ""en"", ""pt-br"")"),"Threads é uma mistura fantástica da essência do Twitter e da conectividade perfeita do Instagram. Com uma ênfase na interface limpa, é uma maneira conveniente de permanecer conectado com seguidores do Instagram. Se você é um entusiasta do Instagram, o Thr"&amp;"eads definitivamente vale a pena explorar.")</f>
        <v>Threads é uma mistura fantástica da essência do Twitter e da conectividade perfeita do Instagram. Com uma ênfase na interface limpa, é uma maneira conveniente de permanecer conectado com seguidores do Instagram. Se você é um entusiasta do Instagram, o Threads definitivamente vale a pena explorar.</v>
      </c>
      <c r="I307" s="10" t="str">
        <f>IFERROR(__xludf.DUMMYFUNCTION("TRIM(REGEXREPLACE(H307,""[^a-zA-ZÀ-ú ]+"",""""))"),"Threads é uma mistura fantástica da essência do Twitter e da conectividade perfeita do Instagram Com uma ênfase na interface limpa é uma maneira conveniente de permanecer conectado com seguidores do Instagram Se você é um entusiasta do Instagram o Threads"&amp;" definitivamente vale a pena explorar")</f>
        <v>Threads é uma mistura fantástica da essência do Twitter e da conectividade perfeita do Instagram Com uma ênfase na interface limpa é uma maneira conveniente de permanecer conectado com seguidores do Instagram Se você é um entusiasta do Instagram o Threads definitivamente vale a pena explorar</v>
      </c>
      <c r="J307" s="3"/>
      <c r="K307" s="3"/>
      <c r="L307" s="3"/>
      <c r="M307" s="3"/>
      <c r="N307" s="3"/>
      <c r="O307" s="3"/>
      <c r="P307" s="3"/>
      <c r="Q307" s="3"/>
      <c r="R307" s="3"/>
      <c r="S307" s="3"/>
      <c r="T307" s="3"/>
      <c r="U307" s="3"/>
      <c r="V307" s="3"/>
      <c r="W307" s="3"/>
      <c r="X307" s="3"/>
      <c r="Y307" s="3"/>
      <c r="Z307" s="3"/>
      <c r="AA307" s="3"/>
    </row>
    <row r="308" ht="105.75" customHeight="1">
      <c r="A308" s="4" t="s">
        <v>9</v>
      </c>
      <c r="B308" s="5" t="s">
        <v>316</v>
      </c>
      <c r="C308" s="4">
        <v>1.0</v>
      </c>
      <c r="D308" s="6">
        <v>45115.78533564815</v>
      </c>
      <c r="E308" s="7" t="str">
        <f t="shared" si="1"/>
        <v>2023-07-08</v>
      </c>
      <c r="F308" s="8" t="str">
        <f t="shared" si="2"/>
        <v> 18:50:53</v>
      </c>
      <c r="G308" s="9" t="str">
        <f t="shared" si="3"/>
        <v>Noite</v>
      </c>
      <c r="H308" s="10" t="str">
        <f>IFERROR(__xludf.DUMMYFUNCTION("GOOGLETRANSLATE(B308, ""en"", ""pt-br"")"),"Não posso postar fotos, o aplicativo trava sempre. Tentei todas as soluções alternativas encontradas on -line, sem alegria! É uma bagunça de cluster para ler, apenas postagens aleatórias de pessoas aleatórias com poucas pessoas que estou seguindo. Isso pr"&amp;"ecisa de muito trabalho.")</f>
        <v>Não posso postar fotos, o aplicativo trava sempre. Tentei todas as soluções alternativas encontradas on -line, sem alegria! É uma bagunça de cluster para ler, apenas postagens aleatórias de pessoas aleatórias com poucas pessoas que estou seguindo. Isso precisa de muito trabalho.</v>
      </c>
      <c r="I308" s="10" t="str">
        <f>IFERROR(__xludf.DUMMYFUNCTION("TRIM(REGEXREPLACE(H308,""[^a-zA-ZÀ-ú ]+"",""""))"),"Não posso postar fotos o aplicativo trava sempre Tentei todas as soluções alternativas encontradas on line sem alegria É uma bagunça de cluster para ler apenas postagens aleatórias de pessoas aleatórias com poucas pessoas que estou seguindo Isso precisa d"&amp;"e muito trabalho")</f>
        <v>Não posso postar fotos o aplicativo trava sempre Tentei todas as soluções alternativas encontradas on line sem alegria É uma bagunça de cluster para ler apenas postagens aleatórias de pessoas aleatórias com poucas pessoas que estou seguindo Isso precisa de muito trabalho</v>
      </c>
      <c r="J308" s="3"/>
      <c r="K308" s="3"/>
      <c r="L308" s="3"/>
      <c r="M308" s="3"/>
      <c r="N308" s="3"/>
      <c r="O308" s="3"/>
      <c r="P308" s="3"/>
      <c r="Q308" s="3"/>
      <c r="R308" s="3"/>
      <c r="S308" s="3"/>
      <c r="T308" s="3"/>
      <c r="U308" s="3"/>
      <c r="V308" s="3"/>
      <c r="W308" s="3"/>
      <c r="X308" s="3"/>
      <c r="Y308" s="3"/>
      <c r="Z308" s="3"/>
      <c r="AA308" s="3"/>
    </row>
    <row r="309" ht="105.75" customHeight="1">
      <c r="A309" s="4" t="s">
        <v>9</v>
      </c>
      <c r="B309" s="5" t="s">
        <v>317</v>
      </c>
      <c r="C309" s="4">
        <v>3.0</v>
      </c>
      <c r="D309" s="6">
        <v>45127.39912037037</v>
      </c>
      <c r="E309" s="7" t="str">
        <f t="shared" si="1"/>
        <v>2023-07-20</v>
      </c>
      <c r="F309" s="8" t="str">
        <f t="shared" si="2"/>
        <v> 09:34:44</v>
      </c>
      <c r="G309" s="9" t="str">
        <f t="shared" si="3"/>
        <v>Manhã</v>
      </c>
      <c r="H309" s="10" t="str">
        <f>IFERROR(__xludf.DUMMYFUNCTION("GOOGLETRANSLATE(B309, ""en"", ""pt-br"")"),"Ele continuou batendo, especialmente ao escrever um novo tópico. Fui repetidamente adiado por causa disso e fechei completamente o aplicativo. Espero que esteja corrigido em uma atualização futura, atualizarei minha revisão quando este aplicativo parar de"&amp;" travar.")</f>
        <v>Ele continuou batendo, especialmente ao escrever um novo tópico. Fui repetidamente adiado por causa disso e fechei completamente o aplicativo. Espero que esteja corrigido em uma atualização futura, atualizarei minha revisão quando este aplicativo parar de travar.</v>
      </c>
      <c r="I309" s="10" t="str">
        <f>IFERROR(__xludf.DUMMYFUNCTION("TRIM(REGEXREPLACE(H309,""[^a-zA-ZÀ-ú ]+"",""""))"),"Ele continuou batendo especialmente ao escrever um novo tópico Fui repetidamente adiado por causa disso e fechei completamente o aplicativo Espero que esteja corrigido em uma atualização futura atualizarei minha revisão quando este aplicativo parar de tra"&amp;"var")</f>
        <v>Ele continuou batendo especialmente ao escrever um novo tópico Fui repetidamente adiado por causa disso e fechei completamente o aplicativo Espero que esteja corrigido em uma atualização futura atualizarei minha revisão quando este aplicativo parar de travar</v>
      </c>
      <c r="J309" s="3"/>
      <c r="K309" s="3"/>
      <c r="L309" s="3"/>
      <c r="M309" s="3"/>
      <c r="N309" s="3"/>
      <c r="O309" s="3"/>
      <c r="P309" s="3"/>
      <c r="Q309" s="3"/>
      <c r="R309" s="3"/>
      <c r="S309" s="3"/>
      <c r="T309" s="3"/>
      <c r="U309" s="3"/>
      <c r="V309" s="3"/>
      <c r="W309" s="3"/>
      <c r="X309" s="3"/>
      <c r="Y309" s="3"/>
      <c r="Z309" s="3"/>
      <c r="AA309" s="3"/>
    </row>
    <row r="310" ht="105.75" customHeight="1">
      <c r="A310" s="4" t="s">
        <v>9</v>
      </c>
      <c r="B310" s="5" t="s">
        <v>318</v>
      </c>
      <c r="C310" s="4">
        <v>2.0</v>
      </c>
      <c r="D310" s="6">
        <v>45116.68239583333</v>
      </c>
      <c r="E310" s="7" t="str">
        <f t="shared" si="1"/>
        <v>2023-07-09</v>
      </c>
      <c r="F310" s="8" t="str">
        <f t="shared" si="2"/>
        <v> 16:22:39</v>
      </c>
      <c r="G310" s="9" t="str">
        <f t="shared" si="3"/>
        <v>Tarde</v>
      </c>
      <c r="H310" s="10" t="str">
        <f>IFERROR(__xludf.DUMMYFUNCTION("GOOGLETRANSLATE(B310, ""en"", ""pt-br"")"),"Encontrei alguns problemas ao rolar a tela. Estou usando o Android 9, mas quando rolo a tela, ele pisca ou congela na mesma tela. Eu gentilmente solicito que a equipe de threads resolva esse problema ... Caso contrário, eu gosto muito do aplicativo ... .."&amp;".")</f>
        <v>Encontrei alguns problemas ao rolar a tela. Estou usando o Android 9, mas quando rolo a tela, ele pisca ou congela na mesma tela. Eu gentilmente solicito que a equipe de threads resolva esse problema ... Caso contrário, eu gosto muito do aplicativo ... ...</v>
      </c>
      <c r="I310" s="10" t="str">
        <f>IFERROR(__xludf.DUMMYFUNCTION("TRIM(REGEXREPLACE(H310,""[^a-zA-ZÀ-ú ]+"",""""))"),"Encontrei alguns problemas ao rolar a tela Estou usando o Android mas quando rolo a tela ele pisca ou congela na mesma tela Eu gentilmente solicito que a equipe de threads resolva esse problema Caso contrário eu gosto muito do aplicativo")</f>
        <v>Encontrei alguns problemas ao rolar a tela Estou usando o Android mas quando rolo a tela ele pisca ou congela na mesma tela Eu gentilmente solicito que a equipe de threads resolva esse problema Caso contrário eu gosto muito do aplicativo</v>
      </c>
      <c r="J310" s="3"/>
      <c r="K310" s="3"/>
      <c r="L310" s="3"/>
      <c r="M310" s="3"/>
      <c r="N310" s="3"/>
      <c r="O310" s="3"/>
      <c r="P310" s="3"/>
      <c r="Q310" s="3"/>
      <c r="R310" s="3"/>
      <c r="S310" s="3"/>
      <c r="T310" s="3"/>
      <c r="U310" s="3"/>
      <c r="V310" s="3"/>
      <c r="W310" s="3"/>
      <c r="X310" s="3"/>
      <c r="Y310" s="3"/>
      <c r="Z310" s="3"/>
      <c r="AA310" s="3"/>
    </row>
    <row r="311" ht="105.75" customHeight="1">
      <c r="A311" s="4" t="s">
        <v>9</v>
      </c>
      <c r="B311" s="5" t="s">
        <v>319</v>
      </c>
      <c r="C311" s="4">
        <v>1.0</v>
      </c>
      <c r="D311" s="6">
        <v>45126.443761574075</v>
      </c>
      <c r="E311" s="7" t="str">
        <f t="shared" si="1"/>
        <v>2023-07-19</v>
      </c>
      <c r="F311" s="8" t="str">
        <f t="shared" si="2"/>
        <v> 10:39:01</v>
      </c>
      <c r="G311" s="9" t="str">
        <f t="shared" si="3"/>
        <v>Manhã</v>
      </c>
      <c r="H311" s="10" t="str">
        <f>IFERROR(__xludf.DUMMYFUNCTION("GOOGLETRANSLATE(B311, ""en"", ""pt-br"")"),"Não posso fazer com que este aplicativo envie notificações e não posso me livrar do Twitter até que isso aconteça. Desinstalado/reinstalado. Registrado/logado. Reproduzido com configurações de notificação no aplicativo e nas configurações de telefone. Des"&amp;"ligue a otimização da bateria para o aplicativo. Nenhuma notificação.")</f>
        <v>Não posso fazer com que este aplicativo envie notificações e não posso me livrar do Twitter até que isso aconteça. Desinstalado/reinstalado. Registrado/logado. Reproduzido com configurações de notificação no aplicativo e nas configurações de telefone. Desligue a otimização da bateria para o aplicativo. Nenhuma notificação.</v>
      </c>
      <c r="I311" s="10" t="str">
        <f>IFERROR(__xludf.DUMMYFUNCTION("TRIM(REGEXREPLACE(H311,""[^a-zA-ZÀ-ú ]+"",""""))"),"Não posso fazer com que este aplicativo envie notificações e não posso me livrar do Twitter até que isso aconteça Desinstaladoreinstalado Registradologado Reproduzido com configurações de notificação no aplicativo e nas configurações de telefone Desligue "&amp;"a otimização da bateria para o aplicativo Nenhuma notificação")</f>
        <v>Não posso fazer com que este aplicativo envie notificações e não posso me livrar do Twitter até que isso aconteça Desinstaladoreinstalado Registradologado Reproduzido com configurações de notificação no aplicativo e nas configurações de telefone Desligue a otimização da bateria para o aplicativo Nenhuma notificação</v>
      </c>
      <c r="J311" s="3"/>
      <c r="K311" s="3"/>
      <c r="L311" s="3"/>
      <c r="M311" s="3"/>
      <c r="N311" s="3"/>
      <c r="O311" s="3"/>
      <c r="P311" s="3"/>
      <c r="Q311" s="3"/>
      <c r="R311" s="3"/>
      <c r="S311" s="3"/>
      <c r="T311" s="3"/>
      <c r="U311" s="3"/>
      <c r="V311" s="3"/>
      <c r="W311" s="3"/>
      <c r="X311" s="3"/>
      <c r="Y311" s="3"/>
      <c r="Z311" s="3"/>
      <c r="AA311" s="3"/>
    </row>
    <row r="312" ht="105.75" customHeight="1">
      <c r="A312" s="4" t="s">
        <v>9</v>
      </c>
      <c r="B312" s="5" t="s">
        <v>320</v>
      </c>
      <c r="C312" s="4">
        <v>4.0</v>
      </c>
      <c r="D312" s="6">
        <v>45117.69190972222</v>
      </c>
      <c r="E312" s="7" t="str">
        <f t="shared" si="1"/>
        <v>2023-07-10</v>
      </c>
      <c r="F312" s="8" t="str">
        <f t="shared" si="2"/>
        <v> 16:36:21</v>
      </c>
      <c r="G312" s="9" t="str">
        <f t="shared" si="3"/>
        <v>Tarde</v>
      </c>
      <c r="H312" s="10" t="str">
        <f>IFERROR(__xludf.DUMMYFUNCTION("GOOGLETRANSLATE(B312, ""en"", ""pt-br"")"),"Recursos Solicitações e bugs (até agora): - A rolagem de notificação é muito limitada - apenas a galeria completa está disponível ao procurar um arquivo a anexar - nenhuma capacidade de alterar apenas as contas (você precisa fazer logotre pelo amor das mi"&amp;"nhas retinas!)")</f>
        <v>Recursos Solicitações e bugs (até agora): - A rolagem de notificação é muito limitada - apenas a galeria completa está disponível ao procurar um arquivo a anexar - nenhuma capacidade de alterar apenas as contas (você precisa fazer logotre pelo amor das minhas retinas!)</v>
      </c>
      <c r="I312" s="10" t="str">
        <f>IFERROR(__xludf.DUMMYFUNCTION("TRIM(REGEXREPLACE(H312,""[^a-zA-ZÀ-ú ]+"",""""))"),"Recursos Solicitações e bugs até agora A rolagem de notificação é muito limitada apenas a galeria completa está disponível ao procurar um arquivo a anexar nenhuma capacidade de alterar apenas as contas você precisa fazer logotre pelo amor das minhas retin"&amp;"as")</f>
        <v>Recursos Solicitações e bugs até agora A rolagem de notificação é muito limitada apenas a galeria completa está disponível ao procurar um arquivo a anexar nenhuma capacidade de alterar apenas as contas você precisa fazer logotre pelo amor das minhas retinas</v>
      </c>
      <c r="J312" s="3"/>
      <c r="K312" s="3"/>
      <c r="L312" s="3"/>
      <c r="M312" s="3"/>
      <c r="N312" s="3"/>
      <c r="O312" s="3"/>
      <c r="P312" s="3"/>
      <c r="Q312" s="3"/>
      <c r="R312" s="3"/>
      <c r="S312" s="3"/>
      <c r="T312" s="3"/>
      <c r="U312" s="3"/>
      <c r="V312" s="3"/>
      <c r="W312" s="3"/>
      <c r="X312" s="3"/>
      <c r="Y312" s="3"/>
      <c r="Z312" s="3"/>
      <c r="AA312" s="3"/>
    </row>
    <row r="313" ht="105.75" customHeight="1">
      <c r="A313" s="4" t="s">
        <v>9</v>
      </c>
      <c r="B313" s="5" t="s">
        <v>321</v>
      </c>
      <c r="C313" s="4">
        <v>3.0</v>
      </c>
      <c r="D313" s="6">
        <v>45113.94818287037</v>
      </c>
      <c r="E313" s="7" t="str">
        <f t="shared" si="1"/>
        <v>2023-07-06</v>
      </c>
      <c r="F313" s="8" t="str">
        <f t="shared" si="2"/>
        <v> 22:45:23</v>
      </c>
      <c r="G313" s="9" t="str">
        <f t="shared" si="3"/>
        <v>Noite</v>
      </c>
      <c r="H313" s="10" t="str">
        <f>IFERROR(__xludf.DUMMYFUNCTION("GOOGLETRANSLATE(B313, ""en"", ""pt-br"")"),"Até agora, é decente, definitivamente precisa de um recurso de thread de tradução, você não pode pesquisar palavras -chave e não há tags para encontrar coisas específicas; portanto, não há uma maneira real de 'crescer', exceto para encontrar seus amigos n"&amp;"o aplicativo. Você pode postar fotos e vídeos, citar tópicos e tópicos repostos. Não há sistema DM, que é justo o suficiente. Espero que o aplicativo melhore nas próximas atualizações, mas por enquanto está meio que falta.")</f>
        <v>Até agora, é decente, definitivamente precisa de um recurso de thread de tradução, você não pode pesquisar palavras -chave e não há tags para encontrar coisas específicas; portanto, não há uma maneira real de 'crescer', exceto para encontrar seus amigos no aplicativo. Você pode postar fotos e vídeos, citar tópicos e tópicos repostos. Não há sistema DM, que é justo o suficiente. Espero que o aplicativo melhore nas próximas atualizações, mas por enquanto está meio que falta.</v>
      </c>
      <c r="I313" s="10" t="str">
        <f>IFERROR(__xludf.DUMMYFUNCTION("TRIM(REGEXREPLACE(H313,""[^a-zA-ZÀ-ú ]+"",""""))"),"Até agora é decente definitivamente precisa de um recurso de thread de tradução você não pode pesquisar palavras chave e não há tags para encontrar coisas específicas portanto não há uma maneira real de crescer exceto para encontrar seus amigos no aplicat"&amp;"ivo Você pode postar fotos e vídeos citar tópicos e tópicos repostos Não há sistema DM que é justo o suficiente Espero que o aplicativo melhore nas próximas atualizações mas por enquanto está meio que falta")</f>
        <v>Até agora é decente definitivamente precisa de um recurso de thread de tradução você não pode pesquisar palavras chave e não há tags para encontrar coisas específicas portanto não há uma maneira real de crescer exceto para encontrar seus amigos no aplicativo Você pode postar fotos e vídeos citar tópicos e tópicos repostos Não há sistema DM que é justo o suficiente Espero que o aplicativo melhore nas próximas atualizações mas por enquanto está meio que falta</v>
      </c>
      <c r="J313" s="3"/>
      <c r="K313" s="3"/>
      <c r="L313" s="3"/>
      <c r="M313" s="3"/>
      <c r="N313" s="3"/>
      <c r="O313" s="3"/>
      <c r="P313" s="3"/>
      <c r="Q313" s="3"/>
      <c r="R313" s="3"/>
      <c r="S313" s="3"/>
      <c r="T313" s="3"/>
      <c r="U313" s="3"/>
      <c r="V313" s="3"/>
      <c r="W313" s="3"/>
      <c r="X313" s="3"/>
      <c r="Y313" s="3"/>
      <c r="Z313" s="3"/>
      <c r="AA313" s="3"/>
    </row>
    <row r="314" ht="105.75" customHeight="1">
      <c r="A314" s="4" t="s">
        <v>9</v>
      </c>
      <c r="B314" s="5" t="s">
        <v>322</v>
      </c>
      <c r="C314" s="4">
        <v>1.0</v>
      </c>
      <c r="D314" s="6">
        <v>45114.275347222225</v>
      </c>
      <c r="E314" s="7" t="str">
        <f t="shared" si="1"/>
        <v>2023-07-07</v>
      </c>
      <c r="F314" s="8" t="str">
        <f t="shared" si="2"/>
        <v> 06:36:30</v>
      </c>
      <c r="G314" s="9" t="str">
        <f t="shared" si="3"/>
        <v>Manhã</v>
      </c>
      <c r="H314" s="10" t="str">
        <f>IFERROR(__xludf.DUMMYFUNCTION("GOOGLETRANSLATE(B314, ""en"", ""pt-br"")"),"Quando eu defino meu telefone para o modo escuro, o aplicativo começa a brincar enquanto eu rolo, todo o conteúdo continua desmoronando um no outro e é ilegível, mas funciona bem no modo de luz. Aparentemente, eu não sou o único que tem esse problema.")</f>
        <v>Quando eu defino meu telefone para o modo escuro, o aplicativo começa a brincar enquanto eu rolo, todo o conteúdo continua desmoronando um no outro e é ilegível, mas funciona bem no modo de luz. Aparentemente, eu não sou o único que tem esse problema.</v>
      </c>
      <c r="I314" s="10" t="str">
        <f>IFERROR(__xludf.DUMMYFUNCTION("TRIM(REGEXREPLACE(H314,""[^a-zA-ZÀ-ú ]+"",""""))"),"Quando eu defino meu telefone para o modo escuro o aplicativo começa a brincar enquanto eu rolo todo o conteúdo continua desmoronando um no outro e é ilegível mas funciona bem no modo de luz Aparentemente eu não sou o único que tem esse problema")</f>
        <v>Quando eu defino meu telefone para o modo escuro o aplicativo começa a brincar enquanto eu rolo todo o conteúdo continua desmoronando um no outro e é ilegível mas funciona bem no modo de luz Aparentemente eu não sou o único que tem esse problema</v>
      </c>
      <c r="J314" s="3"/>
      <c r="K314" s="3"/>
      <c r="L314" s="3"/>
      <c r="M314" s="3"/>
      <c r="N314" s="3"/>
      <c r="O314" s="3"/>
      <c r="P314" s="3"/>
      <c r="Q314" s="3"/>
      <c r="R314" s="3"/>
      <c r="S314" s="3"/>
      <c r="T314" s="3"/>
      <c r="U314" s="3"/>
      <c r="V314" s="3"/>
      <c r="W314" s="3"/>
      <c r="X314" s="3"/>
      <c r="Y314" s="3"/>
      <c r="Z314" s="3"/>
      <c r="AA314" s="3"/>
    </row>
    <row r="315" ht="105.75" customHeight="1">
      <c r="A315" s="4" t="s">
        <v>9</v>
      </c>
      <c r="B315" s="5" t="s">
        <v>323</v>
      </c>
      <c r="C315" s="4">
        <v>1.0</v>
      </c>
      <c r="D315" s="6">
        <v>45117.67408564815</v>
      </c>
      <c r="E315" s="7" t="str">
        <f t="shared" si="1"/>
        <v>2023-07-10</v>
      </c>
      <c r="F315" s="8" t="str">
        <f t="shared" si="2"/>
        <v> 16:10:41</v>
      </c>
      <c r="G315" s="9" t="str">
        <f t="shared" si="3"/>
        <v>Tarde</v>
      </c>
      <c r="H315" s="10" t="str">
        <f>IFERROR(__xludf.DUMMYFUNCTION("GOOGLETRANSLATE(B315, ""en"", ""pt-br"")"),"Ao fazer o upload de fotos, ele continua sendo expulso do aplicativo, enquanto carrega fotos, mostra que as fotos não estão chegando na forma de arquivos ou posições, todas elas se reúnem, tantos problemas são enfrentados.")</f>
        <v>Ao fazer o upload de fotos, ele continua sendo expulso do aplicativo, enquanto carrega fotos, mostra que as fotos não estão chegando na forma de arquivos ou posições, todas elas se reúnem, tantos problemas são enfrentados.</v>
      </c>
      <c r="I315" s="10" t="str">
        <f>IFERROR(__xludf.DUMMYFUNCTION("TRIM(REGEXREPLACE(H315,""[^a-zA-ZÀ-ú ]+"",""""))"),"Ao fazer o upload de fotos ele continua sendo expulso do aplicativo enquanto carrega fotos mostra que as fotos não estão chegando na forma de arquivos ou posições todas elas se reúnem tantos problemas são enfrentados")</f>
        <v>Ao fazer o upload de fotos ele continua sendo expulso do aplicativo enquanto carrega fotos mostra que as fotos não estão chegando na forma de arquivos ou posições todas elas se reúnem tantos problemas são enfrentados</v>
      </c>
      <c r="J315" s="3"/>
      <c r="K315" s="3"/>
      <c r="L315" s="3"/>
      <c r="M315" s="3"/>
      <c r="N315" s="3"/>
      <c r="O315" s="3"/>
      <c r="P315" s="3"/>
      <c r="Q315" s="3"/>
      <c r="R315" s="3"/>
      <c r="S315" s="3"/>
      <c r="T315" s="3"/>
      <c r="U315" s="3"/>
      <c r="V315" s="3"/>
      <c r="W315" s="3"/>
      <c r="X315" s="3"/>
      <c r="Y315" s="3"/>
      <c r="Z315" s="3"/>
      <c r="AA315" s="3"/>
    </row>
    <row r="316" ht="105.75" customHeight="1">
      <c r="A316" s="4" t="s">
        <v>9</v>
      </c>
      <c r="B316" s="5" t="s">
        <v>324</v>
      </c>
      <c r="C316" s="4">
        <v>4.0</v>
      </c>
      <c r="D316" s="6">
        <v>45115.911631944444</v>
      </c>
      <c r="E316" s="7" t="str">
        <f t="shared" si="1"/>
        <v>2023-07-08</v>
      </c>
      <c r="F316" s="8" t="str">
        <f t="shared" si="2"/>
        <v> 21:52:45</v>
      </c>
      <c r="G316" s="9" t="str">
        <f t="shared" si="3"/>
        <v>Noite</v>
      </c>
      <c r="H316" s="10" t="str">
        <f>IFERROR(__xludf.DUMMYFUNCTION("GOOGLETRANSLATE(B316, ""en"", ""pt-br"")"),"Nada do aplicativo ruim, ele tem menos recursos que o Twitter (como pesquisas e site de desktop), mas mais coisas provavelmente serão adicionadas um dia. Estou feliz que as pessoas possam (meio) ver meus tópicos sem ter que pagar uma assinatura. No entant"&amp;"o, tenho alguns aborrecimentos. Como verificação paga. Isso é coisa do Twitter. Entendo que ele tem o material de identificação, mas ainda assim, você pode pelo menos fazer onde, se tiver muitos seguidores, poderá ser verificado sem a taxa?")</f>
        <v>Nada do aplicativo ruim, ele tem menos recursos que o Twitter (como pesquisas e site de desktop), mas mais coisas provavelmente serão adicionadas um dia. Estou feliz que as pessoas possam (meio) ver meus tópicos sem ter que pagar uma assinatura. No entanto, tenho alguns aborrecimentos. Como verificação paga. Isso é coisa do Twitter. Entendo que ele tem o material de identificação, mas ainda assim, você pode pelo menos fazer onde, se tiver muitos seguidores, poderá ser verificado sem a taxa?</v>
      </c>
      <c r="I316" s="10" t="str">
        <f>IFERROR(__xludf.DUMMYFUNCTION("TRIM(REGEXREPLACE(H316,""[^a-zA-ZÀ-ú ]+"",""""))"),"Nada do aplicativo ruim ele tem menos recursos que o Twitter como pesquisas e site de desktop mas mais coisas provavelmente serão adicionadas um dia Estou feliz que as pessoas possam meio ver meus tópicos sem ter que pagar uma assinatura No entanto tenho "&amp;"alguns aborrecimentos Como verificação paga Isso é coisa do Twitter Entendo que ele tem o material de identificação mas ainda assim você pode pelo menos fazer onde se tiver muitos seguidores poderá ser verificado sem a taxa")</f>
        <v>Nada do aplicativo ruim ele tem menos recursos que o Twitter como pesquisas e site de desktop mas mais coisas provavelmente serão adicionadas um dia Estou feliz que as pessoas possam meio ver meus tópicos sem ter que pagar uma assinatura No entanto tenho alguns aborrecimentos Como verificação paga Isso é coisa do Twitter Entendo que ele tem o material de identificação mas ainda assim você pode pelo menos fazer onde se tiver muitos seguidores poderá ser verificado sem a taxa</v>
      </c>
      <c r="J316" s="3"/>
      <c r="K316" s="3"/>
      <c r="L316" s="3"/>
      <c r="M316" s="3"/>
      <c r="N316" s="3"/>
      <c r="O316" s="3"/>
      <c r="P316" s="3"/>
      <c r="Q316" s="3"/>
      <c r="R316" s="3"/>
      <c r="S316" s="3"/>
      <c r="T316" s="3"/>
      <c r="U316" s="3"/>
      <c r="V316" s="3"/>
      <c r="W316" s="3"/>
      <c r="X316" s="3"/>
      <c r="Y316" s="3"/>
      <c r="Z316" s="3"/>
      <c r="AA316" s="3"/>
    </row>
    <row r="317" ht="105.75" customHeight="1">
      <c r="A317" s="4" t="s">
        <v>9</v>
      </c>
      <c r="B317" s="5" t="s">
        <v>325</v>
      </c>
      <c r="C317" s="4">
        <v>4.0</v>
      </c>
      <c r="D317" s="6">
        <v>45116.16465277778</v>
      </c>
      <c r="E317" s="7" t="str">
        <f t="shared" si="1"/>
        <v>2023-07-09</v>
      </c>
      <c r="F317" s="8" t="str">
        <f t="shared" si="2"/>
        <v> 03:57:06</v>
      </c>
      <c r="G317" s="9" t="str">
        <f t="shared" si="3"/>
        <v>Manhã</v>
      </c>
      <c r="H317" s="10" t="str">
        <f>IFERROR(__xludf.DUMMYFUNCTION("GOOGLETRANSLATE(B317, ""en"", ""pt-br"")"),"É um bom aplicativo para gastar parte do seu tempo sem perder a trilha de tempo e perder mais tempo como no Instagram e no YouTube. Está começando, por isso não é perfeito, acho que deveria ter bobinas e tudo e tudo deve ter conteúdo personalizado, porque"&amp;" muito conteúdo que vejo no thread que eu nem me importo para que eles possam melhorar isso com atualizações. É suave e não está lento como o Twitter com o qual está competindo. Mas a privacidade é um problema porque a meta não é uma boa privacidade")</f>
        <v>É um bom aplicativo para gastar parte do seu tempo sem perder a trilha de tempo e perder mais tempo como no Instagram e no YouTube. Está começando, por isso não é perfeito, acho que deveria ter bobinas e tudo e tudo deve ter conteúdo personalizado, porque muito conteúdo que vejo no thread que eu nem me importo para que eles possam melhorar isso com atualizações. É suave e não está lento como o Twitter com o qual está competindo. Mas a privacidade é um problema porque a meta não é uma boa privacidade</v>
      </c>
      <c r="I317" s="10" t="str">
        <f>IFERROR(__xludf.DUMMYFUNCTION("TRIM(REGEXREPLACE(H317,""[^a-zA-ZÀ-ú ]+"",""""))"),"É um bom aplicativo para gastar parte do seu tempo sem perder a trilha de tempo e perder mais tempo como no Instagram e no YouTube Está começando por isso não é perfeito acho que deveria ter bobinas e tudo e tudo deve ter conteúdo personalizado porque mui"&amp;"to conteúdo que vejo no thread que eu nem me importo para que eles possam melhorar isso com atualizações É suave e não está lento como o Twitter com o qual está competindo Mas a privacidade é um problema porque a meta não é uma boa privacidade")</f>
        <v>É um bom aplicativo para gastar parte do seu tempo sem perder a trilha de tempo e perder mais tempo como no Instagram e no YouTube Está começando por isso não é perfeito acho que deveria ter bobinas e tudo e tudo deve ter conteúdo personalizado porque muito conteúdo que vejo no thread que eu nem me importo para que eles possam melhorar isso com atualizações É suave e não está lento como o Twitter com o qual está competindo Mas a privacidade é um problema porque a meta não é uma boa privacidade</v>
      </c>
      <c r="J317" s="3"/>
      <c r="K317" s="3"/>
      <c r="L317" s="3"/>
      <c r="M317" s="3"/>
      <c r="N317" s="3"/>
      <c r="O317" s="3"/>
      <c r="P317" s="3"/>
      <c r="Q317" s="3"/>
      <c r="R317" s="3"/>
      <c r="S317" s="3"/>
      <c r="T317" s="3"/>
      <c r="U317" s="3"/>
      <c r="V317" s="3"/>
      <c r="W317" s="3"/>
      <c r="X317" s="3"/>
      <c r="Y317" s="3"/>
      <c r="Z317" s="3"/>
      <c r="AA317" s="3"/>
    </row>
    <row r="318" ht="105.75" customHeight="1">
      <c r="A318" s="4" t="s">
        <v>9</v>
      </c>
      <c r="B318" s="5" t="s">
        <v>326</v>
      </c>
      <c r="C318" s="4">
        <v>1.0</v>
      </c>
      <c r="D318" s="6">
        <v>45114.15121527778</v>
      </c>
      <c r="E318" s="7" t="str">
        <f t="shared" si="1"/>
        <v>2023-07-07</v>
      </c>
      <c r="F318" s="8" t="str">
        <f t="shared" si="2"/>
        <v> 03:37:45</v>
      </c>
      <c r="G318" s="9" t="str">
        <f t="shared" si="3"/>
        <v>Manhã</v>
      </c>
      <c r="H318" s="10" t="str">
        <f>IFERROR(__xludf.DUMMYFUNCTION("GOOGLETRANSLATE(B318, ""en"", ""pt-br"")"),"Apenas uma conta? Tanta coisa para as empresas poderem usá -lo. É 2023, você pensaria que esse recurso seria uma das primeiras coisas adicionadas. Frustrante para dizer o mínimo e realmente não estou interessado em experimentar este aplicativo agora que p"&amp;"ercebi que não posso ter minhas páginas de negócios/fãs aqui e alternar facilmente entre elas, como o Facebook/Instagram/YouTube/Twitter, todos têm.")</f>
        <v>Apenas uma conta? Tanta coisa para as empresas poderem usá -lo. É 2023, você pensaria que esse recurso seria uma das primeiras coisas adicionadas. Frustrante para dizer o mínimo e realmente não estou interessado em experimentar este aplicativo agora que percebi que não posso ter minhas páginas de negócios/fãs aqui e alternar facilmente entre elas, como o Facebook/Instagram/YouTube/Twitter, todos têm.</v>
      </c>
      <c r="I318" s="10" t="str">
        <f>IFERROR(__xludf.DUMMYFUNCTION("TRIM(REGEXREPLACE(H318,""[^a-zA-ZÀ-ú ]+"",""""))"),"Apenas uma conta Tanta coisa para as empresas poderem usá lo É você pensaria que esse recurso seria uma das primeiras coisas adicionadas Frustrante para dizer o mínimo e realmente não estou interessado em experimentar este aplicativo agora que percebi que"&amp;" não posso ter minhas páginas de negóciosfãs aqui e alternar facilmente entre elas como o FacebookInstagramYouTubeTwitter todos têm")</f>
        <v>Apenas uma conta Tanta coisa para as empresas poderem usá lo É você pensaria que esse recurso seria uma das primeiras coisas adicionadas Frustrante para dizer o mínimo e realmente não estou interessado em experimentar este aplicativo agora que percebi que não posso ter minhas páginas de negóciosfãs aqui e alternar facilmente entre elas como o FacebookInstagramYouTubeTwitter todos têm</v>
      </c>
      <c r="J318" s="3"/>
      <c r="K318" s="3"/>
      <c r="L318" s="3"/>
      <c r="M318" s="3"/>
      <c r="N318" s="3"/>
      <c r="O318" s="3"/>
      <c r="P318" s="3"/>
      <c r="Q318" s="3"/>
      <c r="R318" s="3"/>
      <c r="S318" s="3"/>
      <c r="T318" s="3"/>
      <c r="U318" s="3"/>
      <c r="V318" s="3"/>
      <c r="W318" s="3"/>
      <c r="X318" s="3"/>
      <c r="Y318" s="3"/>
      <c r="Z318" s="3"/>
      <c r="AA318" s="3"/>
    </row>
    <row r="319" ht="105.75" customHeight="1">
      <c r="A319" s="4" t="s">
        <v>9</v>
      </c>
      <c r="B319" s="5" t="s">
        <v>327</v>
      </c>
      <c r="C319" s="4">
        <v>4.0</v>
      </c>
      <c r="D319" s="6">
        <v>45115.06945601852</v>
      </c>
      <c r="E319" s="7" t="str">
        <f t="shared" si="1"/>
        <v>2023-07-08</v>
      </c>
      <c r="F319" s="8" t="str">
        <f t="shared" si="2"/>
        <v> 01:40:01</v>
      </c>
      <c r="G319" s="9" t="str">
        <f t="shared" si="3"/>
        <v>Manhã</v>
      </c>
      <c r="H319" s="10" t="str">
        <f>IFERROR(__xludf.DUMMYFUNCTION("GOOGLETRANSLATE(B319, ""en"", ""pt-br"")"),"Foi bom no começo, mas quando cheguei ao aplicativo hoje, ele continuou travando, mesmo quando limpei seu cache. Por favor, conserte. EDIT: Parece que meu problema foi corrigido por enquanto. Como eu disse, o aplicativo é ótimo, perdendo alguns recursos c"&amp;"omo a pesquisa, mas além disso, é muito bom.")</f>
        <v>Foi bom no começo, mas quando cheguei ao aplicativo hoje, ele continuou travando, mesmo quando limpei seu cache. Por favor, conserte. EDIT: Parece que meu problema foi corrigido por enquanto. Como eu disse, o aplicativo é ótimo, perdendo alguns recursos como a pesquisa, mas além disso, é muito bom.</v>
      </c>
      <c r="I319" s="10" t="str">
        <f>IFERROR(__xludf.DUMMYFUNCTION("TRIM(REGEXREPLACE(H319,""[^a-zA-ZÀ-ú ]+"",""""))"),"Foi bom no começo mas quando cheguei ao aplicativo hoje ele continuou travando mesmo quando limpei seu cache Por favor conserte EDIT Parece que meu problema foi corrigido por enquanto Como eu disse o aplicativo é ótimo perdendo alguns recursos como a pesq"&amp;"uisa mas além disso é muito bom")</f>
        <v>Foi bom no começo mas quando cheguei ao aplicativo hoje ele continuou travando mesmo quando limpei seu cache Por favor conserte EDIT Parece que meu problema foi corrigido por enquanto Como eu disse o aplicativo é ótimo perdendo alguns recursos como a pesquisa mas além disso é muito bom</v>
      </c>
      <c r="J319" s="3"/>
      <c r="K319" s="3"/>
      <c r="L319" s="3"/>
      <c r="M319" s="3"/>
      <c r="N319" s="3"/>
      <c r="O319" s="3"/>
      <c r="P319" s="3"/>
      <c r="Q319" s="3"/>
      <c r="R319" s="3"/>
      <c r="S319" s="3"/>
      <c r="T319" s="3"/>
      <c r="U319" s="3"/>
      <c r="V319" s="3"/>
      <c r="W319" s="3"/>
      <c r="X319" s="3"/>
      <c r="Y319" s="3"/>
      <c r="Z319" s="3"/>
      <c r="AA319" s="3"/>
    </row>
    <row r="320" ht="105.75" customHeight="1">
      <c r="A320" s="4" t="s">
        <v>9</v>
      </c>
      <c r="B320" s="5" t="s">
        <v>328</v>
      </c>
      <c r="C320" s="4">
        <v>1.0</v>
      </c>
      <c r="D320" s="6">
        <v>45115.8224537037</v>
      </c>
      <c r="E320" s="7" t="str">
        <f t="shared" si="1"/>
        <v>2023-07-08</v>
      </c>
      <c r="F320" s="8" t="str">
        <f t="shared" si="2"/>
        <v> 19:44:20</v>
      </c>
      <c r="G320" s="9" t="str">
        <f t="shared" si="3"/>
        <v>Noite</v>
      </c>
      <c r="H320" s="10" t="str">
        <f>IFERROR(__xludf.DUMMYFUNCTION("GOOGLETRANSLATE(B320, ""en"", ""pt-br"")"),"Parece muito desajeitado. O design do material é uma merda. Enquanto tentava fazer upload da mídia, incapaz de ir a uma pasta específica no aplicativo Gallery no Android. Mas funciona bem no iOS. E nenhuma opção para salvar imagens como o Twitter. Por que"&amp;" essa opção específica não é copiada do Twitter?")</f>
        <v>Parece muito desajeitado. O design do material é uma merda. Enquanto tentava fazer upload da mídia, incapaz de ir a uma pasta específica no aplicativo Gallery no Android. Mas funciona bem no iOS. E nenhuma opção para salvar imagens como o Twitter. Por que essa opção específica não é copiada do Twitter?</v>
      </c>
      <c r="I320" s="10" t="str">
        <f>IFERROR(__xludf.DUMMYFUNCTION("TRIM(REGEXREPLACE(H320,""[^a-zA-ZÀ-ú ]+"",""""))"),"Parece muito desajeitado O design do material é uma merda Enquanto tentava fazer upload da mídia incapaz de ir a uma pasta específica no aplicativo Gallery no Android Mas funciona bem no iOS E nenhuma opção para salvar imagens como o Twitter Por que essa "&amp;"opção específica não é copiada do Twitter")</f>
        <v>Parece muito desajeitado O design do material é uma merda Enquanto tentava fazer upload da mídia incapaz de ir a uma pasta específica no aplicativo Gallery no Android Mas funciona bem no iOS E nenhuma opção para salvar imagens como o Twitter Por que essa opção específica não é copiada do Twitter</v>
      </c>
      <c r="J320" s="3"/>
      <c r="K320" s="3"/>
      <c r="L320" s="3"/>
      <c r="M320" s="3"/>
      <c r="N320" s="3"/>
      <c r="O320" s="3"/>
      <c r="P320" s="3"/>
      <c r="Q320" s="3"/>
      <c r="R320" s="3"/>
      <c r="S320" s="3"/>
      <c r="T320" s="3"/>
      <c r="U320" s="3"/>
      <c r="V320" s="3"/>
      <c r="W320" s="3"/>
      <c r="X320" s="3"/>
      <c r="Y320" s="3"/>
      <c r="Z320" s="3"/>
      <c r="AA320" s="3"/>
    </row>
    <row r="321" ht="105.75" customHeight="1">
      <c r="A321" s="4" t="s">
        <v>9</v>
      </c>
      <c r="B321" s="5" t="s">
        <v>329</v>
      </c>
      <c r="C321" s="4">
        <v>4.0</v>
      </c>
      <c r="D321" s="6">
        <v>45117.592986111114</v>
      </c>
      <c r="E321" s="7" t="str">
        <f t="shared" si="1"/>
        <v>2023-07-10</v>
      </c>
      <c r="F321" s="8" t="str">
        <f t="shared" si="2"/>
        <v> 14:13:54</v>
      </c>
      <c r="G321" s="9" t="str">
        <f t="shared" si="3"/>
        <v>Tarde</v>
      </c>
      <c r="H321" s="10" t="str">
        <f>IFERROR(__xludf.DUMMYFUNCTION("GOOGLETRANSLATE(B321, ""en"", ""pt-br"")"),"Eu acho que o aplicativo Threads não é ruim para um ponto de partida, embora tenda a travar com frequência em segundo plano, mas isso pode ser atribuído ao seu estágio inicial de desenvolvimento. Eu acredito que terá um progresso impressionante no futuro.")</f>
        <v>Eu acho que o aplicativo Threads não é ruim para um ponto de partida, embora tenda a travar com frequência em segundo plano, mas isso pode ser atribuído ao seu estágio inicial de desenvolvimento. Eu acredito que terá um progresso impressionante no futuro.</v>
      </c>
      <c r="I321" s="10" t="str">
        <f>IFERROR(__xludf.DUMMYFUNCTION("TRIM(REGEXREPLACE(H321,""[^a-zA-ZÀ-ú ]+"",""""))"),"Eu acho que o aplicativo Threads não é ruim para um ponto de partida embora tenda a travar com frequência em segundo plano mas isso pode ser atribuído ao seu estágio inicial de desenvolvimento Eu acredito que terá um progresso impressionante no futuro")</f>
        <v>Eu acho que o aplicativo Threads não é ruim para um ponto de partida embora tenda a travar com frequência em segundo plano mas isso pode ser atribuído ao seu estágio inicial de desenvolvimento Eu acredito que terá um progresso impressionante no futuro</v>
      </c>
      <c r="J321" s="3"/>
      <c r="K321" s="3"/>
      <c r="L321" s="3"/>
      <c r="M321" s="3"/>
      <c r="N321" s="3"/>
      <c r="O321" s="3"/>
      <c r="P321" s="3"/>
      <c r="Q321" s="3"/>
      <c r="R321" s="3"/>
      <c r="S321" s="3"/>
      <c r="T321" s="3"/>
      <c r="U321" s="3"/>
      <c r="V321" s="3"/>
      <c r="W321" s="3"/>
      <c r="X321" s="3"/>
      <c r="Y321" s="3"/>
      <c r="Z321" s="3"/>
      <c r="AA321" s="3"/>
    </row>
    <row r="322" ht="105.75" customHeight="1">
      <c r="A322" s="4" t="s">
        <v>9</v>
      </c>
      <c r="B322" s="5" t="s">
        <v>330</v>
      </c>
      <c r="C322" s="4">
        <v>2.0</v>
      </c>
      <c r="D322" s="6">
        <v>45114.97704861111</v>
      </c>
      <c r="E322" s="7" t="str">
        <f t="shared" si="1"/>
        <v>2023-07-07</v>
      </c>
      <c r="F322" s="8" t="str">
        <f t="shared" si="2"/>
        <v> 23:26:57</v>
      </c>
      <c r="G322" s="9" t="str">
        <f t="shared" si="3"/>
        <v>Noite</v>
      </c>
      <c r="H322" s="10" t="str">
        <f>IFERROR(__xludf.DUMMYFUNCTION("GOOGLETRANSLATE(B322, ""en"", ""pt-br"")"),"É um bom começo, mas pode ser melhor. Por favor, corrija como as notificações do sino funcionam. Eles realmente não me notificam quando uma pessoa faz upload. E adicione hastags e uma maneira melhor de ver as postagens de pessoas que eu sigo. Eu mal vejo "&amp;"nada de pessoas que sigo. Adicione também uma maneira de ver os repostos e as postagens de uma pessoa separadamente em sua conta. Parece meio confuso")</f>
        <v>É um bom começo, mas pode ser melhor. Por favor, corrija como as notificações do sino funcionam. Eles realmente não me notificam quando uma pessoa faz upload. E adicione hastags e uma maneira melhor de ver as postagens de pessoas que eu sigo. Eu mal vejo nada de pessoas que sigo. Adicione também uma maneira de ver os repostos e as postagens de uma pessoa separadamente em sua conta. Parece meio confuso</v>
      </c>
      <c r="I322" s="10" t="str">
        <f>IFERROR(__xludf.DUMMYFUNCTION("TRIM(REGEXREPLACE(H322,""[^a-zA-ZÀ-ú ]+"",""""))"),"É um bom começo mas pode ser melhor Por favor corrija como as notificações do sino funcionam Eles realmente não me notificam quando uma pessoa faz upload E adicione hastags e uma maneira melhor de ver as postagens de pessoas que eu sigo Eu mal vejo nada d"&amp;"e pessoas que sigo Adicione também uma maneira de ver os repostos e as postagens de uma pessoa separadamente em sua conta Parece meio confuso")</f>
        <v>É um bom começo mas pode ser melhor Por favor corrija como as notificações do sino funcionam Eles realmente não me notificam quando uma pessoa faz upload E adicione hastags e uma maneira melhor de ver as postagens de pessoas que eu sigo Eu mal vejo nada de pessoas que sigo Adicione também uma maneira de ver os repostos e as postagens de uma pessoa separadamente em sua conta Parece meio confuso</v>
      </c>
      <c r="J322" s="3"/>
      <c r="K322" s="3"/>
      <c r="L322" s="3"/>
      <c r="M322" s="3"/>
      <c r="N322" s="3"/>
      <c r="O322" s="3"/>
      <c r="P322" s="3"/>
      <c r="Q322" s="3"/>
      <c r="R322" s="3"/>
      <c r="S322" s="3"/>
      <c r="T322" s="3"/>
      <c r="U322" s="3"/>
      <c r="V322" s="3"/>
      <c r="W322" s="3"/>
      <c r="X322" s="3"/>
      <c r="Y322" s="3"/>
      <c r="Z322" s="3"/>
      <c r="AA322" s="3"/>
    </row>
    <row r="323" ht="105.75" customHeight="1">
      <c r="A323" s="4" t="s">
        <v>9</v>
      </c>
      <c r="B323" s="5" t="s">
        <v>331</v>
      </c>
      <c r="C323" s="4">
        <v>3.0</v>
      </c>
      <c r="D323" s="6">
        <v>45114.24549768519</v>
      </c>
      <c r="E323" s="7" t="str">
        <f t="shared" si="1"/>
        <v>2023-07-07</v>
      </c>
      <c r="F323" s="8" t="str">
        <f t="shared" si="2"/>
        <v> 05:53:31</v>
      </c>
      <c r="G323" s="9" t="str">
        <f t="shared" si="3"/>
        <v>Manhã</v>
      </c>
      <c r="H323" s="10" t="str">
        <f>IFERROR(__xludf.DUMMYFUNCTION("GOOGLETRANSLATE(B323, ""en"", ""pt-br"")"),"-Mais da metade das imagens fazem o aplicativo travar. -Sentas imagens que não fazem com que o aplicativo falhe parecem fazer o upload inicialmente, mas depois não carrega -apenas algumas imagens podem ser carregadas outras (JPEG e tamanho semelhante) faz"&amp;"em com que o aplicativo falhe. -Ser capaz de escolher pastas no dispositivo para compartilhar arquivos de mídia seria bom em vez das imagens mais recentes. -Chitch A função da conta seria útil, atualmente")</f>
        <v>-Mais da metade das imagens fazem o aplicativo travar. -Sentas imagens que não fazem com que o aplicativo falhe parecem fazer o upload inicialmente, mas depois não carrega -apenas algumas imagens podem ser carregadas outras (JPEG e tamanho semelhante) fazem com que o aplicativo falhe. -Ser capaz de escolher pastas no dispositivo para compartilhar arquivos de mídia seria bom em vez das imagens mais recentes. -Chitch A função da conta seria útil, atualmente</v>
      </c>
      <c r="I323" s="10" t="str">
        <f>IFERROR(__xludf.DUMMYFUNCTION("TRIM(REGEXREPLACE(H323,""[^a-zA-ZÀ-ú ]+"",""""))"),"Mais da metade das imagens fazem o aplicativo travar Sentas imagens que não fazem com que o aplicativo falhe parecem fazer o upload inicialmente mas depois não carrega apenas algumas imagens podem ser carregadas outras JPEG e tamanho semelhante fazem com "&amp;"que o aplicativo falhe Ser capaz de escolher pastas no dispositivo para compartilhar arquivos de mídia seria bom em vez das imagens mais recentes Chitch A função da conta seria útil atualmente")</f>
        <v>Mais da metade das imagens fazem o aplicativo travar Sentas imagens que não fazem com que o aplicativo falhe parecem fazer o upload inicialmente mas depois não carrega apenas algumas imagens podem ser carregadas outras JPEG e tamanho semelhante fazem com que o aplicativo falhe Ser capaz de escolher pastas no dispositivo para compartilhar arquivos de mídia seria bom em vez das imagens mais recentes Chitch A função da conta seria útil atualmente</v>
      </c>
      <c r="J323" s="3"/>
      <c r="K323" s="3"/>
      <c r="L323" s="3"/>
      <c r="M323" s="3"/>
      <c r="N323" s="3"/>
      <c r="O323" s="3"/>
      <c r="P323" s="3"/>
      <c r="Q323" s="3"/>
      <c r="R323" s="3"/>
      <c r="S323" s="3"/>
      <c r="T323" s="3"/>
      <c r="U323" s="3"/>
      <c r="V323" s="3"/>
      <c r="W323" s="3"/>
      <c r="X323" s="3"/>
      <c r="Y323" s="3"/>
      <c r="Z323" s="3"/>
      <c r="AA323" s="3"/>
    </row>
    <row r="324" ht="105.75" customHeight="1">
      <c r="A324" s="4" t="s">
        <v>9</v>
      </c>
      <c r="B324" s="5" t="s">
        <v>332</v>
      </c>
      <c r="C324" s="4">
        <v>3.0</v>
      </c>
      <c r="D324" s="6">
        <v>45113.19300925926</v>
      </c>
      <c r="E324" s="7" t="str">
        <f t="shared" si="1"/>
        <v>2023-07-06</v>
      </c>
      <c r="F324" s="8" t="str">
        <f t="shared" si="2"/>
        <v> 04:37:56</v>
      </c>
      <c r="G324" s="9" t="str">
        <f t="shared" si="3"/>
        <v>Manhã</v>
      </c>
      <c r="H324" s="10" t="str">
        <f>IFERROR(__xludf.DUMMYFUNCTION("GOOGLETRANSLATE(B324, ""en"", ""pt-br"")"),"Acabou de ser lançado, então acho que deveríamos dar a chance de crescer, mas praticamente não há personalização. Você não pode limitar seu feed apenas a contas que você segue e não pode criar ou filtrar seu próprio feed via hashtags ou palavras -chave. I"&amp;"sso contribui para uma plataforma muito branda e homogeneizada. O feed parece desorganizado e espalhado junto com coisas com as quais não me importo e não acho interessante. Eu preferiria muito algo que poderia ser configurado e ajustado ao meu próprio go"&amp;"sto.")</f>
        <v>Acabou de ser lançado, então acho que deveríamos dar a chance de crescer, mas praticamente não há personalização. Você não pode limitar seu feed apenas a contas que você segue e não pode criar ou filtrar seu próprio feed via hashtags ou palavras -chave. Isso contribui para uma plataforma muito branda e homogeneizada. O feed parece desorganizado e espalhado junto com coisas com as quais não me importo e não acho interessante. Eu preferiria muito algo que poderia ser configurado e ajustado ao meu próprio gosto.</v>
      </c>
      <c r="I324" s="10" t="str">
        <f>IFERROR(__xludf.DUMMYFUNCTION("TRIM(REGEXREPLACE(H324,""[^a-zA-ZÀ-ú ]+"",""""))"),"Acabou de ser lançado então acho que deveríamos dar a chance de crescer mas praticamente não há personalização Você não pode limitar seu feed apenas a contas que você segue e não pode criar ou filtrar seu próprio feed via hashtags ou palavras chave Isso c"&amp;"ontribui para uma plataforma muito branda e homogeneizada O feed parece desorganizado e espalhado junto com coisas com as quais não me importo e não acho interessante Eu preferiria muito algo que poderia ser configurado e ajustado ao meu próprio gosto")</f>
        <v>Acabou de ser lançado então acho que deveríamos dar a chance de crescer mas praticamente não há personalização Você não pode limitar seu feed apenas a contas que você segue e não pode criar ou filtrar seu próprio feed via hashtags ou palavras chave Isso contribui para uma plataforma muito branda e homogeneizada O feed parece desorganizado e espalhado junto com coisas com as quais não me importo e não acho interessante Eu preferiria muito algo que poderia ser configurado e ajustado ao meu próprio gosto</v>
      </c>
      <c r="J324" s="3"/>
      <c r="K324" s="3"/>
      <c r="L324" s="3"/>
      <c r="M324" s="3"/>
      <c r="N324" s="3"/>
      <c r="O324" s="3"/>
      <c r="P324" s="3"/>
      <c r="Q324" s="3"/>
      <c r="R324" s="3"/>
      <c r="S324" s="3"/>
      <c r="T324" s="3"/>
      <c r="U324" s="3"/>
      <c r="V324" s="3"/>
      <c r="W324" s="3"/>
      <c r="X324" s="3"/>
      <c r="Y324" s="3"/>
      <c r="Z324" s="3"/>
      <c r="AA324" s="3"/>
    </row>
    <row r="325" ht="105.75" customHeight="1">
      <c r="A325" s="4" t="s">
        <v>9</v>
      </c>
      <c r="B325" s="5" t="s">
        <v>333</v>
      </c>
      <c r="C325" s="4">
        <v>1.0</v>
      </c>
      <c r="D325" s="6">
        <v>45118.457766203705</v>
      </c>
      <c r="E325" s="7" t="str">
        <f t="shared" si="1"/>
        <v>2023-07-11</v>
      </c>
      <c r="F325" s="8" t="str">
        <f t="shared" si="2"/>
        <v> 10:59:11</v>
      </c>
      <c r="G325" s="9" t="str">
        <f t="shared" si="3"/>
        <v>Manhã</v>
      </c>
      <c r="H325" s="10" t="str">
        <f>IFERROR(__xludf.DUMMYFUNCTION("GOOGLETRANSLATE(B325, ""en"", ""pt-br"")"),"Pior experiência 😭😔, eu instalei threads agora e, sendo realmente como threads 😞, o aplicativo tem alguns bugs a serem corrigidos. Quando abri o aplicativo, as postagens não estavam claras e estavam se lambendo, criando uma bagunça na minha tela. Ele p"&amp;"recisa ser consertado o mais cedo possível.")</f>
        <v>Pior experiência 😭😔, eu instalei threads agora e, sendo realmente como threads 😞, o aplicativo tem alguns bugs a serem corrigidos. Quando abri o aplicativo, as postagens não estavam claras e estavam se lambendo, criando uma bagunça na minha tela. Ele precisa ser consertado o mais cedo possível.</v>
      </c>
      <c r="I325" s="10" t="str">
        <f>IFERROR(__xludf.DUMMYFUNCTION("TRIM(REGEXREPLACE(H325,""[^a-zA-ZÀ-ú ]+"",""""))"),"Pior experiência eu instalei threads agora e sendo realmente como threads o aplicativo tem alguns bugs a serem corrigidos Quando abri o aplicativo as postagens não estavam claras e estavam se lambendo criando uma bagunça na minha tela Ele precisa ser cons"&amp;"ertado o mais cedo possível")</f>
        <v>Pior experiência eu instalei threads agora e sendo realmente como threads o aplicativo tem alguns bugs a serem corrigidos Quando abri o aplicativo as postagens não estavam claras e estavam se lambendo criando uma bagunça na minha tela Ele precisa ser consertado o mais cedo possível</v>
      </c>
      <c r="J325" s="3"/>
      <c r="K325" s="3"/>
      <c r="L325" s="3"/>
      <c r="M325" s="3"/>
      <c r="N325" s="3"/>
      <c r="O325" s="3"/>
      <c r="P325" s="3"/>
      <c r="Q325" s="3"/>
      <c r="R325" s="3"/>
      <c r="S325" s="3"/>
      <c r="T325" s="3"/>
      <c r="U325" s="3"/>
      <c r="V325" s="3"/>
      <c r="W325" s="3"/>
      <c r="X325" s="3"/>
      <c r="Y325" s="3"/>
      <c r="Z325" s="3"/>
      <c r="AA325" s="3"/>
    </row>
    <row r="326" ht="105.75" customHeight="1">
      <c r="A326" s="4" t="s">
        <v>9</v>
      </c>
      <c r="B326" s="5" t="s">
        <v>334</v>
      </c>
      <c r="C326" s="4">
        <v>1.0</v>
      </c>
      <c r="D326" s="6">
        <v>45118.78773148148</v>
      </c>
      <c r="E326" s="7" t="str">
        <f t="shared" si="1"/>
        <v>2023-07-11</v>
      </c>
      <c r="F326" s="8" t="str">
        <f t="shared" si="2"/>
        <v> 18:54:20</v>
      </c>
      <c r="G326" s="9" t="str">
        <f t="shared" si="3"/>
        <v>Noite</v>
      </c>
      <c r="H326" s="10" t="str">
        <f>IFERROR(__xludf.DUMMYFUNCTION("GOOGLETRANSLATE(B326, ""en"", ""pt-br"")"),"O aplicativo Thread é um bom aplicativo, pois ouvi meus amigos. Mas, quando instalei e abri o aplicativo, é algo que vem como se estivesse tendo um bug nisso. Acho que a Meta pode corrigir esses tipos de erros e não apenas para mim, eu, eu Vi muitas das r"&amp;"evisões de que eles também estão tendo algum bug ao abri -lo, portanto, a meta deseja corrigir o mais rápido possível.")</f>
        <v>O aplicativo Thread é um bom aplicativo, pois ouvi meus amigos. Mas, quando instalei e abri o aplicativo, é algo que vem como se estivesse tendo um bug nisso. Acho que a Meta pode corrigir esses tipos de erros e não apenas para mim, eu, eu Vi muitas das revisões de que eles também estão tendo algum bug ao abri -lo, portanto, a meta deseja corrigir o mais rápido possível.</v>
      </c>
      <c r="I326" s="10" t="str">
        <f>IFERROR(__xludf.DUMMYFUNCTION("TRIM(REGEXREPLACE(H326,""[^a-zA-ZÀ-ú ]+"",""""))"),"O aplicativo Thread é um bom aplicativo pois ouvi meus amigos Mas quando instalei e abri o aplicativo é algo que vem como se estivesse tendo um bug nisso Acho que a Meta pode corrigir esses tipos de erros e não apenas para mim eu eu Vi muitas das revisões"&amp;" de que eles também estão tendo algum bug ao abri lo portanto a meta deseja corrigir o mais rápido possível")</f>
        <v>O aplicativo Thread é um bom aplicativo pois ouvi meus amigos Mas quando instalei e abri o aplicativo é algo que vem como se estivesse tendo um bug nisso Acho que a Meta pode corrigir esses tipos de erros e não apenas para mim eu eu Vi muitas das revisões de que eles também estão tendo algum bug ao abri lo portanto a meta deseja corrigir o mais rápido possível</v>
      </c>
      <c r="J326" s="3"/>
      <c r="K326" s="3"/>
      <c r="L326" s="3"/>
      <c r="M326" s="3"/>
      <c r="N326" s="3"/>
      <c r="O326" s="3"/>
      <c r="P326" s="3"/>
      <c r="Q326" s="3"/>
      <c r="R326" s="3"/>
      <c r="S326" s="3"/>
      <c r="T326" s="3"/>
      <c r="U326" s="3"/>
      <c r="V326" s="3"/>
      <c r="W326" s="3"/>
      <c r="X326" s="3"/>
      <c r="Y326" s="3"/>
      <c r="Z326" s="3"/>
      <c r="AA326" s="3"/>
    </row>
    <row r="327" ht="105.75" customHeight="1">
      <c r="A327" s="4" t="s">
        <v>9</v>
      </c>
      <c r="B327" s="5" t="s">
        <v>335</v>
      </c>
      <c r="C327" s="4">
        <v>4.0</v>
      </c>
      <c r="D327" s="6">
        <v>45114.72184027778</v>
      </c>
      <c r="E327" s="7" t="str">
        <f t="shared" si="1"/>
        <v>2023-07-07</v>
      </c>
      <c r="F327" s="8" t="str">
        <f t="shared" si="2"/>
        <v> 17:19:27</v>
      </c>
      <c r="G327" s="9" t="str">
        <f t="shared" si="3"/>
        <v>Tarde</v>
      </c>
      <c r="H327" s="10" t="str">
        <f>IFERROR(__xludf.DUMMYFUNCTION("GOOGLETRANSLATE(B327, ""en"", ""pt-br"")"),"Rápido, sim. Precisarei ser capaz de curar meu feed em algum momento, mas essa enxurrada de conteúdo inicial é uma mina de ouro para as empresas! Os links de threads de outros aplicativos (WhatsApp) não abrem para o aplicativo. Em vez disso, eles abrem no"&amp;" Chrome! Perda de tráfego.")</f>
        <v>Rápido, sim. Precisarei ser capaz de curar meu feed em algum momento, mas essa enxurrada de conteúdo inicial é uma mina de ouro para as empresas! Os links de threads de outros aplicativos (WhatsApp) não abrem para o aplicativo. Em vez disso, eles abrem no Chrome! Perda de tráfego.</v>
      </c>
      <c r="I327" s="10" t="str">
        <f>IFERROR(__xludf.DUMMYFUNCTION("TRIM(REGEXREPLACE(H327,""[^a-zA-ZÀ-ú ]+"",""""))"),"Rápido sim Precisarei ser capaz de curar meu feed em algum momento mas essa enxurrada de conteúdo inicial é uma mina de ouro para as empresas Os links de threads de outros aplicativos WhatsApp não abrem para o aplicativo Em vez disso eles abrem no Chrome "&amp;"Perda de tráfego")</f>
        <v>Rápido sim Precisarei ser capaz de curar meu feed em algum momento mas essa enxurrada de conteúdo inicial é uma mina de ouro para as empresas Os links de threads de outros aplicativos WhatsApp não abrem para o aplicativo Em vez disso eles abrem no Chrome Perda de tráfego</v>
      </c>
      <c r="J327" s="3"/>
      <c r="K327" s="3"/>
      <c r="L327" s="3"/>
      <c r="M327" s="3"/>
      <c r="N327" s="3"/>
      <c r="O327" s="3"/>
      <c r="P327" s="3"/>
      <c r="Q327" s="3"/>
      <c r="R327" s="3"/>
      <c r="S327" s="3"/>
      <c r="T327" s="3"/>
      <c r="U327" s="3"/>
      <c r="V327" s="3"/>
      <c r="W327" s="3"/>
      <c r="X327" s="3"/>
      <c r="Y327" s="3"/>
      <c r="Z327" s="3"/>
      <c r="AA327" s="3"/>
    </row>
    <row r="328" ht="105.75" customHeight="1">
      <c r="A328" s="4" t="s">
        <v>9</v>
      </c>
      <c r="B328" s="5" t="s">
        <v>336</v>
      </c>
      <c r="C328" s="4">
        <v>4.0</v>
      </c>
      <c r="D328" s="6">
        <v>45114.139652777776</v>
      </c>
      <c r="E328" s="7" t="str">
        <f t="shared" si="1"/>
        <v>2023-07-07</v>
      </c>
      <c r="F328" s="8" t="str">
        <f t="shared" si="2"/>
        <v> 03:21:06</v>
      </c>
      <c r="G328" s="9" t="str">
        <f t="shared" si="3"/>
        <v>Manhã</v>
      </c>
      <c r="H328" s="10" t="str">
        <f>IFERROR(__xludf.DUMMYFUNCTION("GOOGLETRANSLATE(B328, ""en"", ""pt-br"")"),"O aplicativo é muito interessante e eu pessoalmente gosto muito disso. Espero que mais novos recursos sejam adicionados no futuro. Da mesma forma, seria melhor se houvesse uma instalação para salvar postagens e aplicar hashtags.Eu também gosto das cores u"&amp;"sadas para o aplicativo. Este aplicativo já excedeu um grande número de usuários. Então, acredito que no futuro será uma aplicação muito segura, confiável e indispensável para as pessoas.")</f>
        <v>O aplicativo é muito interessante e eu pessoalmente gosto muito disso. Espero que mais novos recursos sejam adicionados no futuro. Da mesma forma, seria melhor se houvesse uma instalação para salvar postagens e aplicar hashtags.Eu também gosto das cores usadas para o aplicativo. Este aplicativo já excedeu um grande número de usuários. Então, acredito que no futuro será uma aplicação muito segura, confiável e indispensável para as pessoas.</v>
      </c>
      <c r="I328" s="10" t="str">
        <f>IFERROR(__xludf.DUMMYFUNCTION("TRIM(REGEXREPLACE(H328,""[^a-zA-ZÀ-ú ]+"",""""))"),"O aplicativo é muito interessante e eu pessoalmente gosto muito disso Espero que mais novos recursos sejam adicionados no futuro Da mesma forma seria melhor se houvesse uma instalação para salvar postagens e aplicar hashtagsEu também gosto das cores usada"&amp;"s para o aplicativo Este aplicativo já excedeu um grande número de usuários Então acredito que no futuro será uma aplicação muito segura confiável e indispensável para as pessoas")</f>
        <v>O aplicativo é muito interessante e eu pessoalmente gosto muito disso Espero que mais novos recursos sejam adicionados no futuro Da mesma forma seria melhor se houvesse uma instalação para salvar postagens e aplicar hashtagsEu também gosto das cores usadas para o aplicativo Este aplicativo já excedeu um grande número de usuários Então acredito que no futuro será uma aplicação muito segura confiável e indispensável para as pessoas</v>
      </c>
      <c r="J328" s="3"/>
      <c r="K328" s="3"/>
      <c r="L328" s="3"/>
      <c r="M328" s="3"/>
      <c r="N328" s="3"/>
      <c r="O328" s="3"/>
      <c r="P328" s="3"/>
      <c r="Q328" s="3"/>
      <c r="R328" s="3"/>
      <c r="S328" s="3"/>
      <c r="T328" s="3"/>
      <c r="U328" s="3"/>
      <c r="V328" s="3"/>
      <c r="W328" s="3"/>
      <c r="X328" s="3"/>
      <c r="Y328" s="3"/>
      <c r="Z328" s="3"/>
      <c r="AA328" s="3"/>
    </row>
    <row r="329" ht="105.75" customHeight="1">
      <c r="A329" s="4" t="s">
        <v>9</v>
      </c>
      <c r="B329" s="5" t="s">
        <v>337</v>
      </c>
      <c r="C329" s="4">
        <v>4.0</v>
      </c>
      <c r="D329" s="6">
        <v>45115.246932870374</v>
      </c>
      <c r="E329" s="7" t="str">
        <f t="shared" si="1"/>
        <v>2023-07-08</v>
      </c>
      <c r="F329" s="8" t="str">
        <f t="shared" si="2"/>
        <v> 05:55:35</v>
      </c>
      <c r="G329" s="9" t="str">
        <f t="shared" si="3"/>
        <v>Manhã</v>
      </c>
      <c r="H329" s="10" t="str">
        <f>IFERROR(__xludf.DUMMYFUNCTION("GOOGLETRANSLATE(B329, ""en"", ""pt-br"")"),"É bom, mas sinto que vai precisar um pouco mais de competir com o Twitter. Por exemplo, este aplicativo também precisa de uma página de tendência semelhante ao Twitter. Você também pode incluir outra coisa original. Eu sinto que poderia ter um pouco mais."&amp;" Eu sei que acabou de sair alguns dias atrás, mas é preciso haver algo adicionado se isso manter o hype em torno do aplicativo.")</f>
        <v>É bom, mas sinto que vai precisar um pouco mais de competir com o Twitter. Por exemplo, este aplicativo também precisa de uma página de tendência semelhante ao Twitter. Você também pode incluir outra coisa original. Eu sinto que poderia ter um pouco mais. Eu sei que acabou de sair alguns dias atrás, mas é preciso haver algo adicionado se isso manter o hype em torno do aplicativo.</v>
      </c>
      <c r="I329" s="10" t="str">
        <f>IFERROR(__xludf.DUMMYFUNCTION("TRIM(REGEXREPLACE(H329,""[^a-zA-ZÀ-ú ]+"",""""))"),"É bom mas sinto que vai precisar um pouco mais de competir com o Twitter Por exemplo este aplicativo também precisa de uma página de tendência semelhante ao Twitter Você também pode incluir outra coisa original Eu sinto que poderia ter um pouco mais Eu se"&amp;"i que acabou de sair alguns dias atrás mas é preciso haver algo adicionado se isso manter o hype em torno do aplicativo")</f>
        <v>É bom mas sinto que vai precisar um pouco mais de competir com o Twitter Por exemplo este aplicativo também precisa de uma página de tendência semelhante ao Twitter Você também pode incluir outra coisa original Eu sinto que poderia ter um pouco mais Eu sei que acabou de sair alguns dias atrás mas é preciso haver algo adicionado se isso manter o hype em torno do aplicativo</v>
      </c>
      <c r="J329" s="3"/>
      <c r="K329" s="3"/>
      <c r="L329" s="3"/>
      <c r="M329" s="3"/>
      <c r="N329" s="3"/>
      <c r="O329" s="3"/>
      <c r="P329" s="3"/>
      <c r="Q329" s="3"/>
      <c r="R329" s="3"/>
      <c r="S329" s="3"/>
      <c r="T329" s="3"/>
      <c r="U329" s="3"/>
      <c r="V329" s="3"/>
      <c r="W329" s="3"/>
      <c r="X329" s="3"/>
      <c r="Y329" s="3"/>
      <c r="Z329" s="3"/>
      <c r="AA329" s="3"/>
    </row>
    <row r="330" ht="105.75" customHeight="1">
      <c r="A330" s="4" t="s">
        <v>9</v>
      </c>
      <c r="B330" s="5" t="s">
        <v>338</v>
      </c>
      <c r="C330" s="4">
        <v>3.0</v>
      </c>
      <c r="D330" s="6">
        <v>45117.679710648146</v>
      </c>
      <c r="E330" s="7" t="str">
        <f t="shared" si="1"/>
        <v>2023-07-10</v>
      </c>
      <c r="F330" s="8" t="str">
        <f t="shared" si="2"/>
        <v> 16:18:47</v>
      </c>
      <c r="G330" s="9" t="str">
        <f t="shared" si="3"/>
        <v>Tarde</v>
      </c>
      <c r="H330" s="10" t="str">
        <f>IFERROR(__xludf.DUMMYFUNCTION("GOOGLETRANSLATE(B330, ""en"", ""pt-br"")"),"É claramente lançado com pressa, mas eu aprecio as pessoas que trabalharam neste aplicativo. Não há método para adicionar mais de um perfis que podemos alternar entre no Instagram. Portanto, se tivermos 2 perfis no Instagram, você poderá usar apenas um. E"&amp;"spero que isso seja resolvido em breve.")</f>
        <v>É claramente lançado com pressa, mas eu aprecio as pessoas que trabalharam neste aplicativo. Não há método para adicionar mais de um perfis que podemos alternar entre no Instagram. Portanto, se tivermos 2 perfis no Instagram, você poderá usar apenas um. Espero que isso seja resolvido em breve.</v>
      </c>
      <c r="I330" s="10" t="str">
        <f>IFERROR(__xludf.DUMMYFUNCTION("TRIM(REGEXREPLACE(H330,""[^a-zA-ZÀ-ú ]+"",""""))"),"É claramente lançado com pressa mas eu aprecio as pessoas que trabalharam neste aplicativo Não há método para adicionar mais de um perfis que podemos alternar entre no Instagram Portanto se tivermos perfis no Instagram você poderá usar apenas um Espero qu"&amp;"e isso seja resolvido em breve")</f>
        <v>É claramente lançado com pressa mas eu aprecio as pessoas que trabalharam neste aplicativo Não há método para adicionar mais de um perfis que podemos alternar entre no Instagram Portanto se tivermos perfis no Instagram você poderá usar apenas um Espero que isso seja resolvido em breve</v>
      </c>
      <c r="J330" s="3"/>
      <c r="K330" s="3"/>
      <c r="L330" s="3"/>
      <c r="M330" s="3"/>
      <c r="N330" s="3"/>
      <c r="O330" s="3"/>
      <c r="P330" s="3"/>
      <c r="Q330" s="3"/>
      <c r="R330" s="3"/>
      <c r="S330" s="3"/>
      <c r="T330" s="3"/>
      <c r="U330" s="3"/>
      <c r="V330" s="3"/>
      <c r="W330" s="3"/>
      <c r="X330" s="3"/>
      <c r="Y330" s="3"/>
      <c r="Z330" s="3"/>
      <c r="AA330" s="3"/>
    </row>
    <row r="331" ht="105.75" customHeight="1">
      <c r="A331" s="4" t="s">
        <v>9</v>
      </c>
      <c r="B331" s="5" t="s">
        <v>339</v>
      </c>
      <c r="C331" s="4">
        <v>3.0</v>
      </c>
      <c r="D331" s="6">
        <v>45114.52481481482</v>
      </c>
      <c r="E331" s="7" t="str">
        <f t="shared" si="1"/>
        <v>2023-07-07</v>
      </c>
      <c r="F331" s="8" t="str">
        <f t="shared" si="2"/>
        <v> 12:35:44</v>
      </c>
      <c r="G331" s="9" t="str">
        <f t="shared" si="3"/>
        <v>Tarde</v>
      </c>
      <c r="H331" s="10" t="str">
        <f>IFERROR(__xludf.DUMMYFUNCTION("GOOGLETRANSLATE(B331, ""en"", ""pt-br"")"),"Até agora tudo bem. Parece estar resolvendo alguns bugs, continuo sendo expulso o aplicativo sempre que tento responder aos comentários. Meu telefone também forneceu um pop-up afirmando que ele tem erros. Então, espero que isso funcione porque eu realment"&amp;"e gosto disso.")</f>
        <v>Até agora tudo bem. Parece estar resolvendo alguns bugs, continuo sendo expulso o aplicativo sempre que tento responder aos comentários. Meu telefone também forneceu um pop-up afirmando que ele tem erros. Então, espero que isso funcione porque eu realmente gosto disso.</v>
      </c>
      <c r="I331" s="10" t="str">
        <f>IFERROR(__xludf.DUMMYFUNCTION("TRIM(REGEXREPLACE(H331,""[^a-zA-ZÀ-ú ]+"",""""))"),"Até agora tudo bem Parece estar resolvendo alguns bugs continuo sendo expulso o aplicativo sempre que tento responder aos comentários Meu telefone também forneceu um popup afirmando que ele tem erros Então espero que isso funcione porque eu realmente gost"&amp;"o disso")</f>
        <v>Até agora tudo bem Parece estar resolvendo alguns bugs continuo sendo expulso o aplicativo sempre que tento responder aos comentários Meu telefone também forneceu um popup afirmando que ele tem erros Então espero que isso funcione porque eu realmente gosto disso</v>
      </c>
      <c r="J331" s="3"/>
      <c r="K331" s="3"/>
      <c r="L331" s="3"/>
      <c r="M331" s="3"/>
      <c r="N331" s="3"/>
      <c r="O331" s="3"/>
      <c r="P331" s="3"/>
      <c r="Q331" s="3"/>
      <c r="R331" s="3"/>
      <c r="S331" s="3"/>
      <c r="T331" s="3"/>
      <c r="U331" s="3"/>
      <c r="V331" s="3"/>
      <c r="W331" s="3"/>
      <c r="X331" s="3"/>
      <c r="Y331" s="3"/>
      <c r="Z331" s="3"/>
      <c r="AA331" s="3"/>
    </row>
    <row r="332" ht="105.75" customHeight="1">
      <c r="A332" s="4" t="s">
        <v>9</v>
      </c>
      <c r="B332" s="5" t="s">
        <v>340</v>
      </c>
      <c r="C332" s="4">
        <v>3.0</v>
      </c>
      <c r="D332" s="6">
        <v>45114.5087037037</v>
      </c>
      <c r="E332" s="7" t="str">
        <f t="shared" si="1"/>
        <v>2023-07-07</v>
      </c>
      <c r="F332" s="8" t="str">
        <f t="shared" si="2"/>
        <v> 12:12:32</v>
      </c>
      <c r="G332" s="9" t="str">
        <f t="shared" si="3"/>
        <v>Tarde</v>
      </c>
      <c r="H332" s="10" t="str">
        <f>IFERROR(__xludf.DUMMYFUNCTION("GOOGLETRANSLATE(B332, ""en"", ""pt-br"")"),"Melhor e pior substituição do Twitter. A interface é muito fluida, intuitiva e esteticamente agradável, mas continua travando com frequência. Além disso, esta é uma extensão da tentativa de Monopoly de Meta.")</f>
        <v>Melhor e pior substituição do Twitter. A interface é muito fluida, intuitiva e esteticamente agradável, mas continua travando com frequência. Além disso, esta é uma extensão da tentativa de Monopoly de Meta.</v>
      </c>
      <c r="I332" s="10" t="str">
        <f>IFERROR(__xludf.DUMMYFUNCTION("TRIM(REGEXREPLACE(H332,""[^a-zA-ZÀ-ú ]+"",""""))"),"Melhor e pior substituição do Twitter A interface é muito fluida intuitiva e esteticamente agradável mas continua travando com frequência Além disso esta é uma extensão da tentativa de Monopoly de Meta")</f>
        <v>Melhor e pior substituição do Twitter A interface é muito fluida intuitiva e esteticamente agradável mas continua travando com frequência Além disso esta é uma extensão da tentativa de Monopoly de Meta</v>
      </c>
      <c r="J332" s="3"/>
      <c r="K332" s="3"/>
      <c r="L332" s="3"/>
      <c r="M332" s="3"/>
      <c r="N332" s="3"/>
      <c r="O332" s="3"/>
      <c r="P332" s="3"/>
      <c r="Q332" s="3"/>
      <c r="R332" s="3"/>
      <c r="S332" s="3"/>
      <c r="T332" s="3"/>
      <c r="U332" s="3"/>
      <c r="V332" s="3"/>
      <c r="W332" s="3"/>
      <c r="X332" s="3"/>
      <c r="Y332" s="3"/>
      <c r="Z332" s="3"/>
      <c r="AA332" s="3"/>
    </row>
    <row r="333" ht="105.75" customHeight="1">
      <c r="A333" s="4" t="s">
        <v>9</v>
      </c>
      <c r="B333" s="5" t="s">
        <v>341</v>
      </c>
      <c r="C333" s="4">
        <v>3.0</v>
      </c>
      <c r="D333" s="6">
        <v>45114.42679398148</v>
      </c>
      <c r="E333" s="7" t="str">
        <f t="shared" si="1"/>
        <v>2023-07-07</v>
      </c>
      <c r="F333" s="8" t="str">
        <f t="shared" si="2"/>
        <v> 10:14:35</v>
      </c>
      <c r="G333" s="9" t="str">
        <f t="shared" si="3"/>
        <v>Manhã</v>
      </c>
      <c r="H333" s="10" t="str">
        <f>IFERROR(__xludf.DUMMYFUNCTION("GOOGLETRANSLATE(B333, ""en"", ""pt-br"")"),"UI limpa e agradável. Eu gosto até agora, mas há alguns pontos que precisam ser consertados. 1- Sigo o conteúdo árabe e inglês em minha conta, mas o alinhamento é ruim, se colocar o idioma do aplicativo for inglês, o conteúdo do árabe será um caos e vice-"&amp;"versa. 2- Aguardando os recursos de seguir e hashtags, estou pronto para dar 5 estrelas após esses pontos corrigidos.")</f>
        <v>UI limpa e agradável. Eu gosto até agora, mas há alguns pontos que precisam ser consertados. 1- Sigo o conteúdo árabe e inglês em minha conta, mas o alinhamento é ruim, se colocar o idioma do aplicativo for inglês, o conteúdo do árabe será um caos e vice-versa. 2- Aguardando os recursos de seguir e hashtags, estou pronto para dar 5 estrelas após esses pontos corrigidos.</v>
      </c>
      <c r="I333" s="10" t="str">
        <f>IFERROR(__xludf.DUMMYFUNCTION("TRIM(REGEXREPLACE(H333,""[^a-zA-ZÀ-ú ]+"",""""))"),"UI limpa e agradável Eu gosto até agora mas há alguns pontos que precisam ser consertados Sigo o conteúdo árabe e inglês em minha conta mas o alinhamento é ruim se colocar o idioma do aplicativo for inglês o conteúdo do árabe será um caos e viceversa Agua"&amp;"rdando os recursos de seguir e hashtags estou pronto para dar estrelas após esses pontos corrigidos")</f>
        <v>UI limpa e agradável Eu gosto até agora mas há alguns pontos que precisam ser consertados Sigo o conteúdo árabe e inglês em minha conta mas o alinhamento é ruim se colocar o idioma do aplicativo for inglês o conteúdo do árabe será um caos e viceversa Aguardando os recursos de seguir e hashtags estou pronto para dar estrelas após esses pontos corrigidos</v>
      </c>
      <c r="J333" s="3"/>
      <c r="K333" s="3"/>
      <c r="L333" s="3"/>
      <c r="M333" s="3"/>
      <c r="N333" s="3"/>
      <c r="O333" s="3"/>
      <c r="P333" s="3"/>
      <c r="Q333" s="3"/>
      <c r="R333" s="3"/>
      <c r="S333" s="3"/>
      <c r="T333" s="3"/>
      <c r="U333" s="3"/>
      <c r="V333" s="3"/>
      <c r="W333" s="3"/>
      <c r="X333" s="3"/>
      <c r="Y333" s="3"/>
      <c r="Z333" s="3"/>
      <c r="AA333" s="3"/>
    </row>
    <row r="334" ht="105.75" customHeight="1">
      <c r="A334" s="4" t="s">
        <v>9</v>
      </c>
      <c r="B334" s="5" t="s">
        <v>342</v>
      </c>
      <c r="C334" s="4">
        <v>3.0</v>
      </c>
      <c r="D334" s="6">
        <v>45113.29177083333</v>
      </c>
      <c r="E334" s="7" t="str">
        <f t="shared" si="1"/>
        <v>2023-07-06</v>
      </c>
      <c r="F334" s="8" t="str">
        <f t="shared" si="2"/>
        <v> 07:00:09</v>
      </c>
      <c r="G334" s="9" t="str">
        <f t="shared" si="3"/>
        <v>Manhã</v>
      </c>
      <c r="H334" s="10" t="str">
        <f>IFERROR(__xludf.DUMMYFUNCTION("GOOGLETRANSLATE(B334, ""en"", ""pt-br"")"),"Eu acho que o aplicativo é um ótimo começo! Uma das coisas que serão necessárias para dar espaço às contas dos fãs é que possamos alterar facilmente as contas nos threads. Você só pode fazer login/sair sempre - não podemos fazê -lo sem problemas.")</f>
        <v>Eu acho que o aplicativo é um ótimo começo! Uma das coisas que serão necessárias para dar espaço às contas dos fãs é que possamos alterar facilmente as contas nos threads. Você só pode fazer login/sair sempre - não podemos fazê -lo sem problemas.</v>
      </c>
      <c r="I334" s="10" t="str">
        <f>IFERROR(__xludf.DUMMYFUNCTION("TRIM(REGEXREPLACE(H334,""[^a-zA-ZÀ-ú ]+"",""""))"),"Eu acho que o aplicativo é um ótimo começo Uma das coisas que serão necessárias para dar espaço às contas dos fãs é que possamos alterar facilmente as contas nos threads Você só pode fazer loginsair sempre não podemos fazê lo sem problemas")</f>
        <v>Eu acho que o aplicativo é um ótimo começo Uma das coisas que serão necessárias para dar espaço às contas dos fãs é que possamos alterar facilmente as contas nos threads Você só pode fazer loginsair sempre não podemos fazê lo sem problemas</v>
      </c>
      <c r="J334" s="3"/>
      <c r="K334" s="3"/>
      <c r="L334" s="3"/>
      <c r="M334" s="3"/>
      <c r="N334" s="3"/>
      <c r="O334" s="3"/>
      <c r="P334" s="3"/>
      <c r="Q334" s="3"/>
      <c r="R334" s="3"/>
      <c r="S334" s="3"/>
      <c r="T334" s="3"/>
      <c r="U334" s="3"/>
      <c r="V334" s="3"/>
      <c r="W334" s="3"/>
      <c r="X334" s="3"/>
      <c r="Y334" s="3"/>
      <c r="Z334" s="3"/>
      <c r="AA334" s="3"/>
    </row>
    <row r="335" ht="105.75" customHeight="1">
      <c r="A335" s="4" t="s">
        <v>9</v>
      </c>
      <c r="B335" s="5" t="s">
        <v>343</v>
      </c>
      <c r="C335" s="4">
        <v>3.0</v>
      </c>
      <c r="D335" s="6">
        <v>45115.408009259256</v>
      </c>
      <c r="E335" s="7" t="str">
        <f t="shared" si="1"/>
        <v>2023-07-08</v>
      </c>
      <c r="F335" s="8" t="str">
        <f t="shared" si="2"/>
        <v> 09:47:32</v>
      </c>
      <c r="G335" s="9" t="str">
        <f t="shared" si="3"/>
        <v>Manhã</v>
      </c>
      <c r="H335" s="10" t="str">
        <f>IFERROR(__xludf.DUMMYFUNCTION("GOOGLETRANSLATE(B335, ""en"", ""pt-br"")"),"3 estrelas por enquanto. Pode subir ou descer, dependendo de atualizações futuras. Eu amo que é, até agora, livre de anúncios, que é fácil de usar e não tão tóxico quanto o Twitter (embora eu espere que isso mude). Tão simples quanto o Twitter. IMO, ele p"&amp;"recisa de uma opção para ver apenas postagens daquelas que você segue, também uma seção de tópico ou grupo onde podemos juntar tópicos ou interesses atuais, o que também é uma ótima maneira de seguir os outros e pegar seguidores que são semelhantes- mente"&amp;".")</f>
        <v>3 estrelas por enquanto. Pode subir ou descer, dependendo de atualizações futuras. Eu amo que é, até agora, livre de anúncios, que é fácil de usar e não tão tóxico quanto o Twitter (embora eu espere que isso mude). Tão simples quanto o Twitter. IMO, ele precisa de uma opção para ver apenas postagens daquelas que você segue, também uma seção de tópico ou grupo onde podemos juntar tópicos ou interesses atuais, o que também é uma ótima maneira de seguir os outros e pegar seguidores que são semelhantes- mente.</v>
      </c>
      <c r="I335" s="10" t="str">
        <f>IFERROR(__xludf.DUMMYFUNCTION("TRIM(REGEXREPLACE(H335,""[^a-zA-ZÀ-ú ]+"",""""))"),"estrelas por enquanto Pode subir ou descer dependendo de atualizações futuras Eu amo que é até agora livre de anúncios que é fácil de usar e não tão tóxico quanto o Twitter embora eu espere que isso mude Tão simples quanto o Twitter IMO ele precisa de uma"&amp;" opção para ver apenas postagens daquelas que você segue também uma seção de tópico ou grupo onde podemos juntar tópicos ou interesses atuais o que também é uma ótima maneira de seguir os outros e pegar seguidores que são semelhantes mente")</f>
        <v>estrelas por enquanto Pode subir ou descer dependendo de atualizações futuras Eu amo que é até agora livre de anúncios que é fácil de usar e não tão tóxico quanto o Twitter embora eu espere que isso mude Tão simples quanto o Twitter IMO ele precisa de uma opção para ver apenas postagens daquelas que você segue também uma seção de tópico ou grupo onde podemos juntar tópicos ou interesses atuais o que também é uma ótima maneira de seguir os outros e pegar seguidores que são semelhantes mente</v>
      </c>
      <c r="J335" s="3"/>
      <c r="K335" s="3"/>
      <c r="L335" s="3"/>
      <c r="M335" s="3"/>
      <c r="N335" s="3"/>
      <c r="O335" s="3"/>
      <c r="P335" s="3"/>
      <c r="Q335" s="3"/>
      <c r="R335" s="3"/>
      <c r="S335" s="3"/>
      <c r="T335" s="3"/>
      <c r="U335" s="3"/>
      <c r="V335" s="3"/>
      <c r="W335" s="3"/>
      <c r="X335" s="3"/>
      <c r="Y335" s="3"/>
      <c r="Z335" s="3"/>
      <c r="AA335" s="3"/>
    </row>
    <row r="336" ht="105.75" customHeight="1">
      <c r="A336" s="4" t="s">
        <v>9</v>
      </c>
      <c r="B336" s="5" t="s">
        <v>344</v>
      </c>
      <c r="C336" s="4">
        <v>4.0</v>
      </c>
      <c r="D336" s="6">
        <v>45115.50717592592</v>
      </c>
      <c r="E336" s="7" t="str">
        <f t="shared" si="1"/>
        <v>2023-07-08</v>
      </c>
      <c r="F336" s="8" t="str">
        <f t="shared" si="2"/>
        <v> 12:10:20</v>
      </c>
      <c r="G336" s="9" t="str">
        <f t="shared" si="3"/>
        <v>Tarde</v>
      </c>
      <c r="H336" s="10" t="str">
        <f>IFERROR(__xludf.DUMMYFUNCTION("GOOGLETRANSLATE(B336, ""en"", ""pt-br"")"),"Eu gosto até agora. O único recurso de que preciso é a capacidade de selecionar fotos de diferentes álbuns no meu telefone, em vez de mostrar todas as fotos em ordem cronológica reversa.")</f>
        <v>Eu gosto até agora. O único recurso de que preciso é a capacidade de selecionar fotos de diferentes álbuns no meu telefone, em vez de mostrar todas as fotos em ordem cronológica reversa.</v>
      </c>
      <c r="I336" s="10" t="str">
        <f>IFERROR(__xludf.DUMMYFUNCTION("TRIM(REGEXREPLACE(H336,""[^a-zA-ZÀ-ú ]+"",""""))"),"Eu gosto até agora O único recurso de que preciso é a capacidade de selecionar fotos de diferentes álbuns no meu telefone em vez de mostrar todas as fotos em ordem cronológica reversa")</f>
        <v>Eu gosto até agora O único recurso de que preciso é a capacidade de selecionar fotos de diferentes álbuns no meu telefone em vez de mostrar todas as fotos em ordem cronológica reversa</v>
      </c>
      <c r="J336" s="3"/>
      <c r="K336" s="3"/>
      <c r="L336" s="3"/>
      <c r="M336" s="3"/>
      <c r="N336" s="3"/>
      <c r="O336" s="3"/>
      <c r="P336" s="3"/>
      <c r="Q336" s="3"/>
      <c r="R336" s="3"/>
      <c r="S336" s="3"/>
      <c r="T336" s="3"/>
      <c r="U336" s="3"/>
      <c r="V336" s="3"/>
      <c r="W336" s="3"/>
      <c r="X336" s="3"/>
      <c r="Y336" s="3"/>
      <c r="Z336" s="3"/>
      <c r="AA336" s="3"/>
    </row>
    <row r="337" ht="105.75" customHeight="1">
      <c r="A337" s="4" t="s">
        <v>9</v>
      </c>
      <c r="B337" s="5" t="s">
        <v>345</v>
      </c>
      <c r="C337" s="4">
        <v>4.0</v>
      </c>
      <c r="D337" s="6">
        <v>45114.24628472222</v>
      </c>
      <c r="E337" s="7" t="str">
        <f t="shared" si="1"/>
        <v>2023-07-07</v>
      </c>
      <c r="F337" s="8" t="str">
        <f t="shared" si="2"/>
        <v> 05:54:39</v>
      </c>
      <c r="G337" s="9" t="str">
        <f t="shared" si="3"/>
        <v>Manhã</v>
      </c>
      <c r="H337" s="10" t="str">
        <f>IFERROR(__xludf.DUMMYFUNCTION("GOOGLETRANSLATE(B337, ""en"", ""pt-br"")"),"Minha revisão honesta é que é como é e a idéia que eles têm do aplicativo é perfeita, seguindo tópicos e conversas. Eu não acho que precisa de DMs e transmitir ao vivo. É apenas para conversar e compartilhar idéias. Fácil pavão. Porque qual é o sentido de"&amp;" adicionar mais coisas, ele ficará como o Twitter no futuro ou mais tarde no Instagram. Quero dizer, já existem aplicativos para isso, vamos separar as coisas. Concordo que poderia ter uma opção de ver feed de todos e outro dos seguidores.")</f>
        <v>Minha revisão honesta é que é como é e a idéia que eles têm do aplicativo é perfeita, seguindo tópicos e conversas. Eu não acho que precisa de DMs e transmitir ao vivo. É apenas para conversar e compartilhar idéias. Fácil pavão. Porque qual é o sentido de adicionar mais coisas, ele ficará como o Twitter no futuro ou mais tarde no Instagram. Quero dizer, já existem aplicativos para isso, vamos separar as coisas. Concordo que poderia ter uma opção de ver feed de todos e outro dos seguidores.</v>
      </c>
      <c r="I337" s="10" t="str">
        <f>IFERROR(__xludf.DUMMYFUNCTION("TRIM(REGEXREPLACE(H337,""[^a-zA-ZÀ-ú ]+"",""""))"),"Minha revisão honesta é que é como é e a idéia que eles têm do aplicativo é perfeita seguindo tópicos e conversas Eu não acho que precisa de DMs e transmitir ao vivo É apenas para conversar e compartilhar idéias Fácil pavão Porque qual é o sentido de adic"&amp;"ionar mais coisas ele ficará como o Twitter no futuro ou mais tarde no Instagram Quero dizer já existem aplicativos para isso vamos separar as coisas Concordo que poderia ter uma opção de ver feed de todos e outro dos seguidores")</f>
        <v>Minha revisão honesta é que é como é e a idéia que eles têm do aplicativo é perfeita seguindo tópicos e conversas Eu não acho que precisa de DMs e transmitir ao vivo É apenas para conversar e compartilhar idéias Fácil pavão Porque qual é o sentido de adicionar mais coisas ele ficará como o Twitter no futuro ou mais tarde no Instagram Quero dizer já existem aplicativos para isso vamos separar as coisas Concordo que poderia ter uma opção de ver feed de todos e outro dos seguidores</v>
      </c>
      <c r="J337" s="3"/>
      <c r="K337" s="3"/>
      <c r="L337" s="3"/>
      <c r="M337" s="3"/>
      <c r="N337" s="3"/>
      <c r="O337" s="3"/>
      <c r="P337" s="3"/>
      <c r="Q337" s="3"/>
      <c r="R337" s="3"/>
      <c r="S337" s="3"/>
      <c r="T337" s="3"/>
      <c r="U337" s="3"/>
      <c r="V337" s="3"/>
      <c r="W337" s="3"/>
      <c r="X337" s="3"/>
      <c r="Y337" s="3"/>
      <c r="Z337" s="3"/>
      <c r="AA337" s="3"/>
    </row>
    <row r="338" ht="105.75" customHeight="1">
      <c r="A338" s="4" t="s">
        <v>9</v>
      </c>
      <c r="B338" s="5" t="s">
        <v>346</v>
      </c>
      <c r="C338" s="4">
        <v>5.0</v>
      </c>
      <c r="D338" s="6">
        <v>45127.884780092594</v>
      </c>
      <c r="E338" s="7" t="str">
        <f t="shared" si="1"/>
        <v>2023-07-20</v>
      </c>
      <c r="F338" s="8" t="str">
        <f t="shared" si="2"/>
        <v> 21:14:05</v>
      </c>
      <c r="G338" s="9" t="str">
        <f t="shared" si="3"/>
        <v>Noite</v>
      </c>
      <c r="H338" s="10" t="str">
        <f>IFERROR(__xludf.DUMMYFUNCTION("GOOGLETRANSLATE(B338, ""en"", ""pt-br"")"),"Adoro o aplicativo ... uma coisa que eu gostaria é o volume dos vídeos que são mais fáceis de selecionar, assim ... e uma vez que estiver ligado, permanece por todos até que eu o desligue. Além disso, eu sei que eles têm mais a vir como melhores recursos "&amp;"de pesquisa. Ah, e se eu pudesse ver mais de quem eu sigo no meu feed, em vez de suas 'sugestões' ... isso seria bom 👍 Se você estiver em desenvolvimento de threads lendo isso, estou usando Android, ... oh e gifs . Eu tenho que usar um aplicativo, salvá "&amp;"-los e publicá -los. O teclado no meu 📱")</f>
        <v>Adoro o aplicativo ... uma coisa que eu gostaria é o volume dos vídeos que são mais fáceis de selecionar, assim ... e uma vez que estiver ligado, permanece por todos até que eu o desligue. Além disso, eu sei que eles têm mais a vir como melhores recursos de pesquisa. Ah, e se eu pudesse ver mais de quem eu sigo no meu feed, em vez de suas 'sugestões' ... isso seria bom 👍 Se você estiver em desenvolvimento de threads lendo isso, estou usando Android, ... oh e gifs . Eu tenho que usar um aplicativo, salvá -los e publicá -los. O teclado no meu 📱</v>
      </c>
      <c r="I338" s="10" t="str">
        <f>IFERROR(__xludf.DUMMYFUNCTION("TRIM(REGEXREPLACE(H338,""[^a-zA-ZÀ-ú ]+"",""""))"),"Adoro o aplicativo uma coisa que eu gostaria é o volume dos vídeos que são mais fáceis de selecionar assim e uma vez que estiver ligado permanece por todos até que eu o desligue Além disso eu sei que eles têm mais a vir como melhores recursos de pesquisa "&amp;"Ah e se eu pudesse ver mais de quem eu sigo no meu feed em vez de suas sugestões isso seria bom Se você estiver em desenvolvimento de threads lendo isso estou usando Android oh e gifs Eu tenho que usar um aplicativo salvá los e publicá los O teclado no me"&amp;"u")</f>
        <v>Adoro o aplicativo uma coisa que eu gostaria é o volume dos vídeos que são mais fáceis de selecionar assim e uma vez que estiver ligado permanece por todos até que eu o desligue Além disso eu sei que eles têm mais a vir como melhores recursos de pesquisa Ah e se eu pudesse ver mais de quem eu sigo no meu feed em vez de suas sugestões isso seria bom Se você estiver em desenvolvimento de threads lendo isso estou usando Android oh e gifs Eu tenho que usar um aplicativo salvá los e publicá los O teclado no meu</v>
      </c>
      <c r="J338" s="3"/>
      <c r="K338" s="3"/>
      <c r="L338" s="3"/>
      <c r="M338" s="3"/>
      <c r="N338" s="3"/>
      <c r="O338" s="3"/>
      <c r="P338" s="3"/>
      <c r="Q338" s="3"/>
      <c r="R338" s="3"/>
      <c r="S338" s="3"/>
      <c r="T338" s="3"/>
      <c r="U338" s="3"/>
      <c r="V338" s="3"/>
      <c r="W338" s="3"/>
      <c r="X338" s="3"/>
      <c r="Y338" s="3"/>
      <c r="Z338" s="3"/>
      <c r="AA338" s="3"/>
    </row>
    <row r="339" ht="105.75" customHeight="1">
      <c r="A339" s="4" t="s">
        <v>9</v>
      </c>
      <c r="B339" s="5" t="s">
        <v>347</v>
      </c>
      <c r="C339" s="4">
        <v>4.0</v>
      </c>
      <c r="D339" s="6">
        <v>45118.42780092593</v>
      </c>
      <c r="E339" s="7" t="str">
        <f t="shared" si="1"/>
        <v>2023-07-11</v>
      </c>
      <c r="F339" s="8" t="str">
        <f t="shared" si="2"/>
        <v> 10:16:02</v>
      </c>
      <c r="G339" s="9" t="str">
        <f t="shared" si="3"/>
        <v>Manhã</v>
      </c>
      <c r="H339" s="10" t="str">
        <f>IFERROR(__xludf.DUMMYFUNCTION("GOOGLETRANSLATE(B339, ""en"", ""pt-br"")"),"Sou grato por alguém ter criado uma alternativa à bagunça que o Twitter se tornou, e Threads parece promissor. Ainda é cedo, por isso espero mudanças, mas o aplicativo precisa desesperadamente da capacidade de mostrar tópicos de pessoas que me inscrevo e "&amp;"em ordem cronológica de suas postagens. A interface é clara, mas definitivamente precisa de trabalho. Sem anúncios ainda! Infelizmente, fui seguido por 'Sexy Susan', que não tem seguidores e uma foto de perfil arriscada, então acho que os bots já estão at"&amp;"ivos.")</f>
        <v>Sou grato por alguém ter criado uma alternativa à bagunça que o Twitter se tornou, e Threads parece promissor. Ainda é cedo, por isso espero mudanças, mas o aplicativo precisa desesperadamente da capacidade de mostrar tópicos de pessoas que me inscrevo e em ordem cronológica de suas postagens. A interface é clara, mas definitivamente precisa de trabalho. Sem anúncios ainda! Infelizmente, fui seguido por 'Sexy Susan', que não tem seguidores e uma foto de perfil arriscada, então acho que os bots já estão ativos.</v>
      </c>
      <c r="I339" s="10" t="str">
        <f>IFERROR(__xludf.DUMMYFUNCTION("TRIM(REGEXREPLACE(H339,""[^a-zA-ZÀ-ú ]+"",""""))"),"Sou grato por alguém ter criado uma alternativa à bagunça que o Twitter se tornou e Threads parece promissor Ainda é cedo por isso espero mudanças mas o aplicativo precisa desesperadamente da capacidade de mostrar tópicos de pessoas que me inscrevo e em o"&amp;"rdem cronológica de suas postagens A interface é clara mas definitivamente precisa de trabalho Sem anúncios ainda Infelizmente fui seguido por Sexy Susan que não tem seguidores e uma foto de perfil arriscada então acho que os bots já estão ativos")</f>
        <v>Sou grato por alguém ter criado uma alternativa à bagunça que o Twitter se tornou e Threads parece promissor Ainda é cedo por isso espero mudanças mas o aplicativo precisa desesperadamente da capacidade de mostrar tópicos de pessoas que me inscrevo e em ordem cronológica de suas postagens A interface é clara mas definitivamente precisa de trabalho Sem anúncios ainda Infelizmente fui seguido por Sexy Susan que não tem seguidores e uma foto de perfil arriscada então acho que os bots já estão ativos</v>
      </c>
      <c r="J339" s="3"/>
      <c r="K339" s="3"/>
      <c r="L339" s="3"/>
      <c r="M339" s="3"/>
      <c r="N339" s="3"/>
      <c r="O339" s="3"/>
      <c r="P339" s="3"/>
      <c r="Q339" s="3"/>
      <c r="R339" s="3"/>
      <c r="S339" s="3"/>
      <c r="T339" s="3"/>
      <c r="U339" s="3"/>
      <c r="V339" s="3"/>
      <c r="W339" s="3"/>
      <c r="X339" s="3"/>
      <c r="Y339" s="3"/>
      <c r="Z339" s="3"/>
      <c r="AA339" s="3"/>
    </row>
    <row r="340" ht="105.75" customHeight="1">
      <c r="A340" s="4" t="s">
        <v>9</v>
      </c>
      <c r="B340" s="5" t="s">
        <v>348</v>
      </c>
      <c r="C340" s="4">
        <v>1.0</v>
      </c>
      <c r="D340" s="6">
        <v>45114.995</v>
      </c>
      <c r="E340" s="7" t="str">
        <f t="shared" si="1"/>
        <v>2023-07-07</v>
      </c>
      <c r="F340" s="8" t="str">
        <f t="shared" si="2"/>
        <v> 23:52:48</v>
      </c>
      <c r="G340" s="9" t="str">
        <f t="shared" si="3"/>
        <v>Noite</v>
      </c>
      <c r="H340" s="10" t="str">
        <f>IFERROR(__xludf.DUMMYFUNCTION("GOOGLETRANSLATE(B340, ""en"", ""pt-br"")"),"Sempre que eu rolto, ele me explode com bugs visuais para fora das paredes até o ponto em que é flagrantemente inutilizável. A tela inteira pisca, o texto deixa o piscando constante após as imagens quando eu rolar, alterando as guias deixa uma colagem mac"&amp;"iça de símbolos e imagens quebradas.")</f>
        <v>Sempre que eu rolto, ele me explode com bugs visuais para fora das paredes até o ponto em que é flagrantemente inutilizável. A tela inteira pisca, o texto deixa o piscando constante após as imagens quando eu rolar, alterando as guias deixa uma colagem maciça de símbolos e imagens quebradas.</v>
      </c>
      <c r="I340" s="10" t="str">
        <f>IFERROR(__xludf.DUMMYFUNCTION("TRIM(REGEXREPLACE(H340,""[^a-zA-ZÀ-ú ]+"",""""))"),"Sempre que eu rolto ele me explode com bugs visuais para fora das paredes até o ponto em que é flagrantemente inutilizável A tela inteira pisca o texto deixa o piscando constante após as imagens quando eu rolar alterando as guias deixa uma colagem maciça "&amp;"de símbolos e imagens quebradas")</f>
        <v>Sempre que eu rolto ele me explode com bugs visuais para fora das paredes até o ponto em que é flagrantemente inutilizável A tela inteira pisca o texto deixa o piscando constante após as imagens quando eu rolar alterando as guias deixa uma colagem maciça de símbolos e imagens quebradas</v>
      </c>
      <c r="J340" s="3"/>
      <c r="K340" s="3"/>
      <c r="L340" s="3"/>
      <c r="M340" s="3"/>
      <c r="N340" s="3"/>
      <c r="O340" s="3"/>
      <c r="P340" s="3"/>
      <c r="Q340" s="3"/>
      <c r="R340" s="3"/>
      <c r="S340" s="3"/>
      <c r="T340" s="3"/>
      <c r="U340" s="3"/>
      <c r="V340" s="3"/>
      <c r="W340" s="3"/>
      <c r="X340" s="3"/>
      <c r="Y340" s="3"/>
      <c r="Z340" s="3"/>
      <c r="AA340" s="3"/>
    </row>
    <row r="341" ht="105.75" customHeight="1">
      <c r="A341" s="4" t="s">
        <v>9</v>
      </c>
      <c r="B341" s="5" t="s">
        <v>349</v>
      </c>
      <c r="C341" s="4">
        <v>1.0</v>
      </c>
      <c r="D341" s="6">
        <v>45124.30327546296</v>
      </c>
      <c r="E341" s="7" t="str">
        <f t="shared" si="1"/>
        <v>2023-07-17</v>
      </c>
      <c r="F341" s="8" t="str">
        <f t="shared" si="2"/>
        <v> 07:16:43</v>
      </c>
      <c r="G341" s="9" t="str">
        <f t="shared" si="3"/>
        <v>Manhã</v>
      </c>
      <c r="H341" s="10" t="str">
        <f>IFERROR(__xludf.DUMMYFUNCTION("GOOGLETRANSLATE(B341, ""en"", ""pt-br"")"),"Precisa de muito trabalho. Na maioria das vezes, não consigo ver threads nem notificações, sempre recebo uma mensagem de dar algo errado. O pergaminho é muito lento. Nenhuma indicação se alguém está seguindo você ou não.")</f>
        <v>Precisa de muito trabalho. Na maioria das vezes, não consigo ver threads nem notificações, sempre recebo uma mensagem de dar algo errado. O pergaminho é muito lento. Nenhuma indicação se alguém está seguindo você ou não.</v>
      </c>
      <c r="I341" s="10" t="str">
        <f>IFERROR(__xludf.DUMMYFUNCTION("TRIM(REGEXREPLACE(H341,""[^a-zA-ZÀ-ú ]+"",""""))"),"Precisa de muito trabalho Na maioria das vezes não consigo ver threads nem notificações sempre recebo uma mensagem de dar algo errado O pergaminho é muito lento Nenhuma indicação se alguém está seguindo você ou não")</f>
        <v>Precisa de muito trabalho Na maioria das vezes não consigo ver threads nem notificações sempre recebo uma mensagem de dar algo errado O pergaminho é muito lento Nenhuma indicação se alguém está seguindo você ou não</v>
      </c>
      <c r="J341" s="3"/>
      <c r="K341" s="3"/>
      <c r="L341" s="3"/>
      <c r="M341" s="3"/>
      <c r="N341" s="3"/>
      <c r="O341" s="3"/>
      <c r="P341" s="3"/>
      <c r="Q341" s="3"/>
      <c r="R341" s="3"/>
      <c r="S341" s="3"/>
      <c r="T341" s="3"/>
      <c r="U341" s="3"/>
      <c r="V341" s="3"/>
      <c r="W341" s="3"/>
      <c r="X341" s="3"/>
      <c r="Y341" s="3"/>
      <c r="Z341" s="3"/>
      <c r="AA341" s="3"/>
    </row>
    <row r="342" ht="105.75" customHeight="1">
      <c r="A342" s="4" t="s">
        <v>9</v>
      </c>
      <c r="B342" s="5" t="s">
        <v>350</v>
      </c>
      <c r="C342" s="4">
        <v>5.0</v>
      </c>
      <c r="D342" s="6">
        <v>45120.57847222222</v>
      </c>
      <c r="E342" s="7" t="str">
        <f t="shared" si="1"/>
        <v>2023-07-13</v>
      </c>
      <c r="F342" s="8" t="str">
        <f t="shared" si="2"/>
        <v> 13:53:00</v>
      </c>
      <c r="G342" s="9" t="str">
        <f t="shared" si="3"/>
        <v>Tarde</v>
      </c>
      <c r="H342" s="10" t="str">
        <f>IFERROR(__xludf.DUMMYFUNCTION("GOOGLETRANSLATE(B342, ""en"", ""pt-br"")"),"Outra plataforma fenomenal socmed da Meta! Acabei de baixar isso ontem e já estou confortável em usá -lo. A interface do usuário é super fácil de aprender e se acostumar. Além disso, os recursos são excelentes. Você pode literalmente enviar threads em um "&amp;"clique. Além disso, você também pode responder ao post de outras pessoas com texto, imagem e outras interações. Eles são todos visíveis em um só lugar, ao contrário da outra plataforma confusa e estonteante chamada Twitter. &lt;3 LOL")</f>
        <v>Outra plataforma fenomenal socmed da Meta! Acabei de baixar isso ontem e já estou confortável em usá -lo. A interface do usuário é super fácil de aprender e se acostumar. Além disso, os recursos são excelentes. Você pode literalmente enviar threads em um clique. Além disso, você também pode responder ao post de outras pessoas com texto, imagem e outras interações. Eles são todos visíveis em um só lugar, ao contrário da outra plataforma confusa e estonteante chamada Twitter. &lt;3 LOL</v>
      </c>
      <c r="I342" s="10" t="str">
        <f>IFERROR(__xludf.DUMMYFUNCTION("TRIM(REGEXREPLACE(H342,""[^a-zA-ZÀ-ú ]+"",""""))"),"Outra plataforma fenomenal socmed da Meta Acabei de baixar isso ontem e já estou confortável em usá lo A interface do usuário é super fácil de aprender e se acostumar Além disso os recursos são excelentes Você pode literalmente enviar threads em um clique"&amp;" Além disso você também pode responder ao post de outras pessoas com texto imagem e outras interações Eles são todos visíveis em um só lugar ao contrário da outra plataforma confusa e estonteante chamada Twitter LOL")</f>
        <v>Outra plataforma fenomenal socmed da Meta Acabei de baixar isso ontem e já estou confortável em usá lo A interface do usuário é super fácil de aprender e se acostumar Além disso os recursos são excelentes Você pode literalmente enviar threads em um clique Além disso você também pode responder ao post de outras pessoas com texto imagem e outras interações Eles são todos visíveis em um só lugar ao contrário da outra plataforma confusa e estonteante chamada Twitter LOL</v>
      </c>
      <c r="J342" s="3"/>
      <c r="K342" s="3"/>
      <c r="L342" s="3"/>
      <c r="M342" s="3"/>
      <c r="N342" s="3"/>
      <c r="O342" s="3"/>
      <c r="P342" s="3"/>
      <c r="Q342" s="3"/>
      <c r="R342" s="3"/>
      <c r="S342" s="3"/>
      <c r="T342" s="3"/>
      <c r="U342" s="3"/>
      <c r="V342" s="3"/>
      <c r="W342" s="3"/>
      <c r="X342" s="3"/>
      <c r="Y342" s="3"/>
      <c r="Z342" s="3"/>
      <c r="AA342" s="3"/>
    </row>
    <row r="343" ht="105.75" customHeight="1">
      <c r="A343" s="4" t="s">
        <v>9</v>
      </c>
      <c r="B343" s="5" t="s">
        <v>351</v>
      </c>
      <c r="C343" s="4">
        <v>4.0</v>
      </c>
      <c r="D343" s="6">
        <v>45117.22114583333</v>
      </c>
      <c r="E343" s="7" t="str">
        <f t="shared" si="1"/>
        <v>2023-07-10</v>
      </c>
      <c r="F343" s="8" t="str">
        <f t="shared" si="2"/>
        <v> 05:18:27</v>
      </c>
      <c r="G343" s="9" t="str">
        <f t="shared" si="3"/>
        <v>Manhã</v>
      </c>
      <c r="H343" s="10" t="str">
        <f>IFERROR(__xludf.DUMMYFUNCTION("GOOGLETRANSLATE(B343, ""en"", ""pt-br"")"),"É um ótimo aplicativo e é realmente fácil de navegar, mas ainda há muito a ser feito. Adicione um botão de mensagem, adicione tags na pesquisa, adicione configurações em que se pode desativar ou ativar respostas públicas, que devem ser privadas. Obrigado")</f>
        <v>É um ótimo aplicativo e é realmente fácil de navegar, mas ainda há muito a ser feito. Adicione um botão de mensagem, adicione tags na pesquisa, adicione configurações em que se pode desativar ou ativar respostas públicas, que devem ser privadas. Obrigado</v>
      </c>
      <c r="I343" s="10" t="str">
        <f>IFERROR(__xludf.DUMMYFUNCTION("TRIM(REGEXREPLACE(H343,""[^a-zA-ZÀ-ú ]+"",""""))"),"É um ótimo aplicativo e é realmente fácil de navegar mas ainda há muito a ser feito Adicione um botão de mensagem adicione tags na pesquisa adicione configurações em que se pode desativar ou ativar respostas públicas que devem ser privadas Obrigado")</f>
        <v>É um ótimo aplicativo e é realmente fácil de navegar mas ainda há muito a ser feito Adicione um botão de mensagem adicione tags na pesquisa adicione configurações em que se pode desativar ou ativar respostas públicas que devem ser privadas Obrigado</v>
      </c>
      <c r="J343" s="3"/>
      <c r="K343" s="3"/>
      <c r="L343" s="3"/>
      <c r="M343" s="3"/>
      <c r="N343" s="3"/>
      <c r="O343" s="3"/>
      <c r="P343" s="3"/>
      <c r="Q343" s="3"/>
      <c r="R343" s="3"/>
      <c r="S343" s="3"/>
      <c r="T343" s="3"/>
      <c r="U343" s="3"/>
      <c r="V343" s="3"/>
      <c r="W343" s="3"/>
      <c r="X343" s="3"/>
      <c r="Y343" s="3"/>
      <c r="Z343" s="3"/>
      <c r="AA343" s="3"/>
    </row>
    <row r="344" ht="105.75" customHeight="1">
      <c r="A344" s="4" t="s">
        <v>9</v>
      </c>
      <c r="B344" s="5" t="s">
        <v>352</v>
      </c>
      <c r="C344" s="4">
        <v>1.0</v>
      </c>
      <c r="D344" s="6">
        <v>45114.15634259259</v>
      </c>
      <c r="E344" s="7" t="str">
        <f t="shared" si="1"/>
        <v>2023-07-07</v>
      </c>
      <c r="F344" s="8" t="str">
        <f t="shared" si="2"/>
        <v> 03:45:08</v>
      </c>
      <c r="G344" s="9" t="str">
        <f t="shared" si="3"/>
        <v>Manhã</v>
      </c>
      <c r="H344" s="10" t="str">
        <f>IFERROR(__xludf.DUMMYFUNCTION("GOOGLETRANSLATE(B344, ""en"", ""pt-br"")"),"Assim que foi conectado ao aplicativo, a coisa toda é uma bagunça insuficiente inutilizável. Não consigo nem ver minha tela, são apenas pixels rasgando em todas as direções. Acho que ainda não chegou perto de ser otimizado para todos os dispositivos.")</f>
        <v>Assim que foi conectado ao aplicativo, a coisa toda é uma bagunça insuficiente inutilizável. Não consigo nem ver minha tela, são apenas pixels rasgando em todas as direções. Acho que ainda não chegou perto de ser otimizado para todos os dispositivos.</v>
      </c>
      <c r="I344" s="10" t="str">
        <f>IFERROR(__xludf.DUMMYFUNCTION("TRIM(REGEXREPLACE(H344,""[^a-zA-ZÀ-ú ]+"",""""))"),"Assim que foi conectado ao aplicativo a coisa toda é uma bagunça insuficiente inutilizável Não consigo nem ver minha tela são apenas pixels rasgando em todas as direções Acho que ainda não chegou perto de ser otimizado para todos os dispositivos")</f>
        <v>Assim que foi conectado ao aplicativo a coisa toda é uma bagunça insuficiente inutilizável Não consigo nem ver minha tela são apenas pixels rasgando em todas as direções Acho que ainda não chegou perto de ser otimizado para todos os dispositivos</v>
      </c>
      <c r="J344" s="3"/>
      <c r="K344" s="3"/>
      <c r="L344" s="3"/>
      <c r="M344" s="3"/>
      <c r="N344" s="3"/>
      <c r="O344" s="3"/>
      <c r="P344" s="3"/>
      <c r="Q344" s="3"/>
      <c r="R344" s="3"/>
      <c r="S344" s="3"/>
      <c r="T344" s="3"/>
      <c r="U344" s="3"/>
      <c r="V344" s="3"/>
      <c r="W344" s="3"/>
      <c r="X344" s="3"/>
      <c r="Y344" s="3"/>
      <c r="Z344" s="3"/>
      <c r="AA344" s="3"/>
    </row>
    <row r="345" ht="105.75" customHeight="1">
      <c r="A345" s="4" t="s">
        <v>9</v>
      </c>
      <c r="B345" s="5" t="s">
        <v>353</v>
      </c>
      <c r="C345" s="4">
        <v>2.0</v>
      </c>
      <c r="D345" s="6">
        <v>45116.11785879629</v>
      </c>
      <c r="E345" s="7" t="str">
        <f t="shared" si="1"/>
        <v>2023-07-09</v>
      </c>
      <c r="F345" s="8" t="str">
        <f t="shared" si="2"/>
        <v> 02:49:43</v>
      </c>
      <c r="G345" s="9" t="str">
        <f t="shared" si="3"/>
        <v>Manhã</v>
      </c>
      <c r="H345" s="10" t="str">
        <f>IFERROR(__xludf.DUMMYFUNCTION("GOOGLETRANSLATE(B345, ""en"", ""pt-br"")"),"Eu realmente gostaria mais se pudesse curar meu feed. Facebook, Insta, Tumblr, Reddit, são experiências positivas porque sou capaz de personalizar minha experiência de feed para meus interesses. Não me importo necessariamente de ver coisas que não segui i"&amp;"ntencionalmente, mas isso deve me permitir escolher. Também não estou realmente interessado na inanidade daqueles com seguidores enormes. Eu prefiro conversas reais com pessoas que não estão aqui para produzir conteúdo.")</f>
        <v>Eu realmente gostaria mais se pudesse curar meu feed. Facebook, Insta, Tumblr, Reddit, são experiências positivas porque sou capaz de personalizar minha experiência de feed para meus interesses. Não me importo necessariamente de ver coisas que não segui intencionalmente, mas isso deve me permitir escolher. Também não estou realmente interessado na inanidade daqueles com seguidores enormes. Eu prefiro conversas reais com pessoas que não estão aqui para produzir conteúdo.</v>
      </c>
      <c r="I345" s="10" t="str">
        <f>IFERROR(__xludf.DUMMYFUNCTION("TRIM(REGEXREPLACE(H345,""[^a-zA-ZÀ-ú ]+"",""""))"),"Eu realmente gostaria mais se pudesse curar meu feed Facebook Insta Tumblr Reddit são experiências positivas porque sou capaz de personalizar minha experiência de feed para meus interesses Não me importo necessariamente de ver coisas que não segui intenci"&amp;"onalmente mas isso deve me permitir escolher Também não estou realmente interessado na inanidade daqueles com seguidores enormes Eu prefiro conversas reais com pessoas que não estão aqui para produzir conteúdo")</f>
        <v>Eu realmente gostaria mais se pudesse curar meu feed Facebook Insta Tumblr Reddit são experiências positivas porque sou capaz de personalizar minha experiência de feed para meus interesses Não me importo necessariamente de ver coisas que não segui intencionalmente mas isso deve me permitir escolher Também não estou realmente interessado na inanidade daqueles com seguidores enormes Eu prefiro conversas reais com pessoas que não estão aqui para produzir conteúdo</v>
      </c>
      <c r="J345" s="3"/>
      <c r="K345" s="3"/>
      <c r="L345" s="3"/>
      <c r="M345" s="3"/>
      <c r="N345" s="3"/>
      <c r="O345" s="3"/>
      <c r="P345" s="3"/>
      <c r="Q345" s="3"/>
      <c r="R345" s="3"/>
      <c r="S345" s="3"/>
      <c r="T345" s="3"/>
      <c r="U345" s="3"/>
      <c r="V345" s="3"/>
      <c r="W345" s="3"/>
      <c r="X345" s="3"/>
      <c r="Y345" s="3"/>
      <c r="Z345" s="3"/>
      <c r="AA345" s="3"/>
    </row>
    <row r="346" ht="105.75" customHeight="1">
      <c r="A346" s="4" t="s">
        <v>9</v>
      </c>
      <c r="B346" s="5" t="s">
        <v>354</v>
      </c>
      <c r="C346" s="4">
        <v>3.0</v>
      </c>
      <c r="D346" s="6">
        <v>45117.346597222226</v>
      </c>
      <c r="E346" s="7" t="str">
        <f t="shared" si="1"/>
        <v>2023-07-10</v>
      </c>
      <c r="F346" s="8" t="str">
        <f t="shared" si="2"/>
        <v> 08:19:06</v>
      </c>
      <c r="G346" s="9" t="str">
        <f t="shared" si="3"/>
        <v>Manhã</v>
      </c>
      <c r="H346" s="10" t="str">
        <f>IFERROR(__xludf.DUMMYFUNCTION("GOOGLETRANSLATE(B346, ""en"", ""pt-br"")"),"É um novo aplicativo, e acredito que ainda precisa de melhorias. Durante a digitação, o teclado cobre o texto, o que dificulta ver o que alguém está digitando. Além disso, acho que faz muito sentido que eu possa ver pessoas que me seguem em seu perfil.")</f>
        <v>É um novo aplicativo, e acredito que ainda precisa de melhorias. Durante a digitação, o teclado cobre o texto, o que dificulta ver o que alguém está digitando. Além disso, acho que faz muito sentido que eu possa ver pessoas que me seguem em seu perfil.</v>
      </c>
      <c r="I346" s="10" t="str">
        <f>IFERROR(__xludf.DUMMYFUNCTION("TRIM(REGEXREPLACE(H346,""[^a-zA-ZÀ-ú ]+"",""""))"),"É um novo aplicativo e acredito que ainda precisa de melhorias Durante a digitação o teclado cobre o texto o que dificulta ver o que alguém está digitando Além disso acho que faz muito sentido que eu possa ver pessoas que me seguem em seu perfil")</f>
        <v>É um novo aplicativo e acredito que ainda precisa de melhorias Durante a digitação o teclado cobre o texto o que dificulta ver o que alguém está digitando Além disso acho que faz muito sentido que eu possa ver pessoas que me seguem em seu perfil</v>
      </c>
      <c r="J346" s="3"/>
      <c r="K346" s="3"/>
      <c r="L346" s="3"/>
      <c r="M346" s="3"/>
      <c r="N346" s="3"/>
      <c r="O346" s="3"/>
      <c r="P346" s="3"/>
      <c r="Q346" s="3"/>
      <c r="R346" s="3"/>
      <c r="S346" s="3"/>
      <c r="T346" s="3"/>
      <c r="U346" s="3"/>
      <c r="V346" s="3"/>
      <c r="W346" s="3"/>
      <c r="X346" s="3"/>
      <c r="Y346" s="3"/>
      <c r="Z346" s="3"/>
      <c r="AA346" s="3"/>
    </row>
    <row r="347" ht="105.75" customHeight="1">
      <c r="A347" s="4" t="s">
        <v>9</v>
      </c>
      <c r="B347" s="5" t="s">
        <v>355</v>
      </c>
      <c r="C347" s="4">
        <v>5.0</v>
      </c>
      <c r="D347" s="6">
        <v>45116.630162037036</v>
      </c>
      <c r="E347" s="7" t="str">
        <f t="shared" si="1"/>
        <v>2023-07-09</v>
      </c>
      <c r="F347" s="8" t="str">
        <f t="shared" si="2"/>
        <v> 15:07:26</v>
      </c>
      <c r="G347" s="9" t="str">
        <f t="shared" si="3"/>
        <v>Tarde</v>
      </c>
      <c r="H347" s="10" t="str">
        <f>IFERROR(__xludf.DUMMYFUNCTION("GOOGLETRANSLATE(B347, ""en"", ""pt-br"")"),"Honestamente, realmente parece o Twitter, mas menos amaldiçoado. Não vi problemas reais com isso até agora. Uma coisa que eu acho que seria legal é que, em vez de mostrar o pequeno personagem no canto inferior direito da tela para visualizar nosso perfil,"&amp;" deve ser a nossa imagem de perfil. Não muito bem, acho que seria uma ideia legal. Também ser capaz de editar nossos comentários e outras coisas também seria legal. Ainda é um aplicativo incrível, cinco estrelas bem conquistadas até agora.")</f>
        <v>Honestamente, realmente parece o Twitter, mas menos amaldiçoado. Não vi problemas reais com isso até agora. Uma coisa que eu acho que seria legal é que, em vez de mostrar o pequeno personagem no canto inferior direito da tela para visualizar nosso perfil, deve ser a nossa imagem de perfil. Não muito bem, acho que seria uma ideia legal. Também ser capaz de editar nossos comentários e outras coisas também seria legal. Ainda é um aplicativo incrível, cinco estrelas bem conquistadas até agora.</v>
      </c>
      <c r="I347" s="10" t="str">
        <f>IFERROR(__xludf.DUMMYFUNCTION("TRIM(REGEXREPLACE(H347,""[^a-zA-ZÀ-ú ]+"",""""))"),"Honestamente realmente parece o Twitter mas menos amaldiçoado Não vi problemas reais com isso até agora Uma coisa que eu acho que seria legal é que em vez de mostrar o pequeno personagem no canto inferior direito da tela para visualizar nosso perfil deve "&amp;"ser a nossa imagem de perfil Não muito bem acho que seria uma ideia legal Também ser capaz de editar nossos comentários e outras coisas também seria legal Ainda é um aplicativo incrível cinco estrelas bem conquistadas até agora")</f>
        <v>Honestamente realmente parece o Twitter mas menos amaldiçoado Não vi problemas reais com isso até agora Uma coisa que eu acho que seria legal é que em vez de mostrar o pequeno personagem no canto inferior direito da tela para visualizar nosso perfil deve ser a nossa imagem de perfil Não muito bem acho que seria uma ideia legal Também ser capaz de editar nossos comentários e outras coisas também seria legal Ainda é um aplicativo incrível cinco estrelas bem conquistadas até agora</v>
      </c>
      <c r="J347" s="3"/>
      <c r="K347" s="3"/>
      <c r="L347" s="3"/>
      <c r="M347" s="3"/>
      <c r="N347" s="3"/>
      <c r="O347" s="3"/>
      <c r="P347" s="3"/>
      <c r="Q347" s="3"/>
      <c r="R347" s="3"/>
      <c r="S347" s="3"/>
      <c r="T347" s="3"/>
      <c r="U347" s="3"/>
      <c r="V347" s="3"/>
      <c r="W347" s="3"/>
      <c r="X347" s="3"/>
      <c r="Y347" s="3"/>
      <c r="Z347" s="3"/>
      <c r="AA347" s="3"/>
    </row>
    <row r="348" ht="105.75" customHeight="1">
      <c r="A348" s="4" t="s">
        <v>9</v>
      </c>
      <c r="B348" s="5" t="s">
        <v>356</v>
      </c>
      <c r="C348" s="4">
        <v>2.0</v>
      </c>
      <c r="D348" s="6">
        <v>45116.60954861111</v>
      </c>
      <c r="E348" s="7" t="str">
        <f t="shared" si="1"/>
        <v>2023-07-09</v>
      </c>
      <c r="F348" s="8" t="str">
        <f t="shared" si="2"/>
        <v> 14:37:45</v>
      </c>
      <c r="G348" s="9" t="str">
        <f t="shared" si="3"/>
        <v>Tarde</v>
      </c>
      <c r="H348" s="10" t="str">
        <f>IFERROR(__xludf.DUMMYFUNCTION("GOOGLETRANSLATE(B348, ""en"", ""pt-br"")"),"Não há ferramentas de edição. Não é possível selecionar outras pastas ao postar imagens, ele é fixo na galeria. Vista não clara dos threads. Talvez tudo mais tarde venha com algum preço sobre eles :)))")</f>
        <v>Não há ferramentas de edição. Não é possível selecionar outras pastas ao postar imagens, ele é fixo na galeria. Vista não clara dos threads. Talvez tudo mais tarde venha com algum preço sobre eles :)))</v>
      </c>
      <c r="I348" s="10" t="str">
        <f>IFERROR(__xludf.DUMMYFUNCTION("TRIM(REGEXREPLACE(H348,""[^a-zA-ZÀ-ú ]+"",""""))"),"Não há ferramentas de edição Não é possível selecionar outras pastas ao postar imagens ele é fixo na galeria Vista não clara dos threads Talvez tudo mais tarde venha com algum preço sobre eles")</f>
        <v>Não há ferramentas de edição Não é possível selecionar outras pastas ao postar imagens ele é fixo na galeria Vista não clara dos threads Talvez tudo mais tarde venha com algum preço sobre eles</v>
      </c>
      <c r="J348" s="3"/>
      <c r="K348" s="3"/>
      <c r="L348" s="3"/>
      <c r="M348" s="3"/>
      <c r="N348" s="3"/>
      <c r="O348" s="3"/>
      <c r="P348" s="3"/>
      <c r="Q348" s="3"/>
      <c r="R348" s="3"/>
      <c r="S348" s="3"/>
      <c r="T348" s="3"/>
      <c r="U348" s="3"/>
      <c r="V348" s="3"/>
      <c r="W348" s="3"/>
      <c r="X348" s="3"/>
      <c r="Y348" s="3"/>
      <c r="Z348" s="3"/>
      <c r="AA348" s="3"/>
    </row>
    <row r="349" ht="105.75" customHeight="1">
      <c r="A349" s="4" t="s">
        <v>9</v>
      </c>
      <c r="B349" s="5" t="s">
        <v>357</v>
      </c>
      <c r="C349" s="4">
        <v>4.0</v>
      </c>
      <c r="D349" s="6">
        <v>45118.94619212963</v>
      </c>
      <c r="E349" s="7" t="str">
        <f t="shared" si="1"/>
        <v>2023-07-11</v>
      </c>
      <c r="F349" s="8" t="str">
        <f t="shared" si="2"/>
        <v> 22:42:31</v>
      </c>
      <c r="G349" s="9" t="str">
        <f t="shared" si="3"/>
        <v>Noite</v>
      </c>
      <c r="H349" s="10" t="str">
        <f>IFERROR(__xludf.DUMMYFUNCTION("GOOGLETRANSLATE(B349, ""en"", ""pt-br"")"),"Eu realmente gosto do aplicativo Threads. A única razão pela qual não estou dando 5 estrelas é por causa de alguns recursos que sinto que o aplicativo precisa. Os tópicos de tendência deveriam estar lá da estréia. Além disso, o DMS, mesmo que seja um botã"&amp;"o que nos vincule ao Instagram DM para concluir a conversa. O aplicativo também pode usar a função de espaços. No geral, threads é incrível.")</f>
        <v>Eu realmente gosto do aplicativo Threads. A única razão pela qual não estou dando 5 estrelas é por causa de alguns recursos que sinto que o aplicativo precisa. Os tópicos de tendência deveriam estar lá da estréia. Além disso, o DMS, mesmo que seja um botão que nos vincule ao Instagram DM para concluir a conversa. O aplicativo também pode usar a função de espaços. No geral, threads é incrível.</v>
      </c>
      <c r="I349" s="10" t="str">
        <f>IFERROR(__xludf.DUMMYFUNCTION("TRIM(REGEXREPLACE(H349,""[^a-zA-ZÀ-ú ]+"",""""))"),"Eu realmente gosto do aplicativo Threads A única razão pela qual não estou dando estrelas é por causa de alguns recursos que sinto que o aplicativo precisa Os tópicos de tendência deveriam estar lá da estréia Além disso o DMS mesmo que seja um botão que n"&amp;"os vincule ao Instagram DM para concluir a conversa O aplicativo também pode usar a função de espaços No geral threads é incrível")</f>
        <v>Eu realmente gosto do aplicativo Threads A única razão pela qual não estou dando estrelas é por causa de alguns recursos que sinto que o aplicativo precisa Os tópicos de tendência deveriam estar lá da estréia Além disso o DMS mesmo que seja um botão que nos vincule ao Instagram DM para concluir a conversa O aplicativo também pode usar a função de espaços No geral threads é incrível</v>
      </c>
      <c r="J349" s="3"/>
      <c r="K349" s="3"/>
      <c r="L349" s="3"/>
      <c r="M349" s="3"/>
      <c r="N349" s="3"/>
      <c r="O349" s="3"/>
      <c r="P349" s="3"/>
      <c r="Q349" s="3"/>
      <c r="R349" s="3"/>
      <c r="S349" s="3"/>
      <c r="T349" s="3"/>
      <c r="U349" s="3"/>
      <c r="V349" s="3"/>
      <c r="W349" s="3"/>
      <c r="X349" s="3"/>
      <c r="Y349" s="3"/>
      <c r="Z349" s="3"/>
      <c r="AA349" s="3"/>
    </row>
    <row r="350" ht="105.75" customHeight="1">
      <c r="A350" s="4" t="s">
        <v>9</v>
      </c>
      <c r="B350" s="5" t="s">
        <v>358</v>
      </c>
      <c r="C350" s="4">
        <v>4.0</v>
      </c>
      <c r="D350" s="6">
        <v>45116.79004629629</v>
      </c>
      <c r="E350" s="7" t="str">
        <f t="shared" si="1"/>
        <v>2023-07-09</v>
      </c>
      <c r="F350" s="8" t="str">
        <f t="shared" si="2"/>
        <v> 18:57:40</v>
      </c>
      <c r="G350" s="9" t="str">
        <f t="shared" si="3"/>
        <v>Noite</v>
      </c>
      <c r="H350" s="10" t="str">
        <f>IFERROR(__xludf.DUMMYFUNCTION("GOOGLETRANSLATE(B350, ""en"", ""pt-br"")"),"Aqui está minha revisão honesta: não é um aplicativo ruim, mas pode haver mais recursos que podem tornar todo o aplicativo mais divertido de usar. Assim como o Instagram permite alterar contas, talvez os threads possam usar o mesmo recurso. O único método"&amp;" para alternar é registrando atualmente. O que eu mais gostei foi o tema sombrio que veio ao abrir o aplicativo. Fácil de se acostumar.")</f>
        <v>Aqui está minha revisão honesta: não é um aplicativo ruim, mas pode haver mais recursos que podem tornar todo o aplicativo mais divertido de usar. Assim como o Instagram permite alterar contas, talvez os threads possam usar o mesmo recurso. O único método para alternar é registrando atualmente. O que eu mais gostei foi o tema sombrio que veio ao abrir o aplicativo. Fácil de se acostumar.</v>
      </c>
      <c r="I350" s="10" t="str">
        <f>IFERROR(__xludf.DUMMYFUNCTION("TRIM(REGEXREPLACE(H350,""[^a-zA-ZÀ-ú ]+"",""""))"),"Aqui está minha revisão honesta não é um aplicativo ruim mas pode haver mais recursos que podem tornar todo o aplicativo mais divertido de usar Assim como o Instagram permite alterar contas talvez os threads possam usar o mesmo recurso O único método para"&amp;" alternar é registrando atualmente O que eu mais gostei foi o tema sombrio que veio ao abrir o aplicativo Fácil de se acostumar")</f>
        <v>Aqui está minha revisão honesta não é um aplicativo ruim mas pode haver mais recursos que podem tornar todo o aplicativo mais divertido de usar Assim como o Instagram permite alterar contas talvez os threads possam usar o mesmo recurso O único método para alternar é registrando atualmente O que eu mais gostei foi o tema sombrio que veio ao abrir o aplicativo Fácil de se acostumar</v>
      </c>
      <c r="J350" s="3"/>
      <c r="K350" s="3"/>
      <c r="L350" s="3"/>
      <c r="M350" s="3"/>
      <c r="N350" s="3"/>
      <c r="O350" s="3"/>
      <c r="P350" s="3"/>
      <c r="Q350" s="3"/>
      <c r="R350" s="3"/>
      <c r="S350" s="3"/>
      <c r="T350" s="3"/>
      <c r="U350" s="3"/>
      <c r="V350" s="3"/>
      <c r="W350" s="3"/>
      <c r="X350" s="3"/>
      <c r="Y350" s="3"/>
      <c r="Z350" s="3"/>
      <c r="AA350" s="3"/>
    </row>
    <row r="351" ht="105.75" customHeight="1">
      <c r="A351" s="4" t="s">
        <v>9</v>
      </c>
      <c r="B351" s="5" t="s">
        <v>359</v>
      </c>
      <c r="C351" s="4">
        <v>3.0</v>
      </c>
      <c r="D351" s="6">
        <v>45113.24793981481</v>
      </c>
      <c r="E351" s="7" t="str">
        <f t="shared" si="1"/>
        <v>2023-07-06</v>
      </c>
      <c r="F351" s="8" t="str">
        <f t="shared" si="2"/>
        <v> 05:57:02</v>
      </c>
      <c r="G351" s="9" t="str">
        <f t="shared" si="3"/>
        <v>Manhã</v>
      </c>
      <c r="H351" s="10" t="str">
        <f>IFERROR(__xludf.DUMMYFUNCTION("GOOGLETRANSLATE(B351, ""en"", ""pt-br"")"),"Não é um aplicativo muito estável como eu digitando, por exemplo, quando eu marque alguém ou digito muito no meu dispositivo, ele trava. Uma recomendação para o aplicativo é ter a opção de fixar nossos threads e a opção de editar nossos threads. Aumentará"&amp;" a experiência do usuário.")</f>
        <v>Não é um aplicativo muito estável como eu digitando, por exemplo, quando eu marque alguém ou digito muito no meu dispositivo, ele trava. Uma recomendação para o aplicativo é ter a opção de fixar nossos threads e a opção de editar nossos threads. Aumentará a experiência do usuário.</v>
      </c>
      <c r="I351" s="10" t="str">
        <f>IFERROR(__xludf.DUMMYFUNCTION("TRIM(REGEXREPLACE(H351,""[^a-zA-ZÀ-ú ]+"",""""))"),"Não é um aplicativo muito estável como eu digitando por exemplo quando eu marque alguém ou digito muito no meu dispositivo ele trava Uma recomendação para o aplicativo é ter a opção de fixar nossos threads e a opção de editar nossos threads Aumentará a ex"&amp;"periência do usuário")</f>
        <v>Não é um aplicativo muito estável como eu digitando por exemplo quando eu marque alguém ou digito muito no meu dispositivo ele trava Uma recomendação para o aplicativo é ter a opção de fixar nossos threads e a opção de editar nossos threads Aumentará a experiência do usuário</v>
      </c>
      <c r="J351" s="3"/>
      <c r="K351" s="3"/>
      <c r="L351" s="3"/>
      <c r="M351" s="3"/>
      <c r="N351" s="3"/>
      <c r="O351" s="3"/>
      <c r="P351" s="3"/>
      <c r="Q351" s="3"/>
      <c r="R351" s="3"/>
      <c r="S351" s="3"/>
      <c r="T351" s="3"/>
      <c r="U351" s="3"/>
      <c r="V351" s="3"/>
      <c r="W351" s="3"/>
      <c r="X351" s="3"/>
      <c r="Y351" s="3"/>
      <c r="Z351" s="3"/>
      <c r="AA351" s="3"/>
    </row>
    <row r="352" ht="105.75" customHeight="1">
      <c r="A352" s="4" t="s">
        <v>9</v>
      </c>
      <c r="B352" s="5" t="s">
        <v>360</v>
      </c>
      <c r="C352" s="4">
        <v>5.0</v>
      </c>
      <c r="D352" s="6">
        <v>45124.39796296296</v>
      </c>
      <c r="E352" s="7" t="str">
        <f t="shared" si="1"/>
        <v>2023-07-17</v>
      </c>
      <c r="F352" s="8" t="str">
        <f t="shared" si="2"/>
        <v> 09:33:04</v>
      </c>
      <c r="G352" s="9" t="str">
        <f t="shared" si="3"/>
        <v>Manhã</v>
      </c>
      <c r="H352" s="10" t="str">
        <f>IFERROR(__xludf.DUMMYFUNCTION("GOOGLETRANSLATE(B352, ""en"", ""pt-br"")"),"Evidentemente, um aplicativo apressado para preencher a lacuna deixada pelo Twitter, mas honestamente fornece uma experiência melhor, se um pouco barenonas. Tudo o que precisa é de algumas opções de alimentação e é isso. Não deve se esforçar para fazer tu"&amp;"do, mas se concentrar no conteúdo baseado em texto")</f>
        <v>Evidentemente, um aplicativo apressado para preencher a lacuna deixada pelo Twitter, mas honestamente fornece uma experiência melhor, se um pouco barenonas. Tudo o que precisa é de algumas opções de alimentação e é isso. Não deve se esforçar para fazer tudo, mas se concentrar no conteúdo baseado em texto</v>
      </c>
      <c r="I352" s="10" t="str">
        <f>IFERROR(__xludf.DUMMYFUNCTION("TRIM(REGEXREPLACE(H352,""[^a-zA-ZÀ-ú ]+"",""""))"),"Evidentemente um aplicativo apressado para preencher a lacuna deixada pelo Twitter mas honestamente fornece uma experiência melhor se um pouco barenonas Tudo o que precisa é de algumas opções de alimentação e é isso Não deve se esforçar para fazer tudo ma"&amp;"s se concentrar no conteúdo baseado em texto")</f>
        <v>Evidentemente um aplicativo apressado para preencher a lacuna deixada pelo Twitter mas honestamente fornece uma experiência melhor se um pouco barenonas Tudo o que precisa é de algumas opções de alimentação e é isso Não deve se esforçar para fazer tudo mas se concentrar no conteúdo baseado em texto</v>
      </c>
      <c r="J352" s="3"/>
      <c r="K352" s="3"/>
      <c r="L352" s="3"/>
      <c r="M352" s="3"/>
      <c r="N352" s="3"/>
      <c r="O352" s="3"/>
      <c r="P352" s="3"/>
      <c r="Q352" s="3"/>
      <c r="R352" s="3"/>
      <c r="S352" s="3"/>
      <c r="T352" s="3"/>
      <c r="U352" s="3"/>
      <c r="V352" s="3"/>
      <c r="W352" s="3"/>
      <c r="X352" s="3"/>
      <c r="Y352" s="3"/>
      <c r="Z352" s="3"/>
      <c r="AA352" s="3"/>
    </row>
    <row r="353" ht="105.75" customHeight="1">
      <c r="A353" s="4" t="s">
        <v>9</v>
      </c>
      <c r="B353" s="5" t="s">
        <v>361</v>
      </c>
      <c r="C353" s="4">
        <v>2.0</v>
      </c>
      <c r="D353" s="6">
        <v>45114.16961805556</v>
      </c>
      <c r="E353" s="7" t="str">
        <f t="shared" si="1"/>
        <v>2023-07-07</v>
      </c>
      <c r="F353" s="8" t="str">
        <f t="shared" si="2"/>
        <v> 04:04:15</v>
      </c>
      <c r="G353" s="9" t="str">
        <f t="shared" si="3"/>
        <v>Manhã</v>
      </c>
      <c r="H353" s="10" t="str">
        <f>IFERROR(__xludf.DUMMYFUNCTION("GOOGLETRANSLATE(B353, ""en"", ""pt-br"")"),"Saudações e bênçãos à equipe do desenvolvedor O aplicativo é realmente bom e a ideologia é ótima que algumas pessoas podem não amar, mas é bom. Mas ... estou enfrentando repetidamente uma questão de não conseguir fazer login no Insta e threads ao mesmo te"&amp;"mpo, para que não possa repassar meus threads post no Insta. Isso pode ser um bug, mas é grande e praticamente capaz de irritar o usuário. Eu adoraria se você consertasse.")</f>
        <v>Saudações e bênçãos à equipe do desenvolvedor O aplicativo é realmente bom e a ideologia é ótima que algumas pessoas podem não amar, mas é bom. Mas ... estou enfrentando repetidamente uma questão de não conseguir fazer login no Insta e threads ao mesmo tempo, para que não possa repassar meus threads post no Insta. Isso pode ser um bug, mas é grande e praticamente capaz de irritar o usuário. Eu adoraria se você consertasse.</v>
      </c>
      <c r="I353" s="10" t="str">
        <f>IFERROR(__xludf.DUMMYFUNCTION("TRIM(REGEXREPLACE(H353,""[^a-zA-ZÀ-ú ]+"",""""))"),"Saudações e bênçãos à equipe do desenvolvedor O aplicativo é realmente bom e a ideologia é ótima que algumas pessoas podem não amar mas é bom Mas estou enfrentando repetidamente uma questão de não conseguir fazer login no Insta e threads ao mesmo tempo pa"&amp;"ra que não possa repassar meus threads post no Insta Isso pode ser um bug mas é grande e praticamente capaz de irritar o usuário Eu adoraria se você consertasse")</f>
        <v>Saudações e bênçãos à equipe do desenvolvedor O aplicativo é realmente bom e a ideologia é ótima que algumas pessoas podem não amar mas é bom Mas estou enfrentando repetidamente uma questão de não conseguir fazer login no Insta e threads ao mesmo tempo para que não possa repassar meus threads post no Insta Isso pode ser um bug mas é grande e praticamente capaz de irritar o usuário Eu adoraria se você consertasse</v>
      </c>
      <c r="J353" s="3"/>
      <c r="K353" s="3"/>
      <c r="L353" s="3"/>
      <c r="M353" s="3"/>
      <c r="N353" s="3"/>
      <c r="O353" s="3"/>
      <c r="P353" s="3"/>
      <c r="Q353" s="3"/>
      <c r="R353" s="3"/>
      <c r="S353" s="3"/>
      <c r="T353" s="3"/>
      <c r="U353" s="3"/>
      <c r="V353" s="3"/>
      <c r="W353" s="3"/>
      <c r="X353" s="3"/>
      <c r="Y353" s="3"/>
      <c r="Z353" s="3"/>
      <c r="AA353" s="3"/>
    </row>
    <row r="354" ht="105.75" customHeight="1">
      <c r="A354" s="4" t="s">
        <v>9</v>
      </c>
      <c r="B354" s="5" t="s">
        <v>362</v>
      </c>
      <c r="C354" s="4">
        <v>4.0</v>
      </c>
      <c r="D354" s="6">
        <v>45113.598645833335</v>
      </c>
      <c r="E354" s="7" t="str">
        <f t="shared" si="1"/>
        <v>2023-07-06</v>
      </c>
      <c r="F354" s="8" t="str">
        <f t="shared" si="2"/>
        <v> 14:22:03</v>
      </c>
      <c r="G354" s="9" t="str">
        <f t="shared" si="3"/>
        <v>Tarde</v>
      </c>
      <c r="H354" s="10" t="str">
        <f>IFERROR(__xludf.DUMMYFUNCTION("GOOGLETRANSLATE(B354, ""en"", ""pt-br"")"),"Este aplicativo é excelente ... mas querido meta, estou tendo problemas no aplicativo sempre que abro o aplicativo que ele abre, mas quando é rolar para baixo, então é começar a tremendo e flutuando .. eu apenas desinstalei e reiniciei meu telefone, mas e"&amp;"sse problema é Ainda assim ... tão querido meta -cooperação .. por favor, dê alguma solução para esse problema 🙂 e se você quiser prova, me dê seu número, e -mail ou algo para enviar a foto de tela do problema real")</f>
        <v>Este aplicativo é excelente ... mas querido meta, estou tendo problemas no aplicativo sempre que abro o aplicativo que ele abre, mas quando é rolar para baixo, então é começar a tremendo e flutuando .. eu apenas desinstalei e reiniciei meu telefone, mas esse problema é Ainda assim ... tão querido meta -cooperação .. por favor, dê alguma solução para esse problema 🙂 e se você quiser prova, me dê seu número, e -mail ou algo para enviar a foto de tela do problema real</v>
      </c>
      <c r="I354" s="10" t="str">
        <f>IFERROR(__xludf.DUMMYFUNCTION("TRIM(REGEXREPLACE(H354,""[^a-zA-ZÀ-ú ]+"",""""))"),"Este aplicativo é excelente mas querido meta estou tendo problemas no aplicativo sempre que abro o aplicativo que ele abre mas quando é rolar para baixo então é começar a tremendo e flutuando eu apenas desinstalei e reiniciei meu telefone mas esse problem"&amp;"a é Ainda assim tão querido meta cooperação por favor dê alguma solução para esse problema e se você quiser prova me dê seu número e mail ou algo para enviar a foto de tela do problema real")</f>
        <v>Este aplicativo é excelente mas querido meta estou tendo problemas no aplicativo sempre que abro o aplicativo que ele abre mas quando é rolar para baixo então é começar a tremendo e flutuando eu apenas desinstalei e reiniciei meu telefone mas esse problema é Ainda assim tão querido meta cooperação por favor dê alguma solução para esse problema e se você quiser prova me dê seu número e mail ou algo para enviar a foto de tela do problema real</v>
      </c>
      <c r="J354" s="3"/>
      <c r="K354" s="3"/>
      <c r="L354" s="3"/>
      <c r="M354" s="3"/>
      <c r="N354" s="3"/>
      <c r="O354" s="3"/>
      <c r="P354" s="3"/>
      <c r="Q354" s="3"/>
      <c r="R354" s="3"/>
      <c r="S354" s="3"/>
      <c r="T354" s="3"/>
      <c r="U354" s="3"/>
      <c r="V354" s="3"/>
      <c r="W354" s="3"/>
      <c r="X354" s="3"/>
      <c r="Y354" s="3"/>
      <c r="Z354" s="3"/>
      <c r="AA354" s="3"/>
    </row>
    <row r="355" ht="105.75" customHeight="1">
      <c r="A355" s="4" t="s">
        <v>9</v>
      </c>
      <c r="B355" s="5" t="s">
        <v>363</v>
      </c>
      <c r="C355" s="4">
        <v>2.0</v>
      </c>
      <c r="D355" s="6">
        <v>45114.15849537037</v>
      </c>
      <c r="E355" s="7" t="str">
        <f t="shared" si="1"/>
        <v>2023-07-07</v>
      </c>
      <c r="F355" s="8" t="str">
        <f t="shared" si="2"/>
        <v> 03:48:14</v>
      </c>
      <c r="G355" s="9" t="str">
        <f t="shared" si="3"/>
        <v>Manhã</v>
      </c>
      <c r="H355" s="10" t="str">
        <f>IFERROR(__xludf.DUMMYFUNCTION("GOOGLETRANSLATE(B355, ""en"", ""pt-br"")"),"A interface parece simples e fácil de usar. Mas o que eu realmente odeio são todas as postagens de quem eu não soube aparecer na minha página inicial e não pareço encontrar o caminho para me livrar de todos eles. Isso é tão irritante e a página inicial é "&amp;"literalmente inútil para mim. Por favor, conserte isso.")</f>
        <v>A interface parece simples e fácil de usar. Mas o que eu realmente odeio são todas as postagens de quem eu não soube aparecer na minha página inicial e não pareço encontrar o caminho para me livrar de todos eles. Isso é tão irritante e a página inicial é literalmente inútil para mim. Por favor, conserte isso.</v>
      </c>
      <c r="I355" s="10" t="str">
        <f>IFERROR(__xludf.DUMMYFUNCTION("TRIM(REGEXREPLACE(H355,""[^a-zA-ZÀ-ú ]+"",""""))"),"A interface parece simples e fácil de usar Mas o que eu realmente odeio são todas as postagens de quem eu não soube aparecer na minha página inicial e não pareço encontrar o caminho para me livrar de todos eles Isso é tão irritante e a página inicial é li"&amp;"teralmente inútil para mim Por favor conserte isso")</f>
        <v>A interface parece simples e fácil de usar Mas o que eu realmente odeio são todas as postagens de quem eu não soube aparecer na minha página inicial e não pareço encontrar o caminho para me livrar de todos eles Isso é tão irritante e a página inicial é literalmente inútil para mim Por favor conserte isso</v>
      </c>
      <c r="J355" s="3"/>
      <c r="K355" s="3"/>
      <c r="L355" s="3"/>
      <c r="M355" s="3"/>
      <c r="N355" s="3"/>
      <c r="O355" s="3"/>
      <c r="P355" s="3"/>
      <c r="Q355" s="3"/>
      <c r="R355" s="3"/>
      <c r="S355" s="3"/>
      <c r="T355" s="3"/>
      <c r="U355" s="3"/>
      <c r="V355" s="3"/>
      <c r="W355" s="3"/>
      <c r="X355" s="3"/>
      <c r="Y355" s="3"/>
      <c r="Z355" s="3"/>
      <c r="AA355" s="3"/>
    </row>
    <row r="356" ht="105.75" customHeight="1">
      <c r="A356" s="4" t="s">
        <v>9</v>
      </c>
      <c r="B356" s="5" t="s">
        <v>364</v>
      </c>
      <c r="C356" s="4">
        <v>4.0</v>
      </c>
      <c r="D356" s="6">
        <v>45119.357511574075</v>
      </c>
      <c r="E356" s="7" t="str">
        <f t="shared" si="1"/>
        <v>2023-07-12</v>
      </c>
      <c r="F356" s="8" t="str">
        <f t="shared" si="2"/>
        <v> 08:34:49</v>
      </c>
      <c r="G356" s="9" t="str">
        <f t="shared" si="3"/>
        <v>Manhã</v>
      </c>
      <c r="H356" s="10" t="str">
        <f>IFERROR(__xludf.DUMMYFUNCTION("GOOGLETRANSLATE(B356, ""en"", ""pt-br"")"),"Todos vocês 1stars, dê tempo. É um aplicativo novo que não está tentando fazer tudo. Os desenvolvedores principais interagem com os usuários e explicaram o que está por vir. Tudo bem se você deseja o aplicativo X Corp, onde todos os recursos quebram no la"&amp;"nçamento, mas muito do que você deseja está chegando - TL personalizado, pesquisa, etc. Não me entenda que a meta é sinistra, mas eles sabem como criar um aplicativo.")</f>
        <v>Todos vocês 1stars, dê tempo. É um aplicativo novo que não está tentando fazer tudo. Os desenvolvedores principais interagem com os usuários e explicaram o que está por vir. Tudo bem se você deseja o aplicativo X Corp, onde todos os recursos quebram no lançamento, mas muito do que você deseja está chegando - TL personalizado, pesquisa, etc. Não me entenda que a meta é sinistra, mas eles sabem como criar um aplicativo.</v>
      </c>
      <c r="I356" s="10" t="str">
        <f>IFERROR(__xludf.DUMMYFUNCTION("TRIM(REGEXREPLACE(H356,""[^a-zA-ZÀ-ú ]+"",""""))"),"Todos vocês stars dê tempo É um aplicativo novo que não está tentando fazer tudo Os desenvolvedores principais interagem com os usuários e explicaram o que está por vir Tudo bem se você deseja o aplicativo X Corp onde todos os recursos quebram no lançamen"&amp;"to mas muito do que você deseja está chegando TL personalizado pesquisa etc Não me entenda que a meta é sinistra mas eles sabem como criar um aplicativo")</f>
        <v>Todos vocês stars dê tempo É um aplicativo novo que não está tentando fazer tudo Os desenvolvedores principais interagem com os usuários e explicaram o que está por vir Tudo bem se você deseja o aplicativo X Corp onde todos os recursos quebram no lançamento mas muito do que você deseja está chegando TL personalizado pesquisa etc Não me entenda que a meta é sinistra mas eles sabem como criar um aplicativo</v>
      </c>
      <c r="J356" s="3"/>
      <c r="K356" s="3"/>
      <c r="L356" s="3"/>
      <c r="M356" s="3"/>
      <c r="N356" s="3"/>
      <c r="O356" s="3"/>
      <c r="P356" s="3"/>
      <c r="Q356" s="3"/>
      <c r="R356" s="3"/>
      <c r="S356" s="3"/>
      <c r="T356" s="3"/>
      <c r="U356" s="3"/>
      <c r="V356" s="3"/>
      <c r="W356" s="3"/>
      <c r="X356" s="3"/>
      <c r="Y356" s="3"/>
      <c r="Z356" s="3"/>
      <c r="AA356" s="3"/>
    </row>
    <row r="357" ht="105.75" customHeight="1">
      <c r="A357" s="4" t="s">
        <v>9</v>
      </c>
      <c r="B357" s="5" t="s">
        <v>365</v>
      </c>
      <c r="C357" s="4">
        <v>4.0</v>
      </c>
      <c r="D357" s="6">
        <v>45130.99599537037</v>
      </c>
      <c r="E357" s="7" t="str">
        <f t="shared" si="1"/>
        <v>2023-07-23</v>
      </c>
      <c r="F357" s="8" t="str">
        <f t="shared" si="2"/>
        <v> 23:54:14</v>
      </c>
      <c r="G357" s="9" t="str">
        <f t="shared" si="3"/>
        <v>Noite</v>
      </c>
      <c r="H357" s="10" t="str">
        <f>IFERROR(__xludf.DUMMYFUNCTION("GOOGLETRANSLATE(B357, ""en"", ""pt-br"")"),"Estou gostando de usar tópicos. Eu só gostaria de poder adaptar o post que aparece na minha tela inicial para ser mais sobre o que eu gosto. Além disso, gostaria de poder agendar ou salvar postagens que estou fazendo para mais tarde. Além disso, acho que "&amp;"seria legal se você pudesse tentar fazer com que alguns widgets fossem usados ​​na tela inicial dos telefones. Atualmente, não tenho sorte de ser notado na plataforma. Facilite de alguma forma para que os usuários de threads menores sejam notados.")</f>
        <v>Estou gostando de usar tópicos. Eu só gostaria de poder adaptar o post que aparece na minha tela inicial para ser mais sobre o que eu gosto. Além disso, gostaria de poder agendar ou salvar postagens que estou fazendo para mais tarde. Além disso, acho que seria legal se você pudesse tentar fazer com que alguns widgets fossem usados ​​na tela inicial dos telefones. Atualmente, não tenho sorte de ser notado na plataforma. Facilite de alguma forma para que os usuários de threads menores sejam notados.</v>
      </c>
      <c r="I357" s="10" t="str">
        <f>IFERROR(__xludf.DUMMYFUNCTION("TRIM(REGEXREPLACE(H357,""[^a-zA-ZÀ-ú ]+"",""""))"),"Estou gostando de usar tópicos Eu só gostaria de poder adaptar o post que aparece na minha tela inicial para ser mais sobre o que eu gosto Além disso gostaria de poder agendar ou salvar postagens que estou fazendo para mais tarde Além disso acho que seria"&amp;" legal se você pudesse tentar fazer com que alguns widgets fossem usados na tela inicial dos telefones Atualmente não tenho sorte de ser notado na plataforma Facilite de alguma forma para que os usuários de threads menores sejam notados")</f>
        <v>Estou gostando de usar tópicos Eu só gostaria de poder adaptar o post que aparece na minha tela inicial para ser mais sobre o que eu gosto Além disso gostaria de poder agendar ou salvar postagens que estou fazendo para mais tarde Além disso acho que seria legal se você pudesse tentar fazer com que alguns widgets fossem usados na tela inicial dos telefones Atualmente não tenho sorte de ser notado na plataforma Facilite de alguma forma para que os usuários de threads menores sejam notados</v>
      </c>
      <c r="J357" s="3"/>
      <c r="K357" s="3"/>
      <c r="L357" s="3"/>
      <c r="M357" s="3"/>
      <c r="N357" s="3"/>
      <c r="O357" s="3"/>
      <c r="P357" s="3"/>
      <c r="Q357" s="3"/>
      <c r="R357" s="3"/>
      <c r="S357" s="3"/>
      <c r="T357" s="3"/>
      <c r="U357" s="3"/>
      <c r="V357" s="3"/>
      <c r="W357" s="3"/>
      <c r="X357" s="3"/>
      <c r="Y357" s="3"/>
      <c r="Z357" s="3"/>
      <c r="AA357" s="3"/>
    </row>
    <row r="358" ht="105.75" customHeight="1">
      <c r="A358" s="4" t="s">
        <v>9</v>
      </c>
      <c r="B358" s="5" t="s">
        <v>366</v>
      </c>
      <c r="C358" s="4">
        <v>4.0</v>
      </c>
      <c r="D358" s="6">
        <v>45114.88914351852</v>
      </c>
      <c r="E358" s="7" t="str">
        <f t="shared" si="1"/>
        <v>2023-07-07</v>
      </c>
      <c r="F358" s="8" t="str">
        <f t="shared" si="2"/>
        <v> 21:20:22</v>
      </c>
      <c r="G358" s="9" t="str">
        <f t="shared" si="3"/>
        <v>Noite</v>
      </c>
      <c r="H358" s="10" t="str">
        <f>IFERROR(__xludf.DUMMYFUNCTION("GOOGLETRANSLATE(B358, ""en"", ""pt-br"")"),"O aplicativo parece legal. Mas eu gostaria de pesquisar tópicos e ver mais pessoas que estou seguindo. Às vezes, quando clico na minha lista a seguir, recebo uma ""desculpe não poderia concluir a solicitação, tente novamente mais tarde"", você pode conser"&amp;"tar isso.")</f>
        <v>O aplicativo parece legal. Mas eu gostaria de pesquisar tópicos e ver mais pessoas que estou seguindo. Às vezes, quando clico na minha lista a seguir, recebo uma "desculpe não poderia concluir a solicitação, tente novamente mais tarde", você pode consertar isso.</v>
      </c>
      <c r="I358" s="10" t="str">
        <f>IFERROR(__xludf.DUMMYFUNCTION("TRIM(REGEXREPLACE(H358,""[^a-zA-ZÀ-ú ]+"",""""))"),"O aplicativo parece legal Mas eu gostaria de pesquisar tópicos e ver mais pessoas que estou seguindo Às vezes quando clico na minha lista a seguir recebo uma desculpe não poderia concluir a solicitação tente novamente mais tarde você pode consertar isso")</f>
        <v>O aplicativo parece legal Mas eu gostaria de pesquisar tópicos e ver mais pessoas que estou seguindo Às vezes quando clico na minha lista a seguir recebo uma desculpe não poderia concluir a solicitação tente novamente mais tarde você pode consertar isso</v>
      </c>
      <c r="J358" s="3"/>
      <c r="K358" s="3"/>
      <c r="L358" s="3"/>
      <c r="M358" s="3"/>
      <c r="N358" s="3"/>
      <c r="O358" s="3"/>
      <c r="P358" s="3"/>
      <c r="Q358" s="3"/>
      <c r="R358" s="3"/>
      <c r="S358" s="3"/>
      <c r="T358" s="3"/>
      <c r="U358" s="3"/>
      <c r="V358" s="3"/>
      <c r="W358" s="3"/>
      <c r="X358" s="3"/>
      <c r="Y358" s="3"/>
      <c r="Z358" s="3"/>
      <c r="AA358" s="3"/>
    </row>
    <row r="359" ht="105.75" customHeight="1">
      <c r="A359" s="4" t="s">
        <v>9</v>
      </c>
      <c r="B359" s="5" t="s">
        <v>367</v>
      </c>
      <c r="C359" s="4">
        <v>2.0</v>
      </c>
      <c r="D359" s="6">
        <v>45115.37111111111</v>
      </c>
      <c r="E359" s="7" t="str">
        <f t="shared" si="1"/>
        <v>2023-07-08</v>
      </c>
      <c r="F359" s="8" t="str">
        <f t="shared" si="2"/>
        <v> 08:54:24</v>
      </c>
      <c r="G359" s="9" t="str">
        <f t="shared" si="3"/>
        <v>Manhã</v>
      </c>
      <c r="H359" s="10" t="str">
        <f>IFERROR(__xludf.DUMMYFUNCTION("GOOGLETRANSLATE(B359, ""en"", ""pt-br"")"),"Funciona bem como um substituto do Twitter até agora, mas toda vez que tento fazer upload de imagens em minhas respostas, continuo recebendo mensagens de erro dizendo que minha postagem não conseguiu fazer o upload. Sim, limpei meu cache e tentei novament"&amp;"e. O problema ainda persiste.")</f>
        <v>Funciona bem como um substituto do Twitter até agora, mas toda vez que tento fazer upload de imagens em minhas respostas, continuo recebendo mensagens de erro dizendo que minha postagem não conseguiu fazer o upload. Sim, limpei meu cache e tentei novamente. O problema ainda persiste.</v>
      </c>
      <c r="I359" s="10" t="str">
        <f>IFERROR(__xludf.DUMMYFUNCTION("TRIM(REGEXREPLACE(H359,""[^a-zA-ZÀ-ú ]+"",""""))"),"Funciona bem como um substituto do Twitter até agora mas toda vez que tento fazer upload de imagens em minhas respostas continuo recebendo mensagens de erro dizendo que minha postagem não conseguiu fazer o upload Sim limpei meu cache e tentei novamente O "&amp;"problema ainda persiste")</f>
        <v>Funciona bem como um substituto do Twitter até agora mas toda vez que tento fazer upload de imagens em minhas respostas continuo recebendo mensagens de erro dizendo que minha postagem não conseguiu fazer o upload Sim limpei meu cache e tentei novamente O problema ainda persiste</v>
      </c>
      <c r="J359" s="3"/>
      <c r="K359" s="3"/>
      <c r="L359" s="3"/>
      <c r="M359" s="3"/>
      <c r="N359" s="3"/>
      <c r="O359" s="3"/>
      <c r="P359" s="3"/>
      <c r="Q359" s="3"/>
      <c r="R359" s="3"/>
      <c r="S359" s="3"/>
      <c r="T359" s="3"/>
      <c r="U359" s="3"/>
      <c r="V359" s="3"/>
      <c r="W359" s="3"/>
      <c r="X359" s="3"/>
      <c r="Y359" s="3"/>
      <c r="Z359" s="3"/>
      <c r="AA359" s="3"/>
    </row>
    <row r="360" ht="105.75" customHeight="1">
      <c r="A360" s="4" t="s">
        <v>9</v>
      </c>
      <c r="B360" s="5" t="s">
        <v>368</v>
      </c>
      <c r="C360" s="4">
        <v>2.0</v>
      </c>
      <c r="D360" s="6">
        <v>45115.08994212963</v>
      </c>
      <c r="E360" s="7" t="str">
        <f t="shared" si="1"/>
        <v>2023-07-08</v>
      </c>
      <c r="F360" s="8" t="str">
        <f t="shared" si="2"/>
        <v> 02:09:31</v>
      </c>
      <c r="G360" s="9" t="str">
        <f t="shared" si="3"/>
        <v>Manhã</v>
      </c>
      <c r="H360" s="10" t="str">
        <f>IFERROR(__xludf.DUMMYFUNCTION("GOOGLETRANSLATE(B360, ""en"", ""pt-br"")"),"Estou aqui para dar feedback 1. Não consigo rolar para baixo se estiver tentando escrever demais, a escrita é invisível com o modo de teclado. 2. Não é possível toque duas vezes nas palavras para criar blocos nas palavras. 3. A foto não pode cortar após a"&amp;" inserção do fio. 4. Por que a limitação ainda contando palavras mesmo após threads. Isso é tudo, conserte isso, vou voltar ao Twitter")</f>
        <v>Estou aqui para dar feedback 1. Não consigo rolar para baixo se estiver tentando escrever demais, a escrita é invisível com o modo de teclado. 2. Não é possível toque duas vezes nas palavras para criar blocos nas palavras. 3. A foto não pode cortar após a inserção do fio. 4. Por que a limitação ainda contando palavras mesmo após threads. Isso é tudo, conserte isso, vou voltar ao Twitter</v>
      </c>
      <c r="I360" s="10" t="str">
        <f>IFERROR(__xludf.DUMMYFUNCTION("TRIM(REGEXREPLACE(H360,""[^a-zA-ZÀ-ú ]+"",""""))"),"Estou aqui para dar feedback Não consigo rolar para baixo se estiver tentando escrever demais a escrita é invisível com o modo de teclado Não é possível toque duas vezes nas palavras para criar blocos nas palavras A foto não pode cortar após a inserção do"&amp;" fio Por que a limitação ainda contando palavras mesmo após threads Isso é tudo conserte isso vou voltar ao Twitter")</f>
        <v>Estou aqui para dar feedback Não consigo rolar para baixo se estiver tentando escrever demais a escrita é invisível com o modo de teclado Não é possível toque duas vezes nas palavras para criar blocos nas palavras A foto não pode cortar após a inserção do fio Por que a limitação ainda contando palavras mesmo após threads Isso é tudo conserte isso vou voltar ao Twitter</v>
      </c>
      <c r="J360" s="3"/>
      <c r="K360" s="3"/>
      <c r="L360" s="3"/>
      <c r="M360" s="3"/>
      <c r="N360" s="3"/>
      <c r="O360" s="3"/>
      <c r="P360" s="3"/>
      <c r="Q360" s="3"/>
      <c r="R360" s="3"/>
      <c r="S360" s="3"/>
      <c r="T360" s="3"/>
      <c r="U360" s="3"/>
      <c r="V360" s="3"/>
      <c r="W360" s="3"/>
      <c r="X360" s="3"/>
      <c r="Y360" s="3"/>
      <c r="Z360" s="3"/>
      <c r="AA360" s="3"/>
    </row>
    <row r="361" ht="105.75" customHeight="1">
      <c r="A361" s="4" t="s">
        <v>9</v>
      </c>
      <c r="B361" s="5" t="s">
        <v>369</v>
      </c>
      <c r="C361" s="4">
        <v>4.0</v>
      </c>
      <c r="D361" s="6">
        <v>45113.94204861111</v>
      </c>
      <c r="E361" s="7" t="str">
        <f t="shared" si="1"/>
        <v>2023-07-06</v>
      </c>
      <c r="F361" s="8" t="str">
        <f t="shared" si="2"/>
        <v> 22:36:33</v>
      </c>
      <c r="G361" s="9" t="str">
        <f t="shared" si="3"/>
        <v>Noite</v>
      </c>
      <c r="H361" s="10" t="str">
        <f>IFERROR(__xludf.DUMMYFUNCTION("GOOGLETRANSLATE(B361, ""en"", ""pt-br"")"),"Eu vejo o enorme potencial neste aplicativo. Possíveis áreas de melhoria: 1. Hashtags? Mais fácil de seguir as coisas. 2. Sincronizar a conta Insta. O que quero dizer é que, se eu quiser postar algo no Insta, ele poderá postar automaticamente a mesma cois"&amp;"a em threads (como a Sync Sync) 3. do Facebook) 3. Versão da área de trabalho. Eu publico algumas das minhas coisas Insta no meu laptop. Faça o mesmo com threads. ""Mudar para tópicos porque o Twitter está morto.""")</f>
        <v>Eu vejo o enorme potencial neste aplicativo. Possíveis áreas de melhoria: 1. Hashtags? Mais fácil de seguir as coisas. 2. Sincronizar a conta Insta. O que quero dizer é que, se eu quiser postar algo no Insta, ele poderá postar automaticamente a mesma coisa em threads (como a Sync Sync) 3. do Facebook) 3. Versão da área de trabalho. Eu publico algumas das minhas coisas Insta no meu laptop. Faça o mesmo com threads. "Mudar para tópicos porque o Twitter está morto."</v>
      </c>
      <c r="I361" s="10" t="str">
        <f>IFERROR(__xludf.DUMMYFUNCTION("TRIM(REGEXREPLACE(H361,""[^a-zA-ZÀ-ú ]+"",""""))"),"Eu vejo o enorme potencial neste aplicativo Possíveis áreas de melhoria Hashtags Mais fácil de seguir as coisas Sincronizar a conta Insta O que quero dizer é que se eu quiser postar algo no Insta ele poderá postar automaticamente a mesma coisa em threads "&amp;"como a Sync Sync do Facebook Versão da área de trabalho Eu publico algumas das minhas coisas Insta no meu laptop Faça o mesmo com threads Mudar para tópicos porque o Twitter está morto")</f>
        <v>Eu vejo o enorme potencial neste aplicativo Possíveis áreas de melhoria Hashtags Mais fácil de seguir as coisas Sincronizar a conta Insta O que quero dizer é que se eu quiser postar algo no Insta ele poderá postar automaticamente a mesma coisa em threads como a Sync Sync do Facebook Versão da área de trabalho Eu publico algumas das minhas coisas Insta no meu laptop Faça o mesmo com threads Mudar para tópicos porque o Twitter está morto</v>
      </c>
      <c r="J361" s="3"/>
      <c r="K361" s="3"/>
      <c r="L361" s="3"/>
      <c r="M361" s="3"/>
      <c r="N361" s="3"/>
      <c r="O361" s="3"/>
      <c r="P361" s="3"/>
      <c r="Q361" s="3"/>
      <c r="R361" s="3"/>
      <c r="S361" s="3"/>
      <c r="T361" s="3"/>
      <c r="U361" s="3"/>
      <c r="V361" s="3"/>
      <c r="W361" s="3"/>
      <c r="X361" s="3"/>
      <c r="Y361" s="3"/>
      <c r="Z361" s="3"/>
      <c r="AA361" s="3"/>
    </row>
    <row r="362" ht="105.75" customHeight="1">
      <c r="A362" s="4" t="s">
        <v>9</v>
      </c>
      <c r="B362" s="5" t="s">
        <v>370</v>
      </c>
      <c r="C362" s="4">
        <v>1.0</v>
      </c>
      <c r="D362" s="6">
        <v>45115.95763888889</v>
      </c>
      <c r="E362" s="7" t="str">
        <f t="shared" si="1"/>
        <v>2023-07-08</v>
      </c>
      <c r="F362" s="8" t="str">
        <f t="shared" si="2"/>
        <v> 22:59:00</v>
      </c>
      <c r="G362" s="9" t="str">
        <f t="shared" si="3"/>
        <v>Noite</v>
      </c>
      <c r="H362" s="10" t="str">
        <f>IFERROR(__xludf.DUMMYFUNCTION("GOOGLETRANSLATE(B362, ""en"", ""pt-br"")"),"Adicione um mecanismo de pesquisa melhor. Adicione hashtags. Adicione uma maneira melhor de compartilhar dos álbuns da galeria ... em vez de uma foto de cada vez. Adicione a capacidade de personalizar páginas de perfil com diferentes cores e fontes. Apena"&amp;"s algumas sugestões que realmente ajudariam.")</f>
        <v>Adicione um mecanismo de pesquisa melhor. Adicione hashtags. Adicione uma maneira melhor de compartilhar dos álbuns da galeria ... em vez de uma foto de cada vez. Adicione a capacidade de personalizar páginas de perfil com diferentes cores e fontes. Apenas algumas sugestões que realmente ajudariam.</v>
      </c>
      <c r="I362" s="10" t="str">
        <f>IFERROR(__xludf.DUMMYFUNCTION("TRIM(REGEXREPLACE(H362,""[^a-zA-ZÀ-ú ]+"",""""))"),"Adicione um mecanismo de pesquisa melhor Adicione hashtags Adicione uma maneira melhor de compartilhar dos álbuns da galeria em vez de uma foto de cada vez Adicione a capacidade de personalizar páginas de perfil com diferentes cores e fontes Apenas alguma"&amp;"s sugestões que realmente ajudariam")</f>
        <v>Adicione um mecanismo de pesquisa melhor Adicione hashtags Adicione uma maneira melhor de compartilhar dos álbuns da galeria em vez de uma foto de cada vez Adicione a capacidade de personalizar páginas de perfil com diferentes cores e fontes Apenas algumas sugestões que realmente ajudariam</v>
      </c>
      <c r="J362" s="3"/>
      <c r="K362" s="3"/>
      <c r="L362" s="3"/>
      <c r="M362" s="3"/>
      <c r="N362" s="3"/>
      <c r="O362" s="3"/>
      <c r="P362" s="3"/>
      <c r="Q362" s="3"/>
      <c r="R362" s="3"/>
      <c r="S362" s="3"/>
      <c r="T362" s="3"/>
      <c r="U362" s="3"/>
      <c r="V362" s="3"/>
      <c r="W362" s="3"/>
      <c r="X362" s="3"/>
      <c r="Y362" s="3"/>
      <c r="Z362" s="3"/>
      <c r="AA362" s="3"/>
    </row>
    <row r="363" ht="105.75" customHeight="1">
      <c r="A363" s="4" t="s">
        <v>9</v>
      </c>
      <c r="B363" s="5" t="s">
        <v>371</v>
      </c>
      <c r="C363" s="4">
        <v>3.0</v>
      </c>
      <c r="D363" s="6">
        <v>45113.537939814814</v>
      </c>
      <c r="E363" s="7" t="str">
        <f t="shared" si="1"/>
        <v>2023-07-06</v>
      </c>
      <c r="F363" s="8" t="str">
        <f t="shared" si="2"/>
        <v> 12:54:38</v>
      </c>
      <c r="G363" s="9" t="str">
        <f t="shared" si="3"/>
        <v>Tarde</v>
      </c>
      <c r="H363" s="10" t="str">
        <f>IFERROR(__xludf.DUMMYFUNCTION("GOOGLETRANSLATE(B363, ""en"", ""pt-br"")"),"Boa interface, mas não funciona tão boa quanto o Twitter. Tenho algumas sugestões: 1. Opção do modo escuro. 2. pode alterar o nome de usuário mesmo se vinculado ao Instagram. 3. O botão ""traseiro"" deve fechar o aplicativo diretamente. Por que rolar de v"&amp;"olta até o topo antes de fechar? Eu não seria capaz de continuar de onde parei, é inconveniente. 4. Qual é o sentido de ""seguir"" se minha linha do tempo estiver cheia de pessoas que eu não sigo? Algumas sugestões aqui e ali são legais, mas agora é demai"&amp;"s não é mais divertido.")</f>
        <v>Boa interface, mas não funciona tão boa quanto o Twitter. Tenho algumas sugestões: 1. Opção do modo escuro. 2. pode alterar o nome de usuário mesmo se vinculado ao Instagram. 3. O botão "traseiro" deve fechar o aplicativo diretamente. Por que rolar de volta até o topo antes de fechar? Eu não seria capaz de continuar de onde parei, é inconveniente. 4. Qual é o sentido de "seguir" se minha linha do tempo estiver cheia de pessoas que eu não sigo? Algumas sugestões aqui e ali são legais, mas agora é demais não é mais divertido.</v>
      </c>
      <c r="I363" s="10" t="str">
        <f>IFERROR(__xludf.DUMMYFUNCTION("TRIM(REGEXREPLACE(H363,""[^a-zA-ZÀ-ú ]+"",""""))"),"Boa interface mas não funciona tão boa quanto o Twitter Tenho algumas sugestões Opção do modo escuro pode alterar o nome de usuário mesmo se vinculado ao Instagram O botão traseiro deve fechar o aplicativo diretamente Por que rolar de volta até o topo ant"&amp;"es de fechar Eu não seria capaz de continuar de onde parei é inconveniente Qual é o sentido de seguir se minha linha do tempo estiver cheia de pessoas que eu não sigo Algumas sugestões aqui e ali são legais mas agora é demais não é mais divertido")</f>
        <v>Boa interface mas não funciona tão boa quanto o Twitter Tenho algumas sugestões Opção do modo escuro pode alterar o nome de usuário mesmo se vinculado ao Instagram O botão traseiro deve fechar o aplicativo diretamente Por que rolar de volta até o topo antes de fechar Eu não seria capaz de continuar de onde parei é inconveniente Qual é o sentido de seguir se minha linha do tempo estiver cheia de pessoas que eu não sigo Algumas sugestões aqui e ali são legais mas agora é demais não é mais divertido</v>
      </c>
      <c r="J363" s="3"/>
      <c r="K363" s="3"/>
      <c r="L363" s="3"/>
      <c r="M363" s="3"/>
      <c r="N363" s="3"/>
      <c r="O363" s="3"/>
      <c r="P363" s="3"/>
      <c r="Q363" s="3"/>
      <c r="R363" s="3"/>
      <c r="S363" s="3"/>
      <c r="T363" s="3"/>
      <c r="U363" s="3"/>
      <c r="V363" s="3"/>
      <c r="W363" s="3"/>
      <c r="X363" s="3"/>
      <c r="Y363" s="3"/>
      <c r="Z363" s="3"/>
      <c r="AA363" s="3"/>
    </row>
    <row r="364" ht="105.75" customHeight="1">
      <c r="A364" s="4" t="s">
        <v>9</v>
      </c>
      <c r="B364" s="5" t="s">
        <v>372</v>
      </c>
      <c r="C364" s="4">
        <v>3.0</v>
      </c>
      <c r="D364" s="6">
        <v>45114.282222222224</v>
      </c>
      <c r="E364" s="7" t="str">
        <f t="shared" si="1"/>
        <v>2023-07-07</v>
      </c>
      <c r="F364" s="8" t="str">
        <f t="shared" si="2"/>
        <v> 06:46:24</v>
      </c>
      <c r="G364" s="9" t="str">
        <f t="shared" si="3"/>
        <v>Manhã</v>
      </c>
      <c r="H364" s="10" t="str">
        <f>IFERROR(__xludf.DUMMYFUNCTION("GOOGLETRANSLATE(B364, ""en"", ""pt-br"")"),"É um ótimo começo, mas ainda há um bug, uma vez que você exclua sua postagem, a notificação ""Responder"" ainda lá como viver uma marca e esse aplicativo me faz sentir um movimento de toque que você não tem permissão para cometer erros. Espero que isso po"&amp;"ssa ajudar e torná -lo mais limpo/suave.")</f>
        <v>É um ótimo começo, mas ainda há um bug, uma vez que você exclua sua postagem, a notificação "Responder" ainda lá como viver uma marca e esse aplicativo me faz sentir um movimento de toque que você não tem permissão para cometer erros. Espero que isso possa ajudar e torná -lo mais limpo/suave.</v>
      </c>
      <c r="I364" s="10" t="str">
        <f>IFERROR(__xludf.DUMMYFUNCTION("TRIM(REGEXREPLACE(H364,""[^a-zA-ZÀ-ú ]+"",""""))"),"É um ótimo começo mas ainda há um bug uma vez que você exclua sua postagem a notificação Responder ainda lá como viver uma marca e esse aplicativo me faz sentir um movimento de toque que você não tem permissão para cometer erros Espero que isso possa ajud"&amp;"ar e torná lo mais limposuave")</f>
        <v>É um ótimo começo mas ainda há um bug uma vez que você exclua sua postagem a notificação Responder ainda lá como viver uma marca e esse aplicativo me faz sentir um movimento de toque que você não tem permissão para cometer erros Espero que isso possa ajudar e torná lo mais limposuave</v>
      </c>
      <c r="J364" s="3"/>
      <c r="K364" s="3"/>
      <c r="L364" s="3"/>
      <c r="M364" s="3"/>
      <c r="N364" s="3"/>
      <c r="O364" s="3"/>
      <c r="P364" s="3"/>
      <c r="Q364" s="3"/>
      <c r="R364" s="3"/>
      <c r="S364" s="3"/>
      <c r="T364" s="3"/>
      <c r="U364" s="3"/>
      <c r="V364" s="3"/>
      <c r="W364" s="3"/>
      <c r="X364" s="3"/>
      <c r="Y364" s="3"/>
      <c r="Z364" s="3"/>
      <c r="AA364" s="3"/>
    </row>
    <row r="365" ht="105.75" customHeight="1">
      <c r="A365" s="4" t="s">
        <v>9</v>
      </c>
      <c r="B365" s="5" t="s">
        <v>373</v>
      </c>
      <c r="C365" s="4">
        <v>1.0</v>
      </c>
      <c r="D365" s="6">
        <v>45114.9078125</v>
      </c>
      <c r="E365" s="7" t="str">
        <f t="shared" si="1"/>
        <v>2023-07-07</v>
      </c>
      <c r="F365" s="8" t="str">
        <f t="shared" si="2"/>
        <v> 21:47:15</v>
      </c>
      <c r="G365" s="9" t="str">
        <f t="shared" si="3"/>
        <v>Noite</v>
      </c>
      <c r="H365" s="10" t="str">
        <f>IFERROR(__xludf.DUMMYFUNCTION("GOOGLETRANSLATE(B365, ""en"", ""pt-br"")"),"Me faz me inscrever em uma conta do Instagram, mas não fornece a opção no aplicativo. Então isso me diz que meu endereço IP é um proxy aberto, me diz verificar a ajuda deles, o que não tem nada a respeito. Como se eu estivesse pulando nos aros para que el"&amp;"es possam roubar todos os meus dados.")</f>
        <v>Me faz me inscrever em uma conta do Instagram, mas não fornece a opção no aplicativo. Então isso me diz que meu endereço IP é um proxy aberto, me diz verificar a ajuda deles, o que não tem nada a respeito. Como se eu estivesse pulando nos aros para que eles possam roubar todos os meus dados.</v>
      </c>
      <c r="I365" s="10" t="str">
        <f>IFERROR(__xludf.DUMMYFUNCTION("TRIM(REGEXREPLACE(H365,""[^a-zA-ZÀ-ú ]+"",""""))"),"Me faz me inscrever em uma conta do Instagram mas não fornece a opção no aplicativo Então isso me diz que meu endereço IP é um proxy aberto me diz verificar a ajuda deles o que não tem nada a respeito Como se eu estivesse pulando nos aros para que eles po"&amp;"ssam roubar todos os meus dados")</f>
        <v>Me faz me inscrever em uma conta do Instagram mas não fornece a opção no aplicativo Então isso me diz que meu endereço IP é um proxy aberto me diz verificar a ajuda deles o que não tem nada a respeito Como se eu estivesse pulando nos aros para que eles possam roubar todos os meus dados</v>
      </c>
      <c r="J365" s="3"/>
      <c r="K365" s="3"/>
      <c r="L365" s="3"/>
      <c r="M365" s="3"/>
      <c r="N365" s="3"/>
      <c r="O365" s="3"/>
      <c r="P365" s="3"/>
      <c r="Q365" s="3"/>
      <c r="R365" s="3"/>
      <c r="S365" s="3"/>
      <c r="T365" s="3"/>
      <c r="U365" s="3"/>
      <c r="V365" s="3"/>
      <c r="W365" s="3"/>
      <c r="X365" s="3"/>
      <c r="Y365" s="3"/>
      <c r="Z365" s="3"/>
      <c r="AA365" s="3"/>
    </row>
    <row r="366" ht="105.75" customHeight="1">
      <c r="A366" s="4" t="s">
        <v>9</v>
      </c>
      <c r="B366" s="5" t="s">
        <v>374</v>
      </c>
      <c r="C366" s="4">
        <v>2.0</v>
      </c>
      <c r="D366" s="6">
        <v>45120.75608796296</v>
      </c>
      <c r="E366" s="7" t="str">
        <f t="shared" si="1"/>
        <v>2023-07-13</v>
      </c>
      <c r="F366" s="8" t="str">
        <f t="shared" si="2"/>
        <v> 18:08:46</v>
      </c>
      <c r="G366" s="9" t="str">
        <f t="shared" si="3"/>
        <v>Noite</v>
      </c>
      <c r="H366" s="10" t="str">
        <f>IFERROR(__xludf.DUMMYFUNCTION("GOOGLETRANSLATE(B366, ""en"", ""pt-br"")"),"Bugs demais. Por favor, corrija alguns bugs primeiro. Por exemplo, quando clico no botão Excluir para corrigir a palavra/linha, todas as outras palavras misturam/colidam e criam algumas palavras nunca conhecidas.")</f>
        <v>Bugs demais. Por favor, corrija alguns bugs primeiro. Por exemplo, quando clico no botão Excluir para corrigir a palavra/linha, todas as outras palavras misturam/colidam e criam algumas palavras nunca conhecidas.</v>
      </c>
      <c r="I366" s="10" t="str">
        <f>IFERROR(__xludf.DUMMYFUNCTION("TRIM(REGEXREPLACE(H366,""[^a-zA-ZÀ-ú ]+"",""""))"),"Bugs demais Por favor corrija alguns bugs primeiro Por exemplo quando clico no botão Excluir para corrigir a palavralinha todas as outras palavras misturamcolidam e criam algumas palavras nunca conhecidas")</f>
        <v>Bugs demais Por favor corrija alguns bugs primeiro Por exemplo quando clico no botão Excluir para corrigir a palavralinha todas as outras palavras misturamcolidam e criam algumas palavras nunca conhecidas</v>
      </c>
      <c r="J366" s="3"/>
      <c r="K366" s="3"/>
      <c r="L366" s="3"/>
      <c r="M366" s="3"/>
      <c r="N366" s="3"/>
      <c r="O366" s="3"/>
      <c r="P366" s="3"/>
      <c r="Q366" s="3"/>
      <c r="R366" s="3"/>
      <c r="S366" s="3"/>
      <c r="T366" s="3"/>
      <c r="U366" s="3"/>
      <c r="V366" s="3"/>
      <c r="W366" s="3"/>
      <c r="X366" s="3"/>
      <c r="Y366" s="3"/>
      <c r="Z366" s="3"/>
      <c r="AA366" s="3"/>
    </row>
    <row r="367" ht="105.75" customHeight="1">
      <c r="A367" s="4" t="s">
        <v>9</v>
      </c>
      <c r="B367" s="5" t="s">
        <v>375</v>
      </c>
      <c r="C367" s="4">
        <v>1.0</v>
      </c>
      <c r="D367" s="6">
        <v>45114.565092592595</v>
      </c>
      <c r="E367" s="7" t="str">
        <f t="shared" si="1"/>
        <v>2023-07-07</v>
      </c>
      <c r="F367" s="8" t="str">
        <f t="shared" si="2"/>
        <v> 13:33:44</v>
      </c>
      <c r="G367" s="9" t="str">
        <f t="shared" si="3"/>
        <v>Tarde</v>
      </c>
      <c r="H367" s="10" t="str">
        <f>IFERROR(__xludf.DUMMYFUNCTION("GOOGLETRANSLATE(B367, ""en"", ""pt-br"")"),"Por alguma razão, um dia depois de usar este aplicativo, uma mensagem pop-up diz: 'Você foi registrado em %1 $ s. O proprietário da conta pode ter alterado a senha. ' Ele continua aparecendo e o aplicativo continua fechando. Por favor, corrija este proble"&amp;"ma.")</f>
        <v>Por alguma razão, um dia depois de usar este aplicativo, uma mensagem pop-up diz: 'Você foi registrado em %1 $ s. O proprietário da conta pode ter alterado a senha. ' Ele continua aparecendo e o aplicativo continua fechando. Por favor, corrija este problema.</v>
      </c>
      <c r="I367" s="10" t="str">
        <f>IFERROR(__xludf.DUMMYFUNCTION("TRIM(REGEXREPLACE(H367,""[^a-zA-ZÀ-ú ]+"",""""))"),"Por alguma razão um dia depois de usar este aplicativo uma mensagem popup diz Você foi registrado em s O proprietário da conta pode ter alterado a senha Ele continua aparecendo e o aplicativo continua fechando Por favor corrija este problema")</f>
        <v>Por alguma razão um dia depois de usar este aplicativo uma mensagem popup diz Você foi registrado em s O proprietário da conta pode ter alterado a senha Ele continua aparecendo e o aplicativo continua fechando Por favor corrija este problema</v>
      </c>
      <c r="J367" s="3"/>
      <c r="K367" s="3"/>
      <c r="L367" s="3"/>
      <c r="M367" s="3"/>
      <c r="N367" s="3"/>
      <c r="O367" s="3"/>
      <c r="P367" s="3"/>
      <c r="Q367" s="3"/>
      <c r="R367" s="3"/>
      <c r="S367" s="3"/>
      <c r="T367" s="3"/>
      <c r="U367" s="3"/>
      <c r="V367" s="3"/>
      <c r="W367" s="3"/>
      <c r="X367" s="3"/>
      <c r="Y367" s="3"/>
      <c r="Z367" s="3"/>
      <c r="AA367" s="3"/>
    </row>
    <row r="368" ht="105.75" customHeight="1">
      <c r="A368" s="4" t="s">
        <v>9</v>
      </c>
      <c r="B368" s="5" t="s">
        <v>376</v>
      </c>
      <c r="C368" s="4">
        <v>5.0</v>
      </c>
      <c r="D368" s="6">
        <v>45113.683483796296</v>
      </c>
      <c r="E368" s="7" t="str">
        <f t="shared" si="1"/>
        <v>2023-07-06</v>
      </c>
      <c r="F368" s="8" t="str">
        <f t="shared" si="2"/>
        <v> 16:24:13</v>
      </c>
      <c r="G368" s="9" t="str">
        <f t="shared" si="3"/>
        <v>Tarde</v>
      </c>
      <c r="H368" s="10" t="str">
        <f>IFERROR(__xludf.DUMMYFUNCTION("GOOGLETRANSLATE(B368, ""en"", ""pt-br"")"),"Os threads possuem uma interface limpa e intuitiva que é fácil de navegar. O design do aplicativo é minimalista, colocando o foco nas conversas e garantindo uma experiência sem distração. Desde o momento em que comecei a usar threads, achei fácil localiza"&amp;"r e participar de conversas.")</f>
        <v>Os threads possuem uma interface limpa e intuitiva que é fácil de navegar. O design do aplicativo é minimalista, colocando o foco nas conversas e garantindo uma experiência sem distração. Desde o momento em que comecei a usar threads, achei fácil localizar e participar de conversas.</v>
      </c>
      <c r="I368" s="10" t="str">
        <f>IFERROR(__xludf.DUMMYFUNCTION("TRIM(REGEXREPLACE(H368,""[^a-zA-ZÀ-ú ]+"",""""))"),"Os threads possuem uma interface limpa e intuitiva que é fácil de navegar O design do aplicativo é minimalista colocando o foco nas conversas e garantindo uma experiência sem distração Desde o momento em que comecei a usar threads achei fácil localizar e "&amp;"participar de conversas")</f>
        <v>Os threads possuem uma interface limpa e intuitiva que é fácil de navegar O design do aplicativo é minimalista colocando o foco nas conversas e garantindo uma experiência sem distração Desde o momento em que comecei a usar threads achei fácil localizar e participar de conversas</v>
      </c>
      <c r="J368" s="3"/>
      <c r="K368" s="3"/>
      <c r="L368" s="3"/>
      <c r="M368" s="3"/>
      <c r="N368" s="3"/>
      <c r="O368" s="3"/>
      <c r="P368" s="3"/>
      <c r="Q368" s="3"/>
      <c r="R368" s="3"/>
      <c r="S368" s="3"/>
      <c r="T368" s="3"/>
      <c r="U368" s="3"/>
      <c r="V368" s="3"/>
      <c r="W368" s="3"/>
      <c r="X368" s="3"/>
      <c r="Y368" s="3"/>
      <c r="Z368" s="3"/>
      <c r="AA368" s="3"/>
    </row>
    <row r="369" ht="105.75" customHeight="1">
      <c r="A369" s="4" t="s">
        <v>9</v>
      </c>
      <c r="B369" s="5" t="s">
        <v>377</v>
      </c>
      <c r="C369" s="4">
        <v>3.0</v>
      </c>
      <c r="D369" s="6">
        <v>45116.820335648146</v>
      </c>
      <c r="E369" s="7" t="str">
        <f t="shared" si="1"/>
        <v>2023-07-09</v>
      </c>
      <c r="F369" s="8" t="str">
        <f t="shared" si="2"/>
        <v> 19:41:17</v>
      </c>
      <c r="G369" s="9" t="str">
        <f t="shared" si="3"/>
        <v>Noite</v>
      </c>
      <c r="H369" s="10" t="str">
        <f>IFERROR(__xludf.DUMMYFUNCTION("GOOGLETRANSLATE(B369, ""en"", ""pt-br"")"),"Um ótimo aplicativo, dado o fato de passar apenas alguns dias desde que foi lançado, mas obviamente há algumas falhas nele. Por exemplo, quando eu quero postar uma foto, muitas vezes me expulsa do aplicativo e leva horas para que eu me permitir postar ess"&amp;"a foto. Normalmente, eu também não consigo ver quem apenas começou a me seguir, me mostra bem meus seguidores no começo, mas uma vez que suponho com 50 seguidores, paro de receber notificações e não consigo mais ver os nomes de usuário daqueles que me seg"&amp;"uem.")</f>
        <v>Um ótimo aplicativo, dado o fato de passar apenas alguns dias desde que foi lançado, mas obviamente há algumas falhas nele. Por exemplo, quando eu quero postar uma foto, muitas vezes me expulsa do aplicativo e leva horas para que eu me permitir postar essa foto. Normalmente, eu também não consigo ver quem apenas começou a me seguir, me mostra bem meus seguidores no começo, mas uma vez que suponho com 50 seguidores, paro de receber notificações e não consigo mais ver os nomes de usuário daqueles que me seguem.</v>
      </c>
      <c r="I369" s="10" t="str">
        <f>IFERROR(__xludf.DUMMYFUNCTION("TRIM(REGEXREPLACE(H369,""[^a-zA-ZÀ-ú ]+"",""""))"),"Um ótimo aplicativo dado o fato de passar apenas alguns dias desde que foi lançado mas obviamente há algumas falhas nele Por exemplo quando eu quero postar uma foto muitas vezes me expulsa do aplicativo e leva horas para que eu me permitir postar essa fot"&amp;"o Normalmente eu também não consigo ver quem apenas começou a me seguir me mostra bem meus seguidores no começo mas uma vez que suponho com seguidores paro de receber notificações e não consigo mais ver os nomes de usuário daqueles que me seguem")</f>
        <v>Um ótimo aplicativo dado o fato de passar apenas alguns dias desde que foi lançado mas obviamente há algumas falhas nele Por exemplo quando eu quero postar uma foto muitas vezes me expulsa do aplicativo e leva horas para que eu me permitir postar essa foto Normalmente eu também não consigo ver quem apenas começou a me seguir me mostra bem meus seguidores no começo mas uma vez que suponho com seguidores paro de receber notificações e não consigo mais ver os nomes de usuário daqueles que me seguem</v>
      </c>
      <c r="J369" s="3"/>
      <c r="K369" s="3"/>
      <c r="L369" s="3"/>
      <c r="M369" s="3"/>
      <c r="N369" s="3"/>
      <c r="O369" s="3"/>
      <c r="P369" s="3"/>
      <c r="Q369" s="3"/>
      <c r="R369" s="3"/>
      <c r="S369" s="3"/>
      <c r="T369" s="3"/>
      <c r="U369" s="3"/>
      <c r="V369" s="3"/>
      <c r="W369" s="3"/>
      <c r="X369" s="3"/>
      <c r="Y369" s="3"/>
      <c r="Z369" s="3"/>
      <c r="AA369" s="3"/>
    </row>
    <row r="370" ht="105.75" customHeight="1">
      <c r="A370" s="4" t="s">
        <v>9</v>
      </c>
      <c r="B370" s="5" t="s">
        <v>378</v>
      </c>
      <c r="C370" s="4">
        <v>3.0</v>
      </c>
      <c r="D370" s="6">
        <v>45114.53403935185</v>
      </c>
      <c r="E370" s="7" t="str">
        <f t="shared" si="1"/>
        <v>2023-07-07</v>
      </c>
      <c r="F370" s="8" t="str">
        <f t="shared" si="2"/>
        <v> 12:49:01</v>
      </c>
      <c r="G370" s="9" t="str">
        <f t="shared" si="3"/>
        <v>Tarde</v>
      </c>
      <c r="H370" s="10" t="str">
        <f>IFERROR(__xludf.DUMMYFUNCTION("GOOGLETRANSLATE(B370, ""en"", ""pt-br"")"),"Cargas de melhorias podem acontecer. Os anexos da imagem têm apenas ""galeria"" e não suportam pastas. Tenho um monte de lixo no meu feed doméstico de usuários aleatórios que não sigo. Precisa de seguidores/para sua separação nesse caso. Além disso, modo "&amp;"escuro.")</f>
        <v>Cargas de melhorias podem acontecer. Os anexos da imagem têm apenas "galeria" e não suportam pastas. Tenho um monte de lixo no meu feed doméstico de usuários aleatórios que não sigo. Precisa de seguidores/para sua separação nesse caso. Além disso, modo escuro.</v>
      </c>
      <c r="I370" s="10" t="str">
        <f>IFERROR(__xludf.DUMMYFUNCTION("TRIM(REGEXREPLACE(H370,""[^a-zA-ZÀ-ú ]+"",""""))"),"Cargas de melhorias podem acontecer Os anexos da imagem têm apenas galeria e não suportam pastas Tenho um monte de lixo no meu feed doméstico de usuários aleatórios que não sigo Precisa de seguidorespara sua separação nesse caso Além disso modo escuro")</f>
        <v>Cargas de melhorias podem acontecer Os anexos da imagem têm apenas galeria e não suportam pastas Tenho um monte de lixo no meu feed doméstico de usuários aleatórios que não sigo Precisa de seguidorespara sua separação nesse caso Além disso modo escuro</v>
      </c>
      <c r="J370" s="3"/>
      <c r="K370" s="3"/>
      <c r="L370" s="3"/>
      <c r="M370" s="3"/>
      <c r="N370" s="3"/>
      <c r="O370" s="3"/>
      <c r="P370" s="3"/>
      <c r="Q370" s="3"/>
      <c r="R370" s="3"/>
      <c r="S370" s="3"/>
      <c r="T370" s="3"/>
      <c r="U370" s="3"/>
      <c r="V370" s="3"/>
      <c r="W370" s="3"/>
      <c r="X370" s="3"/>
      <c r="Y370" s="3"/>
      <c r="Z370" s="3"/>
      <c r="AA370" s="3"/>
    </row>
    <row r="371" ht="105.75" customHeight="1">
      <c r="A371" s="4" t="s">
        <v>9</v>
      </c>
      <c r="B371" s="5" t="s">
        <v>379</v>
      </c>
      <c r="C371" s="4">
        <v>1.0</v>
      </c>
      <c r="D371" s="6">
        <v>45130.85533564815</v>
      </c>
      <c r="E371" s="7" t="str">
        <f t="shared" si="1"/>
        <v>2023-07-23</v>
      </c>
      <c r="F371" s="8" t="str">
        <f t="shared" si="2"/>
        <v> 20:31:41</v>
      </c>
      <c r="G371" s="9" t="str">
        <f t="shared" si="3"/>
        <v>Noite</v>
      </c>
      <c r="H371" s="10" t="str">
        <f>IFERROR(__xludf.DUMMYFUNCTION("GOOGLETRANSLATE(B371, ""en"", ""pt-br"")"),"Eu tive que excluir minha conta e excluir o aplicativo e começar de novo. Depois de um dia, 2 postagens e 7 curtidas, ele não está postando novamente !!! Nenhum aviso. Por favor, conserte isso !!! Estou em um tablet Samsung e, nos últimos dias, minhas pos"&amp;"tagens e postagens citadas não conseguem fazer upload. Preciso de ajuda e enviar uma mensagem para @Zuck e @Meta não passa, porque todas as minhas postagens estão falhando. Excluí e reinstalei este aplicativo, sem sucesso. Parece que só posso repassar.")</f>
        <v>Eu tive que excluir minha conta e excluir o aplicativo e começar de novo. Depois de um dia, 2 postagens e 7 curtidas, ele não está postando novamente !!! Nenhum aviso. Por favor, conserte isso !!! Estou em um tablet Samsung e, nos últimos dias, minhas postagens e postagens citadas não conseguem fazer upload. Preciso de ajuda e enviar uma mensagem para @Zuck e @Meta não passa, porque todas as minhas postagens estão falhando. Excluí e reinstalei este aplicativo, sem sucesso. Parece que só posso repassar.</v>
      </c>
      <c r="I371" s="10" t="str">
        <f>IFERROR(__xludf.DUMMYFUNCTION("TRIM(REGEXREPLACE(H371,""[^a-zA-ZÀ-ú ]+"",""""))"),"Eu tive que excluir minha conta e excluir o aplicativo e começar de novo Depois de um dia postagens e curtidas ele não está postando novamente Nenhum aviso Por favor conserte isso Estou em um tablet Samsung e nos últimos dias minhas postagens e postagens "&amp;"citadas não conseguem fazer upload Preciso de ajuda e enviar uma mensagem para Zuck e Meta não passa porque todas as minhas postagens estão falhando Excluí e reinstalei este aplicativo sem sucesso Parece que só posso repassar")</f>
        <v>Eu tive que excluir minha conta e excluir o aplicativo e começar de novo Depois de um dia postagens e curtidas ele não está postando novamente Nenhum aviso Por favor conserte isso Estou em um tablet Samsung e nos últimos dias minhas postagens e postagens citadas não conseguem fazer upload Preciso de ajuda e enviar uma mensagem para Zuck e Meta não passa porque todas as minhas postagens estão falhando Excluí e reinstalei este aplicativo sem sucesso Parece que só posso repassar</v>
      </c>
      <c r="J371" s="3"/>
      <c r="K371" s="3"/>
      <c r="L371" s="3"/>
      <c r="M371" s="3"/>
      <c r="N371" s="3"/>
      <c r="O371" s="3"/>
      <c r="P371" s="3"/>
      <c r="Q371" s="3"/>
      <c r="R371" s="3"/>
      <c r="S371" s="3"/>
      <c r="T371" s="3"/>
      <c r="U371" s="3"/>
      <c r="V371" s="3"/>
      <c r="W371" s="3"/>
      <c r="X371" s="3"/>
      <c r="Y371" s="3"/>
      <c r="Z371" s="3"/>
      <c r="AA371" s="3"/>
    </row>
    <row r="372" ht="105.75" customHeight="1">
      <c r="A372" s="4" t="s">
        <v>9</v>
      </c>
      <c r="B372" s="5" t="s">
        <v>380</v>
      </c>
      <c r="C372" s="4">
        <v>2.0</v>
      </c>
      <c r="D372" s="6">
        <v>45113.04215277778</v>
      </c>
      <c r="E372" s="7" t="str">
        <f t="shared" si="1"/>
        <v>2023-07-06</v>
      </c>
      <c r="F372" s="8" t="str">
        <f t="shared" si="2"/>
        <v> 01:00:42</v>
      </c>
      <c r="G372" s="9" t="str">
        <f t="shared" si="3"/>
        <v>Manhã</v>
      </c>
      <c r="H372" s="10" t="str">
        <f>IFERROR(__xludf.DUMMYFUNCTION("GOOGLETRANSLATE(B372, ""en"", ""pt-br"")"),"Eu gostaria que houvesse uma opção de ver apenas tópicos de pessoas que você segue (agora é como a página ""For You"" no Twitter quando precisar da opção ""a seguir"") e a capacidade de classificar cronologicamente! Se essas duas coisas mudassem, isso ser"&amp;"ia absolutamente um aplicativo de 5* e venceria o Twitter por uma milha. Agora, é bonito ""meh"". Muito espaço para melhorias!")</f>
        <v>Eu gostaria que houvesse uma opção de ver apenas tópicos de pessoas que você segue (agora é como a página "For You" no Twitter quando precisar da opção "a seguir") e a capacidade de classificar cronologicamente! Se essas duas coisas mudassem, isso seria absolutamente um aplicativo de 5* e venceria o Twitter por uma milha. Agora, é bonito "meh". Muito espaço para melhorias!</v>
      </c>
      <c r="I372" s="10" t="str">
        <f>IFERROR(__xludf.DUMMYFUNCTION("TRIM(REGEXREPLACE(H372,""[^a-zA-ZÀ-ú ]+"",""""))"),"Eu gostaria que houvesse uma opção de ver apenas tópicos de pessoas que você segue agora é como a página For You no Twitter quando precisar da opção a seguir e a capacidade de classificar cronologicamente Se essas duas coisas mudassem isso seria absolutam"&amp;"ente um aplicativo de e venceria o Twitter por uma milha Agora é bonito meh Muito espaço para melhorias")</f>
        <v>Eu gostaria que houvesse uma opção de ver apenas tópicos de pessoas que você segue agora é como a página For You no Twitter quando precisar da opção a seguir e a capacidade de classificar cronologicamente Se essas duas coisas mudassem isso seria absolutamente um aplicativo de e venceria o Twitter por uma milha Agora é bonito meh Muito espaço para melhorias</v>
      </c>
      <c r="J372" s="3"/>
      <c r="K372" s="3"/>
      <c r="L372" s="3"/>
      <c r="M372" s="3"/>
      <c r="N372" s="3"/>
      <c r="O372" s="3"/>
      <c r="P372" s="3"/>
      <c r="Q372" s="3"/>
      <c r="R372" s="3"/>
      <c r="S372" s="3"/>
      <c r="T372" s="3"/>
      <c r="U372" s="3"/>
      <c r="V372" s="3"/>
      <c r="W372" s="3"/>
      <c r="X372" s="3"/>
      <c r="Y372" s="3"/>
      <c r="Z372" s="3"/>
      <c r="AA372" s="3"/>
    </row>
    <row r="373" ht="105.75" customHeight="1">
      <c r="A373" s="4" t="s">
        <v>9</v>
      </c>
      <c r="B373" s="5" t="s">
        <v>381</v>
      </c>
      <c r="C373" s="4">
        <v>1.0</v>
      </c>
      <c r="D373" s="6">
        <v>45115.326527777775</v>
      </c>
      <c r="E373" s="7" t="str">
        <f t="shared" si="1"/>
        <v>2023-07-08</v>
      </c>
      <c r="F373" s="8" t="str">
        <f t="shared" si="2"/>
        <v> 07:50:12</v>
      </c>
      <c r="G373" s="9" t="str">
        <f t="shared" si="3"/>
        <v>Manhã</v>
      </c>
      <c r="H373" s="10" t="str">
        <f>IFERROR(__xludf.DUMMYFUNCTION("GOOGLETRANSLATE(B373, ""en"", ""pt-br"")"),"O aplicativo teria sido legal se estivesse funcionando corretamente e não pareça glicte. Como se eu não pudesse ler threads e olhar as fotos, sempre que rolar o tópico anterior estará no que estou lendo. Então, por favor, conserte ...")</f>
        <v>O aplicativo teria sido legal se estivesse funcionando corretamente e não pareça glicte. Como se eu não pudesse ler threads e olhar as fotos, sempre que rolar o tópico anterior estará no que estou lendo. Então, por favor, conserte ...</v>
      </c>
      <c r="I373" s="10" t="str">
        <f>IFERROR(__xludf.DUMMYFUNCTION("TRIM(REGEXREPLACE(H373,""[^a-zA-ZÀ-ú ]+"",""""))"),"O aplicativo teria sido legal se estivesse funcionando corretamente e não pareça glicte Como se eu não pudesse ler threads e olhar as fotos sempre que rolar o tópico anterior estará no que estou lendo Então por favor conserte")</f>
        <v>O aplicativo teria sido legal se estivesse funcionando corretamente e não pareça glicte Como se eu não pudesse ler threads e olhar as fotos sempre que rolar o tópico anterior estará no que estou lendo Então por favor conserte</v>
      </c>
      <c r="J373" s="3"/>
      <c r="K373" s="3"/>
      <c r="L373" s="3"/>
      <c r="M373" s="3"/>
      <c r="N373" s="3"/>
      <c r="O373" s="3"/>
      <c r="P373" s="3"/>
      <c r="Q373" s="3"/>
      <c r="R373" s="3"/>
      <c r="S373" s="3"/>
      <c r="T373" s="3"/>
      <c r="U373" s="3"/>
      <c r="V373" s="3"/>
      <c r="W373" s="3"/>
      <c r="X373" s="3"/>
      <c r="Y373" s="3"/>
      <c r="Z373" s="3"/>
      <c r="AA373" s="3"/>
    </row>
    <row r="374" ht="105.75" customHeight="1">
      <c r="A374" s="4" t="s">
        <v>9</v>
      </c>
      <c r="B374" s="5" t="s">
        <v>382</v>
      </c>
      <c r="C374" s="4">
        <v>5.0</v>
      </c>
      <c r="D374" s="6">
        <v>45114.200625</v>
      </c>
      <c r="E374" s="7" t="str">
        <f t="shared" si="1"/>
        <v>2023-07-07</v>
      </c>
      <c r="F374" s="8" t="str">
        <f t="shared" si="2"/>
        <v> 04:48:54</v>
      </c>
      <c r="G374" s="9" t="str">
        <f t="shared" si="3"/>
        <v>Manhã</v>
      </c>
      <c r="H374" s="10" t="str">
        <f>IFERROR(__xludf.DUMMYFUNCTION("GOOGLETRANSLATE(B374, ""en"", ""pt-br"")"),"Experiência sólida do dia 1. Apenas alguns bugs, pois o recurso de pesquisa parou de funcionar uma ou duas vezes e há alguns recursos que seriam bons que serão lançados em breve (sem data de lançamento, eles o confirmam na lista de coisas que chegam).")</f>
        <v>Experiência sólida do dia 1. Apenas alguns bugs, pois o recurso de pesquisa parou de funcionar uma ou duas vezes e há alguns recursos que seriam bons que serão lançados em breve (sem data de lançamento, eles o confirmam na lista de coisas que chegam).</v>
      </c>
      <c r="I374" s="10" t="str">
        <f>IFERROR(__xludf.DUMMYFUNCTION("TRIM(REGEXREPLACE(H374,""[^a-zA-ZÀ-ú ]+"",""""))"),"Experiência sólida do dia Apenas alguns bugs pois o recurso de pesquisa parou de funcionar uma ou duas vezes e há alguns recursos que seriam bons que serão lançados em breve sem data de lançamento eles o confirmam na lista de coisas que chegam")</f>
        <v>Experiência sólida do dia Apenas alguns bugs pois o recurso de pesquisa parou de funcionar uma ou duas vezes e há alguns recursos que seriam bons que serão lançados em breve sem data de lançamento eles o confirmam na lista de coisas que chegam</v>
      </c>
      <c r="J374" s="3"/>
      <c r="K374" s="3"/>
      <c r="L374" s="3"/>
      <c r="M374" s="3"/>
      <c r="N374" s="3"/>
      <c r="O374" s="3"/>
      <c r="P374" s="3"/>
      <c r="Q374" s="3"/>
      <c r="R374" s="3"/>
      <c r="S374" s="3"/>
      <c r="T374" s="3"/>
      <c r="U374" s="3"/>
      <c r="V374" s="3"/>
      <c r="W374" s="3"/>
      <c r="X374" s="3"/>
      <c r="Y374" s="3"/>
      <c r="Z374" s="3"/>
      <c r="AA374" s="3"/>
    </row>
    <row r="375" ht="105.75" customHeight="1">
      <c r="A375" s="4" t="s">
        <v>9</v>
      </c>
      <c r="B375" s="5" t="s">
        <v>383</v>
      </c>
      <c r="C375" s="4">
        <v>4.0</v>
      </c>
      <c r="D375" s="6">
        <v>45116.86734953704</v>
      </c>
      <c r="E375" s="7" t="str">
        <f t="shared" si="1"/>
        <v>2023-07-09</v>
      </c>
      <c r="F375" s="8" t="str">
        <f t="shared" si="2"/>
        <v> 20:48:59</v>
      </c>
      <c r="G375" s="9" t="str">
        <f t="shared" si="3"/>
        <v>Noite</v>
      </c>
      <c r="H375" s="10" t="str">
        <f>IFERROR(__xludf.DUMMYFUNCTION("GOOGLETRANSLATE(B375, ""en"", ""pt-br"")"),"Para um aplicativo que acabou de ser lançado há alguns dias, é honestamente muito bom !! No entanto, há algumas coisas que eu gostaria de ver melhoradas e feitas: hashtags, pasta para salvar threads, notas de rascunho.")</f>
        <v>Para um aplicativo que acabou de ser lançado há alguns dias, é honestamente muito bom !! No entanto, há algumas coisas que eu gostaria de ver melhoradas e feitas: hashtags, pasta para salvar threads, notas de rascunho.</v>
      </c>
      <c r="I375" s="10" t="str">
        <f>IFERROR(__xludf.DUMMYFUNCTION("TRIM(REGEXREPLACE(H375,""[^a-zA-ZÀ-ú ]+"",""""))"),"Para um aplicativo que acabou de ser lançado há alguns dias é honestamente muito bom No entanto há algumas coisas que eu gostaria de ver melhoradas e feitas hashtags pasta para salvar threads notas de rascunho")</f>
        <v>Para um aplicativo que acabou de ser lançado há alguns dias é honestamente muito bom No entanto há algumas coisas que eu gostaria de ver melhoradas e feitas hashtags pasta para salvar threads notas de rascunho</v>
      </c>
      <c r="J375" s="3"/>
      <c r="K375" s="3"/>
      <c r="L375" s="3"/>
      <c r="M375" s="3"/>
      <c r="N375" s="3"/>
      <c r="O375" s="3"/>
      <c r="P375" s="3"/>
      <c r="Q375" s="3"/>
      <c r="R375" s="3"/>
      <c r="S375" s="3"/>
      <c r="T375" s="3"/>
      <c r="U375" s="3"/>
      <c r="V375" s="3"/>
      <c r="W375" s="3"/>
      <c r="X375" s="3"/>
      <c r="Y375" s="3"/>
      <c r="Z375" s="3"/>
      <c r="AA375" s="3"/>
    </row>
    <row r="376" ht="105.75" customHeight="1">
      <c r="A376" s="4" t="s">
        <v>9</v>
      </c>
      <c r="B376" s="5" t="s">
        <v>384</v>
      </c>
      <c r="C376" s="4">
        <v>5.0</v>
      </c>
      <c r="D376" s="6">
        <v>45118.83972222222</v>
      </c>
      <c r="E376" s="7" t="str">
        <f t="shared" si="1"/>
        <v>2023-07-11</v>
      </c>
      <c r="F376" s="8" t="str">
        <f t="shared" si="2"/>
        <v> 20:09:12</v>
      </c>
      <c r="G376" s="9" t="str">
        <f t="shared" si="3"/>
        <v>Noite</v>
      </c>
      <c r="H376" s="10" t="str">
        <f>IFERROR(__xludf.DUMMYFUNCTION("GOOGLETRANSLATE(B376, ""en"", ""pt-br"")"),"Em primeiro lugar, quero expressar meu apreço pelo conceito geral de threads. Ele fornece uma plataforma conveniente e privada para compartilhar atualizações, fotos e vídeos com amigos íntimos. No entanto, a integração do recurso de bobinas no aplicativo "&amp;"causou algum inconveniente e desorganizou a experiência do usuário. Separando a seção de bobinas no aplicativo melhoraria bastante a experiência do usuário. Isso permitiria foco melhorado, navegação mais fácil, privacidade aprimorada e interface simplific"&amp;"ada")</f>
        <v>Em primeiro lugar, quero expressar meu apreço pelo conceito geral de threads. Ele fornece uma plataforma conveniente e privada para compartilhar atualizações, fotos e vídeos com amigos íntimos. No entanto, a integração do recurso de bobinas no aplicativo causou algum inconveniente e desorganizou a experiência do usuário. Separando a seção de bobinas no aplicativo melhoraria bastante a experiência do usuário. Isso permitiria foco melhorado, navegação mais fácil, privacidade aprimorada e interface simplificada</v>
      </c>
      <c r="I376" s="10" t="str">
        <f>IFERROR(__xludf.DUMMYFUNCTION("TRIM(REGEXREPLACE(H376,""[^a-zA-ZÀ-ú ]+"",""""))"),"Em primeiro lugar quero expressar meu apreço pelo conceito geral de threads Ele fornece uma plataforma conveniente e privada para compartilhar atualizações fotos e vídeos com amigos íntimos No entanto a integração do recurso de bobinas no aplicativo causo"&amp;"u algum inconveniente e desorganizou a experiência do usuário Separando a seção de bobinas no aplicativo melhoraria bastante a experiência do usuário Isso permitiria foco melhorado navegação mais fácil privacidade aprimorada e interface simplificada")</f>
        <v>Em primeiro lugar quero expressar meu apreço pelo conceito geral de threads Ele fornece uma plataforma conveniente e privada para compartilhar atualizações fotos e vídeos com amigos íntimos No entanto a integração do recurso de bobinas no aplicativo causou algum inconveniente e desorganizou a experiência do usuário Separando a seção de bobinas no aplicativo melhoraria bastante a experiência do usuário Isso permitiria foco melhorado navegação mais fácil privacidade aprimorada e interface simplificada</v>
      </c>
      <c r="J376" s="3"/>
      <c r="K376" s="3"/>
      <c r="L376" s="3"/>
      <c r="M376" s="3"/>
      <c r="N376" s="3"/>
      <c r="O376" s="3"/>
      <c r="P376" s="3"/>
      <c r="Q376" s="3"/>
      <c r="R376" s="3"/>
      <c r="S376" s="3"/>
      <c r="T376" s="3"/>
      <c r="U376" s="3"/>
      <c r="V376" s="3"/>
      <c r="W376" s="3"/>
      <c r="X376" s="3"/>
      <c r="Y376" s="3"/>
      <c r="Z376" s="3"/>
      <c r="AA376" s="3"/>
    </row>
    <row r="377" ht="105.75" customHeight="1">
      <c r="A377" s="4" t="s">
        <v>9</v>
      </c>
      <c r="B377" s="5" t="s">
        <v>385</v>
      </c>
      <c r="C377" s="4">
        <v>1.0</v>
      </c>
      <c r="D377" s="6">
        <v>45114.26982638889</v>
      </c>
      <c r="E377" s="7" t="str">
        <f t="shared" si="1"/>
        <v>2023-07-07</v>
      </c>
      <c r="F377" s="8" t="str">
        <f t="shared" si="2"/>
        <v> 06:28:33</v>
      </c>
      <c r="G377" s="9" t="str">
        <f t="shared" si="3"/>
        <v>Manhã</v>
      </c>
      <c r="H377" s="10" t="str">
        <f>IFERROR(__xludf.DUMMYFUNCTION("GOOGLETRANSLATE(B377, ""en"", ""pt-br"")"),"1. Embora não haja anúncios em threads, mas muito conteúdo algorítmico no feed que eu realmente não gosto. 2. Você precisa fazer login com sua conta do Instagram. Você não pode criar uma nova conta por e -mail ou número de telefone. 3. Depois de criar a c"&amp;"onta dos threads, você não pode excluí -la. Se você deseja excluir, também precisará excluir sua conta do Instagram, porque a conta dos threads está interligada ao Instagram. 4. Não há nada de novo na UI &amp; ux. Parece o Twitter. Quase a mesma interface do "&amp;"usuário. 5. Nenhuma opção de bate -papo. Sem hashtag")</f>
        <v>1. Embora não haja anúncios em threads, mas muito conteúdo algorítmico no feed que eu realmente não gosto. 2. Você precisa fazer login com sua conta do Instagram. Você não pode criar uma nova conta por e -mail ou número de telefone. 3. Depois de criar a conta dos threads, você não pode excluí -la. Se você deseja excluir, também precisará excluir sua conta do Instagram, porque a conta dos threads está interligada ao Instagram. 4. Não há nada de novo na UI &amp; ux. Parece o Twitter. Quase a mesma interface do usuário. 5. Nenhuma opção de bate -papo. Sem hashtag</v>
      </c>
      <c r="I377" s="10" t="str">
        <f>IFERROR(__xludf.DUMMYFUNCTION("TRIM(REGEXREPLACE(H377,""[^a-zA-ZÀ-ú ]+"",""""))"),"Embora não haja anúncios em threads mas muito conteúdo algorítmico no feed que eu realmente não gosto Você precisa fazer login com sua conta do Instagram Você não pode criar uma nova conta por e mail ou número de telefone Depois de criar a conta dos threa"&amp;"ds você não pode excluí la Se você deseja excluir também precisará excluir sua conta do Instagram porque a conta dos threads está interligada ao Instagram Não há nada de novo na UI ux Parece o Twitter Quase a mesma interface do usuário Nenhuma opção de ba"&amp;"te papo Sem hashtag")</f>
        <v>Embora não haja anúncios em threads mas muito conteúdo algorítmico no feed que eu realmente não gosto Você precisa fazer login com sua conta do Instagram Você não pode criar uma nova conta por e mail ou número de telefone Depois de criar a conta dos threads você não pode excluí la Se você deseja excluir também precisará excluir sua conta do Instagram porque a conta dos threads está interligada ao Instagram Não há nada de novo na UI ux Parece o Twitter Quase a mesma interface do usuário Nenhuma opção de bate papo Sem hashtag</v>
      </c>
      <c r="J377" s="3"/>
      <c r="K377" s="3"/>
      <c r="L377" s="3"/>
      <c r="M377" s="3"/>
      <c r="N377" s="3"/>
      <c r="O377" s="3"/>
      <c r="P377" s="3"/>
      <c r="Q377" s="3"/>
      <c r="R377" s="3"/>
      <c r="S377" s="3"/>
      <c r="T377" s="3"/>
      <c r="U377" s="3"/>
      <c r="V377" s="3"/>
      <c r="W377" s="3"/>
      <c r="X377" s="3"/>
      <c r="Y377" s="3"/>
      <c r="Z377" s="3"/>
      <c r="AA377" s="3"/>
    </row>
    <row r="378" ht="105.75" customHeight="1">
      <c r="A378" s="4" t="s">
        <v>9</v>
      </c>
      <c r="B378" s="5" t="s">
        <v>386</v>
      </c>
      <c r="C378" s="4">
        <v>1.0</v>
      </c>
      <c r="D378" s="6">
        <v>45114.81300925926</v>
      </c>
      <c r="E378" s="7" t="str">
        <f t="shared" si="1"/>
        <v>2023-07-07</v>
      </c>
      <c r="F378" s="8" t="str">
        <f t="shared" si="2"/>
        <v> 19:30:44</v>
      </c>
      <c r="G378" s="9" t="str">
        <f t="shared" si="3"/>
        <v>Noite</v>
      </c>
      <c r="H378" s="10" t="str">
        <f>IFERROR(__xludf.DUMMYFUNCTION("GOOGLETRANSLATE(B378, ""en"", ""pt-br"")"),"A página inicial precisa de um enorme ajuste. Não há lógica no conteúdo que estou vendo. É preciso haver uma maneira de atender o que você está vendo. Eu só quero ver as pessoas que sigo, é por isso que as sigo. É uma bagunça. Além disso, essencialmente n"&amp;"ão há privacidade de dados; portanto, seja cansado. Também .... você não pode excluir sua conta? Que passo em falso.")</f>
        <v>A página inicial precisa de um enorme ajuste. Não há lógica no conteúdo que estou vendo. É preciso haver uma maneira de atender o que você está vendo. Eu só quero ver as pessoas que sigo, é por isso que as sigo. É uma bagunça. Além disso, essencialmente não há privacidade de dados; portanto, seja cansado. Também .... você não pode excluir sua conta? Que passo em falso.</v>
      </c>
      <c r="I378" s="10" t="str">
        <f>IFERROR(__xludf.DUMMYFUNCTION("TRIM(REGEXREPLACE(H378,""[^a-zA-ZÀ-ú ]+"",""""))"),"A página inicial precisa de um enorme ajuste Não há lógica no conteúdo que estou vendo É preciso haver uma maneira de atender o que você está vendo Eu só quero ver as pessoas que sigo é por isso que as sigo É uma bagunça Além disso essencialmente não há p"&amp;"rivacidade de dados portanto seja cansado Também você não pode excluir sua conta Que passo em falso")</f>
        <v>A página inicial precisa de um enorme ajuste Não há lógica no conteúdo que estou vendo É preciso haver uma maneira de atender o que você está vendo Eu só quero ver as pessoas que sigo é por isso que as sigo É uma bagunça Além disso essencialmente não há privacidade de dados portanto seja cansado Também você não pode excluir sua conta Que passo em falso</v>
      </c>
      <c r="J378" s="3"/>
      <c r="K378" s="3"/>
      <c r="L378" s="3"/>
      <c r="M378" s="3"/>
      <c r="N378" s="3"/>
      <c r="O378" s="3"/>
      <c r="P378" s="3"/>
      <c r="Q378" s="3"/>
      <c r="R378" s="3"/>
      <c r="S378" s="3"/>
      <c r="T378" s="3"/>
      <c r="U378" s="3"/>
      <c r="V378" s="3"/>
      <c r="W378" s="3"/>
      <c r="X378" s="3"/>
      <c r="Y378" s="3"/>
      <c r="Z378" s="3"/>
      <c r="AA378" s="3"/>
    </row>
    <row r="379" ht="105.75" customHeight="1">
      <c r="A379" s="4" t="s">
        <v>9</v>
      </c>
      <c r="B379" s="5" t="s">
        <v>387</v>
      </c>
      <c r="C379" s="4">
        <v>2.0</v>
      </c>
      <c r="D379" s="6">
        <v>45116.31465277778</v>
      </c>
      <c r="E379" s="7" t="str">
        <f t="shared" si="1"/>
        <v>2023-07-09</v>
      </c>
      <c r="F379" s="8" t="str">
        <f t="shared" si="2"/>
        <v> 07:33:06</v>
      </c>
      <c r="G379" s="9" t="str">
        <f t="shared" si="3"/>
        <v>Manhã</v>
      </c>
      <c r="H379" s="10" t="str">
        <f>IFERROR(__xludf.DUMMYFUNCTION("GOOGLETRANSLATE(B379, ""en"", ""pt-br"")"),"Sim, é um novo aplicativo. Mas a Meta não é exatamente um desenvolvedor independente! Literalmente, não há razão para nos inundar com contas de Rando. Essa deveria ter sido a funcionalidade básica desde o dia 1. Mas, como o Instagram, parece que os thread"&amp;"s só querem empurrar postagens aleatórias sobre nós, gostemos ou não. Até que as funções básicas estejam dentro, eu vou ficar com o Twitter.")</f>
        <v>Sim, é um novo aplicativo. Mas a Meta não é exatamente um desenvolvedor independente! Literalmente, não há razão para nos inundar com contas de Rando. Essa deveria ter sido a funcionalidade básica desde o dia 1. Mas, como o Instagram, parece que os threads só querem empurrar postagens aleatórias sobre nós, gostemos ou não. Até que as funções básicas estejam dentro, eu vou ficar com o Twitter.</v>
      </c>
      <c r="I379" s="10" t="str">
        <f>IFERROR(__xludf.DUMMYFUNCTION("TRIM(REGEXREPLACE(H379,""[^a-zA-ZÀ-ú ]+"",""""))"),"Sim é um novo aplicativo Mas a Meta não é exatamente um desenvolvedor independente Literalmente não há razão para nos inundar com contas de Rando Essa deveria ter sido a funcionalidade básica desde o dia Mas como o Instagram parece que os threads só quere"&amp;"m empurrar postagens aleatórias sobre nós gostemos ou não Até que as funções básicas estejam dentro eu vou ficar com o Twitter")</f>
        <v>Sim é um novo aplicativo Mas a Meta não é exatamente um desenvolvedor independente Literalmente não há razão para nos inundar com contas de Rando Essa deveria ter sido a funcionalidade básica desde o dia Mas como o Instagram parece que os threads só querem empurrar postagens aleatórias sobre nós gostemos ou não Até que as funções básicas estejam dentro eu vou ficar com o Twitter</v>
      </c>
      <c r="J379" s="3"/>
      <c r="K379" s="3"/>
      <c r="L379" s="3"/>
      <c r="M379" s="3"/>
      <c r="N379" s="3"/>
      <c r="O379" s="3"/>
      <c r="P379" s="3"/>
      <c r="Q379" s="3"/>
      <c r="R379" s="3"/>
      <c r="S379" s="3"/>
      <c r="T379" s="3"/>
      <c r="U379" s="3"/>
      <c r="V379" s="3"/>
      <c r="W379" s="3"/>
      <c r="X379" s="3"/>
      <c r="Y379" s="3"/>
      <c r="Z379" s="3"/>
      <c r="AA379" s="3"/>
    </row>
    <row r="380" ht="105.75" customHeight="1">
      <c r="A380" s="4" t="s">
        <v>9</v>
      </c>
      <c r="B380" s="5" t="s">
        <v>388</v>
      </c>
      <c r="C380" s="4">
        <v>1.0</v>
      </c>
      <c r="D380" s="6">
        <v>45124.364328703705</v>
      </c>
      <c r="E380" s="7" t="str">
        <f t="shared" si="1"/>
        <v>2023-07-17</v>
      </c>
      <c r="F380" s="8" t="str">
        <f t="shared" si="2"/>
        <v> 08:44:38</v>
      </c>
      <c r="G380" s="9" t="str">
        <f t="shared" si="3"/>
        <v>Manhã</v>
      </c>
      <c r="H380" s="10" t="str">
        <f>IFERROR(__xludf.DUMMYFUNCTION("GOOGLETRANSLATE(B380, ""en"", ""pt-br"")"),"""Alguma coisa deu errado. Por favor tente outra vez"". Receba esta mensagem o tempo todo. Não consigo ver respostas, meu perfil e muitos outros recursos. Esta mensagem aparece o tempo todo. Também as pessoas que sigo não aparecem no topo do meu feed. Eu "&amp;"recebo recomendações aleatórias no topo. De volta ao Twitter até classificar.")</f>
        <v>"Alguma coisa deu errado. Por favor tente outra vez". Receba esta mensagem o tempo todo. Não consigo ver respostas, meu perfil e muitos outros recursos. Esta mensagem aparece o tempo todo. Também as pessoas que sigo não aparecem no topo do meu feed. Eu recebo recomendações aleatórias no topo. De volta ao Twitter até classificar.</v>
      </c>
      <c r="I380" s="10" t="str">
        <f>IFERROR(__xludf.DUMMYFUNCTION("TRIM(REGEXREPLACE(H380,""[^a-zA-ZÀ-ú ]+"",""""))"),"Alguma coisa deu errado Por favor tente outra vez Receba esta mensagem o tempo todo Não consigo ver respostas meu perfil e muitos outros recursos Esta mensagem aparece o tempo todo Também as pessoas que sigo não aparecem no topo do meu feed Eu recebo reco"&amp;"mendações aleatórias no topo De volta ao Twitter até classificar")</f>
        <v>Alguma coisa deu errado Por favor tente outra vez Receba esta mensagem o tempo todo Não consigo ver respostas meu perfil e muitos outros recursos Esta mensagem aparece o tempo todo Também as pessoas que sigo não aparecem no topo do meu feed Eu recebo recomendações aleatórias no topo De volta ao Twitter até classificar</v>
      </c>
      <c r="J380" s="3"/>
      <c r="K380" s="3"/>
      <c r="L380" s="3"/>
      <c r="M380" s="3"/>
      <c r="N380" s="3"/>
      <c r="O380" s="3"/>
      <c r="P380" s="3"/>
      <c r="Q380" s="3"/>
      <c r="R380" s="3"/>
      <c r="S380" s="3"/>
      <c r="T380" s="3"/>
      <c r="U380" s="3"/>
      <c r="V380" s="3"/>
      <c r="W380" s="3"/>
      <c r="X380" s="3"/>
      <c r="Y380" s="3"/>
      <c r="Z380" s="3"/>
      <c r="AA380" s="3"/>
    </row>
    <row r="381" ht="105.75" customHeight="1">
      <c r="A381" s="4" t="s">
        <v>9</v>
      </c>
      <c r="B381" s="5" t="s">
        <v>389</v>
      </c>
      <c r="C381" s="4">
        <v>3.0</v>
      </c>
      <c r="D381" s="6">
        <v>45113.37988425926</v>
      </c>
      <c r="E381" s="7" t="str">
        <f t="shared" si="1"/>
        <v>2023-07-06</v>
      </c>
      <c r="F381" s="8" t="str">
        <f t="shared" si="2"/>
        <v> 09:07:02</v>
      </c>
      <c r="G381" s="9" t="str">
        <f t="shared" si="3"/>
        <v>Manhã</v>
      </c>
      <c r="H381" s="10" t="str">
        <f>IFERROR(__xludf.DUMMYFUNCTION("GOOGLETRANSLATE(B381, ""en"", ""pt-br"")"),"Você também não pode excluí -lo, a menos que exclua sua conta do Instagram. A profunda integração com o Instagram é perversa. Poderia ter sido um aplicativo independente que não exige que você se conecte ao metaverso pela força, mas acho que isso estava p"&amp;"edindo demais.")</f>
        <v>Você também não pode excluí -lo, a menos que exclua sua conta do Instagram. A profunda integração com o Instagram é perversa. Poderia ter sido um aplicativo independente que não exige que você se conecte ao metaverso pela força, mas acho que isso estava pedindo demais.</v>
      </c>
      <c r="I381" s="10" t="str">
        <f>IFERROR(__xludf.DUMMYFUNCTION("TRIM(REGEXREPLACE(H381,""[^a-zA-ZÀ-ú ]+"",""""))"),"Você também não pode excluí lo a menos que exclua sua conta do Instagram A profunda integração com o Instagram é perversa Poderia ter sido um aplicativo independente que não exige que você se conecte ao metaverso pela força mas acho que isso estava pedind"&amp;"o demais")</f>
        <v>Você também não pode excluí lo a menos que exclua sua conta do Instagram A profunda integração com o Instagram é perversa Poderia ter sido um aplicativo independente que não exige que você se conecte ao metaverso pela força mas acho que isso estava pedindo demais</v>
      </c>
      <c r="J381" s="3"/>
      <c r="K381" s="3"/>
      <c r="L381" s="3"/>
      <c r="M381" s="3"/>
      <c r="N381" s="3"/>
      <c r="O381" s="3"/>
      <c r="P381" s="3"/>
      <c r="Q381" s="3"/>
      <c r="R381" s="3"/>
      <c r="S381" s="3"/>
      <c r="T381" s="3"/>
      <c r="U381" s="3"/>
      <c r="V381" s="3"/>
      <c r="W381" s="3"/>
      <c r="X381" s="3"/>
      <c r="Y381" s="3"/>
      <c r="Z381" s="3"/>
      <c r="AA381" s="3"/>
    </row>
    <row r="382" ht="105.75" customHeight="1">
      <c r="A382" s="4" t="s">
        <v>9</v>
      </c>
      <c r="B382" s="5" t="s">
        <v>390</v>
      </c>
      <c r="C382" s="4">
        <v>2.0</v>
      </c>
      <c r="D382" s="6">
        <v>45113.80908564815</v>
      </c>
      <c r="E382" s="7" t="str">
        <f t="shared" si="1"/>
        <v>2023-07-06</v>
      </c>
      <c r="F382" s="8" t="str">
        <f t="shared" si="2"/>
        <v> 19:25:05</v>
      </c>
      <c r="G382" s="9" t="str">
        <f t="shared" si="3"/>
        <v>Noite</v>
      </c>
      <c r="H382" s="10" t="str">
        <f>IFERROR(__xludf.DUMMYFUNCTION("GOOGLETRANSLATE(B382, ""en"", ""pt-br"")"),"Se houvesse menos material aleatório no feed, seria muito melhor ou se houvesse uma maneira de organizá -lo onde você tem um feed seguinte e um para o seu alimento. Há coisas aleatórias demais.")</f>
        <v>Se houvesse menos material aleatório no feed, seria muito melhor ou se houvesse uma maneira de organizá -lo onde você tem um feed seguinte e um para o seu alimento. Há coisas aleatórias demais.</v>
      </c>
      <c r="I382" s="10" t="str">
        <f>IFERROR(__xludf.DUMMYFUNCTION("TRIM(REGEXREPLACE(H382,""[^a-zA-ZÀ-ú ]+"",""""))"),"Se houvesse menos material aleatório no feed seria muito melhor ou se houvesse uma maneira de organizá lo onde você tem um feed seguinte e um para o seu alimento Há coisas aleatórias demais")</f>
        <v>Se houvesse menos material aleatório no feed seria muito melhor ou se houvesse uma maneira de organizá lo onde você tem um feed seguinte e um para o seu alimento Há coisas aleatórias demais</v>
      </c>
      <c r="J382" s="3"/>
      <c r="K382" s="3"/>
      <c r="L382" s="3"/>
      <c r="M382" s="3"/>
      <c r="N382" s="3"/>
      <c r="O382" s="3"/>
      <c r="P382" s="3"/>
      <c r="Q382" s="3"/>
      <c r="R382" s="3"/>
      <c r="S382" s="3"/>
      <c r="T382" s="3"/>
      <c r="U382" s="3"/>
      <c r="V382" s="3"/>
      <c r="W382" s="3"/>
      <c r="X382" s="3"/>
      <c r="Y382" s="3"/>
      <c r="Z382" s="3"/>
      <c r="AA382" s="3"/>
    </row>
    <row r="383" ht="105.75" customHeight="1">
      <c r="A383" s="4" t="s">
        <v>9</v>
      </c>
      <c r="B383" s="5" t="s">
        <v>391</v>
      </c>
      <c r="C383" s="4">
        <v>4.0</v>
      </c>
      <c r="D383" s="6">
        <v>45118.08583333333</v>
      </c>
      <c r="E383" s="7" t="str">
        <f t="shared" si="1"/>
        <v>2023-07-11</v>
      </c>
      <c r="F383" s="8" t="str">
        <f t="shared" si="2"/>
        <v> 02:03:36</v>
      </c>
      <c r="G383" s="9" t="str">
        <f t="shared" si="3"/>
        <v>Manhã</v>
      </c>
      <c r="H383" s="10" t="str">
        <f>IFERROR(__xludf.DUMMYFUNCTION("GOOGLETRANSLATE(B383, ""en"", ""pt-br"")"),"É maravilhoso que só precisa de um pouco mais de melhoria, como várias fotos na segunda vez que você postar porque publiquei várias fotos da primeira vez e agora não consigo postar mais fotos, incluindo apenas uma, mas sou capaz de fazer upload de vídeos "&amp;"que acho é estranho, também sou capaz de fazer postagens regulares apenas com palavras")</f>
        <v>É maravilhoso que só precisa de um pouco mais de melhoria, como várias fotos na segunda vez que você postar porque publiquei várias fotos da primeira vez e agora não consigo postar mais fotos, incluindo apenas uma, mas sou capaz de fazer upload de vídeos que acho é estranho, também sou capaz de fazer postagens regulares apenas com palavras</v>
      </c>
      <c r="I383" s="10" t="str">
        <f>IFERROR(__xludf.DUMMYFUNCTION("TRIM(REGEXREPLACE(H383,""[^a-zA-ZÀ-ú ]+"",""""))"),"É maravilhoso que só precisa de um pouco mais de melhoria como várias fotos na segunda vez que você postar porque publiquei várias fotos da primeira vez e agora não consigo postar mais fotos incluindo apenas uma mas sou capaz de fazer upload de vídeos que"&amp;" acho é estranho também sou capaz de fazer postagens regulares apenas com palavras")</f>
        <v>É maravilhoso que só precisa de um pouco mais de melhoria como várias fotos na segunda vez que você postar porque publiquei várias fotos da primeira vez e agora não consigo postar mais fotos incluindo apenas uma mas sou capaz de fazer upload de vídeos que acho é estranho também sou capaz de fazer postagens regulares apenas com palavras</v>
      </c>
      <c r="J383" s="3"/>
      <c r="K383" s="3"/>
      <c r="L383" s="3"/>
      <c r="M383" s="3"/>
      <c r="N383" s="3"/>
      <c r="O383" s="3"/>
      <c r="P383" s="3"/>
      <c r="Q383" s="3"/>
      <c r="R383" s="3"/>
      <c r="S383" s="3"/>
      <c r="T383" s="3"/>
      <c r="U383" s="3"/>
      <c r="V383" s="3"/>
      <c r="W383" s="3"/>
      <c r="X383" s="3"/>
      <c r="Y383" s="3"/>
      <c r="Z383" s="3"/>
      <c r="AA383" s="3"/>
    </row>
    <row r="384" ht="105.75" customHeight="1">
      <c r="A384" s="4" t="s">
        <v>9</v>
      </c>
      <c r="B384" s="5" t="s">
        <v>392</v>
      </c>
      <c r="C384" s="4">
        <v>5.0</v>
      </c>
      <c r="D384" s="6">
        <v>45113.86854166666</v>
      </c>
      <c r="E384" s="7" t="str">
        <f t="shared" si="1"/>
        <v>2023-07-06</v>
      </c>
      <c r="F384" s="8" t="str">
        <f t="shared" si="2"/>
        <v> 20:50:42</v>
      </c>
      <c r="G384" s="9" t="str">
        <f t="shared" si="3"/>
        <v>Noite</v>
      </c>
      <c r="H384" s="10" t="str">
        <f>IFERROR(__xludf.DUMMYFUNCTION("GOOGLETRANSLATE(B384, ""en"", ""pt-br"")"),"Threads é um novo aplicativo fantástico que aprimora a experiência do Instagram e revoluciona as mensagens privadas. Ele se integra perfeitamente ao Instagram, permitindo que os usuários permaneçam conectados com seus amigos mais próximos e compartilhem m"&amp;"omentos de uma maneira mais íntima e personalizada. A interface do aplicativo é elegante, intuitiva e fácil de navegar no usuário shree_morbekar")</f>
        <v>Threads é um novo aplicativo fantástico que aprimora a experiência do Instagram e revoluciona as mensagens privadas. Ele se integra perfeitamente ao Instagram, permitindo que os usuários permaneçam conectados com seus amigos mais próximos e compartilhem momentos de uma maneira mais íntima e personalizada. A interface do aplicativo é elegante, intuitiva e fácil de navegar no usuário shree_morbekar</v>
      </c>
      <c r="I384" s="10" t="str">
        <f>IFERROR(__xludf.DUMMYFUNCTION("TRIM(REGEXREPLACE(H384,""[^a-zA-ZÀ-ú ]+"",""""))"),"Threads é um novo aplicativo fantástico que aprimora a experiência do Instagram e revoluciona as mensagens privadas Ele se integra perfeitamente ao Instagram permitindo que os usuários permaneçam conectados com seus amigos mais próximos e compartilhem mom"&amp;"entos de uma maneira mais íntima e personalizada A interface do aplicativo é elegante intuitiva e fácil de navegar no usuário shreemorbekar")</f>
        <v>Threads é um novo aplicativo fantástico que aprimora a experiência do Instagram e revoluciona as mensagens privadas Ele se integra perfeitamente ao Instagram permitindo que os usuários permaneçam conectados com seus amigos mais próximos e compartilhem momentos de uma maneira mais íntima e personalizada A interface do aplicativo é elegante intuitiva e fácil de navegar no usuário shreemorbekar</v>
      </c>
      <c r="J384" s="3"/>
      <c r="K384" s="3"/>
      <c r="L384" s="3"/>
      <c r="M384" s="3"/>
      <c r="N384" s="3"/>
      <c r="O384" s="3"/>
      <c r="P384" s="3"/>
      <c r="Q384" s="3"/>
      <c r="R384" s="3"/>
      <c r="S384" s="3"/>
      <c r="T384" s="3"/>
      <c r="U384" s="3"/>
      <c r="V384" s="3"/>
      <c r="W384" s="3"/>
      <c r="X384" s="3"/>
      <c r="Y384" s="3"/>
      <c r="Z384" s="3"/>
      <c r="AA384" s="3"/>
    </row>
    <row r="385" ht="105.75" customHeight="1">
      <c r="A385" s="4" t="s">
        <v>9</v>
      </c>
      <c r="B385" s="5" t="s">
        <v>393</v>
      </c>
      <c r="C385" s="4">
        <v>2.0</v>
      </c>
      <c r="D385" s="6">
        <v>45114.261087962965</v>
      </c>
      <c r="E385" s="7" t="str">
        <f t="shared" si="1"/>
        <v>2023-07-07</v>
      </c>
      <c r="F385" s="8" t="str">
        <f t="shared" si="2"/>
        <v> 06:15:58</v>
      </c>
      <c r="G385" s="9" t="str">
        <f t="shared" si="3"/>
        <v>Manhã</v>
      </c>
      <c r="H385" s="10" t="str">
        <f>IFERROR(__xludf.DUMMYFUNCTION("GOOGLETRANSLATE(B385, ""en"", ""pt-br"")"),"Por favor, faça -o para que você possa separar seus seguidores do material sugerido do algoritmo, é tão difícil encontrar o conteúdo que eu realmente quero ver. Esta seria a primeira coisa que deve ser atualizada/adicionada. Eu não gosto muito disso por c"&amp;"ausa disso")</f>
        <v>Por favor, faça -o para que você possa separar seus seguidores do material sugerido do algoritmo, é tão difícil encontrar o conteúdo que eu realmente quero ver. Esta seria a primeira coisa que deve ser atualizada/adicionada. Eu não gosto muito disso por causa disso</v>
      </c>
      <c r="I385" s="10" t="str">
        <f>IFERROR(__xludf.DUMMYFUNCTION("TRIM(REGEXREPLACE(H385,""[^a-zA-ZÀ-ú ]+"",""""))"),"Por favor faça o para que você possa separar seus seguidores do material sugerido do algoritmo é tão difícil encontrar o conteúdo que eu realmente quero ver Esta seria a primeira coisa que deve ser atualizadaadicionada Eu não gosto muito disso por causa d"&amp;"isso")</f>
        <v>Por favor faça o para que você possa separar seus seguidores do material sugerido do algoritmo é tão difícil encontrar o conteúdo que eu realmente quero ver Esta seria a primeira coisa que deve ser atualizadaadicionada Eu não gosto muito disso por causa disso</v>
      </c>
      <c r="J385" s="3"/>
      <c r="K385" s="3"/>
      <c r="L385" s="3"/>
      <c r="M385" s="3"/>
      <c r="N385" s="3"/>
      <c r="O385" s="3"/>
      <c r="P385" s="3"/>
      <c r="Q385" s="3"/>
      <c r="R385" s="3"/>
      <c r="S385" s="3"/>
      <c r="T385" s="3"/>
      <c r="U385" s="3"/>
      <c r="V385" s="3"/>
      <c r="W385" s="3"/>
      <c r="X385" s="3"/>
      <c r="Y385" s="3"/>
      <c r="Z385" s="3"/>
      <c r="AA385" s="3"/>
    </row>
    <row r="386" ht="105.75" customHeight="1">
      <c r="A386" s="4" t="s">
        <v>9</v>
      </c>
      <c r="B386" s="5" t="s">
        <v>394</v>
      </c>
      <c r="C386" s="4">
        <v>5.0</v>
      </c>
      <c r="D386" s="6">
        <v>45116.77454861111</v>
      </c>
      <c r="E386" s="7" t="str">
        <f t="shared" si="1"/>
        <v>2023-07-09</v>
      </c>
      <c r="F386" s="8" t="str">
        <f t="shared" si="2"/>
        <v> 18:35:21</v>
      </c>
      <c r="G386" s="9" t="str">
        <f t="shared" si="3"/>
        <v>Noite</v>
      </c>
      <c r="H386" s="10" t="str">
        <f>IFERROR(__xludf.DUMMYFUNCTION("GOOGLETRANSLATE(B386, ""en"", ""pt-br"")"),"Em primeiro lugar, a interface do usuário dos threads é lindamente projetada e fácil de usar. Navegar pelo aplicativo é uma brisa, com controles intuitivos e um layout limpo que facilita encontrar o que você está procurando. A atenção do aplicativo aos de"&amp;"talhes em termos de estética é louvável e realmente aprimora a experiência geral do usuário")</f>
        <v>Em primeiro lugar, a interface do usuário dos threads é lindamente projetada e fácil de usar. Navegar pelo aplicativo é uma brisa, com controles intuitivos e um layout limpo que facilita encontrar o que você está procurando. A atenção do aplicativo aos detalhes em termos de estética é louvável e realmente aprimora a experiência geral do usuário</v>
      </c>
      <c r="I386" s="10" t="str">
        <f>IFERROR(__xludf.DUMMYFUNCTION("TRIM(REGEXREPLACE(H386,""[^a-zA-ZÀ-ú ]+"",""""))"),"Em primeiro lugar a interface do usuário dos threads é lindamente projetada e fácil de usar Navegar pelo aplicativo é uma brisa com controles intuitivos e um layout limpo que facilita encontrar o que você está procurando A atenção do aplicativo aos detalh"&amp;"es em termos de estética é louvável e realmente aprimora a experiência geral do usuário")</f>
        <v>Em primeiro lugar a interface do usuário dos threads é lindamente projetada e fácil de usar Navegar pelo aplicativo é uma brisa com controles intuitivos e um layout limpo que facilita encontrar o que você está procurando A atenção do aplicativo aos detalhes em termos de estética é louvável e realmente aprimora a experiência geral do usuário</v>
      </c>
      <c r="J386" s="3"/>
      <c r="K386" s="3"/>
      <c r="L386" s="3"/>
      <c r="M386" s="3"/>
      <c r="N386" s="3"/>
      <c r="O386" s="3"/>
      <c r="P386" s="3"/>
      <c r="Q386" s="3"/>
      <c r="R386" s="3"/>
      <c r="S386" s="3"/>
      <c r="T386" s="3"/>
      <c r="U386" s="3"/>
      <c r="V386" s="3"/>
      <c r="W386" s="3"/>
      <c r="X386" s="3"/>
      <c r="Y386" s="3"/>
      <c r="Z386" s="3"/>
      <c r="AA386" s="3"/>
    </row>
    <row r="387" ht="105.75" customHeight="1">
      <c r="A387" s="4" t="s">
        <v>9</v>
      </c>
      <c r="B387" s="5" t="s">
        <v>395</v>
      </c>
      <c r="C387" s="4">
        <v>3.0</v>
      </c>
      <c r="D387" s="6">
        <v>45120.34516203704</v>
      </c>
      <c r="E387" s="7" t="str">
        <f t="shared" si="1"/>
        <v>2023-07-13</v>
      </c>
      <c r="F387" s="8" t="str">
        <f t="shared" si="2"/>
        <v> 08:17:02</v>
      </c>
      <c r="G387" s="9" t="str">
        <f t="shared" si="3"/>
        <v>Manhã</v>
      </c>
      <c r="H387" s="10" t="str">
        <f>IFERROR(__xludf.DUMMYFUNCTION("GOOGLETRANSLATE(B387, ""en"", ""pt-br"")"),"Estou enfrentando um problema com sons de vídeo. Se o áudio for suave, o vídeo é bom. Quando ligo o áudio, o vídeo para de reprodução. Tanto no feed quanto quando clico no vídeo e o abro, isso acontece.")</f>
        <v>Estou enfrentando um problema com sons de vídeo. Se o áudio for suave, o vídeo é bom. Quando ligo o áudio, o vídeo para de reprodução. Tanto no feed quanto quando clico no vídeo e o abro, isso acontece.</v>
      </c>
      <c r="I387" s="10" t="str">
        <f>IFERROR(__xludf.DUMMYFUNCTION("TRIM(REGEXREPLACE(H387,""[^a-zA-ZÀ-ú ]+"",""""))"),"Estou enfrentando um problema com sons de vídeo Se o áudio for suave o vídeo é bom Quando ligo o áudio o vídeo para de reprodução Tanto no feed quanto quando clico no vídeo e o abro isso acontece")</f>
        <v>Estou enfrentando um problema com sons de vídeo Se o áudio for suave o vídeo é bom Quando ligo o áudio o vídeo para de reprodução Tanto no feed quanto quando clico no vídeo e o abro isso acontece</v>
      </c>
      <c r="J387" s="3"/>
      <c r="K387" s="3"/>
      <c r="L387" s="3"/>
      <c r="M387" s="3"/>
      <c r="N387" s="3"/>
      <c r="O387" s="3"/>
      <c r="P387" s="3"/>
      <c r="Q387" s="3"/>
      <c r="R387" s="3"/>
      <c r="S387" s="3"/>
      <c r="T387" s="3"/>
      <c r="U387" s="3"/>
      <c r="V387" s="3"/>
      <c r="W387" s="3"/>
      <c r="X387" s="3"/>
      <c r="Y387" s="3"/>
      <c r="Z387" s="3"/>
      <c r="AA387" s="3"/>
    </row>
    <row r="388" ht="105.75" customHeight="1">
      <c r="A388" s="4" t="s">
        <v>9</v>
      </c>
      <c r="B388" s="5" t="s">
        <v>396</v>
      </c>
      <c r="C388" s="4">
        <v>4.0</v>
      </c>
      <c r="D388" s="6">
        <v>45114.18203703704</v>
      </c>
      <c r="E388" s="7" t="str">
        <f t="shared" si="1"/>
        <v>2023-07-07</v>
      </c>
      <c r="F388" s="8" t="str">
        <f t="shared" si="2"/>
        <v> 04:22:08</v>
      </c>
      <c r="G388" s="9" t="str">
        <f t="shared" si="3"/>
        <v>Manhã</v>
      </c>
      <c r="H388" s="10" t="str">
        <f>IFERROR(__xludf.DUMMYFUNCTION("GOOGLETRANSLATE(B388, ""en"", ""pt-br"")"),"Todas as coisas estão muito bem, mas onde o botão Editar o aplicativo? Ao iniciar o aplicativo, suas atualizações anteriores permanecem em exibição. Mas depois de agitar para o relatório, torna -se normal, sem lag, sem falha.! Qual é o problema?")</f>
        <v>Todas as coisas estão muito bem, mas onde o botão Editar o aplicativo? Ao iniciar o aplicativo, suas atualizações anteriores permanecem em exibição. Mas depois de agitar para o relatório, torna -se normal, sem lag, sem falha.! Qual é o problema?</v>
      </c>
      <c r="I388" s="10" t="str">
        <f>IFERROR(__xludf.DUMMYFUNCTION("TRIM(REGEXREPLACE(H388,""[^a-zA-ZÀ-ú ]+"",""""))"),"Todas as coisas estão muito bem mas onde o botão Editar o aplicativo Ao iniciar o aplicativo suas atualizações anteriores permanecem em exibição Mas depois de agitar para o relatório torna se normal sem lag sem falha Qual é o problema")</f>
        <v>Todas as coisas estão muito bem mas onde o botão Editar o aplicativo Ao iniciar o aplicativo suas atualizações anteriores permanecem em exibição Mas depois de agitar para o relatório torna se normal sem lag sem falha Qual é o problema</v>
      </c>
      <c r="J388" s="3"/>
      <c r="K388" s="3"/>
      <c r="L388" s="3"/>
      <c r="M388" s="3"/>
      <c r="N388" s="3"/>
      <c r="O388" s="3"/>
      <c r="P388" s="3"/>
      <c r="Q388" s="3"/>
      <c r="R388" s="3"/>
      <c r="S388" s="3"/>
      <c r="T388" s="3"/>
      <c r="U388" s="3"/>
      <c r="V388" s="3"/>
      <c r="W388" s="3"/>
      <c r="X388" s="3"/>
      <c r="Y388" s="3"/>
      <c r="Z388" s="3"/>
      <c r="AA388" s="3"/>
    </row>
    <row r="389" ht="105.75" customHeight="1">
      <c r="A389" s="4" t="s">
        <v>9</v>
      </c>
      <c r="B389" s="5" t="s">
        <v>397</v>
      </c>
      <c r="C389" s="4">
        <v>1.0</v>
      </c>
      <c r="D389" s="6">
        <v>45125.599490740744</v>
      </c>
      <c r="E389" s="7" t="str">
        <f t="shared" si="1"/>
        <v>2023-07-18</v>
      </c>
      <c r="F389" s="8" t="str">
        <f t="shared" si="2"/>
        <v> 14:23:16</v>
      </c>
      <c r="G389" s="9" t="str">
        <f t="shared" si="3"/>
        <v>Tarde</v>
      </c>
      <c r="H389" s="10" t="str">
        <f>IFERROR(__xludf.DUMMYFUNCTION("GOOGLETRANSLATE(B389, ""en"", ""pt-br"")"),"Agora mesmo. Este aplicativo é péssimo. Não há hashtags, não há como pesquisar palavras -chave. A única coisa que você pode pesquisar são os nomes de usuário. Seu feed é carregado com um monte de coisas que você não deseja ver. O aplicativo tem potencial,"&amp;" mas eles apressaram o lançamento. Darei a eles algumas semanas para adicionar mais alguns recursos, mas agora não há benefício para os usuários em geral.")</f>
        <v>Agora mesmo. Este aplicativo é péssimo. Não há hashtags, não há como pesquisar palavras -chave. A única coisa que você pode pesquisar são os nomes de usuário. Seu feed é carregado com um monte de coisas que você não deseja ver. O aplicativo tem potencial, mas eles apressaram o lançamento. Darei a eles algumas semanas para adicionar mais alguns recursos, mas agora não há benefício para os usuários em geral.</v>
      </c>
      <c r="I389" s="10" t="str">
        <f>IFERROR(__xludf.DUMMYFUNCTION("TRIM(REGEXREPLACE(H389,""[^a-zA-ZÀ-ú ]+"",""""))"),"Agora mesmo Este aplicativo é péssimo Não há hashtags não há como pesquisar palavras chave A única coisa que você pode pesquisar são os nomes de usuário Seu feed é carregado com um monte de coisas que você não deseja ver O aplicativo tem potencial mas ele"&amp;"s apressaram o lançamento Darei a eles algumas semanas para adicionar mais alguns recursos mas agora não há benefício para os usuários em geral")</f>
        <v>Agora mesmo Este aplicativo é péssimo Não há hashtags não há como pesquisar palavras chave A única coisa que você pode pesquisar são os nomes de usuário Seu feed é carregado com um monte de coisas que você não deseja ver O aplicativo tem potencial mas eles apressaram o lançamento Darei a eles algumas semanas para adicionar mais alguns recursos mas agora não há benefício para os usuários em geral</v>
      </c>
      <c r="J389" s="3"/>
      <c r="K389" s="3"/>
      <c r="L389" s="3"/>
      <c r="M389" s="3"/>
      <c r="N389" s="3"/>
      <c r="O389" s="3"/>
      <c r="P389" s="3"/>
      <c r="Q389" s="3"/>
      <c r="R389" s="3"/>
      <c r="S389" s="3"/>
      <c r="T389" s="3"/>
      <c r="U389" s="3"/>
      <c r="V389" s="3"/>
      <c r="W389" s="3"/>
      <c r="X389" s="3"/>
      <c r="Y389" s="3"/>
      <c r="Z389" s="3"/>
      <c r="AA389" s="3"/>
    </row>
    <row r="390" ht="105.75" customHeight="1">
      <c r="A390" s="4" t="s">
        <v>9</v>
      </c>
      <c r="B390" s="5" t="s">
        <v>398</v>
      </c>
      <c r="C390" s="4">
        <v>2.0</v>
      </c>
      <c r="D390" s="6">
        <v>45115.30373842592</v>
      </c>
      <c r="E390" s="7" t="str">
        <f t="shared" si="1"/>
        <v>2023-07-08</v>
      </c>
      <c r="F390" s="8" t="str">
        <f t="shared" si="2"/>
        <v> 07:17:23</v>
      </c>
      <c r="G390" s="9" t="str">
        <f t="shared" si="3"/>
        <v>Manhã</v>
      </c>
      <c r="H390" s="10" t="str">
        <f>IFERROR(__xludf.DUMMYFUNCTION("GOOGLETRANSLATE(B390, ""en"", ""pt-br"")"),"O aplicativo continua travando. Se eu rolar por um tempo ou enquanto escrevo um tópico, ele trava. Se estou respondendo a um thread que tenha uma foto/vídeo vertical, não consigo ver o que estou digitando. Parece que os estagiários fizeram este aplicativo"&amp;".")</f>
        <v>O aplicativo continua travando. Se eu rolar por um tempo ou enquanto escrevo um tópico, ele trava. Se estou respondendo a um thread que tenha uma foto/vídeo vertical, não consigo ver o que estou digitando. Parece que os estagiários fizeram este aplicativo.</v>
      </c>
      <c r="I390" s="10" t="str">
        <f>IFERROR(__xludf.DUMMYFUNCTION("TRIM(REGEXREPLACE(H390,""[^a-zA-ZÀ-ú ]+"",""""))"),"O aplicativo continua travando Se eu rolar por um tempo ou enquanto escrevo um tópico ele trava Se estou respondendo a um thread que tenha uma fotovídeo vertical não consigo ver o que estou digitando Parece que os estagiários fizeram este aplicativo")</f>
        <v>O aplicativo continua travando Se eu rolar por um tempo ou enquanto escrevo um tópico ele trava Se estou respondendo a um thread que tenha uma fotovídeo vertical não consigo ver o que estou digitando Parece que os estagiários fizeram este aplicativo</v>
      </c>
      <c r="J390" s="3"/>
      <c r="K390" s="3"/>
      <c r="L390" s="3"/>
      <c r="M390" s="3"/>
      <c r="N390" s="3"/>
      <c r="O390" s="3"/>
      <c r="P390" s="3"/>
      <c r="Q390" s="3"/>
      <c r="R390" s="3"/>
      <c r="S390" s="3"/>
      <c r="T390" s="3"/>
      <c r="U390" s="3"/>
      <c r="V390" s="3"/>
      <c r="W390" s="3"/>
      <c r="X390" s="3"/>
      <c r="Y390" s="3"/>
      <c r="Z390" s="3"/>
      <c r="AA390" s="3"/>
    </row>
    <row r="391" ht="105.75" customHeight="1">
      <c r="A391" s="4" t="s">
        <v>9</v>
      </c>
      <c r="B391" s="5" t="s">
        <v>399</v>
      </c>
      <c r="C391" s="4">
        <v>2.0</v>
      </c>
      <c r="D391" s="6">
        <v>45117.60123842592</v>
      </c>
      <c r="E391" s="7" t="str">
        <f t="shared" si="1"/>
        <v>2023-07-10</v>
      </c>
      <c r="F391" s="8" t="str">
        <f t="shared" si="2"/>
        <v> 14:25:47</v>
      </c>
      <c r="G391" s="9" t="str">
        <f t="shared" si="3"/>
        <v>Tarde</v>
      </c>
      <c r="H391" s="10" t="str">
        <f>IFERROR(__xludf.DUMMYFUNCTION("GOOGLETRANSLATE(B391, ""en"", ""pt-br"")"),"A função de pesquisa apenas pesquisa contas, não postagens ou palavras -chave. Inútil. A linha do tempo são todos influenciadores, esportes e contas de celebridades com alto tráfego. Eu mal vejo as postagens das contas que estou seguindo! Depois de silenc"&amp;"iar as contas indesejadas, minha linha do tempo não mudou nas últimas 12 horas e só posso rolar continuamente através do mesmo punhado de postagens de ontem. Nenhuma opção de visualizar as postagens que eu gostei ou marque as coisas para revisitar mais ta"&amp;"rde. Eu sei que são os primeiros dias, mas esses são recursos críticos.")</f>
        <v>A função de pesquisa apenas pesquisa contas, não postagens ou palavras -chave. Inútil. A linha do tempo são todos influenciadores, esportes e contas de celebridades com alto tráfego. Eu mal vejo as postagens das contas que estou seguindo! Depois de silenciar as contas indesejadas, minha linha do tempo não mudou nas últimas 12 horas e só posso rolar continuamente através do mesmo punhado de postagens de ontem. Nenhuma opção de visualizar as postagens que eu gostei ou marque as coisas para revisitar mais tarde. Eu sei que são os primeiros dias, mas esses são recursos críticos.</v>
      </c>
      <c r="I391" s="10" t="str">
        <f>IFERROR(__xludf.DUMMYFUNCTION("TRIM(REGEXREPLACE(H391,""[^a-zA-ZÀ-ú ]+"",""""))"),"A função de pesquisa apenas pesquisa contas não postagens ou palavras chave Inútil A linha do tempo são todos influenciadores esportes e contas de celebridades com alto tráfego Eu mal vejo as postagens das contas que estou seguindo Depois de silenciar as "&amp;"contas indesejadas minha linha do tempo não mudou nas últimas horas e só posso rolar continuamente através do mesmo punhado de postagens de ontem Nenhuma opção de visualizar as postagens que eu gostei ou marque as coisas para revisitar mais tarde Eu sei q"&amp;"ue são os primeiros dias mas esses são recursos críticos")</f>
        <v>A função de pesquisa apenas pesquisa contas não postagens ou palavras chave Inútil A linha do tempo são todos influenciadores esportes e contas de celebridades com alto tráfego Eu mal vejo as postagens das contas que estou seguindo Depois de silenciar as contas indesejadas minha linha do tempo não mudou nas últimas horas e só posso rolar continuamente através do mesmo punhado de postagens de ontem Nenhuma opção de visualizar as postagens que eu gostei ou marque as coisas para revisitar mais tarde Eu sei que são os primeiros dias mas esses são recursos críticos</v>
      </c>
      <c r="J391" s="3"/>
      <c r="K391" s="3"/>
      <c r="L391" s="3"/>
      <c r="M391" s="3"/>
      <c r="N391" s="3"/>
      <c r="O391" s="3"/>
      <c r="P391" s="3"/>
      <c r="Q391" s="3"/>
      <c r="R391" s="3"/>
      <c r="S391" s="3"/>
      <c r="T391" s="3"/>
      <c r="U391" s="3"/>
      <c r="V391" s="3"/>
      <c r="W391" s="3"/>
      <c r="X391" s="3"/>
      <c r="Y391" s="3"/>
      <c r="Z391" s="3"/>
      <c r="AA391" s="3"/>
    </row>
    <row r="392" ht="105.75" customHeight="1">
      <c r="A392" s="4" t="s">
        <v>9</v>
      </c>
      <c r="B392" s="5" t="s">
        <v>400</v>
      </c>
      <c r="C392" s="4">
        <v>1.0</v>
      </c>
      <c r="D392" s="6">
        <v>45115.20159722222</v>
      </c>
      <c r="E392" s="7" t="str">
        <f t="shared" si="1"/>
        <v>2023-07-08</v>
      </c>
      <c r="F392" s="8" t="str">
        <f t="shared" si="2"/>
        <v> 04:50:18</v>
      </c>
      <c r="G392" s="9" t="str">
        <f t="shared" si="3"/>
        <v>Manhã</v>
      </c>
      <c r="H392" s="10" t="str">
        <f>IFERROR(__xludf.DUMMYFUNCTION("GOOGLETRANSLATE(B392, ""en"", ""pt-br"")"),"Por que meu nome não pode ser nome (não apelido de aplicativo ou o que quer que seja) ser diferente do que na minha conta do Instagram. Eu uso esses aplicativos por diferentes motivos. Qual é o ponto disso se for o mesmo material do Instagram? Também quer"&amp;"o poder visualizar threads em ordem cronológica e fazer com que o aplicativo salve meu lugar quando eu o deixar e voltar. Não quero ser escravo do seu algoritmo medíocre.")</f>
        <v>Por que meu nome não pode ser nome (não apelido de aplicativo ou o que quer que seja) ser diferente do que na minha conta do Instagram. Eu uso esses aplicativos por diferentes motivos. Qual é o ponto disso se for o mesmo material do Instagram? Também quero poder visualizar threads em ordem cronológica e fazer com que o aplicativo salve meu lugar quando eu o deixar e voltar. Não quero ser escravo do seu algoritmo medíocre.</v>
      </c>
      <c r="I392" s="10" t="str">
        <f>IFERROR(__xludf.DUMMYFUNCTION("TRIM(REGEXREPLACE(H392,""[^a-zA-ZÀ-ú ]+"",""""))"),"Por que meu nome não pode ser nome não apelido de aplicativo ou o que quer que seja ser diferente do que na minha conta do Instagram Eu uso esses aplicativos por diferentes motivos Qual é o ponto disso se for o mesmo material do Instagram Também quero pod"&amp;"er visualizar threads em ordem cronológica e fazer com que o aplicativo salve meu lugar quando eu o deixar e voltar Não quero ser escravo do seu algoritmo medíocre")</f>
        <v>Por que meu nome não pode ser nome não apelido de aplicativo ou o que quer que seja ser diferente do que na minha conta do Instagram Eu uso esses aplicativos por diferentes motivos Qual é o ponto disso se for o mesmo material do Instagram Também quero poder visualizar threads em ordem cronológica e fazer com que o aplicativo salve meu lugar quando eu o deixar e voltar Não quero ser escravo do seu algoritmo medíocre</v>
      </c>
      <c r="J392" s="3"/>
      <c r="K392" s="3"/>
      <c r="L392" s="3"/>
      <c r="M392" s="3"/>
      <c r="N392" s="3"/>
      <c r="O392" s="3"/>
      <c r="P392" s="3"/>
      <c r="Q392" s="3"/>
      <c r="R392" s="3"/>
      <c r="S392" s="3"/>
      <c r="T392" s="3"/>
      <c r="U392" s="3"/>
      <c r="V392" s="3"/>
      <c r="W392" s="3"/>
      <c r="X392" s="3"/>
      <c r="Y392" s="3"/>
      <c r="Z392" s="3"/>
      <c r="AA392" s="3"/>
    </row>
    <row r="393" ht="105.75" customHeight="1">
      <c r="A393" s="4" t="s">
        <v>9</v>
      </c>
      <c r="B393" s="5" t="s">
        <v>401</v>
      </c>
      <c r="C393" s="4">
        <v>1.0</v>
      </c>
      <c r="D393" s="6">
        <v>45117.608819444446</v>
      </c>
      <c r="E393" s="7" t="str">
        <f t="shared" si="1"/>
        <v>2023-07-10</v>
      </c>
      <c r="F393" s="8" t="str">
        <f t="shared" si="2"/>
        <v> 14:36:42</v>
      </c>
      <c r="G393" s="9" t="str">
        <f t="shared" si="3"/>
        <v>Tarde</v>
      </c>
      <c r="H393" s="10" t="str">
        <f>IFERROR(__xludf.DUMMYFUNCTION("GOOGLETRANSLATE(B393, ""en"", ""pt-br"")"),"O potencial para um bom aplicativo está lá, mas ainda não é bom. Mais notavelmente, a primeira página é preenchida quase exclusivamente com pessoas que você não segue. O aplicativo é literalmente inutilizável até que um feed somente seguinte seja implemen"&amp;"tado.")</f>
        <v>O potencial para um bom aplicativo está lá, mas ainda não é bom. Mais notavelmente, a primeira página é preenchida quase exclusivamente com pessoas que você não segue. O aplicativo é literalmente inutilizável até que um feed somente seguinte seja implementado.</v>
      </c>
      <c r="I393" s="10" t="str">
        <f>IFERROR(__xludf.DUMMYFUNCTION("TRIM(REGEXREPLACE(H393,""[^a-zA-ZÀ-ú ]+"",""""))"),"O potencial para um bom aplicativo está lá mas ainda não é bom Mais notavelmente a primeira página é preenchida quase exclusivamente com pessoas que você não segue O aplicativo é literalmente inutilizável até que um feed somente seguinte seja implementado")</f>
        <v>O potencial para um bom aplicativo está lá mas ainda não é bom Mais notavelmente a primeira página é preenchida quase exclusivamente com pessoas que você não segue O aplicativo é literalmente inutilizável até que um feed somente seguinte seja implementado</v>
      </c>
      <c r="J393" s="3"/>
      <c r="K393" s="3"/>
      <c r="L393" s="3"/>
      <c r="M393" s="3"/>
      <c r="N393" s="3"/>
      <c r="O393" s="3"/>
      <c r="P393" s="3"/>
      <c r="Q393" s="3"/>
      <c r="R393" s="3"/>
      <c r="S393" s="3"/>
      <c r="T393" s="3"/>
      <c r="U393" s="3"/>
      <c r="V393" s="3"/>
      <c r="W393" s="3"/>
      <c r="X393" s="3"/>
      <c r="Y393" s="3"/>
      <c r="Z393" s="3"/>
      <c r="AA393" s="3"/>
    </row>
    <row r="394" ht="105.75" customHeight="1">
      <c r="A394" s="4" t="s">
        <v>9</v>
      </c>
      <c r="B394" s="5" t="s">
        <v>402</v>
      </c>
      <c r="C394" s="4">
        <v>4.0</v>
      </c>
      <c r="D394" s="6">
        <v>45114.81309027778</v>
      </c>
      <c r="E394" s="7" t="str">
        <f t="shared" si="1"/>
        <v>2023-07-07</v>
      </c>
      <c r="F394" s="8" t="str">
        <f t="shared" si="2"/>
        <v> 19:30:51</v>
      </c>
      <c r="G394" s="9" t="str">
        <f t="shared" si="3"/>
        <v>Noite</v>
      </c>
      <c r="H394" s="10" t="str">
        <f>IFERROR(__xludf.DUMMYFUNCTION("GOOGLETRANSLATE(B394, ""en"", ""pt-br"")"),"Nada ruim funciona muito bem no meu dobro 4, mas ao alternar entre os monitores, ele pede para reiniciar o aplicativo. Deve manusear várias telas melhor do que isso. Ainda assim, é melhor do que o crapwitter de Elon!")</f>
        <v>Nada ruim funciona muito bem no meu dobro 4, mas ao alternar entre os monitores, ele pede para reiniciar o aplicativo. Deve manusear várias telas melhor do que isso. Ainda assim, é melhor do que o crapwitter de Elon!</v>
      </c>
      <c r="I394" s="10" t="str">
        <f>IFERROR(__xludf.DUMMYFUNCTION("TRIM(REGEXREPLACE(H394,""[^a-zA-ZÀ-ú ]+"",""""))"),"Nada ruim funciona muito bem no meu dobro mas ao alternar entre os monitores ele pede para reiniciar o aplicativo Deve manusear várias telas melhor do que isso Ainda assim é melhor do que o crapwitter de Elon")</f>
        <v>Nada ruim funciona muito bem no meu dobro mas ao alternar entre os monitores ele pede para reiniciar o aplicativo Deve manusear várias telas melhor do que isso Ainda assim é melhor do que o crapwitter de Elon</v>
      </c>
      <c r="J394" s="3"/>
      <c r="K394" s="3"/>
      <c r="L394" s="3"/>
      <c r="M394" s="3"/>
      <c r="N394" s="3"/>
      <c r="O394" s="3"/>
      <c r="P394" s="3"/>
      <c r="Q394" s="3"/>
      <c r="R394" s="3"/>
      <c r="S394" s="3"/>
      <c r="T394" s="3"/>
      <c r="U394" s="3"/>
      <c r="V394" s="3"/>
      <c r="W394" s="3"/>
      <c r="X394" s="3"/>
      <c r="Y394" s="3"/>
      <c r="Z394" s="3"/>
      <c r="AA394" s="3"/>
    </row>
    <row r="395" ht="105.75" customHeight="1">
      <c r="A395" s="4" t="s">
        <v>9</v>
      </c>
      <c r="B395" s="5" t="s">
        <v>403</v>
      </c>
      <c r="C395" s="4">
        <v>1.0</v>
      </c>
      <c r="D395" s="6">
        <v>45115.816412037035</v>
      </c>
      <c r="E395" s="7" t="str">
        <f t="shared" si="1"/>
        <v>2023-07-08</v>
      </c>
      <c r="F395" s="8" t="str">
        <f t="shared" si="2"/>
        <v> 19:35:38</v>
      </c>
      <c r="G395" s="9" t="str">
        <f t="shared" si="3"/>
        <v>Noite</v>
      </c>
      <c r="H395" s="10" t="str">
        <f>IFERROR(__xludf.DUMMYFUNCTION("GOOGLETRANSLATE(B395, ""en"", ""pt-br"")"),"Muito estranho e ruim. Meu feed está cheio de randoms que me confundem e eu não me importo com nada que eles querem postar. Não possui recursos mais básicos como DMS e requer quantidade insana de dados privados. Também precisa de conta do Instagram e não "&amp;"pode ser removido sem remover as duas contas.")</f>
        <v>Muito estranho e ruim. Meu feed está cheio de randoms que me confundem e eu não me importo com nada que eles querem postar. Não possui recursos mais básicos como DMS e requer quantidade insana de dados privados. Também precisa de conta do Instagram e não pode ser removido sem remover as duas contas.</v>
      </c>
      <c r="I395" s="10" t="str">
        <f>IFERROR(__xludf.DUMMYFUNCTION("TRIM(REGEXREPLACE(H395,""[^a-zA-ZÀ-ú ]+"",""""))"),"Muito estranho e ruim Meu feed está cheio de randoms que me confundem e eu não me importo com nada que eles querem postar Não possui recursos mais básicos como DMS e requer quantidade insana de dados privados Também precisa de conta do Instagram e não pod"&amp;"e ser removido sem remover as duas contas")</f>
        <v>Muito estranho e ruim Meu feed está cheio de randoms que me confundem e eu não me importo com nada que eles querem postar Não possui recursos mais básicos como DMS e requer quantidade insana de dados privados Também precisa de conta do Instagram e não pode ser removido sem remover as duas contas</v>
      </c>
      <c r="J395" s="3"/>
      <c r="K395" s="3"/>
      <c r="L395" s="3"/>
      <c r="M395" s="3"/>
      <c r="N395" s="3"/>
      <c r="O395" s="3"/>
      <c r="P395" s="3"/>
      <c r="Q395" s="3"/>
      <c r="R395" s="3"/>
      <c r="S395" s="3"/>
      <c r="T395" s="3"/>
      <c r="U395" s="3"/>
      <c r="V395" s="3"/>
      <c r="W395" s="3"/>
      <c r="X395" s="3"/>
      <c r="Y395" s="3"/>
      <c r="Z395" s="3"/>
      <c r="AA395" s="3"/>
    </row>
    <row r="396" ht="105.75" customHeight="1">
      <c r="A396" s="4" t="s">
        <v>9</v>
      </c>
      <c r="B396" s="5" t="s">
        <v>404</v>
      </c>
      <c r="C396" s="4">
        <v>3.0</v>
      </c>
      <c r="D396" s="6">
        <v>45114.10265046296</v>
      </c>
      <c r="E396" s="7" t="str">
        <f t="shared" si="1"/>
        <v>2023-07-07</v>
      </c>
      <c r="F396" s="8" t="str">
        <f t="shared" si="2"/>
        <v> 02:27:49</v>
      </c>
      <c r="G396" s="9" t="str">
        <f t="shared" si="3"/>
        <v>Manhã</v>
      </c>
      <c r="H396" s="10" t="str">
        <f>IFERROR(__xludf.DUMMYFUNCTION("GOOGLETRANSLATE(B396, ""en"", ""pt-br"")"),"É um aplicativo maravilhoso. Mas acho que o TBEY ainda pode fazer melhor sobre o upload de fotos. Como eu tenho que rolar por milhares de fotos para encontrar a que eu quero fazer upload. Pode ser muito frustrante.")</f>
        <v>É um aplicativo maravilhoso. Mas acho que o TBEY ainda pode fazer melhor sobre o upload de fotos. Como eu tenho que rolar por milhares de fotos para encontrar a que eu quero fazer upload. Pode ser muito frustrante.</v>
      </c>
      <c r="I396" s="10" t="str">
        <f>IFERROR(__xludf.DUMMYFUNCTION("TRIM(REGEXREPLACE(H396,""[^a-zA-ZÀ-ú ]+"",""""))"),"É um aplicativo maravilhoso Mas acho que o TBEY ainda pode fazer melhor sobre o upload de fotos Como eu tenho que rolar por milhares de fotos para encontrar a que eu quero fazer upload Pode ser muito frustrante")</f>
        <v>É um aplicativo maravilhoso Mas acho que o TBEY ainda pode fazer melhor sobre o upload de fotos Como eu tenho que rolar por milhares de fotos para encontrar a que eu quero fazer upload Pode ser muito frustrante</v>
      </c>
      <c r="J396" s="3"/>
      <c r="K396" s="3"/>
      <c r="L396" s="3"/>
      <c r="M396" s="3"/>
      <c r="N396" s="3"/>
      <c r="O396" s="3"/>
      <c r="P396" s="3"/>
      <c r="Q396" s="3"/>
      <c r="R396" s="3"/>
      <c r="S396" s="3"/>
      <c r="T396" s="3"/>
      <c r="U396" s="3"/>
      <c r="V396" s="3"/>
      <c r="W396" s="3"/>
      <c r="X396" s="3"/>
      <c r="Y396" s="3"/>
      <c r="Z396" s="3"/>
      <c r="AA396" s="3"/>
    </row>
    <row r="397" ht="105.75" customHeight="1">
      <c r="A397" s="4" t="s">
        <v>9</v>
      </c>
      <c r="B397" s="5" t="s">
        <v>405</v>
      </c>
      <c r="C397" s="4">
        <v>1.0</v>
      </c>
      <c r="D397" s="6">
        <v>45116.011145833334</v>
      </c>
      <c r="E397" s="7" t="str">
        <f t="shared" si="1"/>
        <v>2023-07-09</v>
      </c>
      <c r="F397" s="8" t="str">
        <f t="shared" si="2"/>
        <v> 00:16:03</v>
      </c>
      <c r="G397" s="9" t="str">
        <f t="shared" si="3"/>
        <v>Manhã</v>
      </c>
      <c r="H397" s="10" t="str">
        <f>IFERROR(__xludf.DUMMYFUNCTION("GOOGLETRANSLATE(B397, ""en"", ""pt-br"")"),"Ele tem um bug visual constante no meu dispositivo, onde o plano de fundo do aplicativo é manchado com qualquer conteúdo que esteja sendo exibido em primeiro plano e não se refresca de volta ao preto. ROG 2, Android 9")</f>
        <v>Ele tem um bug visual constante no meu dispositivo, onde o plano de fundo do aplicativo é manchado com qualquer conteúdo que esteja sendo exibido em primeiro plano e não se refresca de volta ao preto. ROG 2, Android 9</v>
      </c>
      <c r="I397" s="10" t="str">
        <f>IFERROR(__xludf.DUMMYFUNCTION("TRIM(REGEXREPLACE(H397,""[^a-zA-ZÀ-ú ]+"",""""))"),"Ele tem um bug visual constante no meu dispositivo onde o plano de fundo do aplicativo é manchado com qualquer conteúdo que esteja sendo exibido em primeiro plano e não se refresca de volta ao preto ROG Android")</f>
        <v>Ele tem um bug visual constante no meu dispositivo onde o plano de fundo do aplicativo é manchado com qualquer conteúdo que esteja sendo exibido em primeiro plano e não se refresca de volta ao preto ROG Android</v>
      </c>
      <c r="J397" s="3"/>
      <c r="K397" s="3"/>
      <c r="L397" s="3"/>
      <c r="M397" s="3"/>
      <c r="N397" s="3"/>
      <c r="O397" s="3"/>
      <c r="P397" s="3"/>
      <c r="Q397" s="3"/>
      <c r="R397" s="3"/>
      <c r="S397" s="3"/>
      <c r="T397" s="3"/>
      <c r="U397" s="3"/>
      <c r="V397" s="3"/>
      <c r="W397" s="3"/>
      <c r="X397" s="3"/>
      <c r="Y397" s="3"/>
      <c r="Z397" s="3"/>
      <c r="AA397" s="3"/>
    </row>
    <row r="398" ht="105.75" customHeight="1">
      <c r="A398" s="4" t="s">
        <v>9</v>
      </c>
      <c r="B398" s="5" t="s">
        <v>406</v>
      </c>
      <c r="C398" s="4">
        <v>3.0</v>
      </c>
      <c r="D398" s="6">
        <v>45113.288194444445</v>
      </c>
      <c r="E398" s="7" t="str">
        <f t="shared" si="1"/>
        <v>2023-07-06</v>
      </c>
      <c r="F398" s="8" t="str">
        <f t="shared" si="2"/>
        <v> 06:55:00</v>
      </c>
      <c r="G398" s="9" t="str">
        <f t="shared" si="3"/>
        <v>Manhã</v>
      </c>
      <c r="H398" s="10" t="str">
        <f>IFERROR(__xludf.DUMMYFUNCTION("GOOGLETRANSLATE(B398, ""en"", ""pt-br"")"),"IK Este é apenas o primeiro dia de seu lançamento, mas eu realmente não gosto do formato aqui. Sinto que estou preso no mesmo lugar que parece intrometido na página principal, e não consigo ver muito do conteúdo que segui e tive que seguir os criadores no"&amp;"vamente. Parabéns pelo lançamento do aplicativo, mas espero que isso mude em breve para que o aplicativo seja muito melhor do que como é agora.")</f>
        <v>IK Este é apenas o primeiro dia de seu lançamento, mas eu realmente não gosto do formato aqui. Sinto que estou preso no mesmo lugar que parece intrometido na página principal, e não consigo ver muito do conteúdo que segui e tive que seguir os criadores novamente. Parabéns pelo lançamento do aplicativo, mas espero que isso mude em breve para que o aplicativo seja muito melhor do que como é agora.</v>
      </c>
      <c r="I398" s="10" t="str">
        <f>IFERROR(__xludf.DUMMYFUNCTION("TRIM(REGEXREPLACE(H398,""[^a-zA-ZÀ-ú ]+"",""""))"),"IK Este é apenas o primeiro dia de seu lançamento mas eu realmente não gosto do formato aqui Sinto que estou preso no mesmo lugar que parece intrometido na página principal e não consigo ver muito do conteúdo que segui e tive que seguir os criadores novam"&amp;"ente Parabéns pelo lançamento do aplicativo mas espero que isso mude em breve para que o aplicativo seja muito melhor do que como é agora")</f>
        <v>IK Este é apenas o primeiro dia de seu lançamento mas eu realmente não gosto do formato aqui Sinto que estou preso no mesmo lugar que parece intrometido na página principal e não consigo ver muito do conteúdo que segui e tive que seguir os criadores novamente Parabéns pelo lançamento do aplicativo mas espero que isso mude em breve para que o aplicativo seja muito melhor do que como é agora</v>
      </c>
      <c r="J398" s="3"/>
      <c r="K398" s="3"/>
      <c r="L398" s="3"/>
      <c r="M398" s="3"/>
      <c r="N398" s="3"/>
      <c r="O398" s="3"/>
      <c r="P398" s="3"/>
      <c r="Q398" s="3"/>
      <c r="R398" s="3"/>
      <c r="S398" s="3"/>
      <c r="T398" s="3"/>
      <c r="U398" s="3"/>
      <c r="V398" s="3"/>
      <c r="W398" s="3"/>
      <c r="X398" s="3"/>
      <c r="Y398" s="3"/>
      <c r="Z398" s="3"/>
      <c r="AA398" s="3"/>
    </row>
    <row r="399" ht="105.75" customHeight="1">
      <c r="A399" s="4" t="s">
        <v>9</v>
      </c>
      <c r="B399" s="5" t="s">
        <v>407</v>
      </c>
      <c r="C399" s="4">
        <v>2.0</v>
      </c>
      <c r="D399" s="6">
        <v>45114.87939814815</v>
      </c>
      <c r="E399" s="7" t="str">
        <f t="shared" si="1"/>
        <v>2023-07-07</v>
      </c>
      <c r="F399" s="8" t="str">
        <f t="shared" si="2"/>
        <v> 21:06:20</v>
      </c>
      <c r="G399" s="9" t="str">
        <f t="shared" si="3"/>
        <v>Noite</v>
      </c>
      <c r="H399" s="10" t="str">
        <f>IFERROR(__xludf.DUMMYFUNCTION("GOOGLETRANSLATE(B399, ""en"", ""pt-br"")"),"Um aplicativo muito solitário se você ainda não possui vários seguidores do Instagram. Eu também apreciaria uma opção de álbum de fotos, pois tenho 8000 fotos no meu telefone e não consigo percorrer todas elas. Entendo que é novo, mas parece muito inacaba"&amp;"do.")</f>
        <v>Um aplicativo muito solitário se você ainda não possui vários seguidores do Instagram. Eu também apreciaria uma opção de álbum de fotos, pois tenho 8000 fotos no meu telefone e não consigo percorrer todas elas. Entendo que é novo, mas parece muito inacabado.</v>
      </c>
      <c r="I399" s="10" t="str">
        <f>IFERROR(__xludf.DUMMYFUNCTION("TRIM(REGEXREPLACE(H399,""[^a-zA-ZÀ-ú ]+"",""""))"),"Um aplicativo muito solitário se você ainda não possui vários seguidores do Instagram Eu também apreciaria uma opção de álbum de fotos pois tenho fotos no meu telefone e não consigo percorrer todas elas Entendo que é novo mas parece muito inacabado")</f>
        <v>Um aplicativo muito solitário se você ainda não possui vários seguidores do Instagram Eu também apreciaria uma opção de álbum de fotos pois tenho fotos no meu telefone e não consigo percorrer todas elas Entendo que é novo mas parece muito inacabado</v>
      </c>
      <c r="J399" s="3"/>
      <c r="K399" s="3"/>
      <c r="L399" s="3"/>
      <c r="M399" s="3"/>
      <c r="N399" s="3"/>
      <c r="O399" s="3"/>
      <c r="P399" s="3"/>
      <c r="Q399" s="3"/>
      <c r="R399" s="3"/>
      <c r="S399" s="3"/>
      <c r="T399" s="3"/>
      <c r="U399" s="3"/>
      <c r="V399" s="3"/>
      <c r="W399" s="3"/>
      <c r="X399" s="3"/>
      <c r="Y399" s="3"/>
      <c r="Z399" s="3"/>
      <c r="AA399" s="3"/>
    </row>
    <row r="400" ht="105.75" customHeight="1">
      <c r="A400" s="4" t="s">
        <v>9</v>
      </c>
      <c r="B400" s="5" t="s">
        <v>408</v>
      </c>
      <c r="C400" s="4">
        <v>3.0</v>
      </c>
      <c r="D400" s="6">
        <v>45116.846666666665</v>
      </c>
      <c r="E400" s="7" t="str">
        <f t="shared" si="1"/>
        <v>2023-07-09</v>
      </c>
      <c r="F400" s="8" t="str">
        <f t="shared" si="2"/>
        <v> 20:19:12</v>
      </c>
      <c r="G400" s="9" t="str">
        <f t="shared" si="3"/>
        <v>Noite</v>
      </c>
      <c r="H400" s="10" t="str">
        <f>IFERROR(__xludf.DUMMYFUNCTION("GOOGLETRANSLATE(B400, ""en"", ""pt-br"")"),"Eu também gostaria que haja uma opção de bate -papo em threads, para que possamos compartilhar threads entre si na mesma plataforma, em vez de copiar o link e compartilhá -lo no Instagram. Além disso, seria melhor se pudermos baixar o vídeo ou a imagem di"&amp;"retamente. Pessoalmente, sinto que talvez os threads devam fazer parte do Instagram, em vez de fazer um aplicativo completo separado. Assim como as bobinas fazem parte, os threads também devem fazer parte do Instagram. Isso seria bom e mais fácil.")</f>
        <v>Eu também gostaria que haja uma opção de bate -papo em threads, para que possamos compartilhar threads entre si na mesma plataforma, em vez de copiar o link e compartilhá -lo no Instagram. Além disso, seria melhor se pudermos baixar o vídeo ou a imagem diretamente. Pessoalmente, sinto que talvez os threads devam fazer parte do Instagram, em vez de fazer um aplicativo completo separado. Assim como as bobinas fazem parte, os threads também devem fazer parte do Instagram. Isso seria bom e mais fácil.</v>
      </c>
      <c r="I400" s="10" t="str">
        <f>IFERROR(__xludf.DUMMYFUNCTION("TRIM(REGEXREPLACE(H400,""[^a-zA-ZÀ-ú ]+"",""""))"),"Eu também gostaria que haja uma opção de bate papo em threads para que possamos compartilhar threads entre si na mesma plataforma em vez de copiar o link e compartilhá lo no Instagram Além disso seria melhor se pudermos baixar o vídeo ou a imagem diretame"&amp;"nte Pessoalmente sinto que talvez os threads devam fazer parte do Instagram em vez de fazer um aplicativo completo separado Assim como as bobinas fazem parte os threads também devem fazer parte do Instagram Isso seria bom e mais fácil")</f>
        <v>Eu também gostaria que haja uma opção de bate papo em threads para que possamos compartilhar threads entre si na mesma plataforma em vez de copiar o link e compartilhá lo no Instagram Além disso seria melhor se pudermos baixar o vídeo ou a imagem diretamente Pessoalmente sinto que talvez os threads devam fazer parte do Instagram em vez de fazer um aplicativo completo separado Assim como as bobinas fazem parte os threads também devem fazer parte do Instagram Isso seria bom e mais fácil</v>
      </c>
      <c r="J400" s="3"/>
      <c r="K400" s="3"/>
      <c r="L400" s="3"/>
      <c r="M400" s="3"/>
      <c r="N400" s="3"/>
      <c r="O400" s="3"/>
      <c r="P400" s="3"/>
      <c r="Q400" s="3"/>
      <c r="R400" s="3"/>
      <c r="S400" s="3"/>
      <c r="T400" s="3"/>
      <c r="U400" s="3"/>
      <c r="V400" s="3"/>
      <c r="W400" s="3"/>
      <c r="X400" s="3"/>
      <c r="Y400" s="3"/>
      <c r="Z400" s="3"/>
      <c r="AA400" s="3"/>
    </row>
    <row r="401" ht="105.75" customHeight="1">
      <c r="A401" s="4" t="s">
        <v>9</v>
      </c>
      <c r="B401" s="5" t="s">
        <v>409</v>
      </c>
      <c r="C401" s="4">
        <v>3.0</v>
      </c>
      <c r="D401" s="6">
        <v>45118.330104166664</v>
      </c>
      <c r="E401" s="7" t="str">
        <f t="shared" si="1"/>
        <v>2023-07-11</v>
      </c>
      <c r="F401" s="8" t="str">
        <f t="shared" si="2"/>
        <v> 07:55:21</v>
      </c>
      <c r="G401" s="9" t="str">
        <f t="shared" si="3"/>
        <v>Manhã</v>
      </c>
      <c r="H401" s="10" t="str">
        <f>IFERROR(__xludf.DUMMYFUNCTION("GOOGLETRANSLATE(B401, ""en"", ""pt-br"")"),"Possui interface do usuário mínimo e um fluxo típico do usuário. Há um bug, no entanto. Quando tento fazer upload de imagens no thread a seguir, ele fecha. Tentei remover de recentes, reinstalei, mas fiquei o mesmo.")</f>
        <v>Possui interface do usuário mínimo e um fluxo típico do usuário. Há um bug, no entanto. Quando tento fazer upload de imagens no thread a seguir, ele fecha. Tentei remover de recentes, reinstalei, mas fiquei o mesmo.</v>
      </c>
      <c r="I401" s="10" t="str">
        <f>IFERROR(__xludf.DUMMYFUNCTION("TRIM(REGEXREPLACE(H401,""[^a-zA-ZÀ-ú ]+"",""""))"),"Possui interface do usuário mínimo e um fluxo típico do usuário Há um bug no entanto Quando tento fazer upload de imagens no thread a seguir ele fecha Tentei remover de recentes reinstalei mas fiquei o mesmo")</f>
        <v>Possui interface do usuário mínimo e um fluxo típico do usuário Há um bug no entanto Quando tento fazer upload de imagens no thread a seguir ele fecha Tentei remover de recentes reinstalei mas fiquei o mesmo</v>
      </c>
      <c r="J401" s="3"/>
      <c r="K401" s="3"/>
      <c r="L401" s="3"/>
      <c r="M401" s="3"/>
      <c r="N401" s="3"/>
      <c r="O401" s="3"/>
      <c r="P401" s="3"/>
      <c r="Q401" s="3"/>
      <c r="R401" s="3"/>
      <c r="S401" s="3"/>
      <c r="T401" s="3"/>
      <c r="U401" s="3"/>
      <c r="V401" s="3"/>
      <c r="W401" s="3"/>
      <c r="X401" s="3"/>
      <c r="Y401" s="3"/>
      <c r="Z401" s="3"/>
      <c r="AA401" s="3"/>
    </row>
    <row r="402" ht="105.75" customHeight="1">
      <c r="A402" s="4" t="s">
        <v>9</v>
      </c>
      <c r="B402" s="5" t="s">
        <v>410</v>
      </c>
      <c r="C402" s="4">
        <v>4.0</v>
      </c>
      <c r="D402" s="6">
        <v>45119.17630787037</v>
      </c>
      <c r="E402" s="7" t="str">
        <f t="shared" si="1"/>
        <v>2023-07-12</v>
      </c>
      <c r="F402" s="8" t="str">
        <f t="shared" si="2"/>
        <v> 04:13:53</v>
      </c>
      <c r="G402" s="9" t="str">
        <f t="shared" si="3"/>
        <v>Manhã</v>
      </c>
      <c r="H402" s="10" t="str">
        <f>IFERROR(__xludf.DUMMYFUNCTION("GOOGLETRANSLATE(B402, ""en"", ""pt-br"")"),"Nada mal para um lançamento inicial. Ansioso por versões futuras e espero uma interface da web que permita a postagem. Precisa de muito trabalho, mas provavelmente excederá os recursos do Twitter e, eventualmente, a popularidade.")</f>
        <v>Nada mal para um lançamento inicial. Ansioso por versões futuras e espero uma interface da web que permita a postagem. Precisa de muito trabalho, mas provavelmente excederá os recursos do Twitter e, eventualmente, a popularidade.</v>
      </c>
      <c r="I402" s="10" t="str">
        <f>IFERROR(__xludf.DUMMYFUNCTION("TRIM(REGEXREPLACE(H402,""[^a-zA-ZÀ-ú ]+"",""""))"),"Nada mal para um lançamento inicial Ansioso por versões futuras e espero uma interface da web que permita a postagem Precisa de muito trabalho mas provavelmente excederá os recursos do Twitter e eventualmente a popularidade")</f>
        <v>Nada mal para um lançamento inicial Ansioso por versões futuras e espero uma interface da web que permita a postagem Precisa de muito trabalho mas provavelmente excederá os recursos do Twitter e eventualmente a popularidade</v>
      </c>
      <c r="J402" s="3"/>
      <c r="K402" s="3"/>
      <c r="L402" s="3"/>
      <c r="M402" s="3"/>
      <c r="N402" s="3"/>
      <c r="O402" s="3"/>
      <c r="P402" s="3"/>
      <c r="Q402" s="3"/>
      <c r="R402" s="3"/>
      <c r="S402" s="3"/>
      <c r="T402" s="3"/>
      <c r="U402" s="3"/>
      <c r="V402" s="3"/>
      <c r="W402" s="3"/>
      <c r="X402" s="3"/>
      <c r="Y402" s="3"/>
      <c r="Z402" s="3"/>
      <c r="AA402" s="3"/>
    </row>
    <row r="403" ht="105.75" customHeight="1">
      <c r="A403" s="4" t="s">
        <v>9</v>
      </c>
      <c r="B403" s="5" t="s">
        <v>411</v>
      </c>
      <c r="C403" s="4">
        <v>1.0</v>
      </c>
      <c r="D403" s="6">
        <v>45113.4555787037</v>
      </c>
      <c r="E403" s="7" t="str">
        <f t="shared" si="1"/>
        <v>2023-07-06</v>
      </c>
      <c r="F403" s="8" t="str">
        <f t="shared" si="2"/>
        <v> 10:56:02</v>
      </c>
      <c r="G403" s="9" t="str">
        <f t="shared" si="3"/>
        <v>Manhã</v>
      </c>
      <c r="H403" s="10" t="str">
        <f>IFERROR(__xludf.DUMMYFUNCTION("GOOGLETRANSLATE(B403, ""en"", ""pt-br"")"),"Essa interface de aplicativos está fechando quando uso para atualizar a página e também não respondeu como posso esperar. Eu preciso melhorar sua interfacen !! Sim, fiquei muito empolgado em usar este aplicativo, mas ele não funcionou no meu telefone. Est"&amp;"á funcionando bem com o seu dispositivo?")</f>
        <v>Essa interface de aplicativos está fechando quando uso para atualizar a página e também não respondeu como posso esperar. Eu preciso melhorar sua interfacen !! Sim, fiquei muito empolgado em usar este aplicativo, mas ele não funcionou no meu telefone. Está funcionando bem com o seu dispositivo?</v>
      </c>
      <c r="I403" s="10" t="str">
        <f>IFERROR(__xludf.DUMMYFUNCTION("TRIM(REGEXREPLACE(H403,""[^a-zA-ZÀ-ú ]+"",""""))"),"Essa interface de aplicativos está fechando quando uso para atualizar a página e também não respondeu como posso esperar Eu preciso melhorar sua interfacen Sim fiquei muito empolgado em usar este aplicativo mas ele não funcionou no meu telefone Está funci"&amp;"onando bem com o seu dispositivo")</f>
        <v>Essa interface de aplicativos está fechando quando uso para atualizar a página e também não respondeu como posso esperar Eu preciso melhorar sua interfacen Sim fiquei muito empolgado em usar este aplicativo mas ele não funcionou no meu telefone Está funcionando bem com o seu dispositivo</v>
      </c>
      <c r="J403" s="3"/>
      <c r="K403" s="3"/>
      <c r="L403" s="3"/>
      <c r="M403" s="3"/>
      <c r="N403" s="3"/>
      <c r="O403" s="3"/>
      <c r="P403" s="3"/>
      <c r="Q403" s="3"/>
      <c r="R403" s="3"/>
      <c r="S403" s="3"/>
      <c r="T403" s="3"/>
      <c r="U403" s="3"/>
      <c r="V403" s="3"/>
      <c r="W403" s="3"/>
      <c r="X403" s="3"/>
      <c r="Y403" s="3"/>
      <c r="Z403" s="3"/>
      <c r="AA403" s="3"/>
    </row>
    <row r="404" ht="105.75" customHeight="1">
      <c r="A404" s="4" t="s">
        <v>9</v>
      </c>
      <c r="B404" s="5" t="s">
        <v>412</v>
      </c>
      <c r="C404" s="4">
        <v>3.0</v>
      </c>
      <c r="D404" s="6">
        <v>45114.42900462963</v>
      </c>
      <c r="E404" s="7" t="str">
        <f t="shared" si="1"/>
        <v>2023-07-07</v>
      </c>
      <c r="F404" s="8" t="str">
        <f t="shared" si="2"/>
        <v> 10:17:46</v>
      </c>
      <c r="G404" s="9" t="str">
        <f t="shared" si="3"/>
        <v>Manhã</v>
      </c>
      <c r="H404" s="10" t="str">
        <f>IFERROR(__xludf.DUMMYFUNCTION("GOOGLETRANSLATE(B404, ""en"", ""pt-br"")"),"Muito espaço para melhorar. Adoraria ter uma opção muito mais avançada para postar um tópico (estilo de texto etc.) e uma visão de que as pessoas separadas que você segue e o FYP. Precisa do botão Salvar imagem e vídeo. Precisa da marca de tempo no player"&amp;" de vídeo. Acabei de ter uma queda quando vou além de uma resposta a uma resposta em um tópico, espero que vocês corram isso o mais rápido possível. Precisa salvar botão, hashtags e incorporação. Para mensagens, basta vincular o insta ... por favor, não s"&amp;"epare. Precisa da opção de escolher o que vemos de uma pessoa que seguimos.")</f>
        <v>Muito espaço para melhorar. Adoraria ter uma opção muito mais avançada para postar um tópico (estilo de texto etc.) e uma visão de que as pessoas separadas que você segue e o FYP. Precisa do botão Salvar imagem e vídeo. Precisa da marca de tempo no player de vídeo. Acabei de ter uma queda quando vou além de uma resposta a uma resposta em um tópico, espero que vocês corram isso o mais rápido possível. Precisa salvar botão, hashtags e incorporação. Para mensagens, basta vincular o insta ... por favor, não separe. Precisa da opção de escolher o que vemos de uma pessoa que seguimos.</v>
      </c>
      <c r="I404" s="10" t="str">
        <f>IFERROR(__xludf.DUMMYFUNCTION("TRIM(REGEXREPLACE(H404,""[^a-zA-ZÀ-ú ]+"",""""))"),"Muito espaço para melhorar Adoraria ter uma opção muito mais avançada para postar um tópico estilo de texto etc e uma visão de que as pessoas separadas que você segue e o FYP Precisa do botão Salvar imagem e vídeo Precisa da marca de tempo no player de ví"&amp;"deo Acabei de ter uma queda quando vou além de uma resposta a uma resposta em um tópico espero que vocês corram isso o mais rápido possível Precisa salvar botão hashtags e incorporação Para mensagens basta vincular o insta por favor não separe Precisa da "&amp;"opção de escolher o que vemos de uma pessoa que seguimos")</f>
        <v>Muito espaço para melhorar Adoraria ter uma opção muito mais avançada para postar um tópico estilo de texto etc e uma visão de que as pessoas separadas que você segue e o FYP Precisa do botão Salvar imagem e vídeo Precisa da marca de tempo no player de vídeo Acabei de ter uma queda quando vou além de uma resposta a uma resposta em um tópico espero que vocês corram isso o mais rápido possível Precisa salvar botão hashtags e incorporação Para mensagens basta vincular o insta por favor não separe Precisa da opção de escolher o que vemos de uma pessoa que seguimos</v>
      </c>
      <c r="J404" s="3"/>
      <c r="K404" s="3"/>
      <c r="L404" s="3"/>
      <c r="M404" s="3"/>
      <c r="N404" s="3"/>
      <c r="O404" s="3"/>
      <c r="P404" s="3"/>
      <c r="Q404" s="3"/>
      <c r="R404" s="3"/>
      <c r="S404" s="3"/>
      <c r="T404" s="3"/>
      <c r="U404" s="3"/>
      <c r="V404" s="3"/>
      <c r="W404" s="3"/>
      <c r="X404" s="3"/>
      <c r="Y404" s="3"/>
      <c r="Z404" s="3"/>
      <c r="AA404" s="3"/>
    </row>
    <row r="405" ht="105.75" customHeight="1">
      <c r="A405" s="4" t="s">
        <v>9</v>
      </c>
      <c r="B405" s="5" t="s">
        <v>413</v>
      </c>
      <c r="C405" s="4">
        <v>5.0</v>
      </c>
      <c r="D405" s="6">
        <v>45114.32633101852</v>
      </c>
      <c r="E405" s="7" t="str">
        <f t="shared" si="1"/>
        <v>2023-07-07</v>
      </c>
      <c r="F405" s="8" t="str">
        <f t="shared" si="2"/>
        <v> 07:49:55</v>
      </c>
      <c r="G405" s="9" t="str">
        <f t="shared" si="3"/>
        <v>Manhã</v>
      </c>
      <c r="H405" s="10" t="str">
        <f>IFERROR(__xludf.DUMMYFUNCTION("GOOGLETRANSLATE(B405, ""en"", ""pt-br"")"),"Escrevendo depois do primeiro dia, é um lançamento tão suave quanto poderia ter esperado. No entanto, estou tendo um problema em que, se procurar demais os usuários (como a procura de contas a seguir), a pesquisa quebra e não se conserta. Não tenho certez"&amp;"a se isso é um bug ou um limite de taxa. Corrigido após a reinstalação, mas apenas uma vez. Espero e espero que mais recursos também sejam adicionados ao aplicativo em pouco tempo. Por exemplo. DMS, listas de contas personalizadas, versão da Web. O feed d"&amp;"oméstico padrão deve ser diferente.")</f>
        <v>Escrevendo depois do primeiro dia, é um lançamento tão suave quanto poderia ter esperado. No entanto, estou tendo um problema em que, se procurar demais os usuários (como a procura de contas a seguir), a pesquisa quebra e não se conserta. Não tenho certeza se isso é um bug ou um limite de taxa. Corrigido após a reinstalação, mas apenas uma vez. Espero e espero que mais recursos também sejam adicionados ao aplicativo em pouco tempo. Por exemplo. DMS, listas de contas personalizadas, versão da Web. O feed doméstico padrão deve ser diferente.</v>
      </c>
      <c r="I405" s="10" t="str">
        <f>IFERROR(__xludf.DUMMYFUNCTION("TRIM(REGEXREPLACE(H405,""[^a-zA-ZÀ-ú ]+"",""""))"),"Escrevendo depois do primeiro dia é um lançamento tão suave quanto poderia ter esperado No entanto estou tendo um problema em que se procurar demais os usuários como a procura de contas a seguir a pesquisa quebra e não se conserta Não tenho certeza se iss"&amp;"o é um bug ou um limite de taxa Corrigido após a reinstalação mas apenas uma vez Espero e espero que mais recursos também sejam adicionados ao aplicativo em pouco tempo Por exemplo DMS listas de contas personalizadas versão da Web O feed doméstico padrão "&amp;"deve ser diferente")</f>
        <v>Escrevendo depois do primeiro dia é um lançamento tão suave quanto poderia ter esperado No entanto estou tendo um problema em que se procurar demais os usuários como a procura de contas a seguir a pesquisa quebra e não se conserta Não tenho certeza se isso é um bug ou um limite de taxa Corrigido após a reinstalação mas apenas uma vez Espero e espero que mais recursos também sejam adicionados ao aplicativo em pouco tempo Por exemplo DMS listas de contas personalizadas versão da Web O feed doméstico padrão deve ser diferente</v>
      </c>
      <c r="J405" s="3"/>
      <c r="K405" s="3"/>
      <c r="L405" s="3"/>
      <c r="M405" s="3"/>
      <c r="N405" s="3"/>
      <c r="O405" s="3"/>
      <c r="P405" s="3"/>
      <c r="Q405" s="3"/>
      <c r="R405" s="3"/>
      <c r="S405" s="3"/>
      <c r="T405" s="3"/>
      <c r="U405" s="3"/>
      <c r="V405" s="3"/>
      <c r="W405" s="3"/>
      <c r="X405" s="3"/>
      <c r="Y405" s="3"/>
      <c r="Z405" s="3"/>
      <c r="AA405" s="3"/>
    </row>
    <row r="406" ht="105.75" customHeight="1">
      <c r="A406" s="4" t="s">
        <v>9</v>
      </c>
      <c r="B406" s="5" t="s">
        <v>414</v>
      </c>
      <c r="C406" s="4">
        <v>3.0</v>
      </c>
      <c r="D406" s="6">
        <v>45114.40542824074</v>
      </c>
      <c r="E406" s="7" t="str">
        <f t="shared" si="1"/>
        <v>2023-07-07</v>
      </c>
      <c r="F406" s="8" t="str">
        <f t="shared" si="2"/>
        <v> 09:43:49</v>
      </c>
      <c r="G406" s="9" t="str">
        <f t="shared" si="3"/>
        <v>Manhã</v>
      </c>
      <c r="H406" s="10" t="str">
        <f>IFERROR(__xludf.DUMMYFUNCTION("GOOGLETRANSLATE(B406, ""en"", ""pt-br"")"),"Eu sinto que há espaço para mais recursos. Como o modo escuro e claro. Deve -se poder salvar fotos e também escolher se deve jogar vídeos automaticamente ou não")</f>
        <v>Eu sinto que há espaço para mais recursos. Como o modo escuro e claro. Deve -se poder salvar fotos e também escolher se deve jogar vídeos automaticamente ou não</v>
      </c>
      <c r="I406" s="10" t="str">
        <f>IFERROR(__xludf.DUMMYFUNCTION("TRIM(REGEXREPLACE(H406,""[^a-zA-ZÀ-ú ]+"",""""))"),"Eu sinto que há espaço para mais recursos Como o modo escuro e claro Deve se poder salvar fotos e também escolher se deve jogar vídeos automaticamente ou não")</f>
        <v>Eu sinto que há espaço para mais recursos Como o modo escuro e claro Deve se poder salvar fotos e também escolher se deve jogar vídeos automaticamente ou não</v>
      </c>
      <c r="J406" s="3"/>
      <c r="K406" s="3"/>
      <c r="L406" s="3"/>
      <c r="M406" s="3"/>
      <c r="N406" s="3"/>
      <c r="O406" s="3"/>
      <c r="P406" s="3"/>
      <c r="Q406" s="3"/>
      <c r="R406" s="3"/>
      <c r="S406" s="3"/>
      <c r="T406" s="3"/>
      <c r="U406" s="3"/>
      <c r="V406" s="3"/>
      <c r="W406" s="3"/>
      <c r="X406" s="3"/>
      <c r="Y406" s="3"/>
      <c r="Z406" s="3"/>
      <c r="AA406" s="3"/>
    </row>
    <row r="407" ht="105.75" customHeight="1">
      <c r="A407" s="4" t="s">
        <v>9</v>
      </c>
      <c r="B407" s="5" t="s">
        <v>415</v>
      </c>
      <c r="C407" s="4">
        <v>2.0</v>
      </c>
      <c r="D407" s="6">
        <v>45113.886782407404</v>
      </c>
      <c r="E407" s="7" t="str">
        <f t="shared" si="1"/>
        <v>2023-07-06</v>
      </c>
      <c r="F407" s="8" t="str">
        <f t="shared" si="2"/>
        <v> 21:16:58</v>
      </c>
      <c r="G407" s="9" t="str">
        <f t="shared" si="3"/>
        <v>Noite</v>
      </c>
      <c r="H407" s="10" t="str">
        <f>IFERROR(__xludf.DUMMYFUNCTION("GOOGLETRANSLATE(B407, ""en"", ""pt-br"")"),"Os threads precisam de um recurso de pesquisa para conteúdo. A barra de pesquisa procura apenas contas. As pessoas devem poder usar a barra de pesquisa para encontrar tópicos de threads. Se você quiser ver o que está sendo dito sobre um programa ou pessoa"&amp;", poderá pesquisar palavras -chave para extrair conteúdo relacionado à sua pesquisa. O aplicativo parece inutilizável sem esse recurso simples.")</f>
        <v>Os threads precisam de um recurso de pesquisa para conteúdo. A barra de pesquisa procura apenas contas. As pessoas devem poder usar a barra de pesquisa para encontrar tópicos de threads. Se você quiser ver o que está sendo dito sobre um programa ou pessoa, poderá pesquisar palavras -chave para extrair conteúdo relacionado à sua pesquisa. O aplicativo parece inutilizável sem esse recurso simples.</v>
      </c>
      <c r="I407" s="10" t="str">
        <f>IFERROR(__xludf.DUMMYFUNCTION("TRIM(REGEXREPLACE(H407,""[^a-zA-ZÀ-ú ]+"",""""))"),"Os threads precisam de um recurso de pesquisa para conteúdo A barra de pesquisa procura apenas contas As pessoas devem poder usar a barra de pesquisa para encontrar tópicos de threads Se você quiser ver o que está sendo dito sobre um programa ou pessoa po"&amp;"derá pesquisar palavras chave para extrair conteúdo relacionado à sua pesquisa O aplicativo parece inutilizável sem esse recurso simples")</f>
        <v>Os threads precisam de um recurso de pesquisa para conteúdo A barra de pesquisa procura apenas contas As pessoas devem poder usar a barra de pesquisa para encontrar tópicos de threads Se você quiser ver o que está sendo dito sobre um programa ou pessoa poderá pesquisar palavras chave para extrair conteúdo relacionado à sua pesquisa O aplicativo parece inutilizável sem esse recurso simples</v>
      </c>
      <c r="J407" s="3"/>
      <c r="K407" s="3"/>
      <c r="L407" s="3"/>
      <c r="M407" s="3"/>
      <c r="N407" s="3"/>
      <c r="O407" s="3"/>
      <c r="P407" s="3"/>
      <c r="Q407" s="3"/>
      <c r="R407" s="3"/>
      <c r="S407" s="3"/>
      <c r="T407" s="3"/>
      <c r="U407" s="3"/>
      <c r="V407" s="3"/>
      <c r="W407" s="3"/>
      <c r="X407" s="3"/>
      <c r="Y407" s="3"/>
      <c r="Z407" s="3"/>
      <c r="AA407" s="3"/>
    </row>
    <row r="408" ht="105.75" customHeight="1">
      <c r="A408" s="4" t="s">
        <v>9</v>
      </c>
      <c r="B408" s="5" t="s">
        <v>416</v>
      </c>
      <c r="C408" s="4">
        <v>1.0</v>
      </c>
      <c r="D408" s="6">
        <v>45113.749293981484</v>
      </c>
      <c r="E408" s="7" t="str">
        <f t="shared" si="1"/>
        <v>2023-07-06</v>
      </c>
      <c r="F408" s="8" t="str">
        <f t="shared" si="2"/>
        <v> 17:58:59</v>
      </c>
      <c r="G408" s="9" t="str">
        <f t="shared" si="3"/>
        <v>Tarde</v>
      </c>
      <c r="H408" s="10" t="str">
        <f>IFERROR(__xludf.DUMMYFUNCTION("GOOGLETRANSLATE(B408, ""en"", ""pt-br"")"),"Não há opção para desativar os rolos ou vídeos automaticamente no aplicativo. Esta é a principal razão pela qual não uso o Instagram, seu aplicativo pai. Muitos bobinas ou vídeos desnecessários consumirão muitos dados. Eu pensei que isso seria diferente d"&amp;"o Instagram, mas é tudo igual. Eu odeio o AutoPlay.")</f>
        <v>Não há opção para desativar os rolos ou vídeos automaticamente no aplicativo. Esta é a principal razão pela qual não uso o Instagram, seu aplicativo pai. Muitos bobinas ou vídeos desnecessários consumirão muitos dados. Eu pensei que isso seria diferente do Instagram, mas é tudo igual. Eu odeio o AutoPlay.</v>
      </c>
      <c r="I408" s="10" t="str">
        <f>IFERROR(__xludf.DUMMYFUNCTION("TRIM(REGEXREPLACE(H408,""[^a-zA-ZÀ-ú ]+"",""""))"),"Não há opção para desativar os rolos ou vídeos automaticamente no aplicativo Esta é a principal razão pela qual não uso o Instagram seu aplicativo pai Muitos bobinas ou vídeos desnecessários consumirão muitos dados Eu pensei que isso seria diferente do In"&amp;"stagram mas é tudo igual Eu odeio o AutoPlay")</f>
        <v>Não há opção para desativar os rolos ou vídeos automaticamente no aplicativo Esta é a principal razão pela qual não uso o Instagram seu aplicativo pai Muitos bobinas ou vídeos desnecessários consumirão muitos dados Eu pensei que isso seria diferente do Instagram mas é tudo igual Eu odeio o AutoPlay</v>
      </c>
      <c r="J408" s="3"/>
      <c r="K408" s="3"/>
      <c r="L408" s="3"/>
      <c r="M408" s="3"/>
      <c r="N408" s="3"/>
      <c r="O408" s="3"/>
      <c r="P408" s="3"/>
      <c r="Q408" s="3"/>
      <c r="R408" s="3"/>
      <c r="S408" s="3"/>
      <c r="T408" s="3"/>
      <c r="U408" s="3"/>
      <c r="V408" s="3"/>
      <c r="W408" s="3"/>
      <c r="X408" s="3"/>
      <c r="Y408" s="3"/>
      <c r="Z408" s="3"/>
      <c r="AA408" s="3"/>
    </row>
    <row r="409" ht="105.75" customHeight="1">
      <c r="A409" s="4" t="s">
        <v>9</v>
      </c>
      <c r="B409" s="5" t="s">
        <v>417</v>
      </c>
      <c r="C409" s="4">
        <v>2.0</v>
      </c>
      <c r="D409" s="6">
        <v>45118.675474537034</v>
      </c>
      <c r="E409" s="7" t="str">
        <f t="shared" si="1"/>
        <v>2023-07-11</v>
      </c>
      <c r="F409" s="8" t="str">
        <f t="shared" si="2"/>
        <v> 16:12:41</v>
      </c>
      <c r="G409" s="9" t="str">
        <f t="shared" si="3"/>
        <v>Tarde</v>
      </c>
      <c r="H409" s="10" t="str">
        <f>IFERROR(__xludf.DUMMYFUNCTION("GOOGLETRANSLATE(B409, ""en"", ""pt-br"")"),"É mais como o Facebook, na minha opinião, mas não permite hashtags ou pesquisas de tópicos. Eu prefiro o Twitter, mais def. Quero excluí -lo, mas o aplicativo não permite a exclusão da conta sem também excluir meu Instagram. Não estou feliz com o aplicati"&amp;"vo, realmente.")</f>
        <v>É mais como o Facebook, na minha opinião, mas não permite hashtags ou pesquisas de tópicos. Eu prefiro o Twitter, mais def. Quero excluí -lo, mas o aplicativo não permite a exclusão da conta sem também excluir meu Instagram. Não estou feliz com o aplicativo, realmente.</v>
      </c>
      <c r="I409" s="10" t="str">
        <f>IFERROR(__xludf.DUMMYFUNCTION("TRIM(REGEXREPLACE(H409,""[^a-zA-ZÀ-ú ]+"",""""))"),"É mais como o Facebook na minha opinião mas não permite hashtags ou pesquisas de tópicos Eu prefiro o Twitter mais def Quero excluí lo mas o aplicativo não permite a exclusão da conta sem também excluir meu Instagram Não estou feliz com o aplicativo realm"&amp;"ente")</f>
        <v>É mais como o Facebook na minha opinião mas não permite hashtags ou pesquisas de tópicos Eu prefiro o Twitter mais def Quero excluí lo mas o aplicativo não permite a exclusão da conta sem também excluir meu Instagram Não estou feliz com o aplicativo realmente</v>
      </c>
      <c r="J409" s="3"/>
      <c r="K409" s="3"/>
      <c r="L409" s="3"/>
      <c r="M409" s="3"/>
      <c r="N409" s="3"/>
      <c r="O409" s="3"/>
      <c r="P409" s="3"/>
      <c r="Q409" s="3"/>
      <c r="R409" s="3"/>
      <c r="S409" s="3"/>
      <c r="T409" s="3"/>
      <c r="U409" s="3"/>
      <c r="V409" s="3"/>
      <c r="W409" s="3"/>
      <c r="X409" s="3"/>
      <c r="Y409" s="3"/>
      <c r="Z409" s="3"/>
      <c r="AA409" s="3"/>
    </row>
    <row r="410" ht="105.75" customHeight="1">
      <c r="A410" s="4" t="s">
        <v>9</v>
      </c>
      <c r="B410" s="5" t="s">
        <v>418</v>
      </c>
      <c r="C410" s="4">
        <v>3.0</v>
      </c>
      <c r="D410" s="6">
        <v>45114.656793981485</v>
      </c>
      <c r="E410" s="7" t="str">
        <f t="shared" si="1"/>
        <v>2023-07-07</v>
      </c>
      <c r="F410" s="8" t="str">
        <f t="shared" si="2"/>
        <v> 15:45:47</v>
      </c>
      <c r="G410" s="9" t="str">
        <f t="shared" si="3"/>
        <v>Tarde</v>
      </c>
      <c r="H410" s="10" t="str">
        <f>IFERROR(__xludf.DUMMYFUNCTION("GOOGLETRANSLATE(B410, ""en"", ""pt-br"")"),"Interface legal. Boa ideia. No entanto, não consigo navegar diferentes locais no meu telefone para adicionar uma foto ou vídeo à minha postagem. Esta é uma questão significativa e um desligamento")</f>
        <v>Interface legal. Boa ideia. No entanto, não consigo navegar diferentes locais no meu telefone para adicionar uma foto ou vídeo à minha postagem. Esta é uma questão significativa e um desligamento</v>
      </c>
      <c r="I410" s="10" t="str">
        <f>IFERROR(__xludf.DUMMYFUNCTION("TRIM(REGEXREPLACE(H410,""[^a-zA-ZÀ-ú ]+"",""""))"),"Interface legal Boa ideia No entanto não consigo navegar diferentes locais no meu telefone para adicionar uma foto ou vídeo à minha postagem Esta é uma questão significativa e um desligamento")</f>
        <v>Interface legal Boa ideia No entanto não consigo navegar diferentes locais no meu telefone para adicionar uma foto ou vídeo à minha postagem Esta é uma questão significativa e um desligamento</v>
      </c>
      <c r="J410" s="3"/>
      <c r="K410" s="3"/>
      <c r="L410" s="3"/>
      <c r="M410" s="3"/>
      <c r="N410" s="3"/>
      <c r="O410" s="3"/>
      <c r="P410" s="3"/>
      <c r="Q410" s="3"/>
      <c r="R410" s="3"/>
      <c r="S410" s="3"/>
      <c r="T410" s="3"/>
      <c r="U410" s="3"/>
      <c r="V410" s="3"/>
      <c r="W410" s="3"/>
      <c r="X410" s="3"/>
      <c r="Y410" s="3"/>
      <c r="Z410" s="3"/>
      <c r="AA410" s="3"/>
    </row>
    <row r="411" ht="105.75" customHeight="1">
      <c r="A411" s="4" t="s">
        <v>9</v>
      </c>
      <c r="B411" s="5" t="s">
        <v>419</v>
      </c>
      <c r="C411" s="4">
        <v>2.0</v>
      </c>
      <c r="D411" s="6">
        <v>45114.658368055556</v>
      </c>
      <c r="E411" s="7" t="str">
        <f t="shared" si="1"/>
        <v>2023-07-07</v>
      </c>
      <c r="F411" s="8" t="str">
        <f t="shared" si="2"/>
        <v> 15:48:03</v>
      </c>
      <c r="G411" s="9" t="str">
        <f t="shared" si="3"/>
        <v>Tarde</v>
      </c>
      <c r="H411" s="10" t="str">
        <f>IFERROR(__xludf.DUMMYFUNCTION("GOOGLETRANSLATE(B411, ""en"", ""pt-br"")"),"Desculpe, apenas duas estrelas, no entanto, tenho que admitir que o aplicativo tem um enorme potencial, mas você precisa fazer duas coisas, primeiro se livrar das celebridades e influenciadores e marcas irritantes que eu não sigo nem nenhuma das pessoas n"&amp;"a minha lista seguinte interagiu do meu Linha do tempo, segundo você precisa desconectar o aplicativo do Instagram ou pelo menos fazer o link entre os dois opcionais.")</f>
        <v>Desculpe, apenas duas estrelas, no entanto, tenho que admitir que o aplicativo tem um enorme potencial, mas você precisa fazer duas coisas, primeiro se livrar das celebridades e influenciadores e marcas irritantes que eu não sigo nem nenhuma das pessoas na minha lista seguinte interagiu do meu Linha do tempo, segundo você precisa desconectar o aplicativo do Instagram ou pelo menos fazer o link entre os dois opcionais.</v>
      </c>
      <c r="I411" s="10" t="str">
        <f>IFERROR(__xludf.DUMMYFUNCTION("TRIM(REGEXREPLACE(H411,""[^a-zA-ZÀ-ú ]+"",""""))"),"Desculpe apenas duas estrelas no entanto tenho que admitir que o aplicativo tem um enorme potencial mas você precisa fazer duas coisas primeiro se livrar das celebridades e influenciadores e marcas irritantes que eu não sigo nem nenhuma das pessoas na min"&amp;"ha lista seguinte interagiu do meu Linha do tempo segundo você precisa desconectar o aplicativo do Instagram ou pelo menos fazer o link entre os dois opcionais")</f>
        <v>Desculpe apenas duas estrelas no entanto tenho que admitir que o aplicativo tem um enorme potencial mas você precisa fazer duas coisas primeiro se livrar das celebridades e influenciadores e marcas irritantes que eu não sigo nem nenhuma das pessoas na minha lista seguinte interagiu do meu Linha do tempo segundo você precisa desconectar o aplicativo do Instagram ou pelo menos fazer o link entre os dois opcionais</v>
      </c>
      <c r="J411" s="3"/>
      <c r="K411" s="3"/>
      <c r="L411" s="3"/>
      <c r="M411" s="3"/>
      <c r="N411" s="3"/>
      <c r="O411" s="3"/>
      <c r="P411" s="3"/>
      <c r="Q411" s="3"/>
      <c r="R411" s="3"/>
      <c r="S411" s="3"/>
      <c r="T411" s="3"/>
      <c r="U411" s="3"/>
      <c r="V411" s="3"/>
      <c r="W411" s="3"/>
      <c r="X411" s="3"/>
      <c r="Y411" s="3"/>
      <c r="Z411" s="3"/>
      <c r="AA411" s="3"/>
    </row>
    <row r="412" ht="105.75" customHeight="1">
      <c r="A412" s="4" t="s">
        <v>9</v>
      </c>
      <c r="B412" s="5" t="s">
        <v>420</v>
      </c>
      <c r="C412" s="4">
        <v>1.0</v>
      </c>
      <c r="D412" s="6">
        <v>45120.08430555555</v>
      </c>
      <c r="E412" s="7" t="str">
        <f t="shared" si="1"/>
        <v>2023-07-13</v>
      </c>
      <c r="F412" s="8" t="str">
        <f t="shared" si="2"/>
        <v> 02:01:24</v>
      </c>
      <c r="G412" s="9" t="str">
        <f t="shared" si="3"/>
        <v>Manhã</v>
      </c>
      <c r="H412" s="10" t="str">
        <f>IFERROR(__xludf.DUMMYFUNCTION("GOOGLETRANSLATE(B412, ""en"", ""pt-br"")"),"O tamanho do aplicativo é enorme. Também não há modo de economia de dados, não podemos interromper os vídeos do AutoPlay. Obtenha a versão Lite deste aplicativo o mais rápido possível.")</f>
        <v>O tamanho do aplicativo é enorme. Também não há modo de economia de dados, não podemos interromper os vídeos do AutoPlay. Obtenha a versão Lite deste aplicativo o mais rápido possível.</v>
      </c>
      <c r="I412" s="10" t="str">
        <f>IFERROR(__xludf.DUMMYFUNCTION("TRIM(REGEXREPLACE(H412,""[^a-zA-ZÀ-ú ]+"",""""))"),"O tamanho do aplicativo é enorme Também não há modo de economia de dados não podemos interromper os vídeos do AutoPlay Obtenha a versão Lite deste aplicativo o mais rápido possível")</f>
        <v>O tamanho do aplicativo é enorme Também não há modo de economia de dados não podemos interromper os vídeos do AutoPlay Obtenha a versão Lite deste aplicativo o mais rápido possível</v>
      </c>
      <c r="J412" s="3"/>
      <c r="K412" s="3"/>
      <c r="L412" s="3"/>
      <c r="M412" s="3"/>
      <c r="N412" s="3"/>
      <c r="O412" s="3"/>
      <c r="P412" s="3"/>
      <c r="Q412" s="3"/>
      <c r="R412" s="3"/>
      <c r="S412" s="3"/>
      <c r="T412" s="3"/>
      <c r="U412" s="3"/>
      <c r="V412" s="3"/>
      <c r="W412" s="3"/>
      <c r="X412" s="3"/>
      <c r="Y412" s="3"/>
      <c r="Z412" s="3"/>
      <c r="AA412" s="3"/>
    </row>
    <row r="413" ht="105.75" customHeight="1">
      <c r="A413" s="4" t="s">
        <v>9</v>
      </c>
      <c r="B413" s="5" t="s">
        <v>421</v>
      </c>
      <c r="C413" s="4">
        <v>4.0</v>
      </c>
      <c r="D413" s="6">
        <v>45115.075057870374</v>
      </c>
      <c r="E413" s="7" t="str">
        <f t="shared" si="1"/>
        <v>2023-07-08</v>
      </c>
      <c r="F413" s="8" t="str">
        <f t="shared" si="2"/>
        <v> 01:48:05</v>
      </c>
      <c r="G413" s="9" t="str">
        <f t="shared" si="3"/>
        <v>Manhã</v>
      </c>
      <c r="H413" s="10" t="str">
        <f>IFERROR(__xludf.DUMMYFUNCTION("GOOGLETRANSLATE(B413, ""en"", ""pt-br"")"),"Eu gosto, mas o conteúdo não é classificado cronologicamente, então continuo vendo posts de dois dias atrás, misturados com postagens mais recentes. Além disso, muitos postos de empresas, celebridades e influenciadores continuam sendo mostrados na linha d"&amp;"o tempo (se pudermos chamá -lo assim), então eu passo todo o meu tempo silenciando e bloqueando, porque esses conteúdos da agência de marketing são irritantes de se ver.")</f>
        <v>Eu gosto, mas o conteúdo não é classificado cronologicamente, então continuo vendo posts de dois dias atrás, misturados com postagens mais recentes. Além disso, muitos postos de empresas, celebridades e influenciadores continuam sendo mostrados na linha do tempo (se pudermos chamá -lo assim), então eu passo todo o meu tempo silenciando e bloqueando, porque esses conteúdos da agência de marketing são irritantes de se ver.</v>
      </c>
      <c r="I413" s="10" t="str">
        <f>IFERROR(__xludf.DUMMYFUNCTION("TRIM(REGEXREPLACE(H413,""[^a-zA-ZÀ-ú ]+"",""""))"),"Eu gosto mas o conteúdo não é classificado cronologicamente então continuo vendo posts de dois dias atrás misturados com postagens mais recentes Além disso muitos postos de empresas celebridades e influenciadores continuam sendo mostrados na linha do temp"&amp;"o se pudermos chamá lo assim então eu passo todo o meu tempo silenciando e bloqueando porque esses conteúdos da agência de marketing são irritantes de se ver")</f>
        <v>Eu gosto mas o conteúdo não é classificado cronologicamente então continuo vendo posts de dois dias atrás misturados com postagens mais recentes Além disso muitos postos de empresas celebridades e influenciadores continuam sendo mostrados na linha do tempo se pudermos chamá lo assim então eu passo todo o meu tempo silenciando e bloqueando porque esses conteúdos da agência de marketing são irritantes de se ver</v>
      </c>
      <c r="J413" s="3"/>
      <c r="K413" s="3"/>
      <c r="L413" s="3"/>
      <c r="M413" s="3"/>
      <c r="N413" s="3"/>
      <c r="O413" s="3"/>
      <c r="P413" s="3"/>
      <c r="Q413" s="3"/>
      <c r="R413" s="3"/>
      <c r="S413" s="3"/>
      <c r="T413" s="3"/>
      <c r="U413" s="3"/>
      <c r="V413" s="3"/>
      <c r="W413" s="3"/>
      <c r="X413" s="3"/>
      <c r="Y413" s="3"/>
      <c r="Z413" s="3"/>
      <c r="AA413" s="3"/>
    </row>
    <row r="414" ht="105.75" customHeight="1">
      <c r="A414" s="4" t="s">
        <v>9</v>
      </c>
      <c r="B414" s="5" t="s">
        <v>422</v>
      </c>
      <c r="C414" s="4">
        <v>4.0</v>
      </c>
      <c r="D414" s="6">
        <v>45115.53836805555</v>
      </c>
      <c r="E414" s="7" t="str">
        <f t="shared" si="1"/>
        <v>2023-07-08</v>
      </c>
      <c r="F414" s="8" t="str">
        <f t="shared" si="2"/>
        <v> 12:55:15</v>
      </c>
      <c r="G414" s="9" t="str">
        <f t="shared" si="3"/>
        <v>Tarde</v>
      </c>
      <c r="H414" s="10" t="str">
        <f>IFERROR(__xludf.DUMMYFUNCTION("GOOGLETRANSLATE(B414, ""en"", ""pt-br"")"),"Eu sou um grande fã deste aplicativo. Estou cansado de todas as mudanças que Elon fez no Twitter. Ainda há uma curva de crescimento muito íngreme, mas estou muito animado. Há dois recursos que eu sinto que seriam realmente úteis para melhorar a experiênci"&amp;"a do usuário. 1) Como estou escrevendo meus threads, se eu exceder o número de threads que minha tela permite, não posso rolar para baixo para ver o que estou escrevendo como meu teclado está bloqueando a visualização e os threads não permitem rolar para "&amp;"baixo. 2) Agendador de threads!")</f>
        <v>Eu sou um grande fã deste aplicativo. Estou cansado de todas as mudanças que Elon fez no Twitter. Ainda há uma curva de crescimento muito íngreme, mas estou muito animado. Há dois recursos que eu sinto que seriam realmente úteis para melhorar a experiência do usuário. 1) Como estou escrevendo meus threads, se eu exceder o número de threads que minha tela permite, não posso rolar para baixo para ver o que estou escrevendo como meu teclado está bloqueando a visualização e os threads não permitem rolar para baixo. 2) Agendador de threads!</v>
      </c>
      <c r="I414" s="10" t="str">
        <f>IFERROR(__xludf.DUMMYFUNCTION("TRIM(REGEXREPLACE(H414,""[^a-zA-ZÀ-ú ]+"",""""))"),"Eu sou um grande fã deste aplicativo Estou cansado de todas as mudanças que Elon fez no Twitter Ainda há uma curva de crescimento muito íngreme mas estou muito animado Há dois recursos que eu sinto que seriam realmente úteis para melhorar a experiência do"&amp;" usuário Como estou escrevendo meus threads se eu exceder o número de threads que minha tela permite não posso rolar para baixo para ver o que estou escrevendo como meu teclado está bloqueando a visualização e os threads não permitem rolar para baixo Agen"&amp;"dador de threads")</f>
        <v>Eu sou um grande fã deste aplicativo Estou cansado de todas as mudanças que Elon fez no Twitter Ainda há uma curva de crescimento muito íngreme mas estou muito animado Há dois recursos que eu sinto que seriam realmente úteis para melhorar a experiência do usuário Como estou escrevendo meus threads se eu exceder o número de threads que minha tela permite não posso rolar para baixo para ver o que estou escrevendo como meu teclado está bloqueando a visualização e os threads não permitem rolar para baixo Agendador de threads</v>
      </c>
      <c r="J414" s="3"/>
      <c r="K414" s="3"/>
      <c r="L414" s="3"/>
      <c r="M414" s="3"/>
      <c r="N414" s="3"/>
      <c r="O414" s="3"/>
      <c r="P414" s="3"/>
      <c r="Q414" s="3"/>
      <c r="R414" s="3"/>
      <c r="S414" s="3"/>
      <c r="T414" s="3"/>
      <c r="U414" s="3"/>
      <c r="V414" s="3"/>
      <c r="W414" s="3"/>
      <c r="X414" s="3"/>
      <c r="Y414" s="3"/>
      <c r="Z414" s="3"/>
      <c r="AA414" s="3"/>
    </row>
    <row r="415" ht="105.75" customHeight="1">
      <c r="A415" s="4" t="s">
        <v>9</v>
      </c>
      <c r="B415" s="5" t="s">
        <v>423</v>
      </c>
      <c r="C415" s="4">
        <v>3.0</v>
      </c>
      <c r="D415" s="6">
        <v>45113.29090277778</v>
      </c>
      <c r="E415" s="7" t="str">
        <f t="shared" si="1"/>
        <v>2023-07-06</v>
      </c>
      <c r="F415" s="8" t="str">
        <f t="shared" si="2"/>
        <v> 06:58:54</v>
      </c>
      <c r="G415" s="9" t="str">
        <f t="shared" si="3"/>
        <v>Manhã</v>
      </c>
      <c r="H415" s="10" t="str">
        <f>IFERROR(__xludf.DUMMYFUNCTION("GOOGLETRANSLATE(B415, ""en"", ""pt-br"")"),"Bom começo, precisa de muito trabalho. É um bom começo, mas está faltando recursos básicos como; DMS, seguindo a alimentação, modo escuro. Também é um pouco lento para carregar.")</f>
        <v>Bom começo, precisa de muito trabalho. É um bom começo, mas está faltando recursos básicos como; DMS, seguindo a alimentação, modo escuro. Também é um pouco lento para carregar.</v>
      </c>
      <c r="I415" s="10" t="str">
        <f>IFERROR(__xludf.DUMMYFUNCTION("TRIM(REGEXREPLACE(H415,""[^a-zA-ZÀ-ú ]+"",""""))"),"Bom começo precisa de muito trabalho É um bom começo mas está faltando recursos básicos como DMS seguindo a alimentação modo escuro Também é um pouco lento para carregar")</f>
        <v>Bom começo precisa de muito trabalho É um bom começo mas está faltando recursos básicos como DMS seguindo a alimentação modo escuro Também é um pouco lento para carregar</v>
      </c>
      <c r="J415" s="3"/>
      <c r="K415" s="3"/>
      <c r="L415" s="3"/>
      <c r="M415" s="3"/>
      <c r="N415" s="3"/>
      <c r="O415" s="3"/>
      <c r="P415" s="3"/>
      <c r="Q415" s="3"/>
      <c r="R415" s="3"/>
      <c r="S415" s="3"/>
      <c r="T415" s="3"/>
      <c r="U415" s="3"/>
      <c r="V415" s="3"/>
      <c r="W415" s="3"/>
      <c r="X415" s="3"/>
      <c r="Y415" s="3"/>
      <c r="Z415" s="3"/>
      <c r="AA415" s="3"/>
    </row>
    <row r="416" ht="105.75" customHeight="1">
      <c r="A416" s="4" t="s">
        <v>9</v>
      </c>
      <c r="B416" s="5" t="s">
        <v>424</v>
      </c>
      <c r="C416" s="4">
        <v>2.0</v>
      </c>
      <c r="D416" s="6">
        <v>45115.243842592594</v>
      </c>
      <c r="E416" s="7" t="str">
        <f t="shared" si="1"/>
        <v>2023-07-08</v>
      </c>
      <c r="F416" s="8" t="str">
        <f t="shared" si="2"/>
        <v> 05:51:08</v>
      </c>
      <c r="G416" s="9" t="str">
        <f t="shared" si="3"/>
        <v>Manhã</v>
      </c>
      <c r="H416" s="10" t="str">
        <f>IFERROR(__xludf.DUMMYFUNCTION("GOOGLETRANSLATE(B416, ""en"", ""pt-br"")"),"Quando eu faço login em threads, faço logon automaticamente no Instagram e vice -versa. Não há opção para ver as postagens apenas nas contas que sigo. Não há opção para postagens nas quais não estou interessado. É novo, e pessoas gostam de coisas novas, m"&amp;"as deixe -me dizer, há uma enorme necessidade de melhorias.")</f>
        <v>Quando eu faço login em threads, faço logon automaticamente no Instagram e vice -versa. Não há opção para ver as postagens apenas nas contas que sigo. Não há opção para postagens nas quais não estou interessado. É novo, e pessoas gostam de coisas novas, mas deixe -me dizer, há uma enorme necessidade de melhorias.</v>
      </c>
      <c r="I416" s="10" t="str">
        <f>IFERROR(__xludf.DUMMYFUNCTION("TRIM(REGEXREPLACE(H416,""[^a-zA-ZÀ-ú ]+"",""""))"),"Quando eu faço login em threads faço logon automaticamente no Instagram e vice versa Não há opção para ver as postagens apenas nas contas que sigo Não há opção para postagens nas quais não estou interessado É novo e pessoas gostam de coisas novas mas deix"&amp;"e me dizer há uma enorme necessidade de melhorias")</f>
        <v>Quando eu faço login em threads faço logon automaticamente no Instagram e vice versa Não há opção para ver as postagens apenas nas contas que sigo Não há opção para postagens nas quais não estou interessado É novo e pessoas gostam de coisas novas mas deixe me dizer há uma enorme necessidade de melhorias</v>
      </c>
      <c r="J416" s="3"/>
      <c r="K416" s="3"/>
      <c r="L416" s="3"/>
      <c r="M416" s="3"/>
      <c r="N416" s="3"/>
      <c r="O416" s="3"/>
      <c r="P416" s="3"/>
      <c r="Q416" s="3"/>
      <c r="R416" s="3"/>
      <c r="S416" s="3"/>
      <c r="T416" s="3"/>
      <c r="U416" s="3"/>
      <c r="V416" s="3"/>
      <c r="W416" s="3"/>
      <c r="X416" s="3"/>
      <c r="Y416" s="3"/>
      <c r="Z416" s="3"/>
      <c r="AA416" s="3"/>
    </row>
    <row r="417" ht="105.75" customHeight="1">
      <c r="A417" s="4" t="s">
        <v>9</v>
      </c>
      <c r="B417" s="5" t="s">
        <v>425</v>
      </c>
      <c r="C417" s="4">
        <v>3.0</v>
      </c>
      <c r="D417" s="6">
        <v>45117.24827546296</v>
      </c>
      <c r="E417" s="7" t="str">
        <f t="shared" si="1"/>
        <v>2023-07-10</v>
      </c>
      <c r="F417" s="8" t="str">
        <f t="shared" si="2"/>
        <v> 05:57:31</v>
      </c>
      <c r="G417" s="9" t="str">
        <f t="shared" si="3"/>
        <v>Manhã</v>
      </c>
      <c r="H417" s="10" t="str">
        <f>IFERROR(__xludf.DUMMYFUNCTION("GOOGLETRANSLATE(B417, ""en"", ""pt-br"")"),"Continua fechando ao digitar. Estou usando um Huawei P30 e ele apenas fecha ao digitar, com mais frequência ao digitar @ do que um nome, mas é mega frustrante. Estou dando um 3 por causa disso. Caso contrário, é um novo aplicativo fantástico e a ausência "&amp;"de DMS é um vencedor absoluto e um divisor de águas.")</f>
        <v>Continua fechando ao digitar. Estou usando um Huawei P30 e ele apenas fecha ao digitar, com mais frequência ao digitar @ do que um nome, mas é mega frustrante. Estou dando um 3 por causa disso. Caso contrário, é um novo aplicativo fantástico e a ausência de DMS é um vencedor absoluto e um divisor de águas.</v>
      </c>
      <c r="I417" s="10" t="str">
        <f>IFERROR(__xludf.DUMMYFUNCTION("TRIM(REGEXREPLACE(H417,""[^a-zA-ZÀ-ú ]+"",""""))"),"Continua fechando ao digitar Estou usando um Huawei P e ele apenas fecha ao digitar com mais frequência ao digitar do que um nome mas é mega frustrante Estou dando um por causa disso Caso contrário é um novo aplicativo fantástico e a ausência de DMS é um "&amp;"vencedor absoluto e um divisor de águas")</f>
        <v>Continua fechando ao digitar Estou usando um Huawei P e ele apenas fecha ao digitar com mais frequência ao digitar do que um nome mas é mega frustrante Estou dando um por causa disso Caso contrário é um novo aplicativo fantástico e a ausência de DMS é um vencedor absoluto e um divisor de águas</v>
      </c>
      <c r="J417" s="3"/>
      <c r="K417" s="3"/>
      <c r="L417" s="3"/>
      <c r="M417" s="3"/>
      <c r="N417" s="3"/>
      <c r="O417" s="3"/>
      <c r="P417" s="3"/>
      <c r="Q417" s="3"/>
      <c r="R417" s="3"/>
      <c r="S417" s="3"/>
      <c r="T417" s="3"/>
      <c r="U417" s="3"/>
      <c r="V417" s="3"/>
      <c r="W417" s="3"/>
      <c r="X417" s="3"/>
      <c r="Y417" s="3"/>
      <c r="Z417" s="3"/>
      <c r="AA417" s="3"/>
    </row>
    <row r="418" ht="105.75" customHeight="1">
      <c r="A418" s="4" t="s">
        <v>9</v>
      </c>
      <c r="B418" s="5" t="s">
        <v>426</v>
      </c>
      <c r="C418" s="4">
        <v>1.0</v>
      </c>
      <c r="D418" s="6">
        <v>45113.52076388889</v>
      </c>
      <c r="E418" s="7" t="str">
        <f t="shared" si="1"/>
        <v>2023-07-06</v>
      </c>
      <c r="F418" s="8" t="str">
        <f t="shared" si="2"/>
        <v> 12:29:54</v>
      </c>
      <c r="G418" s="9" t="str">
        <f t="shared" si="3"/>
        <v>Tarde</v>
      </c>
      <c r="H418" s="10" t="str">
        <f>IFERROR(__xludf.DUMMYFUNCTION("GOOGLETRANSLATE(B418, ""en"", ""pt-br"")"),"A quantidade de dados que este aplicativo exige dos usuários é absurdo. E o fato de você não poder excluir seus threads sem excluir seu Instagram é horrível! O aplicativo em si é principalmente texto. Se você está se juntando como uma alternativa no Twitt"&amp;"er, não se preocupe. Você não pode nem pesquisar postagens. Não há hashtags. Eu já quero excluir threads apenas por causa da mineração de dados extrema. A Europa bloqueou por esses motivos exatos.")</f>
        <v>A quantidade de dados que este aplicativo exige dos usuários é absurdo. E o fato de você não poder excluir seus threads sem excluir seu Instagram é horrível! O aplicativo em si é principalmente texto. Se você está se juntando como uma alternativa no Twitter, não se preocupe. Você não pode nem pesquisar postagens. Não há hashtags. Eu já quero excluir threads apenas por causa da mineração de dados extrema. A Europa bloqueou por esses motivos exatos.</v>
      </c>
      <c r="I418" s="10" t="str">
        <f>IFERROR(__xludf.DUMMYFUNCTION("TRIM(REGEXREPLACE(H418,""[^a-zA-ZÀ-ú ]+"",""""))"),"A quantidade de dados que este aplicativo exige dos usuários é absurdo E o fato de você não poder excluir seus threads sem excluir seu Instagram é horrível O aplicativo em si é principalmente texto Se você está se juntando como uma alternativa no Twitter "&amp;"não se preocupe Você não pode nem pesquisar postagens Não há hashtags Eu já quero excluir threads apenas por causa da mineração de dados extrema A Europa bloqueou por esses motivos exatos")</f>
        <v>A quantidade de dados que este aplicativo exige dos usuários é absurdo E o fato de você não poder excluir seus threads sem excluir seu Instagram é horrível O aplicativo em si é principalmente texto Se você está se juntando como uma alternativa no Twitter não se preocupe Você não pode nem pesquisar postagens Não há hashtags Eu já quero excluir threads apenas por causa da mineração de dados extrema A Europa bloqueou por esses motivos exatos</v>
      </c>
      <c r="J418" s="3"/>
      <c r="K418" s="3"/>
      <c r="L418" s="3"/>
      <c r="M418" s="3"/>
      <c r="N418" s="3"/>
      <c r="O418" s="3"/>
      <c r="P418" s="3"/>
      <c r="Q418" s="3"/>
      <c r="R418" s="3"/>
      <c r="S418" s="3"/>
      <c r="T418" s="3"/>
      <c r="U418" s="3"/>
      <c r="V418" s="3"/>
      <c r="W418" s="3"/>
      <c r="X418" s="3"/>
      <c r="Y418" s="3"/>
      <c r="Z418" s="3"/>
      <c r="AA418" s="3"/>
    </row>
    <row r="419" ht="105.75" customHeight="1">
      <c r="A419" s="4" t="s">
        <v>9</v>
      </c>
      <c r="B419" s="5" t="s">
        <v>427</v>
      </c>
      <c r="C419" s="4">
        <v>2.0</v>
      </c>
      <c r="D419" s="6">
        <v>45121.68803240741</v>
      </c>
      <c r="E419" s="7" t="str">
        <f t="shared" si="1"/>
        <v>2023-07-14</v>
      </c>
      <c r="F419" s="8" t="str">
        <f t="shared" si="2"/>
        <v> 16:30:46</v>
      </c>
      <c r="G419" s="9" t="str">
        <f t="shared" si="3"/>
        <v>Tarde</v>
      </c>
      <c r="H419" s="10" t="str">
        <f>IFERROR(__xludf.DUMMYFUNCTION("GOOGLETRANSLATE(B419, ""en"", ""pt-br"")"),"Falta muitos recursos, então aqui estão alguns feedback: adicione uma página de tendência lá. Faça -o para que os seguidores e os seguintes possam ser acessados ​​separadamente, como no IG. Permita que as pessoas tenham nomes de usuário diferentes de suas"&amp;" alças de IG. Quando houver várias imagens, mostre -as em uma colagem em vez de mostrar uma imagem grande e depois rolar para os outros como no IG. Além disso, deixe as pessoas ampliarem as fotos sem que as imagens redimensionem automaticamente. Não compa"&amp;"cte as imagens. Torne -o diferente do IG.")</f>
        <v>Falta muitos recursos, então aqui estão alguns feedback: adicione uma página de tendência lá. Faça -o para que os seguidores e os seguintes possam ser acessados ​​separadamente, como no IG. Permita que as pessoas tenham nomes de usuário diferentes de suas alças de IG. Quando houver várias imagens, mostre -as em uma colagem em vez de mostrar uma imagem grande e depois rolar para os outros como no IG. Além disso, deixe as pessoas ampliarem as fotos sem que as imagens redimensionem automaticamente. Não compacte as imagens. Torne -o diferente do IG.</v>
      </c>
      <c r="I419" s="10" t="str">
        <f>IFERROR(__xludf.DUMMYFUNCTION("TRIM(REGEXREPLACE(H419,""[^a-zA-ZÀ-ú ]+"",""""))"),"Falta muitos recursos então aqui estão alguns feedback adicione uma página de tendência lá Faça o para que os seguidores e os seguintes possam ser acessados separadamente como no IG Permita que as pessoas tenham nomes de usuário diferentes de suas alças d"&amp;"e IG Quando houver várias imagens mostre as em uma colagem em vez de mostrar uma imagem grande e depois rolar para os outros como no IG Além disso deixe as pessoas ampliarem as fotos sem que as imagens redimensionem automaticamente Não compacte as imagens"&amp;" Torne o diferente do IG")</f>
        <v>Falta muitos recursos então aqui estão alguns feedback adicione uma página de tendência lá Faça o para que os seguidores e os seguintes possam ser acessados separadamente como no IG Permita que as pessoas tenham nomes de usuário diferentes de suas alças de IG Quando houver várias imagens mostre as em uma colagem em vez de mostrar uma imagem grande e depois rolar para os outros como no IG Além disso deixe as pessoas ampliarem as fotos sem que as imagens redimensionem automaticamente Não compacte as imagens Torne o diferente do IG</v>
      </c>
      <c r="J419" s="3"/>
      <c r="K419" s="3"/>
      <c r="L419" s="3"/>
      <c r="M419" s="3"/>
      <c r="N419" s="3"/>
      <c r="O419" s="3"/>
      <c r="P419" s="3"/>
      <c r="Q419" s="3"/>
      <c r="R419" s="3"/>
      <c r="S419" s="3"/>
      <c r="T419" s="3"/>
      <c r="U419" s="3"/>
      <c r="V419" s="3"/>
      <c r="W419" s="3"/>
      <c r="X419" s="3"/>
      <c r="Y419" s="3"/>
      <c r="Z419" s="3"/>
      <c r="AA419" s="3"/>
    </row>
    <row r="420" ht="105.75" customHeight="1">
      <c r="A420" s="4" t="s">
        <v>9</v>
      </c>
      <c r="B420" s="5" t="s">
        <v>428</v>
      </c>
      <c r="C420" s="4">
        <v>1.0</v>
      </c>
      <c r="D420" s="6">
        <v>45125.74694444444</v>
      </c>
      <c r="E420" s="7" t="str">
        <f t="shared" si="1"/>
        <v>2023-07-18</v>
      </c>
      <c r="F420" s="8" t="str">
        <f t="shared" si="2"/>
        <v> 17:55:36</v>
      </c>
      <c r="G420" s="9" t="str">
        <f t="shared" si="3"/>
        <v>Tarde</v>
      </c>
      <c r="H420" s="10" t="str">
        <f>IFERROR(__xludf.DUMMYFUNCTION("GOOGLETRANSLATE(B420, ""en"", ""pt-br"")"),"Drenar a bateria e o aplicativo está faltando muitos recursos. Eles o forçam a usar a conta do Instagram para usar o aplicativo. Se eu quiser excluir a conta dos threads, também tenho que excluir minha conta do Instagram. Leia os detalhes do aplicativo qu"&amp;"e ele pode coletar antes de fazer o download, porque eles coletam muitas informações confidenciais, como detalhes financeiros e de saúde, também detalhes. O aplicativo está funcionando mal porque continua travando ao tentar postar ou comentar e fazer noti"&amp;"ficação de push de login, continue atrasando.")</f>
        <v>Drenar a bateria e o aplicativo está faltando muitos recursos. Eles o forçam a usar a conta do Instagram para usar o aplicativo. Se eu quiser excluir a conta dos threads, também tenho que excluir minha conta do Instagram. Leia os detalhes do aplicativo que ele pode coletar antes de fazer o download, porque eles coletam muitas informações confidenciais, como detalhes financeiros e de saúde, também detalhes. O aplicativo está funcionando mal porque continua travando ao tentar postar ou comentar e fazer notificação de push de login, continue atrasando.</v>
      </c>
      <c r="I420" s="10" t="str">
        <f>IFERROR(__xludf.DUMMYFUNCTION("TRIM(REGEXREPLACE(H420,""[^a-zA-ZÀ-ú ]+"",""""))"),"Drenar a bateria e o aplicativo está faltando muitos recursos Eles o forçam a usar a conta do Instagram para usar o aplicativo Se eu quiser excluir a conta dos threads também tenho que excluir minha conta do Instagram Leia os detalhes do aplicativo que el"&amp;"e pode coletar antes de fazer o download porque eles coletam muitas informações confidenciais como detalhes financeiros e de saúde também detalhes O aplicativo está funcionando mal porque continua travando ao tentar postar ou comentar e fazer notificação "&amp;"de push de login continue atrasando")</f>
        <v>Drenar a bateria e o aplicativo está faltando muitos recursos Eles o forçam a usar a conta do Instagram para usar o aplicativo Se eu quiser excluir a conta dos threads também tenho que excluir minha conta do Instagram Leia os detalhes do aplicativo que ele pode coletar antes de fazer o download porque eles coletam muitas informações confidenciais como detalhes financeiros e de saúde também detalhes O aplicativo está funcionando mal porque continua travando ao tentar postar ou comentar e fazer notificação de push de login continue atrasando</v>
      </c>
      <c r="J420" s="3"/>
      <c r="K420" s="3"/>
      <c r="L420" s="3"/>
      <c r="M420" s="3"/>
      <c r="N420" s="3"/>
      <c r="O420" s="3"/>
      <c r="P420" s="3"/>
      <c r="Q420" s="3"/>
      <c r="R420" s="3"/>
      <c r="S420" s="3"/>
      <c r="T420" s="3"/>
      <c r="U420" s="3"/>
      <c r="V420" s="3"/>
      <c r="W420" s="3"/>
      <c r="X420" s="3"/>
      <c r="Y420" s="3"/>
      <c r="Z420" s="3"/>
      <c r="AA420" s="3"/>
    </row>
    <row r="421" ht="105.75" customHeight="1">
      <c r="A421" s="4" t="s">
        <v>9</v>
      </c>
      <c r="B421" s="5" t="s">
        <v>429</v>
      </c>
      <c r="C421" s="4">
        <v>1.0</v>
      </c>
      <c r="D421" s="6">
        <v>45113.66548611111</v>
      </c>
      <c r="E421" s="7" t="str">
        <f t="shared" si="1"/>
        <v>2023-07-06</v>
      </c>
      <c r="F421" s="8" t="str">
        <f t="shared" si="2"/>
        <v> 15:58:18</v>
      </c>
      <c r="G421" s="9" t="str">
        <f t="shared" si="3"/>
        <v>Tarde</v>
      </c>
      <c r="H421" s="10" t="str">
        <f>IFERROR(__xludf.DUMMYFUNCTION("GOOGLETRANSLATE(B421, ""en"", ""pt-br"")"),"Este aplicativo teria sido uma versão melhor do Twitter, mas se alguém quiser excluir a conta, ele também precisará excluir seu Instagram. Esta é a pior implementação que uma empresa poderia ter trazido. A desativação não inclui seu Instagram, mas ainda a"&amp;"ssim, você poderá excluir sua conta sem excluir o Instagram! Pelo menos essas informações precisam estar na página de registiração ou na descrição do aplicativo.")</f>
        <v>Este aplicativo teria sido uma versão melhor do Twitter, mas se alguém quiser excluir a conta, ele também precisará excluir seu Instagram. Esta é a pior implementação que uma empresa poderia ter trazido. A desativação não inclui seu Instagram, mas ainda assim, você poderá excluir sua conta sem excluir o Instagram! Pelo menos essas informações precisam estar na página de registiração ou na descrição do aplicativo.</v>
      </c>
      <c r="I421" s="10" t="str">
        <f>IFERROR(__xludf.DUMMYFUNCTION("TRIM(REGEXREPLACE(H421,""[^a-zA-ZÀ-ú ]+"",""""))"),"Este aplicativo teria sido uma versão melhor do Twitter mas se alguém quiser excluir a conta ele também precisará excluir seu Instagram Esta é a pior implementação que uma empresa poderia ter trazido A desativação não inclui seu Instagram mas ainda assim "&amp;"você poderá excluir sua conta sem excluir o Instagram Pelo menos essas informações precisam estar na página de registiração ou na descrição do aplicativo")</f>
        <v>Este aplicativo teria sido uma versão melhor do Twitter mas se alguém quiser excluir a conta ele também precisará excluir seu Instagram Esta é a pior implementação que uma empresa poderia ter trazido A desativação não inclui seu Instagram mas ainda assim você poderá excluir sua conta sem excluir o Instagram Pelo menos essas informações precisam estar na página de registiração ou na descrição do aplicativo</v>
      </c>
      <c r="J421" s="3"/>
      <c r="K421" s="3"/>
      <c r="L421" s="3"/>
      <c r="M421" s="3"/>
      <c r="N421" s="3"/>
      <c r="O421" s="3"/>
      <c r="P421" s="3"/>
      <c r="Q421" s="3"/>
      <c r="R421" s="3"/>
      <c r="S421" s="3"/>
      <c r="T421" s="3"/>
      <c r="U421" s="3"/>
      <c r="V421" s="3"/>
      <c r="W421" s="3"/>
      <c r="X421" s="3"/>
      <c r="Y421" s="3"/>
      <c r="Z421" s="3"/>
      <c r="AA421" s="3"/>
    </row>
    <row r="422" ht="105.75" customHeight="1">
      <c r="A422" s="4" t="s">
        <v>9</v>
      </c>
      <c r="B422" s="5" t="s">
        <v>430</v>
      </c>
      <c r="C422" s="4">
        <v>5.0</v>
      </c>
      <c r="D422" s="6">
        <v>45119.51766203704</v>
      </c>
      <c r="E422" s="7" t="str">
        <f t="shared" si="1"/>
        <v>2023-07-12</v>
      </c>
      <c r="F422" s="8" t="str">
        <f t="shared" si="2"/>
        <v> 12:25:26</v>
      </c>
      <c r="G422" s="9" t="str">
        <f t="shared" si="3"/>
        <v>Tarde</v>
      </c>
      <c r="H422" s="10" t="str">
        <f>IFERROR(__xludf.DUMMYFUNCTION("GOOGLETRANSLATE(B422, ""en"", ""pt-br"")"),"Ótimo aplicativo com muito potencial. Os recursos sociais do aplicativo também são fantásticos. Posso me conectar com amigos que também estão usando o Thread's, criam grupos e até enviam convites diretos para planejar datas de almoço. É uma ótima maneira "&amp;"de permanecer conectado e coordenar passeios de almoço com facilidade.")</f>
        <v>Ótimo aplicativo com muito potencial. Os recursos sociais do aplicativo também são fantásticos. Posso me conectar com amigos que também estão usando o Thread's, criam grupos e até enviam convites diretos para planejar datas de almoço. É uma ótima maneira de permanecer conectado e coordenar passeios de almoço com facilidade.</v>
      </c>
      <c r="I422" s="10" t="str">
        <f>IFERROR(__xludf.DUMMYFUNCTION("TRIM(REGEXREPLACE(H422,""[^a-zA-ZÀ-ú ]+"",""""))"),"Ótimo aplicativo com muito potencial Os recursos sociais do aplicativo também são fantásticos Posso me conectar com amigos que também estão usando o Threads criam grupos e até enviam convites diretos para planejar datas de almoço É uma ótima maneira de pe"&amp;"rmanecer conectado e coordenar passeios de almoço com facilidade")</f>
        <v>Ótimo aplicativo com muito potencial Os recursos sociais do aplicativo também são fantásticos Posso me conectar com amigos que também estão usando o Threads criam grupos e até enviam convites diretos para planejar datas de almoço É uma ótima maneira de permanecer conectado e coordenar passeios de almoço com facilidade</v>
      </c>
      <c r="J422" s="3"/>
      <c r="K422" s="3"/>
      <c r="L422" s="3"/>
      <c r="M422" s="3"/>
      <c r="N422" s="3"/>
      <c r="O422" s="3"/>
      <c r="P422" s="3"/>
      <c r="Q422" s="3"/>
      <c r="R422" s="3"/>
      <c r="S422" s="3"/>
      <c r="T422" s="3"/>
      <c r="U422" s="3"/>
      <c r="V422" s="3"/>
      <c r="W422" s="3"/>
      <c r="X422" s="3"/>
      <c r="Y422" s="3"/>
      <c r="Z422" s="3"/>
      <c r="AA422" s="3"/>
    </row>
    <row r="423" ht="105.75" customHeight="1">
      <c r="A423" s="4" t="s">
        <v>9</v>
      </c>
      <c r="B423" s="5" t="s">
        <v>431</v>
      </c>
      <c r="C423" s="4">
        <v>4.0</v>
      </c>
      <c r="D423" s="6">
        <v>45117.271898148145</v>
      </c>
      <c r="E423" s="7" t="str">
        <f t="shared" si="1"/>
        <v>2023-07-10</v>
      </c>
      <c r="F423" s="8" t="str">
        <f t="shared" si="2"/>
        <v> 06:31:32</v>
      </c>
      <c r="G423" s="9" t="str">
        <f t="shared" si="3"/>
        <v>Manhã</v>
      </c>
      <c r="H423" s="10" t="str">
        <f>IFERROR(__xludf.DUMMYFUNCTION("GOOGLETRANSLATE(B423, ""en"", ""pt-br"")"),"Uma coisa que este aplicativo é bom e é na hora de ver as últimas coisas mais do que o Twitter. Mas uma coisa me deixa irritada é que sempre que estou rolando e um vídeo aparece, eu sempre tenho que ativar o som e o próximo vídeo chega, ainda tenho que at"&amp;"ivar o som como se eu simplesmente não conseguisse parar de fazer isso. Então esse é o único problema que estou enfrentando com este aplicativo, por isso, se isso for corrigido pela próxima atualização, tenho certeza que vou colocar 5 estrelas nisso")</f>
        <v>Uma coisa que este aplicativo é bom e é na hora de ver as últimas coisas mais do que o Twitter. Mas uma coisa me deixa irritada é que sempre que estou rolando e um vídeo aparece, eu sempre tenho que ativar o som e o próximo vídeo chega, ainda tenho que ativar o som como se eu simplesmente não conseguisse parar de fazer isso. Então esse é o único problema que estou enfrentando com este aplicativo, por isso, se isso for corrigido pela próxima atualização, tenho certeza que vou colocar 5 estrelas nisso</v>
      </c>
      <c r="I423" s="10" t="str">
        <f>IFERROR(__xludf.DUMMYFUNCTION("TRIM(REGEXREPLACE(H423,""[^a-zA-ZÀ-ú ]+"",""""))"),"Uma coisa que este aplicativo é bom e é na hora de ver as últimas coisas mais do que o Twitter Mas uma coisa me deixa irritada é que sempre que estou rolando e um vídeo aparece eu sempre tenho que ativar o som e o próximo vídeo chega ainda tenho que ativa"&amp;"r o som como se eu simplesmente não conseguisse parar de fazer isso Então esse é o único problema que estou enfrentando com este aplicativo por isso se isso for corrigido pela próxima atualização tenho certeza que vou colocar estrelas nisso")</f>
        <v>Uma coisa que este aplicativo é bom e é na hora de ver as últimas coisas mais do que o Twitter Mas uma coisa me deixa irritada é que sempre que estou rolando e um vídeo aparece eu sempre tenho que ativar o som e o próximo vídeo chega ainda tenho que ativar o som como se eu simplesmente não conseguisse parar de fazer isso Então esse é o único problema que estou enfrentando com este aplicativo por isso se isso for corrigido pela próxima atualização tenho certeza que vou colocar estrelas nisso</v>
      </c>
      <c r="J423" s="3"/>
      <c r="K423" s="3"/>
      <c r="L423" s="3"/>
      <c r="M423" s="3"/>
      <c r="N423" s="3"/>
      <c r="O423" s="3"/>
      <c r="P423" s="3"/>
      <c r="Q423" s="3"/>
      <c r="R423" s="3"/>
      <c r="S423" s="3"/>
      <c r="T423" s="3"/>
      <c r="U423" s="3"/>
      <c r="V423" s="3"/>
      <c r="W423" s="3"/>
      <c r="X423" s="3"/>
      <c r="Y423" s="3"/>
      <c r="Z423" s="3"/>
      <c r="AA423" s="3"/>
    </row>
    <row r="424" ht="105.75" customHeight="1">
      <c r="A424" s="4" t="s">
        <v>9</v>
      </c>
      <c r="B424" s="5" t="s">
        <v>432</v>
      </c>
      <c r="C424" s="4">
        <v>4.0</v>
      </c>
      <c r="D424" s="6">
        <v>45116.189884259256</v>
      </c>
      <c r="E424" s="7" t="str">
        <f t="shared" si="1"/>
        <v>2023-07-09</v>
      </c>
      <c r="F424" s="8" t="str">
        <f t="shared" si="2"/>
        <v> 04:33:26</v>
      </c>
      <c r="G424" s="9" t="str">
        <f t="shared" si="3"/>
        <v>Manhã</v>
      </c>
      <c r="H424" s="10" t="str">
        <f>IFERROR(__xludf.DUMMYFUNCTION("GOOGLETRANSLATE(B424, ""en"", ""pt-br"")"),"Todo o resto está ok, mas quando você vai à galeria, você não tem opção para ir aos seus álbuns de fotos. Se eu tiver 500 fotos na minha galeria, tenho que percorrer todas as fotos da minha galeria para obter uma em particular. Eu acho que deve haver uma "&amp;"opção para obter acesso aos seus álbuns de fotos em anexo.")</f>
        <v>Todo o resto está ok, mas quando você vai à galeria, você não tem opção para ir aos seus álbuns de fotos. Se eu tiver 500 fotos na minha galeria, tenho que percorrer todas as fotos da minha galeria para obter uma em particular. Eu acho que deve haver uma opção para obter acesso aos seus álbuns de fotos em anexo.</v>
      </c>
      <c r="I424" s="10" t="str">
        <f>IFERROR(__xludf.DUMMYFUNCTION("TRIM(REGEXREPLACE(H424,""[^a-zA-ZÀ-ú ]+"",""""))"),"Todo o resto está ok mas quando você vai à galeria você não tem opção para ir aos seus álbuns de fotos Se eu tiver fotos na minha galeria tenho que percorrer todas as fotos da minha galeria para obter uma em particular Eu acho que deve haver uma opção par"&amp;"a obter acesso aos seus álbuns de fotos em anexo")</f>
        <v>Todo o resto está ok mas quando você vai à galeria você não tem opção para ir aos seus álbuns de fotos Se eu tiver fotos na minha galeria tenho que percorrer todas as fotos da minha galeria para obter uma em particular Eu acho que deve haver uma opção para obter acesso aos seus álbuns de fotos em anexo</v>
      </c>
      <c r="J424" s="3"/>
      <c r="K424" s="3"/>
      <c r="L424" s="3"/>
      <c r="M424" s="3"/>
      <c r="N424" s="3"/>
      <c r="O424" s="3"/>
      <c r="P424" s="3"/>
      <c r="Q424" s="3"/>
      <c r="R424" s="3"/>
      <c r="S424" s="3"/>
      <c r="T424" s="3"/>
      <c r="U424" s="3"/>
      <c r="V424" s="3"/>
      <c r="W424" s="3"/>
      <c r="X424" s="3"/>
      <c r="Y424" s="3"/>
      <c r="Z424" s="3"/>
      <c r="AA424" s="3"/>
    </row>
    <row r="425" ht="105.75" customHeight="1">
      <c r="A425" s="4" t="s">
        <v>9</v>
      </c>
      <c r="B425" s="5" t="s">
        <v>433</v>
      </c>
      <c r="C425" s="4">
        <v>2.0</v>
      </c>
      <c r="D425" s="6">
        <v>45118.22116898148</v>
      </c>
      <c r="E425" s="7" t="str">
        <f t="shared" si="1"/>
        <v>2023-07-11</v>
      </c>
      <c r="F425" s="8" t="str">
        <f t="shared" si="2"/>
        <v> 05:18:29</v>
      </c>
      <c r="G425" s="9" t="str">
        <f t="shared" si="3"/>
        <v>Manhã</v>
      </c>
      <c r="H425" s="10" t="str">
        <f>IFERROR(__xludf.DUMMYFUNCTION("GOOGLETRANSLATE(B425, ""en"", ""pt-br"")"),"Ainda estou aprendendo por que preciso do aplicativo e como posso fazê -lo funcionar para mim ... ainda não encontrei minha identidade ... no entanto ... às vezes, enquanto deixa um fio próprio ou comentando sobre outra pessoa ' , Serei aleatoriamente exp"&amp;"ulso, como se tivesse tocado o botão Minimize (o que não tenho) e ele saiu do post em que eu estava e limpei o que digitei. Na maioria das vezes, eu perdia completamente o post ... você pode imaginar o quão frustrante isso é! 10 de julho, tive que re-Type"&amp;" meu próprio tópico 4 vezes, enquanto ficava sendo expulso")</f>
        <v>Ainda estou aprendendo por que preciso do aplicativo e como posso fazê -lo funcionar para mim ... ainda não encontrei minha identidade ... no entanto ... às vezes, enquanto deixa um fio próprio ou comentando sobre outra pessoa ' , Serei aleatoriamente expulso, como se tivesse tocado o botão Minimize (o que não tenho) e ele saiu do post em que eu estava e limpei o que digitei. Na maioria das vezes, eu perdia completamente o post ... você pode imaginar o quão frustrante isso é! 10 de julho, tive que re-Type meu próprio tópico 4 vezes, enquanto ficava sendo expulso</v>
      </c>
      <c r="I425" s="10" t="str">
        <f>IFERROR(__xludf.DUMMYFUNCTION("TRIM(REGEXREPLACE(H425,""[^a-zA-ZÀ-ú ]+"",""""))"),"Ainda estou aprendendo por que preciso do aplicativo e como posso fazê lo funcionar para mim ainda não encontrei minha identidade no entanto às vezes enquanto deixa um fio próprio ou comentando sobre outra pessoa Serei aleatoriamente expulso como se tives"&amp;"se tocado o botão Minimize o que não tenho e ele saiu do post em que eu estava e limpei o que digitei Na maioria das vezes eu perdia completamente o post você pode imaginar o quão frustrante isso é de julho tive que reType meu próprio tópico vezes enquant"&amp;"o ficava sendo expulso")</f>
        <v>Ainda estou aprendendo por que preciso do aplicativo e como posso fazê lo funcionar para mim ainda não encontrei minha identidade no entanto às vezes enquanto deixa um fio próprio ou comentando sobre outra pessoa Serei aleatoriamente expulso como se tivesse tocado o botão Minimize o que não tenho e ele saiu do post em que eu estava e limpei o que digitei Na maioria das vezes eu perdia completamente o post você pode imaginar o quão frustrante isso é de julho tive que reType meu próprio tópico vezes enquanto ficava sendo expulso</v>
      </c>
      <c r="J425" s="3"/>
      <c r="K425" s="3"/>
      <c r="L425" s="3"/>
      <c r="M425" s="3"/>
      <c r="N425" s="3"/>
      <c r="O425" s="3"/>
      <c r="P425" s="3"/>
      <c r="Q425" s="3"/>
      <c r="R425" s="3"/>
      <c r="S425" s="3"/>
      <c r="T425" s="3"/>
      <c r="U425" s="3"/>
      <c r="V425" s="3"/>
      <c r="W425" s="3"/>
      <c r="X425" s="3"/>
      <c r="Y425" s="3"/>
      <c r="Z425" s="3"/>
      <c r="AA425" s="3"/>
    </row>
    <row r="426" ht="105.75" customHeight="1">
      <c r="A426" s="4" t="s">
        <v>9</v>
      </c>
      <c r="B426" s="5" t="s">
        <v>434</v>
      </c>
      <c r="C426" s="4">
        <v>4.0</v>
      </c>
      <c r="D426" s="6">
        <v>45113.682280092595</v>
      </c>
      <c r="E426" s="7" t="str">
        <f t="shared" si="1"/>
        <v>2023-07-06</v>
      </c>
      <c r="F426" s="8" t="str">
        <f t="shared" si="2"/>
        <v> 16:22:29</v>
      </c>
      <c r="G426" s="9" t="str">
        <f t="shared" si="3"/>
        <v>Tarde</v>
      </c>
      <c r="H426" s="10" t="str">
        <f>IFERROR(__xludf.DUMMYFUNCTION("GOOGLETRANSLATE(B426, ""en"", ""pt-br"")"),"Quero meu vídeo silenciado por razões privadas e espero Recurso durante a rolagem, o botão MUTE/UNMUTE é apenas o meu problema. Então, eu avalio 4/5, até agora, é bom que parece uma nova casa, um novo espaço para respirar, novas pessoas para conhecer, a I"&amp;"nternet se sente nova novamente. Obrigado Instagram! Obrigado Meta!")</f>
        <v>Quero meu vídeo silenciado por razões privadas e espero Recurso durante a rolagem, o botão MUTE/UNMUTE é apenas o meu problema. Então, eu avalio 4/5, até agora, é bom que parece uma nova casa, um novo espaço para respirar, novas pessoas para conhecer, a Internet se sente nova novamente. Obrigado Instagram! Obrigado Meta!</v>
      </c>
      <c r="I426" s="10" t="str">
        <f>IFERROR(__xludf.DUMMYFUNCTION("TRIM(REGEXREPLACE(H426,""[^a-zA-ZÀ-ú ]+"",""""))"),"Quero meu vídeo silenciado por razões privadas e espero Recurso durante a rolagem o botão MUTEUNMUTE é apenas o meu problema Então eu avalio até agora é bom que parece uma nova casa um novo espaço para respirar novas pessoas para conhecer a Internet se se"&amp;"nte nova novamente Obrigado Instagram Obrigado Meta")</f>
        <v>Quero meu vídeo silenciado por razões privadas e espero Recurso durante a rolagem o botão MUTEUNMUTE é apenas o meu problema Então eu avalio até agora é bom que parece uma nova casa um novo espaço para respirar novas pessoas para conhecer a Internet se sente nova novamente Obrigado Instagram Obrigado Meta</v>
      </c>
      <c r="J426" s="3"/>
      <c r="K426" s="3"/>
      <c r="L426" s="3"/>
      <c r="M426" s="3"/>
      <c r="N426" s="3"/>
      <c r="O426" s="3"/>
      <c r="P426" s="3"/>
      <c r="Q426" s="3"/>
      <c r="R426" s="3"/>
      <c r="S426" s="3"/>
      <c r="T426" s="3"/>
      <c r="U426" s="3"/>
      <c r="V426" s="3"/>
      <c r="W426" s="3"/>
      <c r="X426" s="3"/>
      <c r="Y426" s="3"/>
      <c r="Z426" s="3"/>
      <c r="AA426" s="3"/>
    </row>
    <row r="427" ht="105.75" customHeight="1">
      <c r="A427" s="4" t="s">
        <v>9</v>
      </c>
      <c r="B427" s="5" t="s">
        <v>435</v>
      </c>
      <c r="C427" s="4">
        <v>2.0</v>
      </c>
      <c r="D427" s="6">
        <v>45125.27229166667</v>
      </c>
      <c r="E427" s="7" t="str">
        <f t="shared" si="1"/>
        <v>2023-07-18</v>
      </c>
      <c r="F427" s="8" t="str">
        <f t="shared" si="2"/>
        <v> 06:32:06</v>
      </c>
      <c r="G427" s="9" t="str">
        <f t="shared" si="3"/>
        <v>Manhã</v>
      </c>
      <c r="H427" s="10" t="str">
        <f>IFERROR(__xludf.DUMMYFUNCTION("GOOGLETRANSLATE(B427, ""en"", ""pt-br"")"),"Eu não estou impressionado. O aplicativo deveria ter sido separado do IG. Qualquer restrição a um nunca deve afetar o outro. Novamente, toda a idéia de não ter acesso à lista de seguidores em algum momento é irritante. Podemos ter uma guia para seguir em "&amp;"massa a todos que não estão seguindo de volta. Preciso que minha linha de tempo seja preenchida com conteúdo que eu escolho ver entre os seguidores. Isso também trava muito.")</f>
        <v>Eu não estou impressionado. O aplicativo deveria ter sido separado do IG. Qualquer restrição a um nunca deve afetar o outro. Novamente, toda a idéia de não ter acesso à lista de seguidores em algum momento é irritante. Podemos ter uma guia para seguir em massa a todos que não estão seguindo de volta. Preciso que minha linha de tempo seja preenchida com conteúdo que eu escolho ver entre os seguidores. Isso também trava muito.</v>
      </c>
      <c r="I427" s="10" t="str">
        <f>IFERROR(__xludf.DUMMYFUNCTION("TRIM(REGEXREPLACE(H427,""[^a-zA-ZÀ-ú ]+"",""""))"),"Eu não estou impressionado O aplicativo deveria ter sido separado do IG Qualquer restrição a um nunca deve afetar o outro Novamente toda a idéia de não ter acesso à lista de seguidores em algum momento é irritante Podemos ter uma guia para seguir em massa"&amp;" a todos que não estão seguindo de volta Preciso que minha linha de tempo seja preenchida com conteúdo que eu escolho ver entre os seguidores Isso também trava muito")</f>
        <v>Eu não estou impressionado O aplicativo deveria ter sido separado do IG Qualquer restrição a um nunca deve afetar o outro Novamente toda a idéia de não ter acesso à lista de seguidores em algum momento é irritante Podemos ter uma guia para seguir em massa a todos que não estão seguindo de volta Preciso que minha linha de tempo seja preenchida com conteúdo que eu escolho ver entre os seguidores Isso também trava muito</v>
      </c>
      <c r="J427" s="3"/>
      <c r="K427" s="3"/>
      <c r="L427" s="3"/>
      <c r="M427" s="3"/>
      <c r="N427" s="3"/>
      <c r="O427" s="3"/>
      <c r="P427" s="3"/>
      <c r="Q427" s="3"/>
      <c r="R427" s="3"/>
      <c r="S427" s="3"/>
      <c r="T427" s="3"/>
      <c r="U427" s="3"/>
      <c r="V427" s="3"/>
      <c r="W427" s="3"/>
      <c r="X427" s="3"/>
      <c r="Y427" s="3"/>
      <c r="Z427" s="3"/>
      <c r="AA427" s="3"/>
    </row>
    <row r="428" ht="105.75" customHeight="1">
      <c r="A428" s="4" t="s">
        <v>9</v>
      </c>
      <c r="B428" s="5" t="s">
        <v>436</v>
      </c>
      <c r="C428" s="4">
        <v>5.0</v>
      </c>
      <c r="D428" s="6">
        <v>45113.72336805556</v>
      </c>
      <c r="E428" s="7" t="str">
        <f t="shared" si="1"/>
        <v>2023-07-06</v>
      </c>
      <c r="F428" s="8" t="str">
        <f t="shared" si="2"/>
        <v> 17:21:39</v>
      </c>
      <c r="G428" s="9" t="str">
        <f t="shared" si="3"/>
        <v>Tarde</v>
      </c>
      <c r="H428" s="10" t="str">
        <f>IFERROR(__xludf.DUMMYFUNCTION("GOOGLETRANSLATE(B428, ""en"", ""pt-br"")"),"Definitivamente, ainda desfrutando dessa experiência de baixo estresse e baixa drama no dia 2. Tem espaço para crescer e melhorar, e um lançamento de novos recursos ajudará a reter usuários, mas para algo em sua infância, é ótimo.")</f>
        <v>Definitivamente, ainda desfrutando dessa experiência de baixo estresse e baixa drama no dia 2. Tem espaço para crescer e melhorar, e um lançamento de novos recursos ajudará a reter usuários, mas para algo em sua infância, é ótimo.</v>
      </c>
      <c r="I428" s="10" t="str">
        <f>IFERROR(__xludf.DUMMYFUNCTION("TRIM(REGEXREPLACE(H428,""[^a-zA-ZÀ-ú ]+"",""""))"),"Definitivamente ainda desfrutando dessa experiência de baixo estresse e baixa drama no dia Tem espaço para crescer e melhorar e um lançamento de novos recursos ajudará a reter usuários mas para algo em sua infância é ótimo")</f>
        <v>Definitivamente ainda desfrutando dessa experiência de baixo estresse e baixa drama no dia Tem espaço para crescer e melhorar e um lançamento de novos recursos ajudará a reter usuários mas para algo em sua infância é ótimo</v>
      </c>
      <c r="J428" s="3"/>
      <c r="K428" s="3"/>
      <c r="L428" s="3"/>
      <c r="M428" s="3"/>
      <c r="N428" s="3"/>
      <c r="O428" s="3"/>
      <c r="P428" s="3"/>
      <c r="Q428" s="3"/>
      <c r="R428" s="3"/>
      <c r="S428" s="3"/>
      <c r="T428" s="3"/>
      <c r="U428" s="3"/>
      <c r="V428" s="3"/>
      <c r="W428" s="3"/>
      <c r="X428" s="3"/>
      <c r="Y428" s="3"/>
      <c r="Z428" s="3"/>
      <c r="AA428" s="3"/>
    </row>
    <row r="429" ht="105.75" customHeight="1">
      <c r="A429" s="4" t="s">
        <v>9</v>
      </c>
      <c r="B429" s="5" t="s">
        <v>437</v>
      </c>
      <c r="C429" s="4">
        <v>3.0</v>
      </c>
      <c r="D429" s="6">
        <v>45114.6234375</v>
      </c>
      <c r="E429" s="7" t="str">
        <f t="shared" si="1"/>
        <v>2023-07-07</v>
      </c>
      <c r="F429" s="8" t="str">
        <f t="shared" si="2"/>
        <v> 14:57:45</v>
      </c>
      <c r="G429" s="9" t="str">
        <f t="shared" si="3"/>
        <v>Tarde</v>
      </c>
      <c r="H429" s="10" t="str">
        <f>IFERROR(__xludf.DUMMYFUNCTION("GOOGLETRANSLATE(B429, ""en"", ""pt-br"")"),"Tudo bem. Mas espero que tenha a opção de simplesmente mudar de conta. Assim como no IG, onde eu posso apenas tocar duas vezes no ícone do perfil, ele alterna. Nos threads, preciso fazer o logout primeiro e depois alternar a conta, o que é bastante frustr"&amp;"ante.")</f>
        <v>Tudo bem. Mas espero que tenha a opção de simplesmente mudar de conta. Assim como no IG, onde eu posso apenas tocar duas vezes no ícone do perfil, ele alterna. Nos threads, preciso fazer o logout primeiro e depois alternar a conta, o que é bastante frustrante.</v>
      </c>
      <c r="I429" s="10" t="str">
        <f>IFERROR(__xludf.DUMMYFUNCTION("TRIM(REGEXREPLACE(H429,""[^a-zA-ZÀ-ú ]+"",""""))"),"Tudo bem Mas espero que tenha a opção de simplesmente mudar de conta Assim como no IG onde eu posso apenas tocar duas vezes no ícone do perfil ele alterna Nos threads preciso fazer o logout primeiro e depois alternar a conta o que é bastante frustrante")</f>
        <v>Tudo bem Mas espero que tenha a opção de simplesmente mudar de conta Assim como no IG onde eu posso apenas tocar duas vezes no ícone do perfil ele alterna Nos threads preciso fazer o logout primeiro e depois alternar a conta o que é bastante frustrante</v>
      </c>
      <c r="J429" s="3"/>
      <c r="K429" s="3"/>
      <c r="L429" s="3"/>
      <c r="M429" s="3"/>
      <c r="N429" s="3"/>
      <c r="O429" s="3"/>
      <c r="P429" s="3"/>
      <c r="Q429" s="3"/>
      <c r="R429" s="3"/>
      <c r="S429" s="3"/>
      <c r="T429" s="3"/>
      <c r="U429" s="3"/>
      <c r="V429" s="3"/>
      <c r="W429" s="3"/>
      <c r="X429" s="3"/>
      <c r="Y429" s="3"/>
      <c r="Z429" s="3"/>
      <c r="AA429" s="3"/>
    </row>
    <row r="430" ht="105.75" customHeight="1">
      <c r="A430" s="4" t="s">
        <v>9</v>
      </c>
      <c r="B430" s="5" t="s">
        <v>438</v>
      </c>
      <c r="C430" s="4">
        <v>4.0</v>
      </c>
      <c r="D430" s="6">
        <v>45114.503125</v>
      </c>
      <c r="E430" s="7" t="str">
        <f t="shared" si="1"/>
        <v>2023-07-07</v>
      </c>
      <c r="F430" s="8" t="str">
        <f t="shared" si="2"/>
        <v> 12:04:30</v>
      </c>
      <c r="G430" s="9" t="str">
        <f t="shared" si="3"/>
        <v>Tarde</v>
      </c>
      <c r="H430" s="10" t="str">
        <f>IFERROR(__xludf.DUMMYFUNCTION("GOOGLETRANSLATE(B430, ""en"", ""pt-br"")"),"Eu gosto do aplicativo, no entanto, existem algumas falhas e recomendações que tenho. Por um lado, a função de resposta parece ser mecânica, de vez em quando a força desliga o aplicativo quando estou tentando responder a uma postagem (um tópico?). Outra r"&amp;"ecomendação é a descoberta, eu adoraria uma guia onde você pode descobrir novas pessoas e o que eles estão dizendo. Como uma comunidade ou página de descoberta, também uma guia de tendências com notícias e os tipos aumentariam o envolvimento.")</f>
        <v>Eu gosto do aplicativo, no entanto, existem algumas falhas e recomendações que tenho. Por um lado, a função de resposta parece ser mecânica, de vez em quando a força desliga o aplicativo quando estou tentando responder a uma postagem (um tópico?). Outra recomendação é a descoberta, eu adoraria uma guia onde você pode descobrir novas pessoas e o que eles estão dizendo. Como uma comunidade ou página de descoberta, também uma guia de tendências com notícias e os tipos aumentariam o envolvimento.</v>
      </c>
      <c r="I430" s="10" t="str">
        <f>IFERROR(__xludf.DUMMYFUNCTION("TRIM(REGEXREPLACE(H430,""[^a-zA-ZÀ-ú ]+"",""""))"),"Eu gosto do aplicativo no entanto existem algumas falhas e recomendações que tenho Por um lado a função de resposta parece ser mecânica de vez em quando a força desliga o aplicativo quando estou tentando responder a uma postagem um tópico Outra recomendaç"&amp;"ão é a descoberta eu adoraria uma guia onde você pode descobrir novas pessoas e o que eles estão dizendo Como uma comunidade ou página de descoberta também uma guia de tendências com notícias e os tipos aumentariam o envolvimento")</f>
        <v>Eu gosto do aplicativo no entanto existem algumas falhas e recomendações que tenho Por um lado a função de resposta parece ser mecânica de vez em quando a força desliga o aplicativo quando estou tentando responder a uma postagem um tópico Outra recomendação é a descoberta eu adoraria uma guia onde você pode descobrir novas pessoas e o que eles estão dizendo Como uma comunidade ou página de descoberta também uma guia de tendências com notícias e os tipos aumentariam o envolvimento</v>
      </c>
      <c r="J430" s="3"/>
      <c r="K430" s="3"/>
      <c r="L430" s="3"/>
      <c r="M430" s="3"/>
      <c r="N430" s="3"/>
      <c r="O430" s="3"/>
      <c r="P430" s="3"/>
      <c r="Q430" s="3"/>
      <c r="R430" s="3"/>
      <c r="S430" s="3"/>
      <c r="T430" s="3"/>
      <c r="U430" s="3"/>
      <c r="V430" s="3"/>
      <c r="W430" s="3"/>
      <c r="X430" s="3"/>
      <c r="Y430" s="3"/>
      <c r="Z430" s="3"/>
      <c r="AA430" s="3"/>
    </row>
    <row r="431" ht="105.75" customHeight="1">
      <c r="A431" s="4" t="s">
        <v>9</v>
      </c>
      <c r="B431" s="5" t="s">
        <v>439</v>
      </c>
      <c r="C431" s="4">
        <v>3.0</v>
      </c>
      <c r="D431" s="6">
        <v>45114.670266203706</v>
      </c>
      <c r="E431" s="7" t="str">
        <f t="shared" si="1"/>
        <v>2023-07-07</v>
      </c>
      <c r="F431" s="8" t="str">
        <f t="shared" si="2"/>
        <v> 16:05:11</v>
      </c>
      <c r="G431" s="9" t="str">
        <f t="shared" si="3"/>
        <v>Tarde</v>
      </c>
      <c r="H431" s="10" t="str">
        <f>IFERROR(__xludf.DUMMYFUNCTION("GOOGLETRANSLATE(B431, ""en"", ""pt-br"")"),"Espero que possamos alterar o nome/nome de usuário sem sincronizar no Instagram. A menos que haja razões por trás disso, tudo bem. Além disso, minha foto de perfil não aparece por algum motivo.")</f>
        <v>Espero que possamos alterar o nome/nome de usuário sem sincronizar no Instagram. A menos que haja razões por trás disso, tudo bem. Além disso, minha foto de perfil não aparece por algum motivo.</v>
      </c>
      <c r="I431" s="10" t="str">
        <f>IFERROR(__xludf.DUMMYFUNCTION("TRIM(REGEXREPLACE(H431,""[^a-zA-ZÀ-ú ]+"",""""))"),"Espero que possamos alterar o nomenome de usuário sem sincronizar no Instagram A menos que haja razões por trás disso tudo bem Além disso minha foto de perfil não aparece por algum motivo")</f>
        <v>Espero que possamos alterar o nomenome de usuário sem sincronizar no Instagram A menos que haja razões por trás disso tudo bem Além disso minha foto de perfil não aparece por algum motivo</v>
      </c>
      <c r="J431" s="3"/>
      <c r="K431" s="3"/>
      <c r="L431" s="3"/>
      <c r="M431" s="3"/>
      <c r="N431" s="3"/>
      <c r="O431" s="3"/>
      <c r="P431" s="3"/>
      <c r="Q431" s="3"/>
      <c r="R431" s="3"/>
      <c r="S431" s="3"/>
      <c r="T431" s="3"/>
      <c r="U431" s="3"/>
      <c r="V431" s="3"/>
      <c r="W431" s="3"/>
      <c r="X431" s="3"/>
      <c r="Y431" s="3"/>
      <c r="Z431" s="3"/>
      <c r="AA431" s="3"/>
    </row>
    <row r="432" ht="105.75" customHeight="1">
      <c r="A432" s="4" t="s">
        <v>9</v>
      </c>
      <c r="B432" s="5" t="s">
        <v>440</v>
      </c>
      <c r="C432" s="4">
        <v>2.0</v>
      </c>
      <c r="D432" s="6">
        <v>45118.665034722224</v>
      </c>
      <c r="E432" s="7" t="str">
        <f t="shared" si="1"/>
        <v>2023-07-11</v>
      </c>
      <c r="F432" s="8" t="str">
        <f t="shared" si="2"/>
        <v> 15:57:39</v>
      </c>
      <c r="G432" s="9" t="str">
        <f t="shared" si="3"/>
        <v>Tarde</v>
      </c>
      <c r="H432" s="10" t="str">
        <f>IFERROR(__xludf.DUMMYFUNCTION("GOOGLETRANSLATE(B432, ""en"", ""pt-br"")"),"Ótimo aplicativo ... mas algumas coisas precisam consertar. O aplicativo trava sempre que tento fazer upload de uma foto, provavelmente 10 MB ou mais. Além disso, a alimentação bastante desorganizada. Além desse ótimo aplicativo e competição para o Twitte"&amp;"r")</f>
        <v>Ótimo aplicativo ... mas algumas coisas precisam consertar. O aplicativo trava sempre que tento fazer upload de uma foto, provavelmente 10 MB ou mais. Além disso, a alimentação bastante desorganizada. Além desse ótimo aplicativo e competição para o Twitter</v>
      </c>
      <c r="I432" s="10" t="str">
        <f>IFERROR(__xludf.DUMMYFUNCTION("TRIM(REGEXREPLACE(H432,""[^a-zA-ZÀ-ú ]+"",""""))"),"Ótimo aplicativo mas algumas coisas precisam consertar O aplicativo trava sempre que tento fazer upload de uma foto provavelmente MB ou mais Além disso a alimentação bastante desorganizada Além desse ótimo aplicativo e competição para o Twitter")</f>
        <v>Ótimo aplicativo mas algumas coisas precisam consertar O aplicativo trava sempre que tento fazer upload de uma foto provavelmente MB ou mais Além disso a alimentação bastante desorganizada Além desse ótimo aplicativo e competição para o Twitter</v>
      </c>
      <c r="J432" s="3"/>
      <c r="K432" s="3"/>
      <c r="L432" s="3"/>
      <c r="M432" s="3"/>
      <c r="N432" s="3"/>
      <c r="O432" s="3"/>
      <c r="P432" s="3"/>
      <c r="Q432" s="3"/>
      <c r="R432" s="3"/>
      <c r="S432" s="3"/>
      <c r="T432" s="3"/>
      <c r="U432" s="3"/>
      <c r="V432" s="3"/>
      <c r="W432" s="3"/>
      <c r="X432" s="3"/>
      <c r="Y432" s="3"/>
      <c r="Z432" s="3"/>
      <c r="AA432" s="3"/>
    </row>
    <row r="433" ht="105.75" customHeight="1">
      <c r="A433" s="4" t="s">
        <v>9</v>
      </c>
      <c r="B433" s="5" t="s">
        <v>441</v>
      </c>
      <c r="C433" s="4">
        <v>5.0</v>
      </c>
      <c r="D433" s="6">
        <v>45121.91113425926</v>
      </c>
      <c r="E433" s="7" t="str">
        <f t="shared" si="1"/>
        <v>2023-07-14</v>
      </c>
      <c r="F433" s="8" t="str">
        <f t="shared" si="2"/>
        <v> 21:52:02</v>
      </c>
      <c r="G433" s="9" t="str">
        <f t="shared" si="3"/>
        <v>Noite</v>
      </c>
      <c r="H433" s="10" t="str">
        <f>IFERROR(__xludf.DUMMYFUNCTION("GOOGLETRANSLATE(B433, ""en"", ""pt-br"")"),"Gosto da simplicidade e do foco na conversa. Além disso, ainda não há anúncios, e é por isso que recebo 5 estrelas. Não há organização clara de tópicos. Eu gosto da apresentação de fotos do Panorama também, é escorregadia. Os tópicos não podem receber cré"&amp;"dito pela qualidade dos usuários, mas estou gostando das pessoas agradáveis ​​e gentis que vejo lá.")</f>
        <v>Gosto da simplicidade e do foco na conversa. Além disso, ainda não há anúncios, e é por isso que recebo 5 estrelas. Não há organização clara de tópicos. Eu gosto da apresentação de fotos do Panorama também, é escorregadia. Os tópicos não podem receber crédito pela qualidade dos usuários, mas estou gostando das pessoas agradáveis ​​e gentis que vejo lá.</v>
      </c>
      <c r="I433" s="10" t="str">
        <f>IFERROR(__xludf.DUMMYFUNCTION("TRIM(REGEXREPLACE(H433,""[^a-zA-ZÀ-ú ]+"",""""))"),"Gosto da simplicidade e do foco na conversa Além disso ainda não há anúncios e é por isso que recebo estrelas Não há organização clara de tópicos Eu gosto da apresentação de fotos do Panorama também é escorregadia Os tópicos não podem receber crédito pela"&amp;" qualidade dos usuários mas estou gostando das pessoas agradáveis e gentis que vejo lá")</f>
        <v>Gosto da simplicidade e do foco na conversa Além disso ainda não há anúncios e é por isso que recebo estrelas Não há organização clara de tópicos Eu gosto da apresentação de fotos do Panorama também é escorregadia Os tópicos não podem receber crédito pela qualidade dos usuários mas estou gostando das pessoas agradáveis e gentis que vejo lá</v>
      </c>
      <c r="J433" s="3"/>
      <c r="K433" s="3"/>
      <c r="L433" s="3"/>
      <c r="M433" s="3"/>
      <c r="N433" s="3"/>
      <c r="O433" s="3"/>
      <c r="P433" s="3"/>
      <c r="Q433" s="3"/>
      <c r="R433" s="3"/>
      <c r="S433" s="3"/>
      <c r="T433" s="3"/>
      <c r="U433" s="3"/>
      <c r="V433" s="3"/>
      <c r="W433" s="3"/>
      <c r="X433" s="3"/>
      <c r="Y433" s="3"/>
      <c r="Z433" s="3"/>
      <c r="AA433" s="3"/>
    </row>
    <row r="434" ht="105.75" customHeight="1">
      <c r="A434" s="4" t="s">
        <v>9</v>
      </c>
      <c r="B434" s="5" t="s">
        <v>442</v>
      </c>
      <c r="C434" s="4">
        <v>3.0</v>
      </c>
      <c r="D434" s="6">
        <v>45114.25913194445</v>
      </c>
      <c r="E434" s="7" t="str">
        <f t="shared" si="1"/>
        <v>2023-07-07</v>
      </c>
      <c r="F434" s="8" t="str">
        <f t="shared" si="2"/>
        <v> 06:13:09</v>
      </c>
      <c r="G434" s="9" t="str">
        <f t="shared" si="3"/>
        <v>Manhã</v>
      </c>
      <c r="H434" s="10" t="str">
        <f>IFERROR(__xludf.DUMMYFUNCTION("GOOGLETRANSLATE(B434, ""en"", ""pt-br"")"),"Bom aplicativo. Mas quando tento carregar uma imagem no rascunho dos meus threads, o aplicativo é desligado. Quero dizer, ele fecha 🤷‍♀️ Tentado como mais 20 vezes, mas depois de selecionar uma imagem e clico em concluído, o aplicativo fecha. Isso é assu"&amp;"stador, porque perdi rascunhos de escrita dura por causa disso.")</f>
        <v>Bom aplicativo. Mas quando tento carregar uma imagem no rascunho dos meus threads, o aplicativo é desligado. Quero dizer, ele fecha 🤷‍♀️ Tentado como mais 20 vezes, mas depois de selecionar uma imagem e clico em concluído, o aplicativo fecha. Isso é assustador, porque perdi rascunhos de escrita dura por causa disso.</v>
      </c>
      <c r="I434" s="10" t="str">
        <f>IFERROR(__xludf.DUMMYFUNCTION("TRIM(REGEXREPLACE(H434,""[^a-zA-ZÀ-ú ]+"",""""))"),"Bom aplicativo Mas quando tento carregar uma imagem no rascunho dos meus threads o aplicativo é desligado Quero dizer ele fecha Tentado como mais vezes mas depois de selecionar uma imagem e clico em concluído o aplicativo fecha Isso é assustador porque pe"&amp;"rdi rascunhos de escrita dura por causa disso")</f>
        <v>Bom aplicativo Mas quando tento carregar uma imagem no rascunho dos meus threads o aplicativo é desligado Quero dizer ele fecha Tentado como mais vezes mas depois de selecionar uma imagem e clico em concluído o aplicativo fecha Isso é assustador porque perdi rascunhos de escrita dura por causa disso</v>
      </c>
      <c r="J434" s="3"/>
      <c r="K434" s="3"/>
      <c r="L434" s="3"/>
      <c r="M434" s="3"/>
      <c r="N434" s="3"/>
      <c r="O434" s="3"/>
      <c r="P434" s="3"/>
      <c r="Q434" s="3"/>
      <c r="R434" s="3"/>
      <c r="S434" s="3"/>
      <c r="T434" s="3"/>
      <c r="U434" s="3"/>
      <c r="V434" s="3"/>
      <c r="W434" s="3"/>
      <c r="X434" s="3"/>
      <c r="Y434" s="3"/>
      <c r="Z434" s="3"/>
      <c r="AA434" s="3"/>
    </row>
    <row r="435" ht="105.75" customHeight="1">
      <c r="A435" s="4" t="s">
        <v>9</v>
      </c>
      <c r="B435" s="5" t="s">
        <v>443</v>
      </c>
      <c r="C435" s="4">
        <v>3.0</v>
      </c>
      <c r="D435" s="6">
        <v>45114.54684027778</v>
      </c>
      <c r="E435" s="7" t="str">
        <f t="shared" si="1"/>
        <v>2023-07-07</v>
      </c>
      <c r="F435" s="8" t="str">
        <f t="shared" si="2"/>
        <v> 13:07:27</v>
      </c>
      <c r="G435" s="9" t="str">
        <f t="shared" si="3"/>
        <v>Tarde</v>
      </c>
      <c r="H435" s="10" t="str">
        <f>IFERROR(__xludf.DUMMYFUNCTION("GOOGLETRANSLATE(B435, ""en"", ""pt-br"")"),"Eu costumava ser usuário há alguns meses e isso era como o Messenger. Quando eu baixei isso novamente hoje, esperava que eles tivessem salvado a opção de mensagens. É um bom aplicativo para a rivalidade, mas eu não esperava que eles remontassem completame"&amp;"nte a originalidade do aplicativo. Espero que as atualizações futuras deste aplicativo consistam uma mistura dos threads antigos e a nova para que possamos dM as pessoas com essa nova atualização doente. Até então, usarei a versão antiga deste aplicativo "&amp;"apenas para o meu DMS LOL.")</f>
        <v>Eu costumava ser usuário há alguns meses e isso era como o Messenger. Quando eu baixei isso novamente hoje, esperava que eles tivessem salvado a opção de mensagens. É um bom aplicativo para a rivalidade, mas eu não esperava que eles remontassem completamente a originalidade do aplicativo. Espero que as atualizações futuras deste aplicativo consistam uma mistura dos threads antigos e a nova para que possamos dM as pessoas com essa nova atualização doente. Até então, usarei a versão antiga deste aplicativo apenas para o meu DMS LOL.</v>
      </c>
      <c r="I435" s="10" t="str">
        <f>IFERROR(__xludf.DUMMYFUNCTION("TRIM(REGEXREPLACE(H435,""[^a-zA-ZÀ-ú ]+"",""""))"),"Eu costumava ser usuário há alguns meses e isso era como o Messenger Quando eu baixei isso novamente hoje esperava que eles tivessem salvado a opção de mensagens É um bom aplicativo para a rivalidade mas eu não esperava que eles remontassem completamente "&amp;"a originalidade do aplicativo Espero que as atualizações futuras deste aplicativo consistam uma mistura dos threads antigos e a nova para que possamos dM as pessoas com essa nova atualização doente Até então usarei a versão antiga deste aplicativo apenas "&amp;"para o meu DMS LOL")</f>
        <v>Eu costumava ser usuário há alguns meses e isso era como o Messenger Quando eu baixei isso novamente hoje esperava que eles tivessem salvado a opção de mensagens É um bom aplicativo para a rivalidade mas eu não esperava que eles remontassem completamente a originalidade do aplicativo Espero que as atualizações futuras deste aplicativo consistam uma mistura dos threads antigos e a nova para que possamos dM as pessoas com essa nova atualização doente Até então usarei a versão antiga deste aplicativo apenas para o meu DMS LOL</v>
      </c>
      <c r="J435" s="3"/>
      <c r="K435" s="3"/>
      <c r="L435" s="3"/>
      <c r="M435" s="3"/>
      <c r="N435" s="3"/>
      <c r="O435" s="3"/>
      <c r="P435" s="3"/>
      <c r="Q435" s="3"/>
      <c r="R435" s="3"/>
      <c r="S435" s="3"/>
      <c r="T435" s="3"/>
      <c r="U435" s="3"/>
      <c r="V435" s="3"/>
      <c r="W435" s="3"/>
      <c r="X435" s="3"/>
      <c r="Y435" s="3"/>
      <c r="Z435" s="3"/>
      <c r="AA435" s="3"/>
    </row>
    <row r="436" ht="105.75" customHeight="1">
      <c r="A436" s="4" t="s">
        <v>9</v>
      </c>
      <c r="B436" s="5" t="s">
        <v>444</v>
      </c>
      <c r="C436" s="4">
        <v>2.0</v>
      </c>
      <c r="D436" s="6">
        <v>45114.36038194445</v>
      </c>
      <c r="E436" s="7" t="str">
        <f t="shared" si="1"/>
        <v>2023-07-07</v>
      </c>
      <c r="F436" s="8" t="str">
        <f t="shared" si="2"/>
        <v> 08:38:57</v>
      </c>
      <c r="G436" s="9" t="str">
        <f t="shared" si="3"/>
        <v>Manhã</v>
      </c>
      <c r="H436" s="10" t="str">
        <f>IFERROR(__xludf.DUMMYFUNCTION("GOOGLETRANSLATE(B436, ""en"", ""pt-br"")"),"Ao digitar uma postagem ou responder, a força do aplicativo fecha sem mensagem de erro. E quando faz isso, não tem memória temporária para começar de onde você parou. Bastante confuso se você planeja postar em vez de rolar")</f>
        <v>Ao digitar uma postagem ou responder, a força do aplicativo fecha sem mensagem de erro. E quando faz isso, não tem memória temporária para começar de onde você parou. Bastante confuso se você planeja postar em vez de rolar</v>
      </c>
      <c r="I436" s="10" t="str">
        <f>IFERROR(__xludf.DUMMYFUNCTION("TRIM(REGEXREPLACE(H436,""[^a-zA-ZÀ-ú ]+"",""""))"),"Ao digitar uma postagem ou responder a força do aplicativo fecha sem mensagem de erro E quando faz isso não tem memória temporária para começar de onde você parou Bastante confuso se você planeja postar em vez de rolar")</f>
        <v>Ao digitar uma postagem ou responder a força do aplicativo fecha sem mensagem de erro E quando faz isso não tem memória temporária para começar de onde você parou Bastante confuso se você planeja postar em vez de rolar</v>
      </c>
      <c r="J436" s="3"/>
      <c r="K436" s="3"/>
      <c r="L436" s="3"/>
      <c r="M436" s="3"/>
      <c r="N436" s="3"/>
      <c r="O436" s="3"/>
      <c r="P436" s="3"/>
      <c r="Q436" s="3"/>
      <c r="R436" s="3"/>
      <c r="S436" s="3"/>
      <c r="T436" s="3"/>
      <c r="U436" s="3"/>
      <c r="V436" s="3"/>
      <c r="W436" s="3"/>
      <c r="X436" s="3"/>
      <c r="Y436" s="3"/>
      <c r="Z436" s="3"/>
      <c r="AA436" s="3"/>
    </row>
    <row r="437" ht="105.75" customHeight="1">
      <c r="A437" s="4" t="s">
        <v>9</v>
      </c>
      <c r="B437" s="5" t="s">
        <v>445</v>
      </c>
      <c r="C437" s="4">
        <v>2.0</v>
      </c>
      <c r="D437" s="6">
        <v>45131.12155092593</v>
      </c>
      <c r="E437" s="7" t="str">
        <f t="shared" si="1"/>
        <v>2023-07-24</v>
      </c>
      <c r="F437" s="8" t="str">
        <f t="shared" si="2"/>
        <v> 02:55:02</v>
      </c>
      <c r="G437" s="9" t="str">
        <f t="shared" si="3"/>
        <v>Manhã</v>
      </c>
      <c r="H437" s="10" t="str">
        <f>IFERROR(__xludf.DUMMYFUNCTION("GOOGLETRANSLATE(B437, ""en"", ""pt-br"")"),"Não é tão ruim até agora parece um pouco estéril em comparação com outros sites e aplicativos, mas tem potencial o controle e a filtragem de qualidade precisam de algum trabalho e eu gostaria de mais controle sobre a linha do tempo das coisas que vejo, ma"&amp;"s é um começo")</f>
        <v>Não é tão ruim até agora parece um pouco estéril em comparação com outros sites e aplicativos, mas tem potencial o controle e a filtragem de qualidade precisam de algum trabalho e eu gostaria de mais controle sobre a linha do tempo das coisas que vejo, mas é um começo</v>
      </c>
      <c r="I437" s="10" t="str">
        <f>IFERROR(__xludf.DUMMYFUNCTION("TRIM(REGEXREPLACE(H437,""[^a-zA-ZÀ-ú ]+"",""""))"),"Não é tão ruim até agora parece um pouco estéril em comparação com outros sites e aplicativos mas tem potencial o controle e a filtragem de qualidade precisam de algum trabalho e eu gostaria de mais controle sobre a linha do tempo das coisas que vejo mas "&amp;"é um começo")</f>
        <v>Não é tão ruim até agora parece um pouco estéril em comparação com outros sites e aplicativos mas tem potencial o controle e a filtragem de qualidade precisam de algum trabalho e eu gostaria de mais controle sobre a linha do tempo das coisas que vejo mas é um começo</v>
      </c>
      <c r="J437" s="3"/>
      <c r="K437" s="3"/>
      <c r="L437" s="3"/>
      <c r="M437" s="3"/>
      <c r="N437" s="3"/>
      <c r="O437" s="3"/>
      <c r="P437" s="3"/>
      <c r="Q437" s="3"/>
      <c r="R437" s="3"/>
      <c r="S437" s="3"/>
      <c r="T437" s="3"/>
      <c r="U437" s="3"/>
      <c r="V437" s="3"/>
      <c r="W437" s="3"/>
      <c r="X437" s="3"/>
      <c r="Y437" s="3"/>
      <c r="Z437" s="3"/>
      <c r="AA437" s="3"/>
    </row>
    <row r="438" ht="105.75" customHeight="1">
      <c r="A438" s="4" t="s">
        <v>9</v>
      </c>
      <c r="B438" s="5" t="s">
        <v>446</v>
      </c>
      <c r="C438" s="4">
        <v>5.0</v>
      </c>
      <c r="D438" s="6">
        <v>45114.28457175926</v>
      </c>
      <c r="E438" s="7" t="str">
        <f t="shared" si="1"/>
        <v>2023-07-07</v>
      </c>
      <c r="F438" s="8" t="str">
        <f t="shared" si="2"/>
        <v> 06:49:47</v>
      </c>
      <c r="G438" s="9" t="str">
        <f t="shared" si="3"/>
        <v>Manhã</v>
      </c>
      <c r="H438" s="10" t="str">
        <f>IFERROR(__xludf.DUMMYFUNCTION("GOOGLETRANSLATE(B438, ""en"", ""pt-br"")"),"Threads é um aplicativo incrível para permanecer conectado com seus amigos íntimos no Instagram. Você pode compartilhar fotos, vídeos, mensagens e histórias com o grupo escolhido de pessoas de uma maneira rápida e divertida. Você também pode personalizar "&amp;"sua câmera com atalhos e criar seu próprio status para que seus amigos saibam o que você está fazendo. Threads é o melhor aplicativo para manter contato com seus melhores amigos.")</f>
        <v>Threads é um aplicativo incrível para permanecer conectado com seus amigos íntimos no Instagram. Você pode compartilhar fotos, vídeos, mensagens e histórias com o grupo escolhido de pessoas de uma maneira rápida e divertida. Você também pode personalizar sua câmera com atalhos e criar seu próprio status para que seus amigos saibam o que você está fazendo. Threads é o melhor aplicativo para manter contato com seus melhores amigos.</v>
      </c>
      <c r="I438" s="10" t="str">
        <f>IFERROR(__xludf.DUMMYFUNCTION("TRIM(REGEXREPLACE(H438,""[^a-zA-ZÀ-ú ]+"",""""))"),"Threads é um aplicativo incrível para permanecer conectado com seus amigos íntimos no Instagram Você pode compartilhar fotos vídeos mensagens e histórias com o grupo escolhido de pessoas de uma maneira rápida e divertida Você também pode personalizar sua "&amp;"câmera com atalhos e criar seu próprio status para que seus amigos saibam o que você está fazendo Threads é o melhor aplicativo para manter contato com seus melhores amigos")</f>
        <v>Threads é um aplicativo incrível para permanecer conectado com seus amigos íntimos no Instagram Você pode compartilhar fotos vídeos mensagens e histórias com o grupo escolhido de pessoas de uma maneira rápida e divertida Você também pode personalizar sua câmera com atalhos e criar seu próprio status para que seus amigos saibam o que você está fazendo Threads é o melhor aplicativo para manter contato com seus melhores amigos</v>
      </c>
      <c r="J438" s="3"/>
      <c r="K438" s="3"/>
      <c r="L438" s="3"/>
      <c r="M438" s="3"/>
      <c r="N438" s="3"/>
      <c r="O438" s="3"/>
      <c r="P438" s="3"/>
      <c r="Q438" s="3"/>
      <c r="R438" s="3"/>
      <c r="S438" s="3"/>
      <c r="T438" s="3"/>
      <c r="U438" s="3"/>
      <c r="V438" s="3"/>
      <c r="W438" s="3"/>
      <c r="X438" s="3"/>
      <c r="Y438" s="3"/>
      <c r="Z438" s="3"/>
      <c r="AA438" s="3"/>
    </row>
    <row r="439" ht="105.75" customHeight="1">
      <c r="A439" s="4" t="s">
        <v>9</v>
      </c>
      <c r="B439" s="5" t="s">
        <v>447</v>
      </c>
      <c r="C439" s="4">
        <v>1.0</v>
      </c>
      <c r="D439" s="6">
        <v>45114.366261574076</v>
      </c>
      <c r="E439" s="7" t="str">
        <f t="shared" si="1"/>
        <v>2023-07-07</v>
      </c>
      <c r="F439" s="8" t="str">
        <f t="shared" si="2"/>
        <v> 08:47:25</v>
      </c>
      <c r="G439" s="9" t="str">
        <f t="shared" si="3"/>
        <v>Manhã</v>
      </c>
      <c r="H439" s="10" t="str">
        <f>IFERROR(__xludf.DUMMYFUNCTION("GOOGLETRANSLATE(B439, ""en"", ""pt-br"")"),"Threads é um aplicativo de lixo inútil. Eles poderiam ter feito o aplicativo completamente separado do Instagram, mas não. Isso não é complicado o suficiente para eles. Não posso fazer login na minha conta agora em nenhum dos aplicativos.")</f>
        <v>Threads é um aplicativo de lixo inútil. Eles poderiam ter feito o aplicativo completamente separado do Instagram, mas não. Isso não é complicado o suficiente para eles. Não posso fazer login na minha conta agora em nenhum dos aplicativos.</v>
      </c>
      <c r="I439" s="10" t="str">
        <f>IFERROR(__xludf.DUMMYFUNCTION("TRIM(REGEXREPLACE(H439,""[^a-zA-ZÀ-ú ]+"",""""))"),"Threads é um aplicativo de lixo inútil Eles poderiam ter feito o aplicativo completamente separado do Instagram mas não Isso não é complicado o suficiente para eles Não posso fazer login na minha conta agora em nenhum dos aplicativos")</f>
        <v>Threads é um aplicativo de lixo inútil Eles poderiam ter feito o aplicativo completamente separado do Instagram mas não Isso não é complicado o suficiente para eles Não posso fazer login na minha conta agora em nenhum dos aplicativos</v>
      </c>
      <c r="J439" s="3"/>
      <c r="K439" s="3"/>
      <c r="L439" s="3"/>
      <c r="M439" s="3"/>
      <c r="N439" s="3"/>
      <c r="O439" s="3"/>
      <c r="P439" s="3"/>
      <c r="Q439" s="3"/>
      <c r="R439" s="3"/>
      <c r="S439" s="3"/>
      <c r="T439" s="3"/>
      <c r="U439" s="3"/>
      <c r="V439" s="3"/>
      <c r="W439" s="3"/>
      <c r="X439" s="3"/>
      <c r="Y439" s="3"/>
      <c r="Z439" s="3"/>
      <c r="AA439" s="3"/>
    </row>
    <row r="440" ht="105.75" customHeight="1">
      <c r="A440" s="4" t="s">
        <v>9</v>
      </c>
      <c r="B440" s="5" t="s">
        <v>448</v>
      </c>
      <c r="C440" s="4">
        <v>1.0</v>
      </c>
      <c r="D440" s="6">
        <v>45114.89053240741</v>
      </c>
      <c r="E440" s="7" t="str">
        <f t="shared" si="1"/>
        <v>2023-07-07</v>
      </c>
      <c r="F440" s="8" t="str">
        <f t="shared" si="2"/>
        <v> 21:22:22</v>
      </c>
      <c r="G440" s="9" t="str">
        <f t="shared" si="3"/>
        <v>Noite</v>
      </c>
      <c r="H440" s="10" t="str">
        <f>IFERROR(__xludf.DUMMYFUNCTION("GOOGLETRANSLATE(B440, ""en"", ""pt-br"")"),"Não sei se esse é um problema comum, mas não consigo nem rolar o aplicativo. Ele age como se houvesse um acidente no aplicativo. De repente a tela fica preta e as palavras misturadas")</f>
        <v>Não sei se esse é um problema comum, mas não consigo nem rolar o aplicativo. Ele age como se houvesse um acidente no aplicativo. De repente a tela fica preta e as palavras misturadas</v>
      </c>
      <c r="I440" s="10" t="str">
        <f>IFERROR(__xludf.DUMMYFUNCTION("TRIM(REGEXREPLACE(H440,""[^a-zA-ZÀ-ú ]+"",""""))"),"Não sei se esse é um problema comum mas não consigo nem rolar o aplicativo Ele age como se houvesse um acidente no aplicativo De repente a tela fica preta e as palavras misturadas")</f>
        <v>Não sei se esse é um problema comum mas não consigo nem rolar o aplicativo Ele age como se houvesse um acidente no aplicativo De repente a tela fica preta e as palavras misturadas</v>
      </c>
      <c r="J440" s="3"/>
      <c r="K440" s="3"/>
      <c r="L440" s="3"/>
      <c r="M440" s="3"/>
      <c r="N440" s="3"/>
      <c r="O440" s="3"/>
      <c r="P440" s="3"/>
      <c r="Q440" s="3"/>
      <c r="R440" s="3"/>
      <c r="S440" s="3"/>
      <c r="T440" s="3"/>
      <c r="U440" s="3"/>
      <c r="V440" s="3"/>
      <c r="W440" s="3"/>
      <c r="X440" s="3"/>
      <c r="Y440" s="3"/>
      <c r="Z440" s="3"/>
      <c r="AA440" s="3"/>
    </row>
    <row r="441" ht="105.75" customHeight="1">
      <c r="A441" s="4" t="s">
        <v>9</v>
      </c>
      <c r="B441" s="5" t="s">
        <v>449</v>
      </c>
      <c r="C441" s="4">
        <v>4.0</v>
      </c>
      <c r="D441" s="6">
        <v>45115.34087962963</v>
      </c>
      <c r="E441" s="7" t="str">
        <f t="shared" si="1"/>
        <v>2023-07-08</v>
      </c>
      <c r="F441" s="8" t="str">
        <f t="shared" si="2"/>
        <v> 08:10:52</v>
      </c>
      <c r="G441" s="9" t="str">
        <f t="shared" si="3"/>
        <v>Manhã</v>
      </c>
      <c r="H441" s="10" t="str">
        <f>IFERROR(__xludf.DUMMYFUNCTION("GOOGLETRANSLATE(B441, ""en"", ""pt-br"")"),"A única coisa que me impede de dar a este aplicativo cinco estrelas é o fato de não poder postar fotos não compactadas maiores que 10 MBs em um palpite. Se eu tentar o aplicativo travar ou deixar de postar a imagem que é realmente decepcionante")</f>
        <v>A única coisa que me impede de dar a este aplicativo cinco estrelas é o fato de não poder postar fotos não compactadas maiores que 10 MBs em um palpite. Se eu tentar o aplicativo travar ou deixar de postar a imagem que é realmente decepcionante</v>
      </c>
      <c r="I441" s="10" t="str">
        <f>IFERROR(__xludf.DUMMYFUNCTION("TRIM(REGEXREPLACE(H441,""[^a-zA-ZÀ-ú ]+"",""""))"),"A única coisa que me impede de dar a este aplicativo cinco estrelas é o fato de não poder postar fotos não compactadas maiores que MBs em um palpite Se eu tentar o aplicativo travar ou deixar de postar a imagem que é realmente decepcionante")</f>
        <v>A única coisa que me impede de dar a este aplicativo cinco estrelas é o fato de não poder postar fotos não compactadas maiores que MBs em um palpite Se eu tentar o aplicativo travar ou deixar de postar a imagem que é realmente decepcionante</v>
      </c>
      <c r="J441" s="3"/>
      <c r="K441" s="3"/>
      <c r="L441" s="3"/>
      <c r="M441" s="3"/>
      <c r="N441" s="3"/>
      <c r="O441" s="3"/>
      <c r="P441" s="3"/>
      <c r="Q441" s="3"/>
      <c r="R441" s="3"/>
      <c r="S441" s="3"/>
      <c r="T441" s="3"/>
      <c r="U441" s="3"/>
      <c r="V441" s="3"/>
      <c r="W441" s="3"/>
      <c r="X441" s="3"/>
      <c r="Y441" s="3"/>
      <c r="Z441" s="3"/>
      <c r="AA441" s="3"/>
    </row>
    <row r="442" ht="105.75" customHeight="1">
      <c r="A442" s="4" t="s">
        <v>9</v>
      </c>
      <c r="B442" s="5" t="s">
        <v>450</v>
      </c>
      <c r="C442" s="4">
        <v>5.0</v>
      </c>
      <c r="D442" s="6">
        <v>45113.77517361111</v>
      </c>
      <c r="E442" s="7" t="str">
        <f t="shared" si="1"/>
        <v>2023-07-06</v>
      </c>
      <c r="F442" s="8" t="str">
        <f t="shared" si="2"/>
        <v> 18:36:15</v>
      </c>
      <c r="G442" s="9" t="str">
        <f t="shared" si="3"/>
        <v>Noite</v>
      </c>
      <c r="H442" s="10" t="str">
        <f>IFERROR(__xludf.DUMMYFUNCTION("GOOGLETRANSLATE(B442, ""en"", ""pt-br"")"),"Uau, estou absolutamente impressionado com o aplicativo Tópico do Instagram! Ele revolucionou a maneira como me comunico e compartilho conteúdo com meus amigos e seguidores no Instagram. A interface do aplicativo é elegante, intuitiva e fácil de usar, tor"&amp;"nando incrivelmente fácil criar e gerenciar conversas encadeadas. Um dos meus recursos favoritos do aplicativo é a capacidade de organizar meus comentários e respostas em threads.")</f>
        <v>Uau, estou absolutamente impressionado com o aplicativo Tópico do Instagram! Ele revolucionou a maneira como me comunico e compartilho conteúdo com meus amigos e seguidores no Instagram. A interface do aplicativo é elegante, intuitiva e fácil de usar, tornando incrivelmente fácil criar e gerenciar conversas encadeadas. Um dos meus recursos favoritos do aplicativo é a capacidade de organizar meus comentários e respostas em threads.</v>
      </c>
      <c r="I442" s="10" t="str">
        <f>IFERROR(__xludf.DUMMYFUNCTION("TRIM(REGEXREPLACE(H442,""[^a-zA-ZÀ-ú ]+"",""""))"),"Uau estou absolutamente impressionado com o aplicativo Tópico do Instagram Ele revolucionou a maneira como me comunico e compartilho conteúdo com meus amigos e seguidores no Instagram A interface do aplicativo é elegante intuitiva e fácil de usar tornando"&amp;" incrivelmente fácil criar e gerenciar conversas encadeadas Um dos meus recursos favoritos do aplicativo é a capacidade de organizar meus comentários e respostas em threads")</f>
        <v>Uau estou absolutamente impressionado com o aplicativo Tópico do Instagram Ele revolucionou a maneira como me comunico e compartilho conteúdo com meus amigos e seguidores no Instagram A interface do aplicativo é elegante intuitiva e fácil de usar tornando incrivelmente fácil criar e gerenciar conversas encadeadas Um dos meus recursos favoritos do aplicativo é a capacidade de organizar meus comentários e respostas em threads</v>
      </c>
      <c r="J442" s="3"/>
      <c r="K442" s="3"/>
      <c r="L442" s="3"/>
      <c r="M442" s="3"/>
      <c r="N442" s="3"/>
      <c r="O442" s="3"/>
      <c r="P442" s="3"/>
      <c r="Q442" s="3"/>
      <c r="R442" s="3"/>
      <c r="S442" s="3"/>
      <c r="T442" s="3"/>
      <c r="U442" s="3"/>
      <c r="V442" s="3"/>
      <c r="W442" s="3"/>
      <c r="X442" s="3"/>
      <c r="Y442" s="3"/>
      <c r="Z442" s="3"/>
      <c r="AA442" s="3"/>
    </row>
    <row r="443" ht="105.75" customHeight="1">
      <c r="A443" s="4" t="s">
        <v>9</v>
      </c>
      <c r="B443" s="5" t="s">
        <v>451</v>
      </c>
      <c r="C443" s="4">
        <v>1.0</v>
      </c>
      <c r="D443" s="6">
        <v>45120.40403935185</v>
      </c>
      <c r="E443" s="7" t="str">
        <f t="shared" si="1"/>
        <v>2023-07-13</v>
      </c>
      <c r="F443" s="8" t="str">
        <f t="shared" si="2"/>
        <v> 09:41:49</v>
      </c>
      <c r="G443" s="9" t="str">
        <f t="shared" si="3"/>
        <v>Manhã</v>
      </c>
      <c r="H443" s="10" t="str">
        <f>IFERROR(__xludf.DUMMYFUNCTION("GOOGLETRANSLATE(B443, ""en"", ""pt-br"")"),"Acho bastante irritante que você não possa fazer login com seu ID do Google e, em vez disso, fazer login/criar uma conta no Instagram! Também alterando seu nome de usuário ou nome em geral ... você precisa fazê -lo via Instagram. Eu adoraria experimentar "&amp;"o aplicativo, mas considerando que sempre tenho contas separadas que acumulam mídias sociais diferentes, tenho que esperar, até que a Meta decida revisar esse problema, no qual aparentemente não sou o único.")</f>
        <v>Acho bastante irritante que você não possa fazer login com seu ID do Google e, em vez disso, fazer login/criar uma conta no Instagram! Também alterando seu nome de usuário ou nome em geral ... você precisa fazê -lo via Instagram. Eu adoraria experimentar o aplicativo, mas considerando que sempre tenho contas separadas que acumulam mídias sociais diferentes, tenho que esperar, até que a Meta decida revisar esse problema, no qual aparentemente não sou o único.</v>
      </c>
      <c r="I443" s="10" t="str">
        <f>IFERROR(__xludf.DUMMYFUNCTION("TRIM(REGEXREPLACE(H443,""[^a-zA-ZÀ-ú ]+"",""""))"),"Acho bastante irritante que você não possa fazer login com seu ID do Google e em vez disso fazer logincriar uma conta no Instagram Também alterando seu nome de usuário ou nome em geral você precisa fazê lo via Instagram Eu adoraria experimentar o aplicati"&amp;"vo mas considerando que sempre tenho contas separadas que acumulam mídias sociais diferentes tenho que esperar até que a Meta decida revisar esse problema no qual aparentemente não sou o único")</f>
        <v>Acho bastante irritante que você não possa fazer login com seu ID do Google e em vez disso fazer logincriar uma conta no Instagram Também alterando seu nome de usuário ou nome em geral você precisa fazê lo via Instagram Eu adoraria experimentar o aplicativo mas considerando que sempre tenho contas separadas que acumulam mídias sociais diferentes tenho que esperar até que a Meta decida revisar esse problema no qual aparentemente não sou o único</v>
      </c>
      <c r="J443" s="3"/>
      <c r="K443" s="3"/>
      <c r="L443" s="3"/>
      <c r="M443" s="3"/>
      <c r="N443" s="3"/>
      <c r="O443" s="3"/>
      <c r="P443" s="3"/>
      <c r="Q443" s="3"/>
      <c r="R443" s="3"/>
      <c r="S443" s="3"/>
      <c r="T443" s="3"/>
      <c r="U443" s="3"/>
      <c r="V443" s="3"/>
      <c r="W443" s="3"/>
      <c r="X443" s="3"/>
      <c r="Y443" s="3"/>
      <c r="Z443" s="3"/>
      <c r="AA443" s="3"/>
    </row>
    <row r="444" ht="105.75" customHeight="1">
      <c r="A444" s="4" t="s">
        <v>9</v>
      </c>
      <c r="B444" s="5" t="s">
        <v>452</v>
      </c>
      <c r="C444" s="4">
        <v>5.0</v>
      </c>
      <c r="D444" s="6">
        <v>45121.059328703705</v>
      </c>
      <c r="E444" s="7" t="str">
        <f t="shared" si="1"/>
        <v>2023-07-14</v>
      </c>
      <c r="F444" s="8" t="str">
        <f t="shared" si="2"/>
        <v> 01:25:26</v>
      </c>
      <c r="G444" s="9" t="str">
        <f t="shared" si="3"/>
        <v>Manhã</v>
      </c>
      <c r="H444" s="10" t="str">
        <f>IFERROR(__xludf.DUMMYFUNCTION("GOOGLETRANSLATE(B444, ""en"", ""pt-br"")"),"App bastante sólido. Gostaria que isso não me mostrasse tópicos de pessoas que eu não sigo, e uma maneira mais fácil de encontrar pessoas e assuntos através da pesquisa. Muito divertido e simples de usar. Surpreendentemente bem gerenciado e apropriado.")</f>
        <v>App bastante sólido. Gostaria que isso não me mostrasse tópicos de pessoas que eu não sigo, e uma maneira mais fácil de encontrar pessoas e assuntos através da pesquisa. Muito divertido e simples de usar. Surpreendentemente bem gerenciado e apropriado.</v>
      </c>
      <c r="I444" s="10" t="str">
        <f>IFERROR(__xludf.DUMMYFUNCTION("TRIM(REGEXREPLACE(H444,""[^a-zA-ZÀ-ú ]+"",""""))"),"App bastante sólido Gostaria que isso não me mostrasse tópicos de pessoas que eu não sigo e uma maneira mais fácil de encontrar pessoas e assuntos através da pesquisa Muito divertido e simples de usar Surpreendentemente bem gerenciado e apropriado")</f>
        <v>App bastante sólido Gostaria que isso não me mostrasse tópicos de pessoas que eu não sigo e uma maneira mais fácil de encontrar pessoas e assuntos através da pesquisa Muito divertido e simples de usar Surpreendentemente bem gerenciado e apropriado</v>
      </c>
      <c r="J444" s="3"/>
      <c r="K444" s="3"/>
      <c r="L444" s="3"/>
      <c r="M444" s="3"/>
      <c r="N444" s="3"/>
      <c r="O444" s="3"/>
      <c r="P444" s="3"/>
      <c r="Q444" s="3"/>
      <c r="R444" s="3"/>
      <c r="S444" s="3"/>
      <c r="T444" s="3"/>
      <c r="U444" s="3"/>
      <c r="V444" s="3"/>
      <c r="W444" s="3"/>
      <c r="X444" s="3"/>
      <c r="Y444" s="3"/>
      <c r="Z444" s="3"/>
      <c r="AA444" s="3"/>
    </row>
    <row r="445" ht="105.75" customHeight="1">
      <c r="A445" s="4" t="s">
        <v>9</v>
      </c>
      <c r="B445" s="5" t="s">
        <v>453</v>
      </c>
      <c r="C445" s="4">
        <v>1.0</v>
      </c>
      <c r="D445" s="6">
        <v>45113.20721064815</v>
      </c>
      <c r="E445" s="7" t="str">
        <f t="shared" si="1"/>
        <v>2023-07-06</v>
      </c>
      <c r="F445" s="8" t="str">
        <f t="shared" si="2"/>
        <v> 04:58:23</v>
      </c>
      <c r="G445" s="9" t="str">
        <f t="shared" si="3"/>
        <v>Manhã</v>
      </c>
      <c r="H445" s="10" t="str">
        <f>IFERROR(__xludf.DUMMYFUNCTION("GOOGLETRANSLATE(B445, ""en"", ""pt-br"")"),"Existem muitos problemas que quero abordar. 1) Não há suporte de ícone temático no Android 2) Você não pode inserir na área de transferência se for uma imagem. 3) Você não pode adicionar GIFs e a única coisa que você pode adicionar são anexos e que abre a"&amp;" galeria. 4) O nome de usuário não pode ser distinto do Instagram. Eu uso o Instagram e o Twitter para diferentes públicos, para que não ajude. 5) O aplicativo não suporta upload de vídeo de 60 fps. 6) Nenhum botão para pular para o DM com ninguém.")</f>
        <v>Existem muitos problemas que quero abordar. 1) Não há suporte de ícone temático no Android 2) Você não pode inserir na área de transferência se for uma imagem. 3) Você não pode adicionar GIFs e a única coisa que você pode adicionar são anexos e que abre a galeria. 4) O nome de usuário não pode ser distinto do Instagram. Eu uso o Instagram e o Twitter para diferentes públicos, para que não ajude. 5) O aplicativo não suporta upload de vídeo de 60 fps. 6) Nenhum botão para pular para o DM com ninguém.</v>
      </c>
      <c r="I445" s="10" t="str">
        <f>IFERROR(__xludf.DUMMYFUNCTION("TRIM(REGEXREPLACE(H445,""[^a-zA-ZÀ-ú ]+"",""""))"),"Existem muitos problemas que quero abordar Não há suporte de ícone temático no Android Você não pode inserir na área de transferência se for uma imagem Você não pode adicionar GIFs e a única coisa que você pode adicionar são anexos e que abre a galeria O "&amp;"nome de usuário não pode ser distinto do Instagram Eu uso o Instagram e o Twitter para diferentes públicos para que não ajude O aplicativo não suporta upload de vídeo de fps Nenhum botão para pular para o DM com ninguém")</f>
        <v>Existem muitos problemas que quero abordar Não há suporte de ícone temático no Android Você não pode inserir na área de transferência se for uma imagem Você não pode adicionar GIFs e a única coisa que você pode adicionar são anexos e que abre a galeria O nome de usuário não pode ser distinto do Instagram Eu uso o Instagram e o Twitter para diferentes públicos para que não ajude O aplicativo não suporta upload de vídeo de fps Nenhum botão para pular para o DM com ninguém</v>
      </c>
      <c r="J445" s="3"/>
      <c r="K445" s="3"/>
      <c r="L445" s="3"/>
      <c r="M445" s="3"/>
      <c r="N445" s="3"/>
      <c r="O445" s="3"/>
      <c r="P445" s="3"/>
      <c r="Q445" s="3"/>
      <c r="R445" s="3"/>
      <c r="S445" s="3"/>
      <c r="T445" s="3"/>
      <c r="U445" s="3"/>
      <c r="V445" s="3"/>
      <c r="W445" s="3"/>
      <c r="X445" s="3"/>
      <c r="Y445" s="3"/>
      <c r="Z445" s="3"/>
      <c r="AA445" s="3"/>
    </row>
    <row r="446" ht="105.75" customHeight="1">
      <c r="A446" s="4" t="s">
        <v>9</v>
      </c>
      <c r="B446" s="5" t="s">
        <v>454</v>
      </c>
      <c r="C446" s="4">
        <v>5.0</v>
      </c>
      <c r="D446" s="6">
        <v>45117.90293981481</v>
      </c>
      <c r="E446" s="7" t="str">
        <f t="shared" si="1"/>
        <v>2023-07-10</v>
      </c>
      <c r="F446" s="8" t="str">
        <f t="shared" si="2"/>
        <v> 21:40:14</v>
      </c>
      <c r="G446" s="9" t="str">
        <f t="shared" si="3"/>
        <v>Noite</v>
      </c>
      <c r="H446" s="10" t="str">
        <f>IFERROR(__xludf.DUMMYFUNCTION("GOOGLETRANSLATE(B446, ""en"", ""pt-br"")"),"Os desenvolvedores já disseram que este aplicativo é um trabalho em andamento. Vamos torcer para que fique melhor que o Twitter e simplifique as postagens baseadas em texto. No estágio atual, a interface do usuário é fácil e bonita. Muitos perfis famosos "&amp;"do Twitter já se mudaram para tópicos, então não está sozinho aqui. O maior problema é que você vê postagens de contas que nunca seguiu! É muito, muito irritante.")</f>
        <v>Os desenvolvedores já disseram que este aplicativo é um trabalho em andamento. Vamos torcer para que fique melhor que o Twitter e simplifique as postagens baseadas em texto. No estágio atual, a interface do usuário é fácil e bonita. Muitos perfis famosos do Twitter já se mudaram para tópicos, então não está sozinho aqui. O maior problema é que você vê postagens de contas que nunca seguiu! É muito, muito irritante.</v>
      </c>
      <c r="I446" s="10" t="str">
        <f>IFERROR(__xludf.DUMMYFUNCTION("TRIM(REGEXREPLACE(H446,""[^a-zA-ZÀ-ú ]+"",""""))"),"Os desenvolvedores já disseram que este aplicativo é um trabalho em andamento Vamos torcer para que fique melhor que o Twitter e simplifique as postagens baseadas em texto No estágio atual a interface do usuário é fácil e bonita Muitos perfis famosos do T"&amp;"witter já se mudaram para tópicos então não está sozinho aqui O maior problema é que você vê postagens de contas que nunca seguiu É muito muito irritante")</f>
        <v>Os desenvolvedores já disseram que este aplicativo é um trabalho em andamento Vamos torcer para que fique melhor que o Twitter e simplifique as postagens baseadas em texto No estágio atual a interface do usuário é fácil e bonita Muitos perfis famosos do Twitter já se mudaram para tópicos então não está sozinho aqui O maior problema é que você vê postagens de contas que nunca seguiu É muito muito irritante</v>
      </c>
      <c r="J446" s="3"/>
      <c r="K446" s="3"/>
      <c r="L446" s="3"/>
      <c r="M446" s="3"/>
      <c r="N446" s="3"/>
      <c r="O446" s="3"/>
      <c r="P446" s="3"/>
      <c r="Q446" s="3"/>
      <c r="R446" s="3"/>
      <c r="S446" s="3"/>
      <c r="T446" s="3"/>
      <c r="U446" s="3"/>
      <c r="V446" s="3"/>
      <c r="W446" s="3"/>
      <c r="X446" s="3"/>
      <c r="Y446" s="3"/>
      <c r="Z446" s="3"/>
      <c r="AA446" s="3"/>
    </row>
    <row r="447" ht="105.75" customHeight="1">
      <c r="A447" s="4" t="s">
        <v>9</v>
      </c>
      <c r="B447" s="5" t="s">
        <v>455</v>
      </c>
      <c r="C447" s="4">
        <v>1.0</v>
      </c>
      <c r="D447" s="6">
        <v>45115.17422453704</v>
      </c>
      <c r="E447" s="7" t="str">
        <f t="shared" si="1"/>
        <v>2023-07-08</v>
      </c>
      <c r="F447" s="8" t="str">
        <f t="shared" si="2"/>
        <v> 04:10:53</v>
      </c>
      <c r="G447" s="9" t="str">
        <f t="shared" si="3"/>
        <v>Manhã</v>
      </c>
      <c r="H447" s="10" t="str">
        <f>IFERROR(__xludf.DUMMYFUNCTION("GOOGLETRANSLATE(B447, ""en"", ""pt-br"")"),"O aplicativo é meio horrível quando eu usei. Quando tentei usar isso por uma hora, ele continua travando e pare de funcionar sem qualquer motivo. Isso me faz sentir frustrante, espero que a Meta possa resolver esse problema.")</f>
        <v>O aplicativo é meio horrível quando eu usei. Quando tentei usar isso por uma hora, ele continua travando e pare de funcionar sem qualquer motivo. Isso me faz sentir frustrante, espero que a Meta possa resolver esse problema.</v>
      </c>
      <c r="I447" s="10" t="str">
        <f>IFERROR(__xludf.DUMMYFUNCTION("TRIM(REGEXREPLACE(H447,""[^a-zA-ZÀ-ú ]+"",""""))"),"O aplicativo é meio horrível quando eu usei Quando tentei usar isso por uma hora ele continua travando e pare de funcionar sem qualquer motivo Isso me faz sentir frustrante espero que a Meta possa resolver esse problema")</f>
        <v>O aplicativo é meio horrível quando eu usei Quando tentei usar isso por uma hora ele continua travando e pare de funcionar sem qualquer motivo Isso me faz sentir frustrante espero que a Meta possa resolver esse problema</v>
      </c>
      <c r="J447" s="3"/>
      <c r="K447" s="3"/>
      <c r="L447" s="3"/>
      <c r="M447" s="3"/>
      <c r="N447" s="3"/>
      <c r="O447" s="3"/>
      <c r="P447" s="3"/>
      <c r="Q447" s="3"/>
      <c r="R447" s="3"/>
      <c r="S447" s="3"/>
      <c r="T447" s="3"/>
      <c r="U447" s="3"/>
      <c r="V447" s="3"/>
      <c r="W447" s="3"/>
      <c r="X447" s="3"/>
      <c r="Y447" s="3"/>
      <c r="Z447" s="3"/>
      <c r="AA447" s="3"/>
    </row>
    <row r="448" ht="105.75" customHeight="1">
      <c r="A448" s="4" t="s">
        <v>9</v>
      </c>
      <c r="B448" s="5" t="s">
        <v>456</v>
      </c>
      <c r="C448" s="4">
        <v>2.0</v>
      </c>
      <c r="D448" s="6">
        <v>45129.06728009259</v>
      </c>
      <c r="E448" s="7" t="str">
        <f t="shared" si="1"/>
        <v>2023-07-22</v>
      </c>
      <c r="F448" s="8" t="str">
        <f t="shared" si="2"/>
        <v> 01:36:53</v>
      </c>
      <c r="G448" s="9" t="str">
        <f t="shared" si="3"/>
        <v>Manhã</v>
      </c>
      <c r="H448" s="10" t="str">
        <f>IFERROR(__xludf.DUMMYFUNCTION("GOOGLETRANSLATE(B448, ""en"", ""pt-br"")"),"Este aplicativo nem tem bons recursos! Acabou de ter fama devido à interrupção do Twitter. App UI é horrível! Nem tem coisas para fazer aqui. A única coisa boa é que ele usa seu ID do Instagram como login e você tem a opção de seguir todas as pessoas que "&amp;"seguiu no Instagram, esse é um recurso interessante! O aplicativo morrerá dentro de 6 meses!")</f>
        <v>Este aplicativo nem tem bons recursos! Acabou de ter fama devido à interrupção do Twitter. App UI é horrível! Nem tem coisas para fazer aqui. A única coisa boa é que ele usa seu ID do Instagram como login e você tem a opção de seguir todas as pessoas que seguiu no Instagram, esse é um recurso interessante! O aplicativo morrerá dentro de 6 meses!</v>
      </c>
      <c r="I448" s="10" t="str">
        <f>IFERROR(__xludf.DUMMYFUNCTION("TRIM(REGEXREPLACE(H448,""[^a-zA-ZÀ-ú ]+"",""""))"),"Este aplicativo nem tem bons recursos Acabou de ter fama devido à interrupção do Twitter App UI é horrível Nem tem coisas para fazer aqui A única coisa boa é que ele usa seu ID do Instagram como login e você tem a opção de seguir todas as pessoas que segu"&amp;"iu no Instagram esse é um recurso interessante O aplicativo morrerá dentro de meses")</f>
        <v>Este aplicativo nem tem bons recursos Acabou de ter fama devido à interrupção do Twitter App UI é horrível Nem tem coisas para fazer aqui A única coisa boa é que ele usa seu ID do Instagram como login e você tem a opção de seguir todas as pessoas que seguiu no Instagram esse é um recurso interessante O aplicativo morrerá dentro de meses</v>
      </c>
      <c r="J448" s="3"/>
      <c r="K448" s="3"/>
      <c r="L448" s="3"/>
      <c r="M448" s="3"/>
      <c r="N448" s="3"/>
      <c r="O448" s="3"/>
      <c r="P448" s="3"/>
      <c r="Q448" s="3"/>
      <c r="R448" s="3"/>
      <c r="S448" s="3"/>
      <c r="T448" s="3"/>
      <c r="U448" s="3"/>
      <c r="V448" s="3"/>
      <c r="W448" s="3"/>
      <c r="X448" s="3"/>
      <c r="Y448" s="3"/>
      <c r="Z448" s="3"/>
      <c r="AA448" s="3"/>
    </row>
    <row r="449" ht="105.75" customHeight="1">
      <c r="A449" s="4" t="s">
        <v>9</v>
      </c>
      <c r="B449" s="5" t="s">
        <v>457</v>
      </c>
      <c r="C449" s="4">
        <v>1.0</v>
      </c>
      <c r="D449" s="6">
        <v>45124.43655092592</v>
      </c>
      <c r="E449" s="7" t="str">
        <f t="shared" si="1"/>
        <v>2023-07-17</v>
      </c>
      <c r="F449" s="8" t="str">
        <f t="shared" si="2"/>
        <v> 10:28:38</v>
      </c>
      <c r="G449" s="9" t="str">
        <f t="shared" si="3"/>
        <v>Manhã</v>
      </c>
      <c r="H449" s="10" t="str">
        <f>IFERROR(__xludf.DUMMYFUNCTION("GOOGLETRANSLATE(B449, ""en"", ""pt-br"")"),"Sem opções do Windows. Bizarre, para um aplicativo baseado em texto ... digitar em um teclado ainda é o mais rápido, independentemente da velocidade dos seus polegares! Também a pesquisa ... tendência ... aspectos como documentados em lugares.")</f>
        <v>Sem opções do Windows. Bizarre, para um aplicativo baseado em texto ... digitar em um teclado ainda é o mais rápido, independentemente da velocidade dos seus polegares! Também a pesquisa ... tendência ... aspectos como documentados em lugares.</v>
      </c>
      <c r="I449" s="10" t="str">
        <f>IFERROR(__xludf.DUMMYFUNCTION("TRIM(REGEXREPLACE(H449,""[^a-zA-ZÀ-ú ]+"",""""))"),"Sem opções do Windows Bizarre para um aplicativo baseado em texto digitar em um teclado ainda é o mais rápido independentemente da velocidade dos seus polegares Também a pesquisa tendência aspectos como documentados em lugares")</f>
        <v>Sem opções do Windows Bizarre para um aplicativo baseado em texto digitar em um teclado ainda é o mais rápido independentemente da velocidade dos seus polegares Também a pesquisa tendência aspectos como documentados em lugares</v>
      </c>
      <c r="J449" s="3"/>
      <c r="K449" s="3"/>
      <c r="L449" s="3"/>
      <c r="M449" s="3"/>
      <c r="N449" s="3"/>
      <c r="O449" s="3"/>
      <c r="P449" s="3"/>
      <c r="Q449" s="3"/>
      <c r="R449" s="3"/>
      <c r="S449" s="3"/>
      <c r="T449" s="3"/>
      <c r="U449" s="3"/>
      <c r="V449" s="3"/>
      <c r="W449" s="3"/>
      <c r="X449" s="3"/>
      <c r="Y449" s="3"/>
      <c r="Z449" s="3"/>
      <c r="AA449" s="3"/>
    </row>
    <row r="450" ht="105.75" customHeight="1">
      <c r="A450" s="4" t="s">
        <v>9</v>
      </c>
      <c r="B450" s="5" t="s">
        <v>458</v>
      </c>
      <c r="C450" s="4">
        <v>3.0</v>
      </c>
      <c r="D450" s="6">
        <v>45118.79510416667</v>
      </c>
      <c r="E450" s="7" t="str">
        <f t="shared" si="1"/>
        <v>2023-07-11</v>
      </c>
      <c r="F450" s="8" t="str">
        <f t="shared" si="2"/>
        <v> 19:04:57</v>
      </c>
      <c r="G450" s="9" t="str">
        <f t="shared" si="3"/>
        <v>Noite</v>
      </c>
      <c r="H450" s="10" t="str">
        <f>IFERROR(__xludf.DUMMYFUNCTION("GOOGLETRANSLATE(B450, ""en"", ""pt-br"")"),"O restante da idade chegará a saber o experimento, quando for necessário mais e diferente, mesmo que parecia o mesmo sim (recurso) poderia ter sido introduzido em algum novo formulário. Mas ele não foi mantido igual ao seu rival. Espera -se que mais coisa"&amp;"s boas sejam vistas no futuro.")</f>
        <v>O restante da idade chegará a saber o experimento, quando for necessário mais e diferente, mesmo que parecia o mesmo sim (recurso) poderia ter sido introduzido em algum novo formulário. Mas ele não foi mantido igual ao seu rival. Espera -se que mais coisas boas sejam vistas no futuro.</v>
      </c>
      <c r="I450" s="10" t="str">
        <f>IFERROR(__xludf.DUMMYFUNCTION("TRIM(REGEXREPLACE(H450,""[^a-zA-ZÀ-ú ]+"",""""))"),"O restante da idade chegará a saber o experimento quando for necessário mais e diferente mesmo que parecia o mesmo sim recurso poderia ter sido introduzido em algum novo formulário Mas ele não foi mantido igual ao seu rival Espera se que mais coisas boas "&amp;"sejam vistas no futuro")</f>
        <v>O restante da idade chegará a saber o experimento quando for necessário mais e diferente mesmo que parecia o mesmo sim recurso poderia ter sido introduzido em algum novo formulário Mas ele não foi mantido igual ao seu rival Espera se que mais coisas boas sejam vistas no futuro</v>
      </c>
      <c r="J450" s="3"/>
      <c r="K450" s="3"/>
      <c r="L450" s="3"/>
      <c r="M450" s="3"/>
      <c r="N450" s="3"/>
      <c r="O450" s="3"/>
      <c r="P450" s="3"/>
      <c r="Q450" s="3"/>
      <c r="R450" s="3"/>
      <c r="S450" s="3"/>
      <c r="T450" s="3"/>
      <c r="U450" s="3"/>
      <c r="V450" s="3"/>
      <c r="W450" s="3"/>
      <c r="X450" s="3"/>
      <c r="Y450" s="3"/>
      <c r="Z450" s="3"/>
      <c r="AA450" s="3"/>
    </row>
    <row r="451" ht="105.75" customHeight="1">
      <c r="A451" s="4" t="s">
        <v>9</v>
      </c>
      <c r="B451" s="5" t="s">
        <v>459</v>
      </c>
      <c r="C451" s="4">
        <v>3.0</v>
      </c>
      <c r="D451" s="6">
        <v>45115.210277777776</v>
      </c>
      <c r="E451" s="7" t="str">
        <f t="shared" si="1"/>
        <v>2023-07-08</v>
      </c>
      <c r="F451" s="8" t="str">
        <f t="shared" si="2"/>
        <v> 05:02:48</v>
      </c>
      <c r="G451" s="9" t="str">
        <f t="shared" si="3"/>
        <v>Manhã</v>
      </c>
      <c r="H451" s="10" t="str">
        <f>IFERROR(__xludf.DUMMYFUNCTION("GOOGLETRANSLATE(B451, ""en"", ""pt-br"")"),"Adoro a interface, mas meu problema com este aplicativo é que quase todo o conteúdo que vejo na minha linha do tempo são de contas que não sigo. Eu realmente adoraria se a próxima atualização lhe desse a opção de ter seus seguintes como as únicas postagen"&amp;"s que você vê na sua linha do tempo.")</f>
        <v>Adoro a interface, mas meu problema com este aplicativo é que quase todo o conteúdo que vejo na minha linha do tempo são de contas que não sigo. Eu realmente adoraria se a próxima atualização lhe desse a opção de ter seus seguintes como as únicas postagens que você vê na sua linha do tempo.</v>
      </c>
      <c r="I451" s="10" t="str">
        <f>IFERROR(__xludf.DUMMYFUNCTION("TRIM(REGEXREPLACE(H451,""[^a-zA-ZÀ-ú ]+"",""""))"),"Adoro a interface mas meu problema com este aplicativo é que quase todo o conteúdo que vejo na minha linha do tempo são de contas que não sigo Eu realmente adoraria se a próxima atualização lhe desse a opção de ter seus seguintes como as únicas postagens "&amp;"que você vê na sua linha do tempo")</f>
        <v>Adoro a interface mas meu problema com este aplicativo é que quase todo o conteúdo que vejo na minha linha do tempo são de contas que não sigo Eu realmente adoraria se a próxima atualização lhe desse a opção de ter seus seguintes como as únicas postagens que você vê na sua linha do tempo</v>
      </c>
      <c r="J451" s="3"/>
      <c r="K451" s="3"/>
      <c r="L451" s="3"/>
      <c r="M451" s="3"/>
      <c r="N451" s="3"/>
      <c r="O451" s="3"/>
      <c r="P451" s="3"/>
      <c r="Q451" s="3"/>
      <c r="R451" s="3"/>
      <c r="S451" s="3"/>
      <c r="T451" s="3"/>
      <c r="U451" s="3"/>
      <c r="V451" s="3"/>
      <c r="W451" s="3"/>
      <c r="X451" s="3"/>
      <c r="Y451" s="3"/>
      <c r="Z451" s="3"/>
      <c r="AA451" s="3"/>
    </row>
    <row r="452" ht="105.75" customHeight="1">
      <c r="A452" s="4" t="s">
        <v>9</v>
      </c>
      <c r="B452" s="5" t="s">
        <v>460</v>
      </c>
      <c r="C452" s="4">
        <v>4.0</v>
      </c>
      <c r="D452" s="6">
        <v>45113.52208333334</v>
      </c>
      <c r="E452" s="7" t="str">
        <f t="shared" si="1"/>
        <v>2023-07-06</v>
      </c>
      <c r="F452" s="8" t="str">
        <f t="shared" si="2"/>
        <v> 12:31:48</v>
      </c>
      <c r="G452" s="9" t="str">
        <f t="shared" si="3"/>
        <v>Tarde</v>
      </c>
      <c r="H452" s="10" t="str">
        <f>IFERROR(__xludf.DUMMYFUNCTION("GOOGLETRANSLATE(B452, ""en"", ""pt-br"")"),"Bom aplicativo, ainda precisa de mais recursos. Para um aplicativo base que foi lançado apenas 1-2 dias atrás, é muito bom. Mas há uma falta de recursos, como pesquisas. Embora eu tenha certeza de que eles estarão adicionando essas coisas mais tarde. Apli"&amp;"cativo geral de alta qualidade e envolvimento!")</f>
        <v>Bom aplicativo, ainda precisa de mais recursos. Para um aplicativo base que foi lançado apenas 1-2 dias atrás, é muito bom. Mas há uma falta de recursos, como pesquisas. Embora eu tenha certeza de que eles estarão adicionando essas coisas mais tarde. Aplicativo geral de alta qualidade e envolvimento!</v>
      </c>
      <c r="I452" s="10" t="str">
        <f>IFERROR(__xludf.DUMMYFUNCTION("TRIM(REGEXREPLACE(H452,""[^a-zA-ZÀ-ú ]+"",""""))"),"Bom aplicativo ainda precisa de mais recursos Para um aplicativo base que foi lançado apenas dias atrás é muito bom Mas há uma falta de recursos como pesquisas Embora eu tenha certeza de que eles estarão adicionando essas coisas mais tarde Aplicativo gera"&amp;"l de alta qualidade e envolvimento")</f>
        <v>Bom aplicativo ainda precisa de mais recursos Para um aplicativo base que foi lançado apenas dias atrás é muito bom Mas há uma falta de recursos como pesquisas Embora eu tenha certeza de que eles estarão adicionando essas coisas mais tarde Aplicativo geral de alta qualidade e envolvimento</v>
      </c>
      <c r="J452" s="3"/>
      <c r="K452" s="3"/>
      <c r="L452" s="3"/>
      <c r="M452" s="3"/>
      <c r="N452" s="3"/>
      <c r="O452" s="3"/>
      <c r="P452" s="3"/>
      <c r="Q452" s="3"/>
      <c r="R452" s="3"/>
      <c r="S452" s="3"/>
      <c r="T452" s="3"/>
      <c r="U452" s="3"/>
      <c r="V452" s="3"/>
      <c r="W452" s="3"/>
      <c r="X452" s="3"/>
      <c r="Y452" s="3"/>
      <c r="Z452" s="3"/>
      <c r="AA452" s="3"/>
    </row>
    <row r="453" ht="105.75" customHeight="1">
      <c r="A453" s="4" t="s">
        <v>9</v>
      </c>
      <c r="B453" s="5" t="s">
        <v>461</v>
      </c>
      <c r="C453" s="4">
        <v>4.0</v>
      </c>
      <c r="D453" s="6">
        <v>45114.48780092593</v>
      </c>
      <c r="E453" s="7" t="str">
        <f t="shared" si="1"/>
        <v>2023-07-07</v>
      </c>
      <c r="F453" s="8" t="str">
        <f t="shared" si="2"/>
        <v> 11:42:26</v>
      </c>
      <c r="G453" s="9" t="str">
        <f t="shared" si="3"/>
        <v>Manhã</v>
      </c>
      <c r="H453" s="10" t="str">
        <f>IFERROR(__xludf.DUMMYFUNCTION("GOOGLETRANSLATE(B453, ""en"", ""pt-br"")"),"Objetivamente melhor do que as alternativas. É realmente tão simples. Mastodon estava bem, mas todos foram embora. O Twitter foi ótimo antes de se transformar em um incêndio de esgoto quase funcional. Não posso falar sobre o Bluesky porque está em beta fe"&amp;"chado desde o início do próprio tempo. Por padrão, Threads é muito bom. Eu daria 5 estrelas se tivesse tópicos/tags de tendência e um aplicativo da web de desktop.")</f>
        <v>Objetivamente melhor do que as alternativas. É realmente tão simples. Mastodon estava bem, mas todos foram embora. O Twitter foi ótimo antes de se transformar em um incêndio de esgoto quase funcional. Não posso falar sobre o Bluesky porque está em beta fechado desde o início do próprio tempo. Por padrão, Threads é muito bom. Eu daria 5 estrelas se tivesse tópicos/tags de tendência e um aplicativo da web de desktop.</v>
      </c>
      <c r="I453" s="10" t="str">
        <f>IFERROR(__xludf.DUMMYFUNCTION("TRIM(REGEXREPLACE(H453,""[^a-zA-ZÀ-ú ]+"",""""))"),"Objetivamente melhor do que as alternativas É realmente tão simples Mastodon estava bem mas todos foram embora O Twitter foi ótimo antes de se transformar em um incêndio de esgoto quase funcional Não posso falar sobre o Bluesky porque está em beta fechado"&amp;" desde o início do próprio tempo Por padrão Threads é muito bom Eu daria estrelas se tivesse tópicostags de tendência e um aplicativo da web de desktop")</f>
        <v>Objetivamente melhor do que as alternativas É realmente tão simples Mastodon estava bem mas todos foram embora O Twitter foi ótimo antes de se transformar em um incêndio de esgoto quase funcional Não posso falar sobre o Bluesky porque está em beta fechado desde o início do próprio tempo Por padrão Threads é muito bom Eu daria estrelas se tivesse tópicostags de tendência e um aplicativo da web de desktop</v>
      </c>
      <c r="J453" s="3"/>
      <c r="K453" s="3"/>
      <c r="L453" s="3"/>
      <c r="M453" s="3"/>
      <c r="N453" s="3"/>
      <c r="O453" s="3"/>
      <c r="P453" s="3"/>
      <c r="Q453" s="3"/>
      <c r="R453" s="3"/>
      <c r="S453" s="3"/>
      <c r="T453" s="3"/>
      <c r="U453" s="3"/>
      <c r="V453" s="3"/>
      <c r="W453" s="3"/>
      <c r="X453" s="3"/>
      <c r="Y453" s="3"/>
      <c r="Z453" s="3"/>
      <c r="AA453" s="3"/>
    </row>
    <row r="454" ht="105.75" customHeight="1">
      <c r="A454" s="4" t="s">
        <v>9</v>
      </c>
      <c r="B454" s="5" t="s">
        <v>462</v>
      </c>
      <c r="C454" s="4">
        <v>1.0</v>
      </c>
      <c r="D454" s="6">
        <v>45116.08667824074</v>
      </c>
      <c r="E454" s="7" t="str">
        <f t="shared" si="1"/>
        <v>2023-07-09</v>
      </c>
      <c r="F454" s="8" t="str">
        <f t="shared" si="2"/>
        <v> 02:04:49</v>
      </c>
      <c r="G454" s="9" t="str">
        <f t="shared" si="3"/>
        <v>Manhã</v>
      </c>
      <c r="H454" s="10" t="str">
        <f>IFERROR(__xludf.DUMMYFUNCTION("GOOGLETRANSLATE(B454, ""en"", ""pt-br"")"),"Eu tentei os tempos de Mutliple em que tento responder ou iniciar um novo tópico com uma imagem, mas a imagem não carrega e, em vez disso, trava meu aplicativo e me expulsa. Só posso responder/postar com palavras. Sem fotos .. por favor, estou apenas tent"&amp;"ando postar wips de arte em tópicos, não quero que isso me estrague mais")</f>
        <v>Eu tentei os tempos de Mutliple em que tento responder ou iniciar um novo tópico com uma imagem, mas a imagem não carrega e, em vez disso, trava meu aplicativo e me expulsa. Só posso responder/postar com palavras. Sem fotos .. por favor, estou apenas tentando postar wips de arte em tópicos, não quero que isso me estrague mais</v>
      </c>
      <c r="I454" s="10" t="str">
        <f>IFERROR(__xludf.DUMMYFUNCTION("TRIM(REGEXREPLACE(H454,""[^a-zA-ZÀ-ú ]+"",""""))"),"Eu tentei os tempos de Mutliple em que tento responder ou iniciar um novo tópico com uma imagem mas a imagem não carrega e em vez disso trava meu aplicativo e me expulsa Só posso responderpostar com palavras Sem fotos por favor estou apenas tentando posta"&amp;"r wips de arte em tópicos não quero que isso me estrague mais")</f>
        <v>Eu tentei os tempos de Mutliple em que tento responder ou iniciar um novo tópico com uma imagem mas a imagem não carrega e em vez disso trava meu aplicativo e me expulsa Só posso responderpostar com palavras Sem fotos por favor estou apenas tentando postar wips de arte em tópicos não quero que isso me estrague mais</v>
      </c>
      <c r="J454" s="3"/>
      <c r="K454" s="3"/>
      <c r="L454" s="3"/>
      <c r="M454" s="3"/>
      <c r="N454" s="3"/>
      <c r="O454" s="3"/>
      <c r="P454" s="3"/>
      <c r="Q454" s="3"/>
      <c r="R454" s="3"/>
      <c r="S454" s="3"/>
      <c r="T454" s="3"/>
      <c r="U454" s="3"/>
      <c r="V454" s="3"/>
      <c r="W454" s="3"/>
      <c r="X454" s="3"/>
      <c r="Y454" s="3"/>
      <c r="Z454" s="3"/>
      <c r="AA454" s="3"/>
    </row>
    <row r="455" ht="105.75" customHeight="1">
      <c r="A455" s="4" t="s">
        <v>9</v>
      </c>
      <c r="B455" s="5" t="s">
        <v>463</v>
      </c>
      <c r="C455" s="4">
        <v>1.0</v>
      </c>
      <c r="D455" s="6">
        <v>45114.54493055555</v>
      </c>
      <c r="E455" s="7" t="str">
        <f t="shared" si="1"/>
        <v>2023-07-07</v>
      </c>
      <c r="F455" s="8" t="str">
        <f t="shared" si="2"/>
        <v> 13:04:42</v>
      </c>
      <c r="G455" s="9" t="str">
        <f t="shared" si="3"/>
        <v>Tarde</v>
      </c>
      <c r="H455" s="10" t="str">
        <f>IFERROR(__xludf.DUMMYFUNCTION("GOOGLETRANSLATE(B455, ""en"", ""pt-br"")"),"Está me deixando frustrado. Existem falhas em todos os lugares. Eu tenho reiniciado o aplicativo há várias vezes e as falhas ainda estavam por toda parte, nem consigo ler uma palavra por causa disso. Por favor, conserte, é irritante.")</f>
        <v>Está me deixando frustrado. Existem falhas em todos os lugares. Eu tenho reiniciado o aplicativo há várias vezes e as falhas ainda estavam por toda parte, nem consigo ler uma palavra por causa disso. Por favor, conserte, é irritante.</v>
      </c>
      <c r="I455" s="10" t="str">
        <f>IFERROR(__xludf.DUMMYFUNCTION("TRIM(REGEXREPLACE(H455,""[^a-zA-ZÀ-ú ]+"",""""))"),"Está me deixando frustrado Existem falhas em todos os lugares Eu tenho reiniciado o aplicativo há várias vezes e as falhas ainda estavam por toda parte nem consigo ler uma palavra por causa disso Por favor conserte é irritante")</f>
        <v>Está me deixando frustrado Existem falhas em todos os lugares Eu tenho reiniciado o aplicativo há várias vezes e as falhas ainda estavam por toda parte nem consigo ler uma palavra por causa disso Por favor conserte é irritante</v>
      </c>
      <c r="J455" s="3"/>
      <c r="K455" s="3"/>
      <c r="L455" s="3"/>
      <c r="M455" s="3"/>
      <c r="N455" s="3"/>
      <c r="O455" s="3"/>
      <c r="P455" s="3"/>
      <c r="Q455" s="3"/>
      <c r="R455" s="3"/>
      <c r="S455" s="3"/>
      <c r="T455" s="3"/>
      <c r="U455" s="3"/>
      <c r="V455" s="3"/>
      <c r="W455" s="3"/>
      <c r="X455" s="3"/>
      <c r="Y455" s="3"/>
      <c r="Z455" s="3"/>
      <c r="AA455" s="3"/>
    </row>
    <row r="456" ht="105.75" customHeight="1">
      <c r="A456" s="4" t="s">
        <v>9</v>
      </c>
      <c r="B456" s="5" t="s">
        <v>464</v>
      </c>
      <c r="C456" s="4">
        <v>4.0</v>
      </c>
      <c r="D456" s="6">
        <v>45114.41407407408</v>
      </c>
      <c r="E456" s="7" t="str">
        <f t="shared" si="1"/>
        <v>2023-07-07</v>
      </c>
      <c r="F456" s="8" t="str">
        <f t="shared" si="2"/>
        <v> 09:56:16</v>
      </c>
      <c r="G456" s="9" t="str">
        <f t="shared" si="3"/>
        <v>Manhã</v>
      </c>
      <c r="H456" s="10" t="str">
        <f>IFERROR(__xludf.DUMMYFUNCTION("GOOGLETRANSLATE(B456, ""en"", ""pt-br"")"),"Super, aplicativo muito excelente. O único bug que notei é ao digitar comentários, a interface do usuário não se ajusta ao teclado para que você possa ver o que está digitando.")</f>
        <v>Super, aplicativo muito excelente. O único bug que notei é ao digitar comentários, a interface do usuário não se ajusta ao teclado para que você possa ver o que está digitando.</v>
      </c>
      <c r="I456" s="10" t="str">
        <f>IFERROR(__xludf.DUMMYFUNCTION("TRIM(REGEXREPLACE(H456,""[^a-zA-ZÀ-ú ]+"",""""))"),"Super aplicativo muito excelente O único bug que notei é ao digitar comentários a interface do usuário não se ajusta ao teclado para que você possa ver o que está digitando")</f>
        <v>Super aplicativo muito excelente O único bug que notei é ao digitar comentários a interface do usuário não se ajusta ao teclado para que você possa ver o que está digitando</v>
      </c>
      <c r="J456" s="3"/>
      <c r="K456" s="3"/>
      <c r="L456" s="3"/>
      <c r="M456" s="3"/>
      <c r="N456" s="3"/>
      <c r="O456" s="3"/>
      <c r="P456" s="3"/>
      <c r="Q456" s="3"/>
      <c r="R456" s="3"/>
      <c r="S456" s="3"/>
      <c r="T456" s="3"/>
      <c r="U456" s="3"/>
      <c r="V456" s="3"/>
      <c r="W456" s="3"/>
      <c r="X456" s="3"/>
      <c r="Y456" s="3"/>
      <c r="Z456" s="3"/>
      <c r="AA456" s="3"/>
    </row>
    <row r="457" ht="105.75" customHeight="1">
      <c r="A457" s="4" t="s">
        <v>9</v>
      </c>
      <c r="B457" s="5" t="s">
        <v>465</v>
      </c>
      <c r="C457" s="4">
        <v>2.0</v>
      </c>
      <c r="D457" s="6">
        <v>45113.79719907408</v>
      </c>
      <c r="E457" s="7" t="str">
        <f t="shared" si="1"/>
        <v>2023-07-06</v>
      </c>
      <c r="F457" s="8" t="str">
        <f t="shared" si="2"/>
        <v> 19:07:58</v>
      </c>
      <c r="G457" s="9" t="str">
        <f t="shared" si="3"/>
        <v>Noite</v>
      </c>
      <c r="H457" s="10" t="str">
        <f>IFERROR(__xludf.DUMMYFUNCTION("GOOGLETRANSLATE(B457, ""en"", ""pt-br"")"),"Eu tinha grandes esperanças para o aplicativo, mas, infelizmente, sempre que tento adicionar uma foto às minhas postagens, tudo isso trava. Embora ainda seja muito cedo, no lançamento, este é um bug bastante desencorajador para lidar.")</f>
        <v>Eu tinha grandes esperanças para o aplicativo, mas, infelizmente, sempre que tento adicionar uma foto às minhas postagens, tudo isso trava. Embora ainda seja muito cedo, no lançamento, este é um bug bastante desencorajador para lidar.</v>
      </c>
      <c r="I457" s="10" t="str">
        <f>IFERROR(__xludf.DUMMYFUNCTION("TRIM(REGEXREPLACE(H457,""[^a-zA-ZÀ-ú ]+"",""""))"),"Eu tinha grandes esperanças para o aplicativo mas infelizmente sempre que tento adicionar uma foto às minhas postagens tudo isso trava Embora ainda seja muito cedo no lançamento este é um bug bastante desencorajador para lidar")</f>
        <v>Eu tinha grandes esperanças para o aplicativo mas infelizmente sempre que tento adicionar uma foto às minhas postagens tudo isso trava Embora ainda seja muito cedo no lançamento este é um bug bastante desencorajador para lidar</v>
      </c>
      <c r="J457" s="3"/>
      <c r="K457" s="3"/>
      <c r="L457" s="3"/>
      <c r="M457" s="3"/>
      <c r="N457" s="3"/>
      <c r="O457" s="3"/>
      <c r="P457" s="3"/>
      <c r="Q457" s="3"/>
      <c r="R457" s="3"/>
      <c r="S457" s="3"/>
      <c r="T457" s="3"/>
      <c r="U457" s="3"/>
      <c r="V457" s="3"/>
      <c r="W457" s="3"/>
      <c r="X457" s="3"/>
      <c r="Y457" s="3"/>
      <c r="Z457" s="3"/>
      <c r="AA457" s="3"/>
    </row>
    <row r="458" ht="105.75" customHeight="1">
      <c r="A458" s="4" t="s">
        <v>9</v>
      </c>
      <c r="B458" s="5" t="s">
        <v>466</v>
      </c>
      <c r="C458" s="4">
        <v>4.0</v>
      </c>
      <c r="D458" s="6">
        <v>45116.988912037035</v>
      </c>
      <c r="E458" s="7" t="str">
        <f t="shared" si="1"/>
        <v>2023-07-09</v>
      </c>
      <c r="F458" s="8" t="str">
        <f t="shared" si="2"/>
        <v> 23:44:02</v>
      </c>
      <c r="G458" s="9" t="str">
        <f t="shared" si="3"/>
        <v>Noite</v>
      </c>
      <c r="H458" s="10" t="str">
        <f>IFERROR(__xludf.DUMMYFUNCTION("GOOGLETRANSLATE(B458, ""en"", ""pt-br"")"),"Eu gosto disso. Mas precisa de melhorias: 1. Adicione as opções para escolher fotos de outra pasta. É tão difícil encontrá -lo apenas rolar para baixo o tempo todo. 2. Adicione a opção de login para o usuário do IG Lite como eu. Este aplicativo está bom a"&amp;"gora, especialmente, posso postar mensagens mais longas (é claro que seu nome é thread hehe). Bom trabalho meta 👍🏻")</f>
        <v>Eu gosto disso. Mas precisa de melhorias: 1. Adicione as opções para escolher fotos de outra pasta. É tão difícil encontrá -lo apenas rolar para baixo o tempo todo. 2. Adicione a opção de login para o usuário do IG Lite como eu. Este aplicativo está bom agora, especialmente, posso postar mensagens mais longas (é claro que seu nome é thread hehe). Bom trabalho meta 👍🏻</v>
      </c>
      <c r="I458" s="10" t="str">
        <f>IFERROR(__xludf.DUMMYFUNCTION("TRIM(REGEXREPLACE(H458,""[^a-zA-ZÀ-ú ]+"",""""))"),"Eu gosto disso Mas precisa de melhorias Adicione as opções para escolher fotos de outra pasta É tão difícil encontrá lo apenas rolar para baixo o tempo todo Adicione a opção de login para o usuário do IG Lite como eu Este aplicativo está bom agora especia"&amp;"lmente posso postar mensagens mais longas é claro que seu nome é thread hehe Bom trabalho meta")</f>
        <v>Eu gosto disso Mas precisa de melhorias Adicione as opções para escolher fotos de outra pasta É tão difícil encontrá lo apenas rolar para baixo o tempo todo Adicione a opção de login para o usuário do IG Lite como eu Este aplicativo está bom agora especialmente posso postar mensagens mais longas é claro que seu nome é thread hehe Bom trabalho meta</v>
      </c>
      <c r="J458" s="3"/>
      <c r="K458" s="3"/>
      <c r="L458" s="3"/>
      <c r="M458" s="3"/>
      <c r="N458" s="3"/>
      <c r="O458" s="3"/>
      <c r="P458" s="3"/>
      <c r="Q458" s="3"/>
      <c r="R458" s="3"/>
      <c r="S458" s="3"/>
      <c r="T458" s="3"/>
      <c r="U458" s="3"/>
      <c r="V458" s="3"/>
      <c r="W458" s="3"/>
      <c r="X458" s="3"/>
      <c r="Y458" s="3"/>
      <c r="Z458" s="3"/>
      <c r="AA458" s="3"/>
    </row>
    <row r="459" ht="105.75" customHeight="1">
      <c r="A459" s="4" t="s">
        <v>9</v>
      </c>
      <c r="B459" s="5" t="s">
        <v>467</v>
      </c>
      <c r="C459" s="4">
        <v>3.0</v>
      </c>
      <c r="D459" s="6">
        <v>45113.74826388889</v>
      </c>
      <c r="E459" s="7" t="str">
        <f t="shared" si="1"/>
        <v>2023-07-06</v>
      </c>
      <c r="F459" s="8" t="str">
        <f t="shared" si="2"/>
        <v> 17:57:30</v>
      </c>
      <c r="G459" s="9" t="str">
        <f t="shared" si="3"/>
        <v>Tarde</v>
      </c>
      <c r="H459" s="10" t="str">
        <f>IFERROR(__xludf.DUMMYFUNCTION("GOOGLETRANSLATE(B459, ""en"", ""pt-br"")"),"Usando o teclado do Google, o aplicativo não rola para me deixar ver onde estou digitando. A área de digitação se sobrepõe embaixo do teclado e não consigo rolar para vê -lo. O mesmo acontece no Instagram, na verdade. Por favor me ajude a corrigir isso. /"&amp;"/ O aplicativo continua travando")</f>
        <v>Usando o teclado do Google, o aplicativo não rola para me deixar ver onde estou digitando. A área de digitação se sobrepõe embaixo do teclado e não consigo rolar para vê -lo. O mesmo acontece no Instagram, na verdade. Por favor me ajude a corrigir isso. // O aplicativo continua travando</v>
      </c>
      <c r="I459" s="10" t="str">
        <f>IFERROR(__xludf.DUMMYFUNCTION("TRIM(REGEXREPLACE(H459,""[^a-zA-ZÀ-ú ]+"",""""))"),"Usando o teclado do Google o aplicativo não rola para me deixar ver onde estou digitando A área de digitação se sobrepõe embaixo do teclado e não consigo rolar para vê lo O mesmo acontece no Instagram na verdade Por favor me ajude a corrigir isso O aplica"&amp;"tivo continua travando")</f>
        <v>Usando o teclado do Google o aplicativo não rola para me deixar ver onde estou digitando A área de digitação se sobrepõe embaixo do teclado e não consigo rolar para vê lo O mesmo acontece no Instagram na verdade Por favor me ajude a corrigir isso O aplicativo continua travando</v>
      </c>
      <c r="J459" s="3"/>
      <c r="K459" s="3"/>
      <c r="L459" s="3"/>
      <c r="M459" s="3"/>
      <c r="N459" s="3"/>
      <c r="O459" s="3"/>
      <c r="P459" s="3"/>
      <c r="Q459" s="3"/>
      <c r="R459" s="3"/>
      <c r="S459" s="3"/>
      <c r="T459" s="3"/>
      <c r="U459" s="3"/>
      <c r="V459" s="3"/>
      <c r="W459" s="3"/>
      <c r="X459" s="3"/>
      <c r="Y459" s="3"/>
      <c r="Z459" s="3"/>
      <c r="AA459" s="3"/>
    </row>
    <row r="460" ht="105.75" customHeight="1">
      <c r="A460" s="4" t="s">
        <v>9</v>
      </c>
      <c r="B460" s="5" t="s">
        <v>468</v>
      </c>
      <c r="C460" s="4">
        <v>1.0</v>
      </c>
      <c r="D460" s="6">
        <v>45114.729108796295</v>
      </c>
      <c r="E460" s="7" t="str">
        <f t="shared" si="1"/>
        <v>2023-07-07</v>
      </c>
      <c r="F460" s="8" t="str">
        <f t="shared" si="2"/>
        <v> 17:29:55</v>
      </c>
      <c r="G460" s="9" t="str">
        <f t="shared" si="3"/>
        <v>Tarde</v>
      </c>
      <c r="H460" s="10" t="str">
        <f>IFERROR(__xludf.DUMMYFUNCTION("GOOGLETRANSLATE(B460, ""en"", ""pt-br"")"),"Instalou -o pensando desta vez que seria diferente, mas é muito mais desorganizado do que qualquer outro aplicativo. É como se todos estivessem chegando, despejando threads, precisando de uma atualização onde possamos ver o que queremos, não sei para onde"&amp;" foi nossa preferência, como eles perguntaram inicialmente, mas não parece que eles o estão usando.")</f>
        <v>Instalou -o pensando desta vez que seria diferente, mas é muito mais desorganizado do que qualquer outro aplicativo. É como se todos estivessem chegando, despejando threads, precisando de uma atualização onde possamos ver o que queremos, não sei para onde foi nossa preferência, como eles perguntaram inicialmente, mas não parece que eles o estão usando.</v>
      </c>
      <c r="I460" s="10" t="str">
        <f>IFERROR(__xludf.DUMMYFUNCTION("TRIM(REGEXREPLACE(H460,""[^a-zA-ZÀ-ú ]+"",""""))"),"Instalou o pensando desta vez que seria diferente mas é muito mais desorganizado do que qualquer outro aplicativo É como se todos estivessem chegando despejando threads precisando de uma atualização onde possamos ver o que queremos não sei para onde foi n"&amp;"ossa preferência como eles perguntaram inicialmente mas não parece que eles o estão usando")</f>
        <v>Instalou o pensando desta vez que seria diferente mas é muito mais desorganizado do que qualquer outro aplicativo É como se todos estivessem chegando despejando threads precisando de uma atualização onde possamos ver o que queremos não sei para onde foi nossa preferência como eles perguntaram inicialmente mas não parece que eles o estão usando</v>
      </c>
      <c r="J460" s="3"/>
      <c r="K460" s="3"/>
      <c r="L460" s="3"/>
      <c r="M460" s="3"/>
      <c r="N460" s="3"/>
      <c r="O460" s="3"/>
      <c r="P460" s="3"/>
      <c r="Q460" s="3"/>
      <c r="R460" s="3"/>
      <c r="S460" s="3"/>
      <c r="T460" s="3"/>
      <c r="U460" s="3"/>
      <c r="V460" s="3"/>
      <c r="W460" s="3"/>
      <c r="X460" s="3"/>
      <c r="Y460" s="3"/>
      <c r="Z460" s="3"/>
      <c r="AA460" s="3"/>
    </row>
    <row r="461" ht="105.75" customHeight="1">
      <c r="A461" s="4" t="s">
        <v>9</v>
      </c>
      <c r="B461" s="5" t="s">
        <v>469</v>
      </c>
      <c r="C461" s="4">
        <v>3.0</v>
      </c>
      <c r="D461" s="6">
        <v>45113.19087962963</v>
      </c>
      <c r="E461" s="7" t="str">
        <f t="shared" si="1"/>
        <v>2023-07-06</v>
      </c>
      <c r="F461" s="8" t="str">
        <f t="shared" si="2"/>
        <v> 04:34:52</v>
      </c>
      <c r="G461" s="9" t="str">
        <f t="shared" si="3"/>
        <v>Manhã</v>
      </c>
      <c r="H461" s="10" t="str">
        <f>IFERROR(__xludf.DUMMYFUNCTION("GOOGLETRANSLATE(B461, ""en"", ""pt-br"")"),"Parece que o áudio não funciona nos vídeos enviados pela versão do Android. Eu e outros músicos que usam Androids Nosso áudio é silenciado e o botão que você clica para obter som não está lá. O áudio funciona apenas para aqueles que carregaram w dispositi"&amp;"vos iOS !! Isso não é justo para os usuários do Android !!")</f>
        <v>Parece que o áudio não funciona nos vídeos enviados pela versão do Android. Eu e outros músicos que usam Androids Nosso áudio é silenciado e o botão que você clica para obter som não está lá. O áudio funciona apenas para aqueles que carregaram w dispositivos iOS !! Isso não é justo para os usuários do Android !!</v>
      </c>
      <c r="I461" s="10" t="str">
        <f>IFERROR(__xludf.DUMMYFUNCTION("TRIM(REGEXREPLACE(H461,""[^a-zA-ZÀ-ú ]+"",""""))"),"Parece que o áudio não funciona nos vídeos enviados pela versão do Android Eu e outros músicos que usam Androids Nosso áudio é silenciado e o botão que você clica para obter som não está lá O áudio funciona apenas para aqueles que carregaram w dispositivo"&amp;"s iOS Isso não é justo para os usuários do Android")</f>
        <v>Parece que o áudio não funciona nos vídeos enviados pela versão do Android Eu e outros músicos que usam Androids Nosso áudio é silenciado e o botão que você clica para obter som não está lá O áudio funciona apenas para aqueles que carregaram w dispositivos iOS Isso não é justo para os usuários do Android</v>
      </c>
      <c r="J461" s="3"/>
      <c r="K461" s="3"/>
      <c r="L461" s="3"/>
      <c r="M461" s="3"/>
      <c r="N461" s="3"/>
      <c r="O461" s="3"/>
      <c r="P461" s="3"/>
      <c r="Q461" s="3"/>
      <c r="R461" s="3"/>
      <c r="S461" s="3"/>
      <c r="T461" s="3"/>
      <c r="U461" s="3"/>
      <c r="V461" s="3"/>
      <c r="W461" s="3"/>
      <c r="X461" s="3"/>
      <c r="Y461" s="3"/>
      <c r="Z461" s="3"/>
      <c r="AA461" s="3"/>
    </row>
    <row r="462" ht="105.75" customHeight="1">
      <c r="A462" s="4" t="s">
        <v>9</v>
      </c>
      <c r="B462" s="5" t="s">
        <v>470</v>
      </c>
      <c r="C462" s="4">
        <v>3.0</v>
      </c>
      <c r="D462" s="6">
        <v>45116.54646990741</v>
      </c>
      <c r="E462" s="7" t="str">
        <f t="shared" si="1"/>
        <v>2023-07-09</v>
      </c>
      <c r="F462" s="8" t="str">
        <f t="shared" si="2"/>
        <v> 13:06:55</v>
      </c>
      <c r="G462" s="9" t="str">
        <f t="shared" si="3"/>
        <v>Tarde</v>
      </c>
      <c r="H462" s="10" t="str">
        <f>IFERROR(__xludf.DUMMYFUNCTION("GOOGLETRANSLATE(B462, ""en"", ""pt-br"")"),"É bom, mas tem quatro problemas 1) Como o Instagram, não possui o recurso para registrar muitas contas ao mesmo tempo. 2) Ele não tem modo escuro. 3) Ele não tem o recurso para traduzir biografia. 4) Não há opção de thread de edição.")</f>
        <v>É bom, mas tem quatro problemas 1) Como o Instagram, não possui o recurso para registrar muitas contas ao mesmo tempo. 2) Ele não tem modo escuro. 3) Ele não tem o recurso para traduzir biografia. 4) Não há opção de thread de edição.</v>
      </c>
      <c r="I462" s="10" t="str">
        <f>IFERROR(__xludf.DUMMYFUNCTION("TRIM(REGEXREPLACE(H462,""[^a-zA-ZÀ-ú ]+"",""""))"),"É bom mas tem quatro problemas Como o Instagram não possui o recurso para registrar muitas contas ao mesmo tempo Ele não tem modo escuro Ele não tem o recurso para traduzir biografia Não há opção de thread de edição")</f>
        <v>É bom mas tem quatro problemas Como o Instagram não possui o recurso para registrar muitas contas ao mesmo tempo Ele não tem modo escuro Ele não tem o recurso para traduzir biografia Não há opção de thread de edição</v>
      </c>
      <c r="J462" s="3"/>
      <c r="K462" s="3"/>
      <c r="L462" s="3"/>
      <c r="M462" s="3"/>
      <c r="N462" s="3"/>
      <c r="O462" s="3"/>
      <c r="P462" s="3"/>
      <c r="Q462" s="3"/>
      <c r="R462" s="3"/>
      <c r="S462" s="3"/>
      <c r="T462" s="3"/>
      <c r="U462" s="3"/>
      <c r="V462" s="3"/>
      <c r="W462" s="3"/>
      <c r="X462" s="3"/>
      <c r="Y462" s="3"/>
      <c r="Z462" s="3"/>
      <c r="AA462" s="3"/>
    </row>
    <row r="463" ht="105.75" customHeight="1">
      <c r="A463" s="4" t="s">
        <v>9</v>
      </c>
      <c r="B463" s="5" t="s">
        <v>471</v>
      </c>
      <c r="C463" s="4">
        <v>3.0</v>
      </c>
      <c r="D463" s="6">
        <v>45121.56601851852</v>
      </c>
      <c r="E463" s="7" t="str">
        <f t="shared" si="1"/>
        <v>2023-07-14</v>
      </c>
      <c r="F463" s="8" t="str">
        <f t="shared" si="2"/>
        <v> 13:35:04</v>
      </c>
      <c r="G463" s="9" t="str">
        <f t="shared" si="3"/>
        <v>Tarde</v>
      </c>
      <c r="H463" s="10" t="str">
        <f>IFERROR(__xludf.DUMMYFUNCTION("GOOGLETRANSLATE(B463, ""en"", ""pt-br"")"),"É um bom aplicativo com muito potencial, mas, por algum motivo, não consegui ver minhas notificações ou perfis das pessoas (incluindo o meu!) Desde ontem, como diz ""algo deu errado"".")</f>
        <v>É um bom aplicativo com muito potencial, mas, por algum motivo, não consegui ver minhas notificações ou perfis das pessoas (incluindo o meu!) Desde ontem, como diz "algo deu errado".</v>
      </c>
      <c r="I463" s="10" t="str">
        <f>IFERROR(__xludf.DUMMYFUNCTION("TRIM(REGEXREPLACE(H463,""[^a-zA-ZÀ-ú ]+"",""""))"),"É um bom aplicativo com muito potencial mas por algum motivo não consegui ver minhas notificações ou perfis das pessoas incluindo o meu Desde ontem como diz algo deu errado")</f>
        <v>É um bom aplicativo com muito potencial mas por algum motivo não consegui ver minhas notificações ou perfis das pessoas incluindo o meu Desde ontem como diz algo deu errado</v>
      </c>
      <c r="J463" s="3"/>
      <c r="K463" s="3"/>
      <c r="L463" s="3"/>
      <c r="M463" s="3"/>
      <c r="N463" s="3"/>
      <c r="O463" s="3"/>
      <c r="P463" s="3"/>
      <c r="Q463" s="3"/>
      <c r="R463" s="3"/>
      <c r="S463" s="3"/>
      <c r="T463" s="3"/>
      <c r="U463" s="3"/>
      <c r="V463" s="3"/>
      <c r="W463" s="3"/>
      <c r="X463" s="3"/>
      <c r="Y463" s="3"/>
      <c r="Z463" s="3"/>
      <c r="AA463" s="3"/>
    </row>
    <row r="464" ht="105.75" customHeight="1">
      <c r="A464" s="4" t="s">
        <v>9</v>
      </c>
      <c r="B464" s="5" t="s">
        <v>472</v>
      </c>
      <c r="C464" s="4">
        <v>3.0</v>
      </c>
      <c r="D464" s="6">
        <v>45113.8615625</v>
      </c>
      <c r="E464" s="7" t="str">
        <f t="shared" si="1"/>
        <v>2023-07-06</v>
      </c>
      <c r="F464" s="8" t="str">
        <f t="shared" si="2"/>
        <v> 20:40:39</v>
      </c>
      <c r="G464" s="9" t="str">
        <f t="shared" si="3"/>
        <v>Noite</v>
      </c>
      <c r="H464" s="10" t="str">
        <f>IFERROR(__xludf.DUMMYFUNCTION("GOOGLETRANSLATE(B464, ""en"", ""pt-br"")"),"Bom interface do usuário, boa experiência. Mas o único problema é que podemos fazer login em uma conta por vez. Quero dizer, não há nem a opção de troca de conta. Para fazer login em outra conta, primeiro precisamos fazer o logout do nosso login atual e d"&amp;"epois ir para a conta do Switch do Instagram e depois chegar aos threads para fazer o login novamente. Não na página inicial ou na frente, mas deve haver opção de troca de conta nas configurações.")</f>
        <v>Bom interface do usuário, boa experiência. Mas o único problema é que podemos fazer login em uma conta por vez. Quero dizer, não há nem a opção de troca de conta. Para fazer login em outra conta, primeiro precisamos fazer o logout do nosso login atual e depois ir para a conta do Switch do Instagram e depois chegar aos threads para fazer o login novamente. Não na página inicial ou na frente, mas deve haver opção de troca de conta nas configurações.</v>
      </c>
      <c r="I464" s="10" t="str">
        <f>IFERROR(__xludf.DUMMYFUNCTION("TRIM(REGEXREPLACE(H464,""[^a-zA-ZÀ-ú ]+"",""""))"),"Bom interface do usuário boa experiência Mas o único problema é que podemos fazer login em uma conta por vez Quero dizer não há nem a opção de troca de conta Para fazer login em outra conta primeiro precisamos fazer o logout do nosso login atual e depois "&amp;"ir para a conta do Switch do Instagram e depois chegar aos threads para fazer o login novamente Não na página inicial ou na frente mas deve haver opção de troca de conta nas configurações")</f>
        <v>Bom interface do usuário boa experiência Mas o único problema é que podemos fazer login em uma conta por vez Quero dizer não há nem a opção de troca de conta Para fazer login em outra conta primeiro precisamos fazer o logout do nosso login atual e depois ir para a conta do Switch do Instagram e depois chegar aos threads para fazer o login novamente Não na página inicial ou na frente mas deve haver opção de troca de conta nas configurações</v>
      </c>
      <c r="J464" s="3"/>
      <c r="K464" s="3"/>
      <c r="L464" s="3"/>
      <c r="M464" s="3"/>
      <c r="N464" s="3"/>
      <c r="O464" s="3"/>
      <c r="P464" s="3"/>
      <c r="Q464" s="3"/>
      <c r="R464" s="3"/>
      <c r="S464" s="3"/>
      <c r="T464" s="3"/>
      <c r="U464" s="3"/>
      <c r="V464" s="3"/>
      <c r="W464" s="3"/>
      <c r="X464" s="3"/>
      <c r="Y464" s="3"/>
      <c r="Z464" s="3"/>
      <c r="AA464" s="3"/>
    </row>
    <row r="465" ht="105.75" customHeight="1">
      <c r="A465" s="4" t="s">
        <v>9</v>
      </c>
      <c r="B465" s="5" t="s">
        <v>473</v>
      </c>
      <c r="C465" s="4">
        <v>4.0</v>
      </c>
      <c r="D465" s="6">
        <v>45113.53181712963</v>
      </c>
      <c r="E465" s="7" t="str">
        <f t="shared" si="1"/>
        <v>2023-07-06</v>
      </c>
      <c r="F465" s="8" t="str">
        <f t="shared" si="2"/>
        <v> 12:45:49</v>
      </c>
      <c r="G465" s="9" t="str">
        <f t="shared" si="3"/>
        <v>Tarde</v>
      </c>
      <c r="H465" s="10" t="str">
        <f>IFERROR(__xludf.DUMMYFUNCTION("GOOGLETRANSLATE(B465, ""en"", ""pt-br"")"),"É ótimo até agora! Só gostaria que houvesse algumas coisas adicionadas a uma experiência melhor: 1) facilitará a troca de contas sem fazer login primeiro, 2) ter um recurso de salvamento / marcador, 3) Fine o feed porque estou vendo muito mais Postagens d"&amp;"e pessoas aleatórias que não sigo, em comparação com as pessoas que sigo e quero interagir")</f>
        <v>É ótimo até agora! Só gostaria que houvesse algumas coisas adicionadas a uma experiência melhor: 1) facilitará a troca de contas sem fazer login primeiro, 2) ter um recurso de salvamento / marcador, 3) Fine o feed porque estou vendo muito mais Postagens de pessoas aleatórias que não sigo, em comparação com as pessoas que sigo e quero interagir</v>
      </c>
      <c r="I465" s="10" t="str">
        <f>IFERROR(__xludf.DUMMYFUNCTION("TRIM(REGEXREPLACE(H465,""[^a-zA-ZÀ-ú ]+"",""""))"),"É ótimo até agora Só gostaria que houvesse algumas coisas adicionadas a uma experiência melhor facilitará a troca de contas sem fazer login primeiro ter um recurso de salvamento marcador Fine o feed porque estou vendo muito mais Postagens de pessoas aleat"&amp;"órias que não sigo em comparação com as pessoas que sigo e quero interagir")</f>
        <v>É ótimo até agora Só gostaria que houvesse algumas coisas adicionadas a uma experiência melhor facilitará a troca de contas sem fazer login primeiro ter um recurso de salvamento marcador Fine o feed porque estou vendo muito mais Postagens de pessoas aleatórias que não sigo em comparação com as pessoas que sigo e quero interagir</v>
      </c>
      <c r="J465" s="3"/>
      <c r="K465" s="3"/>
      <c r="L465" s="3"/>
      <c r="M465" s="3"/>
      <c r="N465" s="3"/>
      <c r="O465" s="3"/>
      <c r="P465" s="3"/>
      <c r="Q465" s="3"/>
      <c r="R465" s="3"/>
      <c r="S465" s="3"/>
      <c r="T465" s="3"/>
      <c r="U465" s="3"/>
      <c r="V465" s="3"/>
      <c r="W465" s="3"/>
      <c r="X465" s="3"/>
      <c r="Y465" s="3"/>
      <c r="Z465" s="3"/>
      <c r="AA465" s="3"/>
    </row>
    <row r="466" ht="105.75" customHeight="1">
      <c r="A466" s="4" t="s">
        <v>9</v>
      </c>
      <c r="B466" s="5" t="s">
        <v>474</v>
      </c>
      <c r="C466" s="4">
        <v>4.0</v>
      </c>
      <c r="D466" s="6">
        <v>45115.24008101852</v>
      </c>
      <c r="E466" s="7" t="str">
        <f t="shared" si="1"/>
        <v>2023-07-08</v>
      </c>
      <c r="F466" s="8" t="str">
        <f t="shared" si="2"/>
        <v> 05:45:43</v>
      </c>
      <c r="G466" s="9" t="str">
        <f t="shared" si="3"/>
        <v>Manhã</v>
      </c>
      <c r="H466" s="10" t="str">
        <f>IFERROR(__xludf.DUMMYFUNCTION("GOOGLETRANSLATE(B466, ""en"", ""pt-br"")"),"O aplicativo e tudo é uma interface legal também é estética, as coisas são tudo está conectado ao Instagram, o que não dá ao aplicativo sua própria personalidade como, por exemplo App Independent Plus também apresente o recurso de mensagens")</f>
        <v>O aplicativo e tudo é uma interface legal também é estética, as coisas são tudo está conectado ao Instagram, o que não dá ao aplicativo sua própria personalidade como, por exemplo App Independent Plus também apresente o recurso de mensagens</v>
      </c>
      <c r="I466" s="10" t="str">
        <f>IFERROR(__xludf.DUMMYFUNCTION("TRIM(REGEXREPLACE(H466,""[^a-zA-ZÀ-ú ]+"",""""))"),"O aplicativo e tudo é uma interface legal também é estética as coisas são tudo está conectado ao Instagram o que não dá ao aplicativo sua própria personalidade como por exemplo App Independent Plus também apresente o recurso de mensagens")</f>
        <v>O aplicativo e tudo é uma interface legal também é estética as coisas são tudo está conectado ao Instagram o que não dá ao aplicativo sua própria personalidade como por exemplo App Independent Plus também apresente o recurso de mensagens</v>
      </c>
      <c r="J466" s="3"/>
      <c r="K466" s="3"/>
      <c r="L466" s="3"/>
      <c r="M466" s="3"/>
      <c r="N466" s="3"/>
      <c r="O466" s="3"/>
      <c r="P466" s="3"/>
      <c r="Q466" s="3"/>
      <c r="R466" s="3"/>
      <c r="S466" s="3"/>
      <c r="T466" s="3"/>
      <c r="U466" s="3"/>
      <c r="V466" s="3"/>
      <c r="W466" s="3"/>
      <c r="X466" s="3"/>
      <c r="Y466" s="3"/>
      <c r="Z466" s="3"/>
      <c r="AA466" s="3"/>
    </row>
    <row r="467" ht="105.75" customHeight="1">
      <c r="A467" s="4" t="s">
        <v>9</v>
      </c>
      <c r="B467" s="5" t="s">
        <v>475</v>
      </c>
      <c r="C467" s="4">
        <v>1.0</v>
      </c>
      <c r="D467" s="6">
        <v>45122.6159375</v>
      </c>
      <c r="E467" s="7" t="str">
        <f t="shared" si="1"/>
        <v>2023-07-15</v>
      </c>
      <c r="F467" s="8" t="str">
        <f t="shared" si="2"/>
        <v> 14:46:57</v>
      </c>
      <c r="G467" s="9" t="str">
        <f t="shared" si="3"/>
        <v>Tarde</v>
      </c>
      <c r="H467" s="10" t="str">
        <f>IFERROR(__xludf.DUMMYFUNCTION("GOOGLETRANSLATE(B467, ""en"", ""pt-br"")"),"É aleatório demais, sem controle sobre quem é o post aparece no feed, mata o objetivo de seguir/deixar de seguir as pessoas. De certa forma, é pior do que ver anúncios. Seria utilizável se pudéssemos limitar as principais postagens de feeds aos que seguim"&amp;"os e, em seguida, uma seção de exploração/atividade separada.")</f>
        <v>É aleatório demais, sem controle sobre quem é o post aparece no feed, mata o objetivo de seguir/deixar de seguir as pessoas. De certa forma, é pior do que ver anúncios. Seria utilizável se pudéssemos limitar as principais postagens de feeds aos que seguimos e, em seguida, uma seção de exploração/atividade separada.</v>
      </c>
      <c r="I467" s="10" t="str">
        <f>IFERROR(__xludf.DUMMYFUNCTION("TRIM(REGEXREPLACE(H467,""[^a-zA-ZÀ-ú ]+"",""""))"),"É aleatório demais sem controle sobre quem é o post aparece no feed mata o objetivo de seguirdeixar de seguir as pessoas De certa forma é pior do que ver anúncios Seria utilizável se pudéssemos limitar as principais postagens de feeds aos que seguimos e e"&amp;"m seguida uma seção de exploraçãoatividade separada")</f>
        <v>É aleatório demais sem controle sobre quem é o post aparece no feed mata o objetivo de seguirdeixar de seguir as pessoas De certa forma é pior do que ver anúncios Seria utilizável se pudéssemos limitar as principais postagens de feeds aos que seguimos e em seguida uma seção de exploraçãoatividade separada</v>
      </c>
      <c r="J467" s="3"/>
      <c r="K467" s="3"/>
      <c r="L467" s="3"/>
      <c r="M467" s="3"/>
      <c r="N467" s="3"/>
      <c r="O467" s="3"/>
      <c r="P467" s="3"/>
      <c r="Q467" s="3"/>
      <c r="R467" s="3"/>
      <c r="S467" s="3"/>
      <c r="T467" s="3"/>
      <c r="U467" s="3"/>
      <c r="V467" s="3"/>
      <c r="W467" s="3"/>
      <c r="X467" s="3"/>
      <c r="Y467" s="3"/>
      <c r="Z467" s="3"/>
      <c r="AA467" s="3"/>
    </row>
    <row r="468" ht="105.75" customHeight="1">
      <c r="A468" s="4" t="s">
        <v>9</v>
      </c>
      <c r="B468" s="5" t="s">
        <v>476</v>
      </c>
      <c r="C468" s="4">
        <v>3.0</v>
      </c>
      <c r="D468" s="6">
        <v>45128.1294212963</v>
      </c>
      <c r="E468" s="7" t="str">
        <f t="shared" si="1"/>
        <v>2023-07-21</v>
      </c>
      <c r="F468" s="8" t="str">
        <f t="shared" si="2"/>
        <v> 03:06:22</v>
      </c>
      <c r="G468" s="9" t="str">
        <f t="shared" si="3"/>
        <v>Manhã</v>
      </c>
      <c r="H468" s="10" t="str">
        <f>IFERROR(__xludf.DUMMYFUNCTION("GOOGLETRANSLATE(B468, ""en"", ""pt-br"")"),"Eu quero gostar! Eu apenas acho muito chato que continuo vendo postagens de pessoas que não sigo ou coisas em que não estou interessado no meu feed mais do que postagens das pessoas que sigo e realmente quero ver e não tenho como parar de aparecer. Tem po"&amp;"tencial para ser um aplicativo tão bom.")</f>
        <v>Eu quero gostar! Eu apenas acho muito chato que continuo vendo postagens de pessoas que não sigo ou coisas em que não estou interessado no meu feed mais do que postagens das pessoas que sigo e realmente quero ver e não tenho como parar de aparecer. Tem potencial para ser um aplicativo tão bom.</v>
      </c>
      <c r="I468" s="10" t="str">
        <f>IFERROR(__xludf.DUMMYFUNCTION("TRIM(REGEXREPLACE(H468,""[^a-zA-ZÀ-ú ]+"",""""))"),"Eu quero gostar Eu apenas acho muito chato que continuo vendo postagens de pessoas que não sigo ou coisas em que não estou interessado no meu feed mais do que postagens das pessoas que sigo e realmente quero ver e não tenho como parar de aparecer Tem pote"&amp;"ncial para ser um aplicativo tão bom")</f>
        <v>Eu quero gostar Eu apenas acho muito chato que continuo vendo postagens de pessoas que não sigo ou coisas em que não estou interessado no meu feed mais do que postagens das pessoas que sigo e realmente quero ver e não tenho como parar de aparecer Tem potencial para ser um aplicativo tão bom</v>
      </c>
      <c r="J468" s="3"/>
      <c r="K468" s="3"/>
      <c r="L468" s="3"/>
      <c r="M468" s="3"/>
      <c r="N468" s="3"/>
      <c r="O468" s="3"/>
      <c r="P468" s="3"/>
      <c r="Q468" s="3"/>
      <c r="R468" s="3"/>
      <c r="S468" s="3"/>
      <c r="T468" s="3"/>
      <c r="U468" s="3"/>
      <c r="V468" s="3"/>
      <c r="W468" s="3"/>
      <c r="X468" s="3"/>
      <c r="Y468" s="3"/>
      <c r="Z468" s="3"/>
      <c r="AA468" s="3"/>
    </row>
    <row r="469" ht="105.75" customHeight="1">
      <c r="A469" s="4" t="s">
        <v>9</v>
      </c>
      <c r="B469" s="5" t="s">
        <v>477</v>
      </c>
      <c r="C469" s="4">
        <v>1.0</v>
      </c>
      <c r="D469" s="6">
        <v>45129.58284722222</v>
      </c>
      <c r="E469" s="7" t="str">
        <f t="shared" si="1"/>
        <v>2023-07-22</v>
      </c>
      <c r="F469" s="8" t="str">
        <f t="shared" si="2"/>
        <v> 13:59:18</v>
      </c>
      <c r="G469" s="9" t="str">
        <f t="shared" si="3"/>
        <v>Tarde</v>
      </c>
      <c r="H469" s="10" t="str">
        <f>IFERROR(__xludf.DUMMYFUNCTION("GOOGLETRANSLATE(B469, ""en"", ""pt-br"")"),"Aplicativo realmente patético, nem consigo compartilhar meu link de vídeo do YouTube corretamente apenas o link de link e a miniatura não. Eu estava aparecendo alguns dias atrás, mas agora é apenas o link. Eles também devem sincronizar o depurador do link"&amp;" do Facebook para tópicos.")</f>
        <v>Aplicativo realmente patético, nem consigo compartilhar meu link de vídeo do YouTube corretamente apenas o link de link e a miniatura não. Eu estava aparecendo alguns dias atrás, mas agora é apenas o link. Eles também devem sincronizar o depurador do link do Facebook para tópicos.</v>
      </c>
      <c r="I469" s="10" t="str">
        <f>IFERROR(__xludf.DUMMYFUNCTION("TRIM(REGEXREPLACE(H469,""[^a-zA-ZÀ-ú ]+"",""""))"),"Aplicativo realmente patético nem consigo compartilhar meu link de vídeo do YouTube corretamente apenas o link de link e a miniatura não Eu estava aparecendo alguns dias atrás mas agora é apenas o link Eles também devem sincronizar o depurador do link do "&amp;"Facebook para tópicos")</f>
        <v>Aplicativo realmente patético nem consigo compartilhar meu link de vídeo do YouTube corretamente apenas o link de link e a miniatura não Eu estava aparecendo alguns dias atrás mas agora é apenas o link Eles também devem sincronizar o depurador do link do Facebook para tópicos</v>
      </c>
      <c r="J469" s="3"/>
      <c r="K469" s="3"/>
      <c r="L469" s="3"/>
      <c r="M469" s="3"/>
      <c r="N469" s="3"/>
      <c r="O469" s="3"/>
      <c r="P469" s="3"/>
      <c r="Q469" s="3"/>
      <c r="R469" s="3"/>
      <c r="S469" s="3"/>
      <c r="T469" s="3"/>
      <c r="U469" s="3"/>
      <c r="V469" s="3"/>
      <c r="W469" s="3"/>
      <c r="X469" s="3"/>
      <c r="Y469" s="3"/>
      <c r="Z469" s="3"/>
      <c r="AA469" s="3"/>
    </row>
    <row r="470" ht="105.75" customHeight="1">
      <c r="A470" s="4" t="s">
        <v>9</v>
      </c>
      <c r="B470" s="5" t="s">
        <v>478</v>
      </c>
      <c r="C470" s="4">
        <v>1.0</v>
      </c>
      <c r="D470" s="6">
        <v>45115.496724537035</v>
      </c>
      <c r="E470" s="7" t="str">
        <f t="shared" si="1"/>
        <v>2023-07-08</v>
      </c>
      <c r="F470" s="8" t="str">
        <f t="shared" si="2"/>
        <v> 11:55:17</v>
      </c>
      <c r="G470" s="9" t="str">
        <f t="shared" si="3"/>
        <v>Manhã</v>
      </c>
      <c r="H470" s="10" t="str">
        <f>IFERROR(__xludf.DUMMYFUNCTION("GOOGLETRANSLATE(B470, ""en"", ""pt-br"")"),"Por alguma razão, este aplicativo precisa de acesso às seguintes informações do seu telefone: informações pessoais (mesmo que você esteja fornecendo isso a si mesmo) informações financeiras (com licença, o quê?) Informações sobre saúde e fitness (por quê?"&amp;") (E -mails, e -mails, SMS, etc.) Fotos e vídeos (acho que precisa de acesso quando você deseja fazer upload) arquivos e documentos (você pode fazer upload de arquivos e documentos?) história (o quê?)")</f>
        <v>Por alguma razão, este aplicativo precisa de acesso às seguintes informações do seu telefone: informações pessoais (mesmo que você esteja fornecendo isso a si mesmo) informações financeiras (com licença, o quê?) Informações sobre saúde e fitness (por quê?) (E -mails, e -mails, SMS, etc.) Fotos e vídeos (acho que precisa de acesso quando você deseja fazer upload) arquivos e documentos (você pode fazer upload de arquivos e documentos?) história (o quê?)</v>
      </c>
      <c r="I470" s="10" t="str">
        <f>IFERROR(__xludf.DUMMYFUNCTION("TRIM(REGEXREPLACE(H470,""[^a-zA-ZÀ-ú ]+"",""""))"),"Por alguma razão este aplicativo precisa de acesso às seguintes informações do seu telefone informações pessoais mesmo que você esteja fornecendo isso a si mesmo informações financeiras com licença o quê Informações sobre saúde e fitness por quê E mails e"&amp;" mails SMS etc Fotos e vídeos acho que precisa de acesso quando você deseja fazer upload arquivos e documentos você pode fazer upload de arquivos e documentos história o quê")</f>
        <v>Por alguma razão este aplicativo precisa de acesso às seguintes informações do seu telefone informações pessoais mesmo que você esteja fornecendo isso a si mesmo informações financeiras com licença o quê Informações sobre saúde e fitness por quê E mails e mails SMS etc Fotos e vídeos acho que precisa de acesso quando você deseja fazer upload arquivos e documentos você pode fazer upload de arquivos e documentos história o quê</v>
      </c>
      <c r="J470" s="3"/>
      <c r="K470" s="3"/>
      <c r="L470" s="3"/>
      <c r="M470" s="3"/>
      <c r="N470" s="3"/>
      <c r="O470" s="3"/>
      <c r="P470" s="3"/>
      <c r="Q470" s="3"/>
      <c r="R470" s="3"/>
      <c r="S470" s="3"/>
      <c r="T470" s="3"/>
      <c r="U470" s="3"/>
      <c r="V470" s="3"/>
      <c r="W470" s="3"/>
      <c r="X470" s="3"/>
      <c r="Y470" s="3"/>
      <c r="Z470" s="3"/>
      <c r="AA470" s="3"/>
    </row>
    <row r="471" ht="105.75" customHeight="1">
      <c r="A471" s="4" t="s">
        <v>9</v>
      </c>
      <c r="B471" s="5" t="s">
        <v>479</v>
      </c>
      <c r="C471" s="4">
        <v>1.0</v>
      </c>
      <c r="D471" s="6">
        <v>45117.5612962963</v>
      </c>
      <c r="E471" s="7" t="str">
        <f t="shared" si="1"/>
        <v>2023-07-10</v>
      </c>
      <c r="F471" s="8" t="str">
        <f t="shared" si="2"/>
        <v> 13:28:16</v>
      </c>
      <c r="G471" s="9" t="str">
        <f t="shared" si="3"/>
        <v>Tarde</v>
      </c>
      <c r="H471" s="10" t="str">
        <f>IFERROR(__xludf.DUMMYFUNCTION("GOOGLETRANSLATE(B471, ""en"", ""pt-br"")"),"Recebi bugs e não posso usar o aplicativo corretamente, os textos e as imagens começam a fluir e minha tela inteira é preenchida com os textos flutuantes enquanto eu o rolo. Por favor, olhe para isso")</f>
        <v>Recebi bugs e não posso usar o aplicativo corretamente, os textos e as imagens começam a fluir e minha tela inteira é preenchida com os textos flutuantes enquanto eu o rolo. Por favor, olhe para isso</v>
      </c>
      <c r="I471" s="10" t="str">
        <f>IFERROR(__xludf.DUMMYFUNCTION("TRIM(REGEXREPLACE(H471,""[^a-zA-ZÀ-ú ]+"",""""))"),"Recebi bugs e não posso usar o aplicativo corretamente os textos e as imagens começam a fluir e minha tela inteira é preenchida com os textos flutuantes enquanto eu o rolo Por favor olhe para isso")</f>
        <v>Recebi bugs e não posso usar o aplicativo corretamente os textos e as imagens começam a fluir e minha tela inteira é preenchida com os textos flutuantes enquanto eu o rolo Por favor olhe para isso</v>
      </c>
      <c r="J471" s="3"/>
      <c r="K471" s="3"/>
      <c r="L471" s="3"/>
      <c r="M471" s="3"/>
      <c r="N471" s="3"/>
      <c r="O471" s="3"/>
      <c r="P471" s="3"/>
      <c r="Q471" s="3"/>
      <c r="R471" s="3"/>
      <c r="S471" s="3"/>
      <c r="T471" s="3"/>
      <c r="U471" s="3"/>
      <c r="V471" s="3"/>
      <c r="W471" s="3"/>
      <c r="X471" s="3"/>
      <c r="Y471" s="3"/>
      <c r="Z471" s="3"/>
      <c r="AA471" s="3"/>
    </row>
    <row r="472" ht="105.75" customHeight="1">
      <c r="A472" s="4" t="s">
        <v>9</v>
      </c>
      <c r="B472" s="5" t="s">
        <v>480</v>
      </c>
      <c r="C472" s="4">
        <v>5.0</v>
      </c>
      <c r="D472" s="6">
        <v>45113.16693287037</v>
      </c>
      <c r="E472" s="7" t="str">
        <f t="shared" si="1"/>
        <v>2023-07-06</v>
      </c>
      <c r="F472" s="8" t="str">
        <f t="shared" si="2"/>
        <v> 04:00:23</v>
      </c>
      <c r="G472" s="9" t="str">
        <f t="shared" si="3"/>
        <v>Manhã</v>
      </c>
      <c r="H472" s="10" t="str">
        <f>IFERROR(__xludf.DUMMYFUNCTION("GOOGLETRANSLATE(B472, ""en"", ""pt-br"")"),"Twitter? Não a conheço. Charice. Ok, mas até agora, eu gostaria que também houvesse uma guia de mídia e que você possa deslizar nessas guias em vez de tocar. Ainda não há recurso ""PIN para perfil"". E a partir de agora, ainda não posso postar letras vind"&amp;"as do Spotify (ambas devem funcionar nisso). Vou dar um 4,5 em 5 (arredondado), pois sei que isso ainda terá um espaço para melhorias. mantem.")</f>
        <v>Twitter? Não a conheço. Charice. Ok, mas até agora, eu gostaria que também houvesse uma guia de mídia e que você possa deslizar nessas guias em vez de tocar. Ainda não há recurso "PIN para perfil". E a partir de agora, ainda não posso postar letras vindas do Spotify (ambas devem funcionar nisso). Vou dar um 4,5 em 5 (arredondado), pois sei que isso ainda terá um espaço para melhorias. mantem.</v>
      </c>
      <c r="I472" s="10" t="str">
        <f>IFERROR(__xludf.DUMMYFUNCTION("TRIM(REGEXREPLACE(H472,""[^a-zA-ZÀ-ú ]+"",""""))"),"Twitter Não a conheço Charice Ok mas até agora eu gostaria que também houvesse uma guia de mídia e que você possa deslizar nessas guias em vez de tocar Ainda não há recurso PIN para perfil E a partir de agora ainda não posso postar letras vindas do Spotif"&amp;"y ambas devem funcionar nisso Vou dar um em arredondado pois sei que isso ainda terá um espaço para melhorias mantem")</f>
        <v>Twitter Não a conheço Charice Ok mas até agora eu gostaria que também houvesse uma guia de mídia e que você possa deslizar nessas guias em vez de tocar Ainda não há recurso PIN para perfil E a partir de agora ainda não posso postar letras vindas do Spotify ambas devem funcionar nisso Vou dar um em arredondado pois sei que isso ainda terá um espaço para melhorias mantem</v>
      </c>
      <c r="J472" s="3"/>
      <c r="K472" s="3"/>
      <c r="L472" s="3"/>
      <c r="M472" s="3"/>
      <c r="N472" s="3"/>
      <c r="O472" s="3"/>
      <c r="P472" s="3"/>
      <c r="Q472" s="3"/>
      <c r="R472" s="3"/>
      <c r="S472" s="3"/>
      <c r="T472" s="3"/>
      <c r="U472" s="3"/>
      <c r="V472" s="3"/>
      <c r="W472" s="3"/>
      <c r="X472" s="3"/>
      <c r="Y472" s="3"/>
      <c r="Z472" s="3"/>
      <c r="AA472" s="3"/>
    </row>
    <row r="473" ht="105.75" customHeight="1">
      <c r="A473" s="4" t="s">
        <v>9</v>
      </c>
      <c r="B473" s="5" t="s">
        <v>481</v>
      </c>
      <c r="C473" s="4">
        <v>4.0</v>
      </c>
      <c r="D473" s="6">
        <v>45113.68251157407</v>
      </c>
      <c r="E473" s="7" t="str">
        <f t="shared" si="1"/>
        <v>2023-07-06</v>
      </c>
      <c r="F473" s="8" t="str">
        <f t="shared" si="2"/>
        <v> 16:22:49</v>
      </c>
      <c r="G473" s="9" t="str">
        <f t="shared" si="3"/>
        <v>Tarde</v>
      </c>
      <c r="H473" s="10" t="str">
        <f>IFERROR(__xludf.DUMMYFUNCTION("GOOGLETRANSLATE(B473, ""en"", ""pt-br"")"),"Até agora, meu tempo em tópicos tem sido satisfatório. Mas esse garoto mau precisa de mais recursos. Editando postagens, salvar postagens de fotos, uso de hashtags, mensagens diretas, monetização, ligação de aplicativos de terceiros, log sem Instagram, e "&amp;"isso é tudo o que posso dizer por enquanto.")</f>
        <v>Até agora, meu tempo em tópicos tem sido satisfatório. Mas esse garoto mau precisa de mais recursos. Editando postagens, salvar postagens de fotos, uso de hashtags, mensagens diretas, monetização, ligação de aplicativos de terceiros, log sem Instagram, e isso é tudo o que posso dizer por enquanto.</v>
      </c>
      <c r="I473" s="10" t="str">
        <f>IFERROR(__xludf.DUMMYFUNCTION("TRIM(REGEXREPLACE(H473,""[^a-zA-ZÀ-ú ]+"",""""))"),"Até agora meu tempo em tópicos tem sido satisfatório Mas esse garoto mau precisa de mais recursos Editando postagens salvar postagens de fotos uso de hashtags mensagens diretas monetização ligação de aplicativos de terceiros log sem Instagram e isso é tud"&amp;"o o que posso dizer por enquanto")</f>
        <v>Até agora meu tempo em tópicos tem sido satisfatório Mas esse garoto mau precisa de mais recursos Editando postagens salvar postagens de fotos uso de hashtags mensagens diretas monetização ligação de aplicativos de terceiros log sem Instagram e isso é tudo o que posso dizer por enquanto</v>
      </c>
      <c r="J473" s="3"/>
      <c r="K473" s="3"/>
      <c r="L473" s="3"/>
      <c r="M473" s="3"/>
      <c r="N473" s="3"/>
      <c r="O473" s="3"/>
      <c r="P473" s="3"/>
      <c r="Q473" s="3"/>
      <c r="R473" s="3"/>
      <c r="S473" s="3"/>
      <c r="T473" s="3"/>
      <c r="U473" s="3"/>
      <c r="V473" s="3"/>
      <c r="W473" s="3"/>
      <c r="X473" s="3"/>
      <c r="Y473" s="3"/>
      <c r="Z473" s="3"/>
      <c r="AA473" s="3"/>
    </row>
    <row r="474" ht="105.75" customHeight="1">
      <c r="A474" s="4" t="s">
        <v>9</v>
      </c>
      <c r="B474" s="5" t="s">
        <v>482</v>
      </c>
      <c r="C474" s="4">
        <v>1.0</v>
      </c>
      <c r="D474" s="6">
        <v>45130.10403935185</v>
      </c>
      <c r="E474" s="7" t="str">
        <f t="shared" si="1"/>
        <v>2023-07-23</v>
      </c>
      <c r="F474" s="8" t="str">
        <f t="shared" si="2"/>
        <v> 02:29:49</v>
      </c>
      <c r="G474" s="9" t="str">
        <f t="shared" si="3"/>
        <v>Manhã</v>
      </c>
      <c r="H474" s="10" t="str">
        <f>IFERROR(__xludf.DUMMYFUNCTION("GOOGLETRANSLATE(B474, ""en"", ""pt-br"")"),"Então, tentei entrar no aplicativo hoje e isso não me deixou e, em vez disso, me fez ter que fazer um apelo com a verificação para provar que é eu. Eu o enviei e eles apenas colocaram uma mensagem dizendo agradecer e esperar até que o recurso termine de s"&amp;"er revisado para ver se posso ou não recuperar o acesso à minha conta. Diz se eles acharem que não sou eu que será permanentemente desativado, que é BS! Espero que eles consertem isso e me deixem de volta na minha conta!")</f>
        <v>Então, tentei entrar no aplicativo hoje e isso não me deixou e, em vez disso, me fez ter que fazer um apelo com a verificação para provar que é eu. Eu o enviei e eles apenas colocaram uma mensagem dizendo agradecer e esperar até que o recurso termine de ser revisado para ver se posso ou não recuperar o acesso à minha conta. Diz se eles acharem que não sou eu que será permanentemente desativado, que é BS! Espero que eles consertem isso e me deixem de volta na minha conta!</v>
      </c>
      <c r="I474" s="10" t="str">
        <f>IFERROR(__xludf.DUMMYFUNCTION("TRIM(REGEXREPLACE(H474,""[^a-zA-ZÀ-ú ]+"",""""))"),"Então tentei entrar no aplicativo hoje e isso não me deixou e em vez disso me fez ter que fazer um apelo com a verificação para provar que é eu Eu o enviei e eles apenas colocaram uma mensagem dizendo agradecer e esperar até que o recurso termine de ser r"&amp;"evisado para ver se posso ou não recuperar o acesso à minha conta Diz se eles acharem que não sou eu que será permanentemente desativado que é BS Espero que eles consertem isso e me deixem de volta na minha conta")</f>
        <v>Então tentei entrar no aplicativo hoje e isso não me deixou e em vez disso me fez ter que fazer um apelo com a verificação para provar que é eu Eu o enviei e eles apenas colocaram uma mensagem dizendo agradecer e esperar até que o recurso termine de ser revisado para ver se posso ou não recuperar o acesso à minha conta Diz se eles acharem que não sou eu que será permanentemente desativado que é BS Espero que eles consertem isso e me deixem de volta na minha conta</v>
      </c>
      <c r="J474" s="3"/>
      <c r="K474" s="3"/>
      <c r="L474" s="3"/>
      <c r="M474" s="3"/>
      <c r="N474" s="3"/>
      <c r="O474" s="3"/>
      <c r="P474" s="3"/>
      <c r="Q474" s="3"/>
      <c r="R474" s="3"/>
      <c r="S474" s="3"/>
      <c r="T474" s="3"/>
      <c r="U474" s="3"/>
      <c r="V474" s="3"/>
      <c r="W474" s="3"/>
      <c r="X474" s="3"/>
      <c r="Y474" s="3"/>
      <c r="Z474" s="3"/>
      <c r="AA474" s="3"/>
    </row>
    <row r="475" ht="105.75" customHeight="1">
      <c r="A475" s="4" t="s">
        <v>9</v>
      </c>
      <c r="B475" s="5" t="s">
        <v>483</v>
      </c>
      <c r="C475" s="4">
        <v>2.0</v>
      </c>
      <c r="D475" s="6">
        <v>45113.3259375</v>
      </c>
      <c r="E475" s="7" t="str">
        <f t="shared" si="1"/>
        <v>2023-07-06</v>
      </c>
      <c r="F475" s="8" t="str">
        <f t="shared" si="2"/>
        <v> 07:49:21</v>
      </c>
      <c r="G475" s="9" t="str">
        <f t="shared" si="3"/>
        <v>Manhã</v>
      </c>
      <c r="H475" s="10" t="str">
        <f>IFERROR(__xludf.DUMMYFUNCTION("GOOGLETRANSLATE(B475, ""en"", ""pt-br"")"),"Após 7-8 horas, desisti. É um lugar solitário se você está chegando às cegas sem os seguidores existentes no Instagram. Um feed padrão cheio de influenciadores com os quais não posso me relacionar e, se é possível procurar conteúdo publicado que me intere"&amp;"ssa, não consigo descobrir. Voltarei em alguns meses quando estiver mais maduro. Desinstalar por enquanto.")</f>
        <v>Após 7-8 horas, desisti. É um lugar solitário se você está chegando às cegas sem os seguidores existentes no Instagram. Um feed padrão cheio de influenciadores com os quais não posso me relacionar e, se é possível procurar conteúdo publicado que me interessa, não consigo descobrir. Voltarei em alguns meses quando estiver mais maduro. Desinstalar por enquanto.</v>
      </c>
      <c r="I475" s="10" t="str">
        <f>IFERROR(__xludf.DUMMYFUNCTION("TRIM(REGEXREPLACE(H475,""[^a-zA-ZÀ-ú ]+"",""""))"),"Após horas desisti É um lugar solitário se você está chegando às cegas sem os seguidores existentes no Instagram Um feed padrão cheio de influenciadores com os quais não posso me relacionar e se é possível procurar conteúdo publicado que me interessa não "&amp;"consigo descobrir Voltarei em alguns meses quando estiver mais maduro Desinstalar por enquanto")</f>
        <v>Após horas desisti É um lugar solitário se você está chegando às cegas sem os seguidores existentes no Instagram Um feed padrão cheio de influenciadores com os quais não posso me relacionar e se é possível procurar conteúdo publicado que me interessa não consigo descobrir Voltarei em alguns meses quando estiver mais maduro Desinstalar por enquanto</v>
      </c>
      <c r="J475" s="3"/>
      <c r="K475" s="3"/>
      <c r="L475" s="3"/>
      <c r="M475" s="3"/>
      <c r="N475" s="3"/>
      <c r="O475" s="3"/>
      <c r="P475" s="3"/>
      <c r="Q475" s="3"/>
      <c r="R475" s="3"/>
      <c r="S475" s="3"/>
      <c r="T475" s="3"/>
      <c r="U475" s="3"/>
      <c r="V475" s="3"/>
      <c r="W475" s="3"/>
      <c r="X475" s="3"/>
      <c r="Y475" s="3"/>
      <c r="Z475" s="3"/>
      <c r="AA475" s="3"/>
    </row>
    <row r="476" ht="105.75" customHeight="1">
      <c r="A476" s="4" t="s">
        <v>9</v>
      </c>
      <c r="B476" s="5" t="s">
        <v>484</v>
      </c>
      <c r="C476" s="4">
        <v>1.0</v>
      </c>
      <c r="D476" s="6">
        <v>45114.58474537037</v>
      </c>
      <c r="E476" s="7" t="str">
        <f t="shared" si="1"/>
        <v>2023-07-07</v>
      </c>
      <c r="F476" s="8" t="str">
        <f t="shared" si="2"/>
        <v> 14:02:02</v>
      </c>
      <c r="G476" s="9" t="str">
        <f t="shared" si="3"/>
        <v>Tarde</v>
      </c>
      <c r="H476" s="10" t="str">
        <f>IFERROR(__xludf.DUMMYFUNCTION("GOOGLETRANSLATE(B476, ""en"", ""pt-br"")"),"Muito irritante que a primeira vez que você tenta confirmar seu número de celular, você recebe um código numérico alfa e ainda pode entrar no Numeric no seu telefone !!!!!!! Me fez querer desinstalar imediatamente. Emitir códigos que realmente funcionam. "&amp;"Além disso, o BCOS estou em hols emitindo o texto para o meu número do Reino Unido em outro idioma. Muito irritante.")</f>
        <v>Muito irritante que a primeira vez que você tenta confirmar seu número de celular, você recebe um código numérico alfa e ainda pode entrar no Numeric no seu telefone !!!!!!! Me fez querer desinstalar imediatamente. Emitir códigos que realmente funcionam. Além disso, o BCOS estou em hols emitindo o texto para o meu número do Reino Unido em outro idioma. Muito irritante.</v>
      </c>
      <c r="I476" s="10" t="str">
        <f>IFERROR(__xludf.DUMMYFUNCTION("TRIM(REGEXREPLACE(H476,""[^a-zA-ZÀ-ú ]+"",""""))"),"Muito irritante que a primeira vez que você tenta confirmar seu número de celular você recebe um código numérico alfa e ainda pode entrar no Numeric no seu telefone Me fez querer desinstalar imediatamente Emitir códigos que realmente funcionam Além disso "&amp;"o BCOS estou em hols emitindo o texto para o meu número do Reino Unido em outro idioma Muito irritante")</f>
        <v>Muito irritante que a primeira vez que você tenta confirmar seu número de celular você recebe um código numérico alfa e ainda pode entrar no Numeric no seu telefone Me fez querer desinstalar imediatamente Emitir códigos que realmente funcionam Além disso o BCOS estou em hols emitindo o texto para o meu número do Reino Unido em outro idioma Muito irritante</v>
      </c>
      <c r="J476" s="3"/>
      <c r="K476" s="3"/>
      <c r="L476" s="3"/>
      <c r="M476" s="3"/>
      <c r="N476" s="3"/>
      <c r="O476" s="3"/>
      <c r="P476" s="3"/>
      <c r="Q476" s="3"/>
      <c r="R476" s="3"/>
      <c r="S476" s="3"/>
      <c r="T476" s="3"/>
      <c r="U476" s="3"/>
      <c r="V476" s="3"/>
      <c r="W476" s="3"/>
      <c r="X476" s="3"/>
      <c r="Y476" s="3"/>
      <c r="Z476" s="3"/>
      <c r="AA476" s="3"/>
    </row>
    <row r="477" ht="105.75" customHeight="1">
      <c r="A477" s="4" t="s">
        <v>9</v>
      </c>
      <c r="B477" s="5" t="s">
        <v>485</v>
      </c>
      <c r="C477" s="4">
        <v>1.0</v>
      </c>
      <c r="D477" s="6">
        <v>45114.63652777778</v>
      </c>
      <c r="E477" s="7" t="str">
        <f t="shared" si="1"/>
        <v>2023-07-07</v>
      </c>
      <c r="F477" s="8" t="str">
        <f t="shared" si="2"/>
        <v> 15:16:36</v>
      </c>
      <c r="G477" s="9" t="str">
        <f t="shared" si="3"/>
        <v>Tarde</v>
      </c>
      <c r="H477" s="10" t="str">
        <f>IFERROR(__xludf.DUMMYFUNCTION("GOOGLETRANSLATE(B477, ""en"", ""pt-br"")"),"O aplicativo continua travando sempre que tento fazer upload de uma foto. Além disso, teve muitas notificações para seguintes solicitações. No entanto, depois de aceitar individualmente um casal, o resto deles desaparece. :/")</f>
        <v>O aplicativo continua travando sempre que tento fazer upload de uma foto. Além disso, teve muitas notificações para seguintes solicitações. No entanto, depois de aceitar individualmente um casal, o resto deles desaparece. :/</v>
      </c>
      <c r="I477" s="10" t="str">
        <f>IFERROR(__xludf.DUMMYFUNCTION("TRIM(REGEXREPLACE(H477,""[^a-zA-ZÀ-ú ]+"",""""))"),"O aplicativo continua travando sempre que tento fazer upload de uma foto Além disso teve muitas notificações para seguintes solicitações No entanto depois de aceitar individualmente um casal o resto deles desaparece")</f>
        <v>O aplicativo continua travando sempre que tento fazer upload de uma foto Além disso teve muitas notificações para seguintes solicitações No entanto depois de aceitar individualmente um casal o resto deles desaparece</v>
      </c>
      <c r="J477" s="3"/>
      <c r="K477" s="3"/>
      <c r="L477" s="3"/>
      <c r="M477" s="3"/>
      <c r="N477" s="3"/>
      <c r="O477" s="3"/>
      <c r="P477" s="3"/>
      <c r="Q477" s="3"/>
      <c r="R477" s="3"/>
      <c r="S477" s="3"/>
      <c r="T477" s="3"/>
      <c r="U477" s="3"/>
      <c r="V477" s="3"/>
      <c r="W477" s="3"/>
      <c r="X477" s="3"/>
      <c r="Y477" s="3"/>
      <c r="Z477" s="3"/>
      <c r="AA477" s="3"/>
    </row>
    <row r="478" ht="105.75" customHeight="1">
      <c r="A478" s="4" t="s">
        <v>9</v>
      </c>
      <c r="B478" s="5" t="s">
        <v>486</v>
      </c>
      <c r="C478" s="4">
        <v>2.0</v>
      </c>
      <c r="D478" s="6">
        <v>45114.54219907407</v>
      </c>
      <c r="E478" s="7" t="str">
        <f t="shared" si="1"/>
        <v>2023-07-07</v>
      </c>
      <c r="F478" s="8" t="str">
        <f t="shared" si="2"/>
        <v> 13:00:46</v>
      </c>
      <c r="G478" s="9" t="str">
        <f t="shared" si="3"/>
        <v>Tarde</v>
      </c>
      <c r="H478" s="10" t="str">
        <f>IFERROR(__xludf.DUMMYFUNCTION("GOOGLETRANSLATE(B478, ""en"", ""pt-br"")"),"Adoro o potencial deste aplicativo e posso me ver mais, mas a única maneira de acontecer é se meu feed apenas me mostrar contas que eu sigo, em vez de ter uma página de exploração no meu feed. É realmente uma sobrecarga de conteúdo e informações e já temo"&amp;"s isso no Instagram, infelizmente - acho que não posso lidar mais sem excluir um ou outro. Por favor, sem anúncios ou algoritmos aleatórios, apenas um feed cronológico de contas que sigo. Também surpreso como as hashtags não funcionam aqui?")</f>
        <v>Adoro o potencial deste aplicativo e posso me ver mais, mas a única maneira de acontecer é se meu feed apenas me mostrar contas que eu sigo, em vez de ter uma página de exploração no meu feed. É realmente uma sobrecarga de conteúdo e informações e já temos isso no Instagram, infelizmente - acho que não posso lidar mais sem excluir um ou outro. Por favor, sem anúncios ou algoritmos aleatórios, apenas um feed cronológico de contas que sigo. Também surpreso como as hashtags não funcionam aqui?</v>
      </c>
      <c r="I478" s="10" t="str">
        <f>IFERROR(__xludf.DUMMYFUNCTION("TRIM(REGEXREPLACE(H478,""[^a-zA-ZÀ-ú ]+"",""""))"),"Adoro o potencial deste aplicativo e posso me ver mais mas a única maneira de acontecer é se meu feed apenas me mostrar contas que eu sigo em vez de ter uma página de exploração no meu feed É realmente uma sobrecarga de conteúdo e informações e já temos i"&amp;"sso no Instagram infelizmente acho que não posso lidar mais sem excluir um ou outro Por favor sem anúncios ou algoritmos aleatórios apenas um feed cronológico de contas que sigo Também surpreso como as hashtags não funcionam aqui")</f>
        <v>Adoro o potencial deste aplicativo e posso me ver mais mas a única maneira de acontecer é se meu feed apenas me mostrar contas que eu sigo em vez de ter uma página de exploração no meu feed É realmente uma sobrecarga de conteúdo e informações e já temos isso no Instagram infelizmente acho que não posso lidar mais sem excluir um ou outro Por favor sem anúncios ou algoritmos aleatórios apenas um feed cronológico de contas que sigo Também surpreso como as hashtags não funcionam aqui</v>
      </c>
      <c r="J478" s="3"/>
      <c r="K478" s="3"/>
      <c r="L478" s="3"/>
      <c r="M478" s="3"/>
      <c r="N478" s="3"/>
      <c r="O478" s="3"/>
      <c r="P478" s="3"/>
      <c r="Q478" s="3"/>
      <c r="R478" s="3"/>
      <c r="S478" s="3"/>
      <c r="T478" s="3"/>
      <c r="U478" s="3"/>
      <c r="V478" s="3"/>
      <c r="W478" s="3"/>
      <c r="X478" s="3"/>
      <c r="Y478" s="3"/>
      <c r="Z478" s="3"/>
      <c r="AA478" s="3"/>
    </row>
    <row r="479" ht="105.75" customHeight="1">
      <c r="A479" s="4" t="s">
        <v>9</v>
      </c>
      <c r="B479" s="5" t="s">
        <v>487</v>
      </c>
      <c r="C479" s="4">
        <v>1.0</v>
      </c>
      <c r="D479" s="6">
        <v>45131.036145833335</v>
      </c>
      <c r="E479" s="7" t="str">
        <f t="shared" si="1"/>
        <v>2023-07-24</v>
      </c>
      <c r="F479" s="8" t="str">
        <f t="shared" si="2"/>
        <v> 00:52:03</v>
      </c>
      <c r="G479" s="9" t="str">
        <f t="shared" si="3"/>
        <v>Manhã</v>
      </c>
      <c r="H479" s="10" t="str">
        <f>IFERROR(__xludf.DUMMYFUNCTION("GOOGLETRANSLATE(B479, ""en"", ""pt-br"")"),"Eu tinha grandes esperanças para este aplicativo. Infelizmente, há muitos bugs que tornam o usuário que experimenta pobre. Também está faltando threads em muitos recursos que o Twitter possui atualmente. A censura e a coleta invasiva de dados também são u"&amp;"ma grande desvantagem. O marketing me fez acreditar que os threads rivalizavam com o Twitter, mas eu simplesmente não vejo isso acontecendo. Os threads precisam de uma grande reforma para realmente competir com o Twitter.")</f>
        <v>Eu tinha grandes esperanças para este aplicativo. Infelizmente, há muitos bugs que tornam o usuário que experimenta pobre. Também está faltando threads em muitos recursos que o Twitter possui atualmente. A censura e a coleta invasiva de dados também são uma grande desvantagem. O marketing me fez acreditar que os threads rivalizavam com o Twitter, mas eu simplesmente não vejo isso acontecendo. Os threads precisam de uma grande reforma para realmente competir com o Twitter.</v>
      </c>
      <c r="I479" s="10" t="str">
        <f>IFERROR(__xludf.DUMMYFUNCTION("TRIM(REGEXREPLACE(H479,""[^a-zA-ZÀ-ú ]+"",""""))"),"Eu tinha grandes esperanças para este aplicativo Infelizmente há muitos bugs que tornam o usuário que experimenta pobre Também está faltando threads em muitos recursos que o Twitter possui atualmente A censura e a coleta invasiva de dados também são uma g"&amp;"rande desvantagem O marketing me fez acreditar que os threads rivalizavam com o Twitter mas eu simplesmente não vejo isso acontecendo Os threads precisam de uma grande reforma para realmente competir com o Twitter")</f>
        <v>Eu tinha grandes esperanças para este aplicativo Infelizmente há muitos bugs que tornam o usuário que experimenta pobre Também está faltando threads em muitos recursos que o Twitter possui atualmente A censura e a coleta invasiva de dados também são uma grande desvantagem O marketing me fez acreditar que os threads rivalizavam com o Twitter mas eu simplesmente não vejo isso acontecendo Os threads precisam de uma grande reforma para realmente competir com o Twitter</v>
      </c>
      <c r="J479" s="3"/>
      <c r="K479" s="3"/>
      <c r="L479" s="3"/>
      <c r="M479" s="3"/>
      <c r="N479" s="3"/>
      <c r="O479" s="3"/>
      <c r="P479" s="3"/>
      <c r="Q479" s="3"/>
      <c r="R479" s="3"/>
      <c r="S479" s="3"/>
      <c r="T479" s="3"/>
      <c r="U479" s="3"/>
      <c r="V479" s="3"/>
      <c r="W479" s="3"/>
      <c r="X479" s="3"/>
      <c r="Y479" s="3"/>
      <c r="Z479" s="3"/>
      <c r="AA479" s="3"/>
    </row>
    <row r="480" ht="105.75" customHeight="1">
      <c r="A480" s="4" t="s">
        <v>9</v>
      </c>
      <c r="B480" s="5" t="s">
        <v>488</v>
      </c>
      <c r="C480" s="4">
        <v>4.0</v>
      </c>
      <c r="D480" s="6">
        <v>45115.59811342593</v>
      </c>
      <c r="E480" s="7" t="str">
        <f t="shared" si="1"/>
        <v>2023-07-08</v>
      </c>
      <c r="F480" s="8" t="str">
        <f t="shared" si="2"/>
        <v> 14:21:17</v>
      </c>
      <c r="G480" s="9" t="str">
        <f t="shared" si="3"/>
        <v>Tarde</v>
      </c>
      <c r="H480" s="10" t="str">
        <f>IFERROR(__xludf.DUMMYFUNCTION("GOOGLETRANSLATE(B480, ""en"", ""pt-br"")"),"Tem um grande potencial. Só precisa de uma opção para exibir apenas feeds que você segue e uma opção para ordem cronológica. Isso definitivamente o tornaria um aplicativo incrível.")</f>
        <v>Tem um grande potencial. Só precisa de uma opção para exibir apenas feeds que você segue e uma opção para ordem cronológica. Isso definitivamente o tornaria um aplicativo incrível.</v>
      </c>
      <c r="I480" s="10" t="str">
        <f>IFERROR(__xludf.DUMMYFUNCTION("TRIM(REGEXREPLACE(H480,""[^a-zA-ZÀ-ú ]+"",""""))"),"Tem um grande potencial Só precisa de uma opção para exibir apenas feeds que você segue e uma opção para ordem cronológica Isso definitivamente o tornaria um aplicativo incrível")</f>
        <v>Tem um grande potencial Só precisa de uma opção para exibir apenas feeds que você segue e uma opção para ordem cronológica Isso definitivamente o tornaria um aplicativo incrível</v>
      </c>
      <c r="J480" s="3"/>
      <c r="K480" s="3"/>
      <c r="L480" s="3"/>
      <c r="M480" s="3"/>
      <c r="N480" s="3"/>
      <c r="O480" s="3"/>
      <c r="P480" s="3"/>
      <c r="Q480" s="3"/>
      <c r="R480" s="3"/>
      <c r="S480" s="3"/>
      <c r="T480" s="3"/>
      <c r="U480" s="3"/>
      <c r="V480" s="3"/>
      <c r="W480" s="3"/>
      <c r="X480" s="3"/>
      <c r="Y480" s="3"/>
      <c r="Z480" s="3"/>
      <c r="AA480" s="3"/>
    </row>
    <row r="481" ht="105.75" customHeight="1">
      <c r="A481" s="4" t="s">
        <v>9</v>
      </c>
      <c r="B481" s="5" t="s">
        <v>489</v>
      </c>
      <c r="C481" s="4">
        <v>2.0</v>
      </c>
      <c r="D481" s="6">
        <v>45126.553761574076</v>
      </c>
      <c r="E481" s="7" t="str">
        <f t="shared" si="1"/>
        <v>2023-07-19</v>
      </c>
      <c r="F481" s="8" t="str">
        <f t="shared" si="2"/>
        <v> 13:17:25</v>
      </c>
      <c r="G481" s="9" t="str">
        <f t="shared" si="3"/>
        <v>Tarde</v>
      </c>
      <c r="H481" s="10" t="str">
        <f>IFERROR(__xludf.DUMMYFUNCTION("GOOGLETRANSLATE(B481, ""en"", ""pt-br"")"),"No começo, eu gosto, mas comecei a ter um problema. Continua fechando. Eu nem terminei de compor minha legenda. Não pude fazer upload das fotos que queria postar porque continua parando. Eu refresco, saio e fiquei online, reduzi o aplicativo, mas ainda nã"&amp;"o consegui postar o que queria postar: &lt;")</f>
        <v>No começo, eu gosto, mas comecei a ter um problema. Continua fechando. Eu nem terminei de compor minha legenda. Não pude fazer upload das fotos que queria postar porque continua parando. Eu refresco, saio e fiquei online, reduzi o aplicativo, mas ainda não consegui postar o que queria postar: &lt;</v>
      </c>
      <c r="I481" s="10" t="str">
        <f>IFERROR(__xludf.DUMMYFUNCTION("TRIM(REGEXREPLACE(H481,""[^a-zA-ZÀ-ú ]+"",""""))"),"No começo eu gosto mas comecei a ter um problema Continua fechando Eu nem terminei de compor minha legenda Não pude fazer upload das fotos que queria postar porque continua parando Eu refresco saio e fiquei online reduzi o aplicativo mas ainda não consegu"&amp;"i postar o que queria postar")</f>
        <v>No começo eu gosto mas comecei a ter um problema Continua fechando Eu nem terminei de compor minha legenda Não pude fazer upload das fotos que queria postar porque continua parando Eu refresco saio e fiquei online reduzi o aplicativo mas ainda não consegui postar o que queria postar</v>
      </c>
      <c r="J481" s="3"/>
      <c r="K481" s="3"/>
      <c r="L481" s="3"/>
      <c r="M481" s="3"/>
      <c r="N481" s="3"/>
      <c r="O481" s="3"/>
      <c r="P481" s="3"/>
      <c r="Q481" s="3"/>
      <c r="R481" s="3"/>
      <c r="S481" s="3"/>
      <c r="T481" s="3"/>
      <c r="U481" s="3"/>
      <c r="V481" s="3"/>
      <c r="W481" s="3"/>
      <c r="X481" s="3"/>
      <c r="Y481" s="3"/>
      <c r="Z481" s="3"/>
      <c r="AA481" s="3"/>
    </row>
    <row r="482" ht="105.75" customHeight="1">
      <c r="A482" s="4" t="s">
        <v>9</v>
      </c>
      <c r="B482" s="5" t="s">
        <v>490</v>
      </c>
      <c r="C482" s="4">
        <v>3.0</v>
      </c>
      <c r="D482" s="6">
        <v>45121.11591435185</v>
      </c>
      <c r="E482" s="7" t="str">
        <f t="shared" si="1"/>
        <v>2023-07-14</v>
      </c>
      <c r="F482" s="8" t="str">
        <f t="shared" si="2"/>
        <v> 02:46:55</v>
      </c>
      <c r="G482" s="9" t="str">
        <f t="shared" si="3"/>
        <v>Manhã</v>
      </c>
      <c r="H482" s="10" t="str">
        <f>IFERROR(__xludf.DUMMYFUNCTION("GOOGLETRANSLATE(B482, ""en"", ""pt-br"")"),"Para os desenvolvedores, aqui estão as dicas sobre como você pode melhorar o aplicativo: 1. Permitir que os usuários salvem fotos. 2. Somente pornô censure em perfis abaixo de 18. 3. Tenha um recurso de tradução. 4. Não repita o mesmo erro que o Twitter e"&amp;"m que as contas que os usuários não estão seguindo estão aparecendo em seu feed. Se vocês apenas quiserem fazer uma imitação do Twitter, pelo menos a torne uma versão melhor desde o início.")</f>
        <v>Para os desenvolvedores, aqui estão as dicas sobre como você pode melhorar o aplicativo: 1. Permitir que os usuários salvem fotos. 2. Somente pornô censure em perfis abaixo de 18. 3. Tenha um recurso de tradução. 4. Não repita o mesmo erro que o Twitter em que as contas que os usuários não estão seguindo estão aparecendo em seu feed. Se vocês apenas quiserem fazer uma imitação do Twitter, pelo menos a torne uma versão melhor desde o início.</v>
      </c>
      <c r="I482" s="10" t="str">
        <f>IFERROR(__xludf.DUMMYFUNCTION("TRIM(REGEXREPLACE(H482,""[^a-zA-ZÀ-ú ]+"",""""))"),"Para os desenvolvedores aqui estão as dicas sobre como você pode melhorar o aplicativo Permitir que os usuários salvem fotos Somente pornô censure em perfis abaixo de Tenha um recurso de tradução Não repita o mesmo erro que o Twitter em que as contas que "&amp;"os usuários não estão seguindo estão aparecendo em seu feed Se vocês apenas quiserem fazer uma imitação do Twitter pelo menos a torne uma versão melhor desde o início")</f>
        <v>Para os desenvolvedores aqui estão as dicas sobre como você pode melhorar o aplicativo Permitir que os usuários salvem fotos Somente pornô censure em perfis abaixo de Tenha um recurso de tradução Não repita o mesmo erro que o Twitter em que as contas que os usuários não estão seguindo estão aparecendo em seu feed Se vocês apenas quiserem fazer uma imitação do Twitter pelo menos a torne uma versão melhor desde o início</v>
      </c>
      <c r="J482" s="3"/>
      <c r="K482" s="3"/>
      <c r="L482" s="3"/>
      <c r="M482" s="3"/>
      <c r="N482" s="3"/>
      <c r="O482" s="3"/>
      <c r="P482" s="3"/>
      <c r="Q482" s="3"/>
      <c r="R482" s="3"/>
      <c r="S482" s="3"/>
      <c r="T482" s="3"/>
      <c r="U482" s="3"/>
      <c r="V482" s="3"/>
      <c r="W482" s="3"/>
      <c r="X482" s="3"/>
      <c r="Y482" s="3"/>
      <c r="Z482" s="3"/>
      <c r="AA482" s="3"/>
    </row>
    <row r="483" ht="105.75" customHeight="1">
      <c r="A483" s="4" t="s">
        <v>9</v>
      </c>
      <c r="B483" s="5" t="s">
        <v>491</v>
      </c>
      <c r="C483" s="4">
        <v>5.0</v>
      </c>
      <c r="D483" s="6">
        <v>45126.65274305556</v>
      </c>
      <c r="E483" s="7" t="str">
        <f t="shared" si="1"/>
        <v>2023-07-19</v>
      </c>
      <c r="F483" s="8" t="str">
        <f t="shared" si="2"/>
        <v> 15:39:57</v>
      </c>
      <c r="G483" s="9" t="str">
        <f t="shared" si="3"/>
        <v>Tarde</v>
      </c>
      <c r="H483" s="10" t="str">
        <f>IFERROR(__xludf.DUMMYFUNCTION("GOOGLETRANSLATE(B483, ""en"", ""pt-br"")"),"Isso é muito semelhante ao aplicativo de pássaros, mas sem a toxicidade desenfreada. Funciona bem o suficiente, mas parece um pouco leve sobre os recursos. Espero que se torne melhor com o tempo. No geral, estou gostando muito de tópicos.")</f>
        <v>Isso é muito semelhante ao aplicativo de pássaros, mas sem a toxicidade desenfreada. Funciona bem o suficiente, mas parece um pouco leve sobre os recursos. Espero que se torne melhor com o tempo. No geral, estou gostando muito de tópicos.</v>
      </c>
      <c r="I483" s="10" t="str">
        <f>IFERROR(__xludf.DUMMYFUNCTION("TRIM(REGEXREPLACE(H483,""[^a-zA-ZÀ-ú ]+"",""""))"),"Isso é muito semelhante ao aplicativo de pássaros mas sem a toxicidade desenfreada Funciona bem o suficiente mas parece um pouco leve sobre os recursos Espero que se torne melhor com o tempo No geral estou gostando muito de tópicos")</f>
        <v>Isso é muito semelhante ao aplicativo de pássaros mas sem a toxicidade desenfreada Funciona bem o suficiente mas parece um pouco leve sobre os recursos Espero que se torne melhor com o tempo No geral estou gostando muito de tópicos</v>
      </c>
      <c r="J483" s="3"/>
      <c r="K483" s="3"/>
      <c r="L483" s="3"/>
      <c r="M483" s="3"/>
      <c r="N483" s="3"/>
      <c r="O483" s="3"/>
      <c r="P483" s="3"/>
      <c r="Q483" s="3"/>
      <c r="R483" s="3"/>
      <c r="S483" s="3"/>
      <c r="T483" s="3"/>
      <c r="U483" s="3"/>
      <c r="V483" s="3"/>
      <c r="W483" s="3"/>
      <c r="X483" s="3"/>
      <c r="Y483" s="3"/>
      <c r="Z483" s="3"/>
      <c r="AA483" s="3"/>
    </row>
    <row r="484" ht="105.75" customHeight="1">
      <c r="A484" s="4" t="s">
        <v>9</v>
      </c>
      <c r="B484" s="5" t="s">
        <v>492</v>
      </c>
      <c r="C484" s="4">
        <v>5.0</v>
      </c>
      <c r="D484" s="6">
        <v>45115.65726851852</v>
      </c>
      <c r="E484" s="7" t="str">
        <f t="shared" si="1"/>
        <v>2023-07-08</v>
      </c>
      <c r="F484" s="8" t="str">
        <f t="shared" si="2"/>
        <v> 15:46:28</v>
      </c>
      <c r="G484" s="9" t="str">
        <f t="shared" si="3"/>
        <v>Tarde</v>
      </c>
      <c r="H484" s="10" t="str">
        <f>IFERROR(__xludf.DUMMYFUNCTION("GOOGLETRANSLATE(B484, ""en"", ""pt-br"")"),"Eu realmente gosto!! Embora eu tenha uma sugestão que possa realmente ajudar muitos de nós. Adicione outra opção para seguir onde só podemos ver os tópicos da pessoa que seguimos. Eu realmente não gosto do meu feed, pois é realmente bagunçado e muitas pes"&amp;"soas que eu não sigo. Eu não estava realmente interessado. Além disso, também é difícil ver meus threads Peeps por causa desses tópicos desnecessários.")</f>
        <v>Eu realmente gosto!! Embora eu tenha uma sugestão que possa realmente ajudar muitos de nós. Adicione outra opção para seguir onde só podemos ver os tópicos da pessoa que seguimos. Eu realmente não gosto do meu feed, pois é realmente bagunçado e muitas pessoas que eu não sigo. Eu não estava realmente interessado. Além disso, também é difícil ver meus threads Peeps por causa desses tópicos desnecessários.</v>
      </c>
      <c r="I484" s="10" t="str">
        <f>IFERROR(__xludf.DUMMYFUNCTION("TRIM(REGEXREPLACE(H484,""[^a-zA-ZÀ-ú ]+"",""""))"),"Eu realmente gosto Embora eu tenha uma sugestão que possa realmente ajudar muitos de nós Adicione outra opção para seguir onde só podemos ver os tópicos da pessoa que seguimos Eu realmente não gosto do meu feed pois é realmente bagunçado e muitas pessoas "&amp;"que eu não sigo Eu não estava realmente interessado Além disso também é difícil ver meus threads Peeps por causa desses tópicos desnecessários")</f>
        <v>Eu realmente gosto Embora eu tenha uma sugestão que possa realmente ajudar muitos de nós Adicione outra opção para seguir onde só podemos ver os tópicos da pessoa que seguimos Eu realmente não gosto do meu feed pois é realmente bagunçado e muitas pessoas que eu não sigo Eu não estava realmente interessado Além disso também é difícil ver meus threads Peeps por causa desses tópicos desnecessários</v>
      </c>
      <c r="J484" s="3"/>
      <c r="K484" s="3"/>
      <c r="L484" s="3"/>
      <c r="M484" s="3"/>
      <c r="N484" s="3"/>
      <c r="O484" s="3"/>
      <c r="P484" s="3"/>
      <c r="Q484" s="3"/>
      <c r="R484" s="3"/>
      <c r="S484" s="3"/>
      <c r="T484" s="3"/>
      <c r="U484" s="3"/>
      <c r="V484" s="3"/>
      <c r="W484" s="3"/>
      <c r="X484" s="3"/>
      <c r="Y484" s="3"/>
      <c r="Z484" s="3"/>
      <c r="AA484" s="3"/>
    </row>
    <row r="485" ht="105.75" customHeight="1">
      <c r="A485" s="4" t="s">
        <v>9</v>
      </c>
      <c r="B485" s="5" t="s">
        <v>493</v>
      </c>
      <c r="C485" s="4">
        <v>1.0</v>
      </c>
      <c r="D485" s="6">
        <v>45118.3878587963</v>
      </c>
      <c r="E485" s="7" t="str">
        <f t="shared" si="1"/>
        <v>2023-07-11</v>
      </c>
      <c r="F485" s="8" t="str">
        <f t="shared" si="2"/>
        <v> 09:18:31</v>
      </c>
      <c r="G485" s="9" t="str">
        <f t="shared" si="3"/>
        <v>Manhã</v>
      </c>
      <c r="H485" s="10" t="str">
        <f>IFERROR(__xludf.DUMMYFUNCTION("GOOGLETRANSLATE(B485, ""en"", ""pt-br"")"),"Um Twitter subparto com menos recursos, incapacidade de salvar/compartilhar fotos e já sendo invadido por bots de spam. Como se tivesse sido tão pouco tempo, alguém poderia pensar que eles teriam puxado todas as dobras para combater o spam do Instagram, m"&amp;"as não.")</f>
        <v>Um Twitter subparto com menos recursos, incapacidade de salvar/compartilhar fotos e já sendo invadido por bots de spam. Como se tivesse sido tão pouco tempo, alguém poderia pensar que eles teriam puxado todas as dobras para combater o spam do Instagram, mas não.</v>
      </c>
      <c r="I485" s="10" t="str">
        <f>IFERROR(__xludf.DUMMYFUNCTION("TRIM(REGEXREPLACE(H485,""[^a-zA-ZÀ-ú ]+"",""""))"),"Um Twitter subparto com menos recursos incapacidade de salvarcompartilhar fotos e já sendo invadido por bots de spam Como se tivesse sido tão pouco tempo alguém poderia pensar que eles teriam puxado todas as dobras para combater o spam do Instagram mas nã"&amp;"o")</f>
        <v>Um Twitter subparto com menos recursos incapacidade de salvarcompartilhar fotos e já sendo invadido por bots de spam Como se tivesse sido tão pouco tempo alguém poderia pensar que eles teriam puxado todas as dobras para combater o spam do Instagram mas não</v>
      </c>
      <c r="J485" s="3"/>
      <c r="K485" s="3"/>
      <c r="L485" s="3"/>
      <c r="M485" s="3"/>
      <c r="N485" s="3"/>
      <c r="O485" s="3"/>
      <c r="P485" s="3"/>
      <c r="Q485" s="3"/>
      <c r="R485" s="3"/>
      <c r="S485" s="3"/>
      <c r="T485" s="3"/>
      <c r="U485" s="3"/>
      <c r="V485" s="3"/>
      <c r="W485" s="3"/>
      <c r="X485" s="3"/>
      <c r="Y485" s="3"/>
      <c r="Z485" s="3"/>
      <c r="AA485" s="3"/>
    </row>
    <row r="486" ht="105.75" customHeight="1">
      <c r="A486" s="4" t="s">
        <v>9</v>
      </c>
      <c r="B486" s="5" t="s">
        <v>494</v>
      </c>
      <c r="C486" s="4">
        <v>1.0</v>
      </c>
      <c r="D486" s="6">
        <v>45121.626979166664</v>
      </c>
      <c r="E486" s="7" t="str">
        <f t="shared" si="1"/>
        <v>2023-07-14</v>
      </c>
      <c r="F486" s="8" t="str">
        <f t="shared" si="2"/>
        <v> 15:02:51</v>
      </c>
      <c r="G486" s="9" t="str">
        <f t="shared" si="3"/>
        <v>Tarde</v>
      </c>
      <c r="H486" s="10" t="str">
        <f>IFERROR(__xludf.DUMMYFUNCTION("GOOGLETRANSLATE(B486, ""en"", ""pt-br"")"),"Não funciona! Diz ""algo deu errado"" no aplicativo e eu tentei absolutamente tudo para consertá -lo, mas nada parece ajudar. Muito frustrante, pois já passei boas 2 horas, desinstalando e limpando o cache etc ... nada consertou.")</f>
        <v>Não funciona! Diz "algo deu errado" no aplicativo e eu tentei absolutamente tudo para consertá -lo, mas nada parece ajudar. Muito frustrante, pois já passei boas 2 horas, desinstalando e limpando o cache etc ... nada consertou.</v>
      </c>
      <c r="I486" s="10" t="str">
        <f>IFERROR(__xludf.DUMMYFUNCTION("TRIM(REGEXREPLACE(H486,""[^a-zA-ZÀ-ú ]+"",""""))"),"Não funciona Diz algo deu errado no aplicativo e eu tentei absolutamente tudo para consertá lo mas nada parece ajudar Muito frustrante pois já passei boas horas desinstalando e limpando o cache etc nada consertou")</f>
        <v>Não funciona Diz algo deu errado no aplicativo e eu tentei absolutamente tudo para consertá lo mas nada parece ajudar Muito frustrante pois já passei boas horas desinstalando e limpando o cache etc nada consertou</v>
      </c>
      <c r="J486" s="3"/>
      <c r="K486" s="3"/>
      <c r="L486" s="3"/>
      <c r="M486" s="3"/>
      <c r="N486" s="3"/>
      <c r="O486" s="3"/>
      <c r="P486" s="3"/>
      <c r="Q486" s="3"/>
      <c r="R486" s="3"/>
      <c r="S486" s="3"/>
      <c r="T486" s="3"/>
      <c r="U486" s="3"/>
      <c r="V486" s="3"/>
      <c r="W486" s="3"/>
      <c r="X486" s="3"/>
      <c r="Y486" s="3"/>
      <c r="Z486" s="3"/>
      <c r="AA486" s="3"/>
    </row>
    <row r="487" ht="105.75" customHeight="1">
      <c r="A487" s="4" t="s">
        <v>9</v>
      </c>
      <c r="B487" s="5" t="s">
        <v>495</v>
      </c>
      <c r="C487" s="4">
        <v>4.0</v>
      </c>
      <c r="D487" s="6">
        <v>45113.63791666667</v>
      </c>
      <c r="E487" s="7" t="str">
        <f t="shared" si="1"/>
        <v>2023-07-06</v>
      </c>
      <c r="F487" s="8" t="str">
        <f t="shared" si="2"/>
        <v> 15:18:36</v>
      </c>
      <c r="G487" s="9" t="str">
        <f t="shared" si="3"/>
        <v>Tarde</v>
      </c>
      <c r="H487" s="10" t="str">
        <f>IFERROR(__xludf.DUMMYFUNCTION("GOOGLETRANSLATE(B487, ""en"", ""pt-br"")"),"É incrível que exista um novo aplicativo para espaços seguros e espero que este aplicativo não seja uma ferramenta para bullying e essas coisas, porque da última vez foi o que eles fizeram no Twitter. Agora tenho um problema com a barra de pesquisa e espe"&amp;"ro no futuro que haja uma opção na qual você possa procurar tópicos que você gosta ou um certo tópico com o qual você deseja se envolver !! Sobre tudo, é bom!")</f>
        <v>É incrível que exista um novo aplicativo para espaços seguros e espero que este aplicativo não seja uma ferramenta para bullying e essas coisas, porque da última vez foi o que eles fizeram no Twitter. Agora tenho um problema com a barra de pesquisa e espero no futuro que haja uma opção na qual você possa procurar tópicos que você gosta ou um certo tópico com o qual você deseja se envolver !! Sobre tudo, é bom!</v>
      </c>
      <c r="I487" s="10" t="str">
        <f>IFERROR(__xludf.DUMMYFUNCTION("TRIM(REGEXREPLACE(H487,""[^a-zA-ZÀ-ú ]+"",""""))"),"É incrível que exista um novo aplicativo para espaços seguros e espero que este aplicativo não seja uma ferramenta para bullying e essas coisas porque da última vez foi o que eles fizeram no Twitter Agora tenho um problema com a barra de pesquisa e espero"&amp;" no futuro que haja uma opção na qual você possa procurar tópicos que você gosta ou um certo tópico com o qual você deseja se envolver Sobre tudo é bom")</f>
        <v>É incrível que exista um novo aplicativo para espaços seguros e espero que este aplicativo não seja uma ferramenta para bullying e essas coisas porque da última vez foi o que eles fizeram no Twitter Agora tenho um problema com a barra de pesquisa e espero no futuro que haja uma opção na qual você possa procurar tópicos que você gosta ou um certo tópico com o qual você deseja se envolver Sobre tudo é bom</v>
      </c>
      <c r="J487" s="3"/>
      <c r="K487" s="3"/>
      <c r="L487" s="3"/>
      <c r="M487" s="3"/>
      <c r="N487" s="3"/>
      <c r="O487" s="3"/>
      <c r="P487" s="3"/>
      <c r="Q487" s="3"/>
      <c r="R487" s="3"/>
      <c r="S487" s="3"/>
      <c r="T487" s="3"/>
      <c r="U487" s="3"/>
      <c r="V487" s="3"/>
      <c r="W487" s="3"/>
      <c r="X487" s="3"/>
      <c r="Y487" s="3"/>
      <c r="Z487" s="3"/>
      <c r="AA487" s="3"/>
    </row>
    <row r="488" ht="105.75" customHeight="1">
      <c r="A488" s="4" t="s">
        <v>9</v>
      </c>
      <c r="B488" s="5" t="s">
        <v>496</v>
      </c>
      <c r="C488" s="4">
        <v>4.0</v>
      </c>
      <c r="D488" s="6">
        <v>45117.531689814816</v>
      </c>
      <c r="E488" s="7" t="str">
        <f t="shared" si="1"/>
        <v>2023-07-10</v>
      </c>
      <c r="F488" s="8" t="str">
        <f t="shared" si="2"/>
        <v> 12:45:38</v>
      </c>
      <c r="G488" s="9" t="str">
        <f t="shared" si="3"/>
        <v>Tarde</v>
      </c>
      <c r="H488" s="10" t="str">
        <f>IFERROR(__xludf.DUMMYFUNCTION("GOOGLETRANSLATE(B488, ""en"", ""pt-br"")"),"É ótimo, apenas desejava ter o modo escuro e a capacidade de trocar de conta sem que o aplicativo fugisse. Não quero continuar desinstalando para corrigi -lo.")</f>
        <v>É ótimo, apenas desejava ter o modo escuro e a capacidade de trocar de conta sem que o aplicativo fugisse. Não quero continuar desinstalando para corrigi -lo.</v>
      </c>
      <c r="I488" s="10" t="str">
        <f>IFERROR(__xludf.DUMMYFUNCTION("TRIM(REGEXREPLACE(H488,""[^a-zA-ZÀ-ú ]+"",""""))"),"É ótimo apenas desejava ter o modo escuro e a capacidade de trocar de conta sem que o aplicativo fugisse Não quero continuar desinstalando para corrigi lo")</f>
        <v>É ótimo apenas desejava ter o modo escuro e a capacidade de trocar de conta sem que o aplicativo fugisse Não quero continuar desinstalando para corrigi lo</v>
      </c>
      <c r="J488" s="3"/>
      <c r="K488" s="3"/>
      <c r="L488" s="3"/>
      <c r="M488" s="3"/>
      <c r="N488" s="3"/>
      <c r="O488" s="3"/>
      <c r="P488" s="3"/>
      <c r="Q488" s="3"/>
      <c r="R488" s="3"/>
      <c r="S488" s="3"/>
      <c r="T488" s="3"/>
      <c r="U488" s="3"/>
      <c r="V488" s="3"/>
      <c r="W488" s="3"/>
      <c r="X488" s="3"/>
      <c r="Y488" s="3"/>
      <c r="Z488" s="3"/>
      <c r="AA488" s="3"/>
    </row>
    <row r="489" ht="105.75" customHeight="1">
      <c r="A489" s="4" t="s">
        <v>9</v>
      </c>
      <c r="B489" s="5" t="s">
        <v>497</v>
      </c>
      <c r="C489" s="4">
        <v>5.0</v>
      </c>
      <c r="D489" s="6">
        <v>45115.66568287037</v>
      </c>
      <c r="E489" s="7" t="str">
        <f t="shared" si="1"/>
        <v>2023-07-08</v>
      </c>
      <c r="F489" s="8" t="str">
        <f t="shared" si="2"/>
        <v> 15:58:35</v>
      </c>
      <c r="G489" s="9" t="str">
        <f t="shared" si="3"/>
        <v>Tarde</v>
      </c>
      <c r="H489" s="10" t="str">
        <f>IFERROR(__xludf.DUMMYFUNCTION("GOOGLETRANSLATE(B489, ""en"", ""pt-br"")"),"A interface do usuário é realmente incrível, suave e livre de atraso, diferente da interface do usuário do Twitter. Isso é realmente uma coisa boa, pois a experiência lenta e sem problemas pode ser tão irritante")</f>
        <v>A interface do usuário é realmente incrível, suave e livre de atraso, diferente da interface do usuário do Twitter. Isso é realmente uma coisa boa, pois a experiência lenta e sem problemas pode ser tão irritante</v>
      </c>
      <c r="I489" s="10" t="str">
        <f>IFERROR(__xludf.DUMMYFUNCTION("TRIM(REGEXREPLACE(H489,""[^a-zA-ZÀ-ú ]+"",""""))"),"A interface do usuário é realmente incrível suave e livre de atraso diferente da interface do usuário do Twitter Isso é realmente uma coisa boa pois a experiência lenta e sem problemas pode ser tão irritante")</f>
        <v>A interface do usuário é realmente incrível suave e livre de atraso diferente da interface do usuário do Twitter Isso é realmente uma coisa boa pois a experiência lenta e sem problemas pode ser tão irritante</v>
      </c>
      <c r="J489" s="3"/>
      <c r="K489" s="3"/>
      <c r="L489" s="3"/>
      <c r="M489" s="3"/>
      <c r="N489" s="3"/>
      <c r="O489" s="3"/>
      <c r="P489" s="3"/>
      <c r="Q489" s="3"/>
      <c r="R489" s="3"/>
      <c r="S489" s="3"/>
      <c r="T489" s="3"/>
      <c r="U489" s="3"/>
      <c r="V489" s="3"/>
      <c r="W489" s="3"/>
      <c r="X489" s="3"/>
      <c r="Y489" s="3"/>
      <c r="Z489" s="3"/>
      <c r="AA489" s="3"/>
    </row>
    <row r="490" ht="105.75" customHeight="1">
      <c r="A490" s="4" t="s">
        <v>9</v>
      </c>
      <c r="B490" s="5" t="s">
        <v>498</v>
      </c>
      <c r="C490" s="4">
        <v>4.0</v>
      </c>
      <c r="D490" s="6">
        <v>45116.364328703705</v>
      </c>
      <c r="E490" s="7" t="str">
        <f t="shared" si="1"/>
        <v>2023-07-09</v>
      </c>
      <c r="F490" s="8" t="str">
        <f t="shared" si="2"/>
        <v> 08:44:38</v>
      </c>
      <c r="G490" s="9" t="str">
        <f t="shared" si="3"/>
        <v>Manhã</v>
      </c>
      <c r="H490" s="10" t="str">
        <f>IFERROR(__xludf.DUMMYFUNCTION("GOOGLETRANSLATE(B490, ""en"", ""pt-br"")"),"Eu gosto muito do aplicativo, mas se você acha que ele substituirá o Twitter, continue sonhando, pode estar em uma bagunça agora, mas não é tão tuff quanto o Facebook, se você gosta de adicionar certos conteúdos para adultos, por isso o Twitter é Não vou "&amp;"a lugar nenhum em breve, mais você precisa corrigi -lo, para que não use muita energia da bateria em segundo plano quando não está sendo usado")</f>
        <v>Eu gosto muito do aplicativo, mas se você acha que ele substituirá o Twitter, continue sonhando, pode estar em uma bagunça agora, mas não é tão tuff quanto o Facebook, se você gosta de adicionar certos conteúdos para adultos, por isso o Twitter é Não vou a lugar nenhum em breve, mais você precisa corrigi -lo, para que não use muita energia da bateria em segundo plano quando não está sendo usado</v>
      </c>
      <c r="I490" s="10" t="str">
        <f>IFERROR(__xludf.DUMMYFUNCTION("TRIM(REGEXREPLACE(H490,""[^a-zA-ZÀ-ú ]+"",""""))"),"Eu gosto muito do aplicativo mas se você acha que ele substituirá o Twitter continue sonhando pode estar em uma bagunça agora mas não é tão tuff quanto o Facebook se você gosta de adicionar certos conteúdos para adultos por isso o Twitter é Não vou a luga"&amp;"r nenhum em breve mais você precisa corrigi lo para que não use muita energia da bateria em segundo plano quando não está sendo usado")</f>
        <v>Eu gosto muito do aplicativo mas se você acha que ele substituirá o Twitter continue sonhando pode estar em uma bagunça agora mas não é tão tuff quanto o Facebook se você gosta de adicionar certos conteúdos para adultos por isso o Twitter é Não vou a lugar nenhum em breve mais você precisa corrigi lo para que não use muita energia da bateria em segundo plano quando não está sendo usado</v>
      </c>
      <c r="J490" s="3"/>
      <c r="K490" s="3"/>
      <c r="L490" s="3"/>
      <c r="M490" s="3"/>
      <c r="N490" s="3"/>
      <c r="O490" s="3"/>
      <c r="P490" s="3"/>
      <c r="Q490" s="3"/>
      <c r="R490" s="3"/>
      <c r="S490" s="3"/>
      <c r="T490" s="3"/>
      <c r="U490" s="3"/>
      <c r="V490" s="3"/>
      <c r="W490" s="3"/>
      <c r="X490" s="3"/>
      <c r="Y490" s="3"/>
      <c r="Z490" s="3"/>
      <c r="AA490" s="3"/>
    </row>
    <row r="491" ht="105.75" customHeight="1">
      <c r="A491" s="4" t="s">
        <v>9</v>
      </c>
      <c r="B491" s="5" t="s">
        <v>499</v>
      </c>
      <c r="C491" s="4">
        <v>4.0</v>
      </c>
      <c r="D491" s="6">
        <v>45126.61907407407</v>
      </c>
      <c r="E491" s="7" t="str">
        <f t="shared" si="1"/>
        <v>2023-07-19</v>
      </c>
      <c r="F491" s="8" t="str">
        <f t="shared" si="2"/>
        <v> 14:51:28</v>
      </c>
      <c r="G491" s="9" t="str">
        <f t="shared" si="3"/>
        <v>Tarde</v>
      </c>
      <c r="H491" s="10" t="str">
        <f>IFERROR(__xludf.DUMMYFUNCTION("GOOGLETRANSLATE(B491, ""en"", ""pt-br"")"),"Está muito bem até agora. Se melhorar em atualizações posteriores, eu posso passar do Twitter. No topo da minha cabeça, algumas melhorias que você pode fazer é adicionar um cronograma para as contas que você segue e vamos fazer outras linhas de tempo pers"&amp;"onalizáveis, adicionar a pesquisa post seria incrível. Normalmente eu não gosto de produtos Meta/Facebook, mas honestamente? Como artista, eu só quero sair do Twitter e ainda ter uma chance de ser visto.")</f>
        <v>Está muito bem até agora. Se melhorar em atualizações posteriores, eu posso passar do Twitter. No topo da minha cabeça, algumas melhorias que você pode fazer é adicionar um cronograma para as contas que você segue e vamos fazer outras linhas de tempo personalizáveis, adicionar a pesquisa post seria incrível. Normalmente eu não gosto de produtos Meta/Facebook, mas honestamente? Como artista, eu só quero sair do Twitter e ainda ter uma chance de ser visto.</v>
      </c>
      <c r="I491" s="10" t="str">
        <f>IFERROR(__xludf.DUMMYFUNCTION("TRIM(REGEXREPLACE(H491,""[^a-zA-ZÀ-ú ]+"",""""))"),"Está muito bem até agora Se melhorar em atualizações posteriores eu posso passar do Twitter No topo da minha cabeça algumas melhorias que você pode fazer é adicionar um cronograma para as contas que você segue e vamos fazer outras linhas de tempo personal"&amp;"izáveis adicionar a pesquisa post seria incrível Normalmente eu não gosto de produtos MetaFacebook mas honestamente Como artista eu só quero sair do Twitter e ainda ter uma chance de ser visto")</f>
        <v>Está muito bem até agora Se melhorar em atualizações posteriores eu posso passar do Twitter No topo da minha cabeça algumas melhorias que você pode fazer é adicionar um cronograma para as contas que você segue e vamos fazer outras linhas de tempo personalizáveis adicionar a pesquisa post seria incrível Normalmente eu não gosto de produtos MetaFacebook mas honestamente Como artista eu só quero sair do Twitter e ainda ter uma chance de ser visto</v>
      </c>
      <c r="J491" s="3"/>
      <c r="K491" s="3"/>
      <c r="L491" s="3"/>
      <c r="M491" s="3"/>
      <c r="N491" s="3"/>
      <c r="O491" s="3"/>
      <c r="P491" s="3"/>
      <c r="Q491" s="3"/>
      <c r="R491" s="3"/>
      <c r="S491" s="3"/>
      <c r="T491" s="3"/>
      <c r="U491" s="3"/>
      <c r="V491" s="3"/>
      <c r="W491" s="3"/>
      <c r="X491" s="3"/>
      <c r="Y491" s="3"/>
      <c r="Z491" s="3"/>
      <c r="AA491" s="3"/>
    </row>
    <row r="492" ht="105.75" customHeight="1">
      <c r="A492" s="4" t="s">
        <v>9</v>
      </c>
      <c r="B492" s="5" t="s">
        <v>500</v>
      </c>
      <c r="C492" s="4">
        <v>3.0</v>
      </c>
      <c r="D492" s="6">
        <v>45115.621886574074</v>
      </c>
      <c r="E492" s="7" t="str">
        <f t="shared" si="1"/>
        <v>2023-07-08</v>
      </c>
      <c r="F492" s="8" t="str">
        <f t="shared" si="2"/>
        <v> 14:55:31</v>
      </c>
      <c r="G492" s="9" t="str">
        <f t="shared" si="3"/>
        <v>Tarde</v>
      </c>
      <c r="H492" s="10" t="str">
        <f>IFERROR(__xludf.DUMMYFUNCTION("GOOGLETRANSLATE(B492, ""en"", ""pt-br"")"),"Muito bom para a primeira tentativa. Precisa de algumas correções e recursos. Que tal ""listas"" para que eu possa classificar quem ou o que estou seguindo por gênero ou tópico? Eu gostaria de poder ler informações esportivas separadamente das informações"&amp;" de entretenimento. Mais fácil de seguir as pessoas dessa maneira.")</f>
        <v>Muito bom para a primeira tentativa. Precisa de algumas correções e recursos. Que tal "listas" para que eu possa classificar quem ou o que estou seguindo por gênero ou tópico? Eu gostaria de poder ler informações esportivas separadamente das informações de entretenimento. Mais fácil de seguir as pessoas dessa maneira.</v>
      </c>
      <c r="I492" s="10" t="str">
        <f>IFERROR(__xludf.DUMMYFUNCTION("TRIM(REGEXREPLACE(H492,""[^a-zA-ZÀ-ú ]+"",""""))"),"Muito bom para a primeira tentativa Precisa de algumas correções e recursos Que tal listas para que eu possa classificar quem ou o que estou seguindo por gênero ou tópico Eu gostaria de poder ler informações esportivas separadamente das informações de ent"&amp;"retenimento Mais fácil de seguir as pessoas dessa maneira")</f>
        <v>Muito bom para a primeira tentativa Precisa de algumas correções e recursos Que tal listas para que eu possa classificar quem ou o que estou seguindo por gênero ou tópico Eu gostaria de poder ler informações esportivas separadamente das informações de entretenimento Mais fácil de seguir as pessoas dessa maneira</v>
      </c>
      <c r="J492" s="3"/>
      <c r="K492" s="3"/>
      <c r="L492" s="3"/>
      <c r="M492" s="3"/>
      <c r="N492" s="3"/>
      <c r="O492" s="3"/>
      <c r="P492" s="3"/>
      <c r="Q492" s="3"/>
      <c r="R492" s="3"/>
      <c r="S492" s="3"/>
      <c r="T492" s="3"/>
      <c r="U492" s="3"/>
      <c r="V492" s="3"/>
      <c r="W492" s="3"/>
      <c r="X492" s="3"/>
      <c r="Y492" s="3"/>
      <c r="Z492" s="3"/>
      <c r="AA492" s="3"/>
    </row>
    <row r="493" ht="105.75" customHeight="1">
      <c r="A493" s="4" t="s">
        <v>9</v>
      </c>
      <c r="B493" s="5" t="s">
        <v>501</v>
      </c>
      <c r="C493" s="4">
        <v>2.0</v>
      </c>
      <c r="D493" s="6">
        <v>45129.11444444444</v>
      </c>
      <c r="E493" s="7" t="str">
        <f t="shared" si="1"/>
        <v>2023-07-22</v>
      </c>
      <c r="F493" s="8" t="str">
        <f t="shared" si="2"/>
        <v> 02:44:48</v>
      </c>
      <c r="G493" s="9" t="str">
        <f t="shared" si="3"/>
        <v>Manhã</v>
      </c>
      <c r="H493" s="10" t="str">
        <f>IFERROR(__xludf.DUMMYFUNCTION("GOOGLETRANSLATE(B493, ""en"", ""pt-br"")"),"Nos últimos dias, se eu tentar compartilhar um link para um artigo, em vez de parecer que deveria, com uma imagem e manchete de visualização, tudo o que aparece é um URL truncado.")</f>
        <v>Nos últimos dias, se eu tentar compartilhar um link para um artigo, em vez de parecer que deveria, com uma imagem e manchete de visualização, tudo o que aparece é um URL truncado.</v>
      </c>
      <c r="I493" s="10" t="str">
        <f>IFERROR(__xludf.DUMMYFUNCTION("TRIM(REGEXREPLACE(H493,""[^a-zA-ZÀ-ú ]+"",""""))"),"Nos últimos dias se eu tentar compartilhar um link para um artigo em vez de parecer que deveria com uma imagem e manchete de visualização tudo o que aparece é um URL truncado")</f>
        <v>Nos últimos dias se eu tentar compartilhar um link para um artigo em vez de parecer que deveria com uma imagem e manchete de visualização tudo o que aparece é um URL truncado</v>
      </c>
      <c r="J493" s="3"/>
      <c r="K493" s="3"/>
      <c r="L493" s="3"/>
      <c r="M493" s="3"/>
      <c r="N493" s="3"/>
      <c r="O493" s="3"/>
      <c r="P493" s="3"/>
      <c r="Q493" s="3"/>
      <c r="R493" s="3"/>
      <c r="S493" s="3"/>
      <c r="T493" s="3"/>
      <c r="U493" s="3"/>
      <c r="V493" s="3"/>
      <c r="W493" s="3"/>
      <c r="X493" s="3"/>
      <c r="Y493" s="3"/>
      <c r="Z493" s="3"/>
      <c r="AA493" s="3"/>
    </row>
    <row r="494" ht="105.75" customHeight="1">
      <c r="A494" s="4" t="s">
        <v>9</v>
      </c>
      <c r="B494" s="5" t="s">
        <v>502</v>
      </c>
      <c r="C494" s="4">
        <v>3.0</v>
      </c>
      <c r="D494" s="6">
        <v>45113.36824074074</v>
      </c>
      <c r="E494" s="7" t="str">
        <f t="shared" si="1"/>
        <v>2023-07-06</v>
      </c>
      <c r="F494" s="8" t="str">
        <f t="shared" si="2"/>
        <v> 08:50:16</v>
      </c>
      <c r="G494" s="9" t="str">
        <f t="shared" si="3"/>
        <v>Manhã</v>
      </c>
      <c r="H494" s="10" t="str">
        <f>IFERROR(__xludf.DUMMYFUNCTION("GOOGLETRANSLATE(B494, ""en"", ""pt-br"")"),"Eu realmente gosto da interface do usuário. Eu nunca usei o Twitter (eu tenho um AC) porque a maioria das pessoas que conheço não o usa. Mas como isso faz parte do Instagram, a maioria começaria uma. Seria realmente útil se eu pudesse alternar entre difer"&amp;"entes contas, como no Instagram. É um aborrecimento para o Log Out, confirme o login e use a outra conta.")</f>
        <v>Eu realmente gosto da interface do usuário. Eu nunca usei o Twitter (eu tenho um AC) porque a maioria das pessoas que conheço não o usa. Mas como isso faz parte do Instagram, a maioria começaria uma. Seria realmente útil se eu pudesse alternar entre diferentes contas, como no Instagram. É um aborrecimento para o Log Out, confirme o login e use a outra conta.</v>
      </c>
      <c r="I494" s="10" t="str">
        <f>IFERROR(__xludf.DUMMYFUNCTION("TRIM(REGEXREPLACE(H494,""[^a-zA-ZÀ-ú ]+"",""""))"),"Eu realmente gosto da interface do usuário Eu nunca usei o Twitter eu tenho um AC porque a maioria das pessoas que conheço não o usa Mas como isso faz parte do Instagram a maioria começaria uma Seria realmente útil se eu pudesse alternar entre diferentes "&amp;"contas como no Instagram É um aborrecimento para o Log Out confirme o login e use a outra conta")</f>
        <v>Eu realmente gosto da interface do usuário Eu nunca usei o Twitter eu tenho um AC porque a maioria das pessoas que conheço não o usa Mas como isso faz parte do Instagram a maioria começaria uma Seria realmente útil se eu pudesse alternar entre diferentes contas como no Instagram É um aborrecimento para o Log Out confirme o login e use a outra conta</v>
      </c>
      <c r="J494" s="3"/>
      <c r="K494" s="3"/>
      <c r="L494" s="3"/>
      <c r="M494" s="3"/>
      <c r="N494" s="3"/>
      <c r="O494" s="3"/>
      <c r="P494" s="3"/>
      <c r="Q494" s="3"/>
      <c r="R494" s="3"/>
      <c r="S494" s="3"/>
      <c r="T494" s="3"/>
      <c r="U494" s="3"/>
      <c r="V494" s="3"/>
      <c r="W494" s="3"/>
      <c r="X494" s="3"/>
      <c r="Y494" s="3"/>
      <c r="Z494" s="3"/>
      <c r="AA494" s="3"/>
    </row>
    <row r="495" ht="105.75" customHeight="1">
      <c r="A495" s="4" t="s">
        <v>9</v>
      </c>
      <c r="B495" s="5" t="s">
        <v>503</v>
      </c>
      <c r="C495" s="4">
        <v>4.0</v>
      </c>
      <c r="D495" s="6">
        <v>45114.37113425926</v>
      </c>
      <c r="E495" s="7" t="str">
        <f t="shared" si="1"/>
        <v>2023-07-07</v>
      </c>
      <c r="F495" s="8" t="str">
        <f t="shared" si="2"/>
        <v> 08:54:26</v>
      </c>
      <c r="G495" s="9" t="str">
        <f t="shared" si="3"/>
        <v>Manhã</v>
      </c>
      <c r="H495" s="10" t="str">
        <f>IFERROR(__xludf.DUMMYFUNCTION("GOOGLETRANSLATE(B495, ""en"", ""pt-br"")"),"Para os melhores tópicos honestos, é gordo melhor do que outras mídias sociais. Não notei nada de errado lá, mas uma coisa que notei que existe o mesmo problema como o Twitter de Elon, depois de postar qualquer coisa que não possamos editar isso e foi mui"&amp;"to decepcionante para mim. Quando eu estava abrindo a conta, pensei que deveria estar disponível que apareça BT ALAS! Então você deve adicionar esse recurso.")</f>
        <v>Para os melhores tópicos honestos, é gordo melhor do que outras mídias sociais. Não notei nada de errado lá, mas uma coisa que notei que existe o mesmo problema como o Twitter de Elon, depois de postar qualquer coisa que não possamos editar isso e foi muito decepcionante para mim. Quando eu estava abrindo a conta, pensei que deveria estar disponível que apareça BT ALAS! Então você deve adicionar esse recurso.</v>
      </c>
      <c r="I495" s="10" t="str">
        <f>IFERROR(__xludf.DUMMYFUNCTION("TRIM(REGEXREPLACE(H495,""[^a-zA-ZÀ-ú ]+"",""""))"),"Para os melhores tópicos honestos é gordo melhor do que outras mídias sociais Não notei nada de errado lá mas uma coisa que notei que existe o mesmo problema como o Twitter de Elon depois de postar qualquer coisa que não possamos editar isso e foi muito d"&amp;"ecepcionante para mim Quando eu estava abrindo a conta pensei que deveria estar disponível que apareça BT ALAS Então você deve adicionar esse recurso")</f>
        <v>Para os melhores tópicos honestos é gordo melhor do que outras mídias sociais Não notei nada de errado lá mas uma coisa que notei que existe o mesmo problema como o Twitter de Elon depois de postar qualquer coisa que não possamos editar isso e foi muito decepcionante para mim Quando eu estava abrindo a conta pensei que deveria estar disponível que apareça BT ALAS Então você deve adicionar esse recurso</v>
      </c>
      <c r="J495" s="3"/>
      <c r="K495" s="3"/>
      <c r="L495" s="3"/>
      <c r="M495" s="3"/>
      <c r="N495" s="3"/>
      <c r="O495" s="3"/>
      <c r="P495" s="3"/>
      <c r="Q495" s="3"/>
      <c r="R495" s="3"/>
      <c r="S495" s="3"/>
      <c r="T495" s="3"/>
      <c r="U495" s="3"/>
      <c r="V495" s="3"/>
      <c r="W495" s="3"/>
      <c r="X495" s="3"/>
      <c r="Y495" s="3"/>
      <c r="Z495" s="3"/>
      <c r="AA495" s="3"/>
    </row>
    <row r="496" ht="105.75" customHeight="1">
      <c r="A496" s="4" t="s">
        <v>9</v>
      </c>
      <c r="B496" s="5" t="s">
        <v>504</v>
      </c>
      <c r="C496" s="4">
        <v>2.0</v>
      </c>
      <c r="D496" s="6">
        <v>45116.458969907406</v>
      </c>
      <c r="E496" s="7" t="str">
        <f t="shared" si="1"/>
        <v>2023-07-09</v>
      </c>
      <c r="F496" s="8" t="str">
        <f t="shared" si="2"/>
        <v> 11:00:55</v>
      </c>
      <c r="G496" s="9" t="str">
        <f t="shared" si="3"/>
        <v>Manhã</v>
      </c>
      <c r="H496" s="10" t="str">
        <f>IFERROR(__xludf.DUMMYFUNCTION("GOOGLETRANSLATE(B496, ""en"", ""pt-br"")"),"Meh. Sem nada explícito realmente permitido, é apenas o Instagram com uma interface do usuário mais baseada em texto. Qual é o ponto se é apenas o Instagram com uma aparência diferente? Além disso, um recurso de tradução seria bom.")</f>
        <v>Meh. Sem nada explícito realmente permitido, é apenas o Instagram com uma interface do usuário mais baseada em texto. Qual é o ponto se é apenas o Instagram com uma aparência diferente? Além disso, um recurso de tradução seria bom.</v>
      </c>
      <c r="I496" s="10" t="str">
        <f>IFERROR(__xludf.DUMMYFUNCTION("TRIM(REGEXREPLACE(H496,""[^a-zA-ZÀ-ú ]+"",""""))"),"Meh Sem nada explícito realmente permitido é apenas o Instagram com uma interface do usuário mais baseada em texto Qual é o ponto se é apenas o Instagram com uma aparência diferente Além disso um recurso de tradução seria bom")</f>
        <v>Meh Sem nada explícito realmente permitido é apenas o Instagram com uma interface do usuário mais baseada em texto Qual é o ponto se é apenas o Instagram com uma aparência diferente Além disso um recurso de tradução seria bom</v>
      </c>
      <c r="J496" s="3"/>
      <c r="K496" s="3"/>
      <c r="L496" s="3"/>
      <c r="M496" s="3"/>
      <c r="N496" s="3"/>
      <c r="O496" s="3"/>
      <c r="P496" s="3"/>
      <c r="Q496" s="3"/>
      <c r="R496" s="3"/>
      <c r="S496" s="3"/>
      <c r="T496" s="3"/>
      <c r="U496" s="3"/>
      <c r="V496" s="3"/>
      <c r="W496" s="3"/>
      <c r="X496" s="3"/>
      <c r="Y496" s="3"/>
      <c r="Z496" s="3"/>
      <c r="AA496" s="3"/>
    </row>
    <row r="497" ht="105.75" customHeight="1">
      <c r="A497" s="4" t="s">
        <v>9</v>
      </c>
      <c r="B497" s="5" t="s">
        <v>505</v>
      </c>
      <c r="C497" s="4">
        <v>4.0</v>
      </c>
      <c r="D497" s="6">
        <v>45119.980358796296</v>
      </c>
      <c r="E497" s="7" t="str">
        <f t="shared" si="1"/>
        <v>2023-07-12</v>
      </c>
      <c r="F497" s="8" t="str">
        <f t="shared" si="2"/>
        <v> 23:31:43</v>
      </c>
      <c r="G497" s="9" t="str">
        <f t="shared" si="3"/>
        <v>Noite</v>
      </c>
      <c r="H497" s="10" t="str">
        <f>IFERROR(__xludf.DUMMYFUNCTION("GOOGLETRANSLATE(B497, ""en"", ""pt-br"")"),"Ele tem muito potencial, sinto que está faltando alguns recursos, como uma opção de seguir/sugestões no FYP. Uma configuração mais fácil para poder ver e ler as respostas, acho difícil ver as respostas para uma postagem específica. Outro recurso que eu re"&amp;"comendaria é uma contagem semelhante na página da conta.")</f>
        <v>Ele tem muito potencial, sinto que está faltando alguns recursos, como uma opção de seguir/sugestões no FYP. Uma configuração mais fácil para poder ver e ler as respostas, acho difícil ver as respostas para uma postagem específica. Outro recurso que eu recomendaria é uma contagem semelhante na página da conta.</v>
      </c>
      <c r="I497" s="10" t="str">
        <f>IFERROR(__xludf.DUMMYFUNCTION("TRIM(REGEXREPLACE(H497,""[^a-zA-ZÀ-ú ]+"",""""))"),"Ele tem muito potencial sinto que está faltando alguns recursos como uma opção de seguirsugestões no FYP Uma configuração mais fácil para poder ver e ler as respostas acho difícil ver as respostas para uma postagem específica Outro recurso que eu recomend"&amp;"aria é uma contagem semelhante na página da conta")</f>
        <v>Ele tem muito potencial sinto que está faltando alguns recursos como uma opção de seguirsugestões no FYP Uma configuração mais fácil para poder ver e ler as respostas acho difícil ver as respostas para uma postagem específica Outro recurso que eu recomendaria é uma contagem semelhante na página da conta</v>
      </c>
      <c r="J497" s="3"/>
      <c r="K497" s="3"/>
      <c r="L497" s="3"/>
      <c r="M497" s="3"/>
      <c r="N497" s="3"/>
      <c r="O497" s="3"/>
      <c r="P497" s="3"/>
      <c r="Q497" s="3"/>
      <c r="R497" s="3"/>
      <c r="S497" s="3"/>
      <c r="T497" s="3"/>
      <c r="U497" s="3"/>
      <c r="V497" s="3"/>
      <c r="W497" s="3"/>
      <c r="X497" s="3"/>
      <c r="Y497" s="3"/>
      <c r="Z497" s="3"/>
      <c r="AA497" s="3"/>
    </row>
    <row r="498" ht="105.75" customHeight="1">
      <c r="A498" s="4" t="s">
        <v>9</v>
      </c>
      <c r="B498" s="5" t="s">
        <v>506</v>
      </c>
      <c r="C498" s="4">
        <v>2.0</v>
      </c>
      <c r="D498" s="6">
        <v>45113.10953703704</v>
      </c>
      <c r="E498" s="7" t="str">
        <f t="shared" si="1"/>
        <v>2023-07-06</v>
      </c>
      <c r="F498" s="8" t="str">
        <f t="shared" si="2"/>
        <v> 02:37:44</v>
      </c>
      <c r="G498" s="9" t="str">
        <f t="shared" si="3"/>
        <v>Manhã</v>
      </c>
      <c r="H498" s="10" t="str">
        <f>IFERROR(__xludf.DUMMYFUNCTION("GOOGLETRANSLATE(B498, ""en"", ""pt-br"")"),"Sem alternância do modo escuro. Nenhum texto alt. Sem dms. Um feed principal com o público misturado. Sem postes presos. O aplicativo parece muito simples e básico com ossos nus, o que é menor do que a maioria das startups teve. Este aplicativo é inutiliz"&amp;"ável.")</f>
        <v>Sem alternância do modo escuro. Nenhum texto alt. Sem dms. Um feed principal com o público misturado. Sem postes presos. O aplicativo parece muito simples e básico com ossos nus, o que é menor do que a maioria das startups teve. Este aplicativo é inutilizável.</v>
      </c>
      <c r="I498" s="10" t="str">
        <f>IFERROR(__xludf.DUMMYFUNCTION("TRIM(REGEXREPLACE(H498,""[^a-zA-ZÀ-ú ]+"",""""))"),"Sem alternância do modo escuro Nenhum texto alt Sem dms Um feed principal com o público misturado Sem postes presos O aplicativo parece muito simples e básico com ossos nus o que é menor do que a maioria das startups teve Este aplicativo é inutilizável")</f>
        <v>Sem alternância do modo escuro Nenhum texto alt Sem dms Um feed principal com o público misturado Sem postes presos O aplicativo parece muito simples e básico com ossos nus o que é menor do que a maioria das startups teve Este aplicativo é inutilizável</v>
      </c>
      <c r="J498" s="3"/>
      <c r="K498" s="3"/>
      <c r="L498" s="3"/>
      <c r="M498" s="3"/>
      <c r="N498" s="3"/>
      <c r="O498" s="3"/>
      <c r="P498" s="3"/>
      <c r="Q498" s="3"/>
      <c r="R498" s="3"/>
      <c r="S498" s="3"/>
      <c r="T498" s="3"/>
      <c r="U498" s="3"/>
      <c r="V498" s="3"/>
      <c r="W498" s="3"/>
      <c r="X498" s="3"/>
      <c r="Y498" s="3"/>
      <c r="Z498" s="3"/>
      <c r="AA498" s="3"/>
    </row>
    <row r="499" ht="105.75" customHeight="1">
      <c r="A499" s="4" t="s">
        <v>9</v>
      </c>
      <c r="B499" s="5" t="s">
        <v>507</v>
      </c>
      <c r="C499" s="4">
        <v>3.0</v>
      </c>
      <c r="D499" s="6">
        <v>45113.86565972222</v>
      </c>
      <c r="E499" s="7" t="str">
        <f t="shared" si="1"/>
        <v>2023-07-06</v>
      </c>
      <c r="F499" s="8" t="str">
        <f t="shared" si="2"/>
        <v> 20:46:33</v>
      </c>
      <c r="G499" s="9" t="str">
        <f t="shared" si="3"/>
        <v>Noite</v>
      </c>
      <c r="H499" s="10" t="str">
        <f>IFERROR(__xludf.DUMMYFUNCTION("GOOGLETRANSLATE(B499, ""en"", ""pt-br"")"),"O aplicativo parece bom, mas não pretendo usá -lo até que eu possa limitar meu feed às pessoas que sigo. Não quero ver todo esse conteúdo aleatório, é uma mente entorpecente. Aparentemente, esse recurso está ""na lista"". Vou dar outra olhada quando termi"&amp;"nar.")</f>
        <v>O aplicativo parece bom, mas não pretendo usá -lo até que eu possa limitar meu feed às pessoas que sigo. Não quero ver todo esse conteúdo aleatório, é uma mente entorpecente. Aparentemente, esse recurso está "na lista". Vou dar outra olhada quando terminar.</v>
      </c>
      <c r="I499" s="10" t="str">
        <f>IFERROR(__xludf.DUMMYFUNCTION("TRIM(REGEXREPLACE(H499,""[^a-zA-ZÀ-ú ]+"",""""))"),"O aplicativo parece bom mas não pretendo usá lo até que eu possa limitar meu feed às pessoas que sigo Não quero ver todo esse conteúdo aleatório é uma mente entorpecente Aparentemente esse recurso está na lista Vou dar outra olhada quando terminar")</f>
        <v>O aplicativo parece bom mas não pretendo usá lo até que eu possa limitar meu feed às pessoas que sigo Não quero ver todo esse conteúdo aleatório é uma mente entorpecente Aparentemente esse recurso está na lista Vou dar outra olhada quando terminar</v>
      </c>
      <c r="J499" s="3"/>
      <c r="K499" s="3"/>
      <c r="L499" s="3"/>
      <c r="M499" s="3"/>
      <c r="N499" s="3"/>
      <c r="O499" s="3"/>
      <c r="P499" s="3"/>
      <c r="Q499" s="3"/>
      <c r="R499" s="3"/>
      <c r="S499" s="3"/>
      <c r="T499" s="3"/>
      <c r="U499" s="3"/>
      <c r="V499" s="3"/>
      <c r="W499" s="3"/>
      <c r="X499" s="3"/>
      <c r="Y499" s="3"/>
      <c r="Z499" s="3"/>
      <c r="AA499" s="3"/>
    </row>
    <row r="500" ht="105.75" customHeight="1">
      <c r="A500" s="4" t="s">
        <v>9</v>
      </c>
      <c r="B500" s="5" t="s">
        <v>508</v>
      </c>
      <c r="C500" s="4">
        <v>1.0</v>
      </c>
      <c r="D500" s="6">
        <v>45115.337175925924</v>
      </c>
      <c r="E500" s="7" t="str">
        <f t="shared" si="1"/>
        <v>2023-07-08</v>
      </c>
      <c r="F500" s="8" t="str">
        <f t="shared" si="2"/>
        <v> 08:05:32</v>
      </c>
      <c r="G500" s="9" t="str">
        <f t="shared" si="3"/>
        <v>Manhã</v>
      </c>
      <c r="H500" s="10" t="str">
        <f>IFERROR(__xludf.DUMMYFUNCTION("GOOGLETRANSLATE(B500, ""en"", ""pt-br"")"),"Este aplicativo não é amigável e é difícil entender a estrutura do aplicativo e as opções da página inicial, mas também existem muitos bugs. Espero que você resolva todos os problemas no próximo aptate.")</f>
        <v>Este aplicativo não é amigável e é difícil entender a estrutura do aplicativo e as opções da página inicial, mas também existem muitos bugs. Espero que você resolva todos os problemas no próximo aptate.</v>
      </c>
      <c r="I500" s="10" t="str">
        <f>IFERROR(__xludf.DUMMYFUNCTION("TRIM(REGEXREPLACE(H500,""[^a-zA-ZÀ-ú ]+"",""""))"),"Este aplicativo não é amigável e é difícil entender a estrutura do aplicativo e as opções da página inicial mas também existem muitos bugs Espero que você resolva todos os problemas no próximo aptate")</f>
        <v>Este aplicativo não é amigável e é difícil entender a estrutura do aplicativo e as opções da página inicial mas também existem muitos bugs Espero que você resolva todos os problemas no próximo aptate</v>
      </c>
      <c r="J500" s="3"/>
      <c r="K500" s="3"/>
      <c r="L500" s="3"/>
      <c r="M500" s="3"/>
      <c r="N500" s="3"/>
      <c r="O500" s="3"/>
      <c r="P500" s="3"/>
      <c r="Q500" s="3"/>
      <c r="R500" s="3"/>
      <c r="S500" s="3"/>
      <c r="T500" s="3"/>
      <c r="U500" s="3"/>
      <c r="V500" s="3"/>
      <c r="W500" s="3"/>
      <c r="X500" s="3"/>
      <c r="Y500" s="3"/>
      <c r="Z500" s="3"/>
      <c r="AA500" s="3"/>
    </row>
    <row r="501" ht="105.75" customHeight="1">
      <c r="A501" s="11"/>
      <c r="B501" s="12"/>
      <c r="C501" s="11"/>
      <c r="D501" s="13"/>
      <c r="E501" s="14"/>
      <c r="F501" s="14"/>
      <c r="G501" s="14"/>
      <c r="H501" s="15"/>
      <c r="I501" s="15"/>
      <c r="J501" s="3"/>
      <c r="K501" s="3"/>
      <c r="L501" s="3"/>
      <c r="M501" s="3"/>
      <c r="N501" s="3"/>
      <c r="O501" s="3"/>
      <c r="P501" s="3"/>
      <c r="Q501" s="3"/>
      <c r="R501" s="3"/>
      <c r="S501" s="3"/>
      <c r="T501" s="3"/>
      <c r="U501" s="3"/>
      <c r="V501" s="3"/>
      <c r="W501" s="3"/>
      <c r="X501" s="3"/>
      <c r="Y501" s="3"/>
      <c r="Z501" s="3"/>
      <c r="AA501" s="3"/>
    </row>
    <row r="502" ht="105.75" customHeight="1">
      <c r="A502" s="11"/>
      <c r="B502" s="12"/>
      <c r="C502" s="11"/>
      <c r="D502" s="13"/>
      <c r="E502" s="14"/>
      <c r="F502" s="14"/>
      <c r="G502" s="14"/>
      <c r="H502" s="15"/>
      <c r="I502" s="15"/>
      <c r="J502" s="3"/>
      <c r="K502" s="3"/>
      <c r="L502" s="3"/>
      <c r="M502" s="3"/>
      <c r="N502" s="3"/>
      <c r="O502" s="3"/>
      <c r="P502" s="3"/>
      <c r="Q502" s="3"/>
      <c r="R502" s="3"/>
      <c r="S502" s="3"/>
      <c r="T502" s="3"/>
      <c r="U502" s="3"/>
      <c r="V502" s="3"/>
      <c r="W502" s="3"/>
      <c r="X502" s="3"/>
      <c r="Y502" s="3"/>
      <c r="Z502" s="3"/>
      <c r="AA502" s="3"/>
    </row>
    <row r="503" ht="105.75" customHeight="1">
      <c r="A503" s="11"/>
      <c r="B503" s="12"/>
      <c r="C503" s="11"/>
      <c r="D503" s="13"/>
      <c r="E503" s="16"/>
      <c r="F503" s="16"/>
      <c r="G503" s="16"/>
      <c r="H503" s="15"/>
      <c r="I503" s="15"/>
      <c r="J503" s="3"/>
      <c r="K503" s="3"/>
      <c r="L503" s="3"/>
      <c r="M503" s="3"/>
      <c r="N503" s="3"/>
      <c r="O503" s="3"/>
      <c r="P503" s="3"/>
      <c r="Q503" s="3"/>
      <c r="R503" s="3"/>
      <c r="S503" s="3"/>
      <c r="T503" s="3"/>
      <c r="U503" s="3"/>
      <c r="V503" s="3"/>
      <c r="W503" s="3"/>
      <c r="X503" s="3"/>
      <c r="Y503" s="3"/>
      <c r="Z503" s="3"/>
      <c r="AA503" s="3"/>
    </row>
    <row r="504" ht="105.75" customHeight="1">
      <c r="A504" s="11"/>
      <c r="B504" s="12"/>
      <c r="C504" s="11"/>
      <c r="D504" s="13"/>
      <c r="E504" s="14"/>
      <c r="F504" s="14"/>
      <c r="G504" s="14"/>
      <c r="H504" s="15"/>
      <c r="I504" s="15"/>
      <c r="J504" s="3"/>
      <c r="K504" s="3"/>
      <c r="L504" s="3"/>
      <c r="M504" s="3"/>
      <c r="N504" s="3"/>
      <c r="O504" s="3"/>
      <c r="P504" s="3"/>
      <c r="Q504" s="3"/>
      <c r="R504" s="3"/>
      <c r="S504" s="3"/>
      <c r="T504" s="3"/>
      <c r="U504" s="3"/>
      <c r="V504" s="3"/>
      <c r="W504" s="3"/>
      <c r="X504" s="3"/>
      <c r="Y504" s="3"/>
      <c r="Z504" s="3"/>
      <c r="AA504" s="3"/>
    </row>
    <row r="505" ht="105.75" customHeight="1">
      <c r="A505" s="11"/>
      <c r="B505" s="12"/>
      <c r="C505" s="11"/>
      <c r="D505" s="13"/>
      <c r="E505" s="14"/>
      <c r="F505" s="14"/>
      <c r="G505" s="14"/>
      <c r="H505" s="15"/>
      <c r="I505" s="15"/>
      <c r="J505" s="3"/>
      <c r="K505" s="3"/>
      <c r="L505" s="3"/>
      <c r="M505" s="3"/>
      <c r="N505" s="3"/>
      <c r="O505" s="3"/>
      <c r="P505" s="3"/>
      <c r="Q505" s="3"/>
      <c r="R505" s="3"/>
      <c r="S505" s="3"/>
      <c r="T505" s="3"/>
      <c r="U505" s="3"/>
      <c r="V505" s="3"/>
      <c r="W505" s="3"/>
      <c r="X505" s="3"/>
      <c r="Y505" s="3"/>
      <c r="Z505" s="3"/>
      <c r="AA505" s="3"/>
    </row>
    <row r="506" ht="105.75" customHeight="1">
      <c r="A506" s="11"/>
      <c r="B506" s="12"/>
      <c r="C506" s="11"/>
      <c r="D506" s="13"/>
      <c r="E506" s="14"/>
      <c r="F506" s="14"/>
      <c r="G506" s="14"/>
      <c r="H506" s="15"/>
      <c r="I506" s="15"/>
      <c r="J506" s="3"/>
      <c r="K506" s="3"/>
      <c r="L506" s="3"/>
      <c r="M506" s="3"/>
      <c r="N506" s="3"/>
      <c r="O506" s="3"/>
      <c r="P506" s="3"/>
      <c r="Q506" s="3"/>
      <c r="R506" s="3"/>
      <c r="S506" s="3"/>
      <c r="T506" s="3"/>
      <c r="U506" s="3"/>
      <c r="V506" s="3"/>
      <c r="W506" s="3"/>
      <c r="X506" s="3"/>
      <c r="Y506" s="3"/>
      <c r="Z506" s="3"/>
      <c r="AA506" s="3"/>
    </row>
    <row r="507" ht="105.75" customHeight="1">
      <c r="A507" s="11"/>
      <c r="B507" s="12"/>
      <c r="C507" s="11"/>
      <c r="D507" s="13"/>
      <c r="E507" s="14"/>
      <c r="F507" s="14"/>
      <c r="G507" s="14"/>
      <c r="H507" s="15"/>
      <c r="I507" s="15"/>
      <c r="J507" s="3"/>
      <c r="K507" s="3"/>
      <c r="L507" s="3"/>
      <c r="M507" s="3"/>
      <c r="N507" s="3"/>
      <c r="O507" s="3"/>
      <c r="P507" s="3"/>
      <c r="Q507" s="3"/>
      <c r="R507" s="3"/>
      <c r="S507" s="3"/>
      <c r="T507" s="3"/>
      <c r="U507" s="3"/>
      <c r="V507" s="3"/>
      <c r="W507" s="3"/>
      <c r="X507" s="3"/>
      <c r="Y507" s="3"/>
      <c r="Z507" s="3"/>
      <c r="AA507" s="3"/>
    </row>
    <row r="508" ht="105.75" customHeight="1">
      <c r="A508" s="11"/>
      <c r="B508" s="12"/>
      <c r="C508" s="11"/>
      <c r="D508" s="13"/>
      <c r="E508" s="14"/>
      <c r="F508" s="14"/>
      <c r="G508" s="14"/>
      <c r="H508" s="15"/>
      <c r="I508" s="15"/>
      <c r="J508" s="3"/>
      <c r="K508" s="3"/>
      <c r="L508" s="3"/>
      <c r="M508" s="3"/>
      <c r="N508" s="3"/>
      <c r="O508" s="3"/>
      <c r="P508" s="3"/>
      <c r="Q508" s="3"/>
      <c r="R508" s="3"/>
      <c r="S508" s="3"/>
      <c r="T508" s="3"/>
      <c r="U508" s="3"/>
      <c r="V508" s="3"/>
      <c r="W508" s="3"/>
      <c r="X508" s="3"/>
      <c r="Y508" s="3"/>
      <c r="Z508" s="3"/>
      <c r="AA508" s="3"/>
    </row>
    <row r="509" ht="105.75" customHeight="1">
      <c r="A509" s="11"/>
      <c r="B509" s="12"/>
      <c r="C509" s="11"/>
      <c r="D509" s="13"/>
      <c r="E509" s="14"/>
      <c r="F509" s="14"/>
      <c r="G509" s="14"/>
      <c r="H509" s="15"/>
      <c r="I509" s="15"/>
      <c r="J509" s="3"/>
      <c r="K509" s="3"/>
      <c r="L509" s="3"/>
      <c r="M509" s="3"/>
      <c r="N509" s="3"/>
      <c r="O509" s="3"/>
      <c r="P509" s="3"/>
      <c r="Q509" s="3"/>
      <c r="R509" s="3"/>
      <c r="S509" s="3"/>
      <c r="T509" s="3"/>
      <c r="U509" s="3"/>
      <c r="V509" s="3"/>
      <c r="W509" s="3"/>
      <c r="X509" s="3"/>
      <c r="Y509" s="3"/>
      <c r="Z509" s="3"/>
      <c r="AA509" s="3"/>
    </row>
    <row r="510" ht="105.75" customHeight="1">
      <c r="A510" s="11"/>
      <c r="B510" s="12"/>
      <c r="C510" s="11"/>
      <c r="D510" s="13"/>
      <c r="E510" s="16"/>
      <c r="F510" s="16"/>
      <c r="G510" s="16"/>
      <c r="H510" s="15"/>
      <c r="I510" s="15"/>
      <c r="J510" s="3"/>
      <c r="K510" s="3"/>
      <c r="L510" s="3"/>
      <c r="M510" s="3"/>
      <c r="N510" s="3"/>
      <c r="O510" s="3"/>
      <c r="P510" s="3"/>
      <c r="Q510" s="3"/>
      <c r="R510" s="3"/>
      <c r="S510" s="3"/>
      <c r="T510" s="3"/>
      <c r="U510" s="3"/>
      <c r="V510" s="3"/>
      <c r="W510" s="3"/>
      <c r="X510" s="3"/>
      <c r="Y510" s="3"/>
      <c r="Z510" s="3"/>
      <c r="AA510" s="3"/>
    </row>
    <row r="511" ht="105.75" customHeight="1">
      <c r="A511" s="11"/>
      <c r="B511" s="12"/>
      <c r="C511" s="11"/>
      <c r="D511" s="13"/>
      <c r="E511" s="14"/>
      <c r="F511" s="14"/>
      <c r="G511" s="14"/>
      <c r="H511" s="15"/>
      <c r="I511" s="15"/>
      <c r="J511" s="3"/>
      <c r="K511" s="3"/>
      <c r="L511" s="3"/>
      <c r="M511" s="3"/>
      <c r="N511" s="3"/>
      <c r="O511" s="3"/>
      <c r="P511" s="3"/>
      <c r="Q511" s="3"/>
      <c r="R511" s="3"/>
      <c r="S511" s="3"/>
      <c r="T511" s="3"/>
      <c r="U511" s="3"/>
      <c r="V511" s="3"/>
      <c r="W511" s="3"/>
      <c r="X511" s="3"/>
      <c r="Y511" s="3"/>
      <c r="Z511" s="3"/>
      <c r="AA511" s="3"/>
    </row>
    <row r="512" ht="105.75" customHeight="1">
      <c r="A512" s="11"/>
      <c r="B512" s="12"/>
      <c r="C512" s="11"/>
      <c r="D512" s="13"/>
      <c r="E512" s="14"/>
      <c r="F512" s="14"/>
      <c r="G512" s="14"/>
      <c r="H512" s="15"/>
      <c r="I512" s="15"/>
      <c r="J512" s="3"/>
      <c r="K512" s="3"/>
      <c r="L512" s="3"/>
      <c r="M512" s="3"/>
      <c r="N512" s="3"/>
      <c r="O512" s="3"/>
      <c r="P512" s="3"/>
      <c r="Q512" s="3"/>
      <c r="R512" s="3"/>
      <c r="S512" s="3"/>
      <c r="T512" s="3"/>
      <c r="U512" s="3"/>
      <c r="V512" s="3"/>
      <c r="W512" s="3"/>
      <c r="X512" s="3"/>
      <c r="Y512" s="3"/>
      <c r="Z512" s="3"/>
      <c r="AA512" s="3"/>
    </row>
    <row r="513" ht="105.75" customHeight="1">
      <c r="A513" s="11"/>
      <c r="B513" s="12"/>
      <c r="C513" s="11"/>
      <c r="D513" s="13"/>
      <c r="E513" s="14"/>
      <c r="F513" s="14"/>
      <c r="G513" s="14"/>
      <c r="H513" s="15"/>
      <c r="I513" s="15"/>
      <c r="J513" s="3"/>
      <c r="K513" s="3"/>
      <c r="L513" s="3"/>
      <c r="M513" s="3"/>
      <c r="N513" s="3"/>
      <c r="O513" s="3"/>
      <c r="P513" s="3"/>
      <c r="Q513" s="3"/>
      <c r="R513" s="3"/>
      <c r="S513" s="3"/>
      <c r="T513" s="3"/>
      <c r="U513" s="3"/>
      <c r="V513" s="3"/>
      <c r="W513" s="3"/>
      <c r="X513" s="3"/>
      <c r="Y513" s="3"/>
      <c r="Z513" s="3"/>
      <c r="AA513" s="3"/>
    </row>
    <row r="514" ht="105.75" customHeight="1">
      <c r="A514" s="11"/>
      <c r="B514" s="12"/>
      <c r="C514" s="11"/>
      <c r="D514" s="13"/>
      <c r="E514" s="14"/>
      <c r="F514" s="14"/>
      <c r="G514" s="14"/>
      <c r="H514" s="15"/>
      <c r="I514" s="15"/>
      <c r="J514" s="3"/>
      <c r="K514" s="3"/>
      <c r="L514" s="3"/>
      <c r="M514" s="3"/>
      <c r="N514" s="3"/>
      <c r="O514" s="3"/>
      <c r="P514" s="3"/>
      <c r="Q514" s="3"/>
      <c r="R514" s="3"/>
      <c r="S514" s="3"/>
      <c r="T514" s="3"/>
      <c r="U514" s="3"/>
      <c r="V514" s="3"/>
      <c r="W514" s="3"/>
      <c r="X514" s="3"/>
      <c r="Y514" s="3"/>
      <c r="Z514" s="3"/>
      <c r="AA514" s="3"/>
    </row>
    <row r="515" ht="105.75" customHeight="1">
      <c r="A515" s="11"/>
      <c r="B515" s="12"/>
      <c r="C515" s="11"/>
      <c r="D515" s="13"/>
      <c r="E515" s="14"/>
      <c r="F515" s="14"/>
      <c r="G515" s="14"/>
      <c r="H515" s="15"/>
      <c r="I515" s="15"/>
      <c r="J515" s="3"/>
      <c r="K515" s="3"/>
      <c r="L515" s="3"/>
      <c r="M515" s="3"/>
      <c r="N515" s="3"/>
      <c r="O515" s="3"/>
      <c r="P515" s="3"/>
      <c r="Q515" s="3"/>
      <c r="R515" s="3"/>
      <c r="S515" s="3"/>
      <c r="T515" s="3"/>
      <c r="U515" s="3"/>
      <c r="V515" s="3"/>
      <c r="W515" s="3"/>
      <c r="X515" s="3"/>
      <c r="Y515" s="3"/>
      <c r="Z515" s="3"/>
      <c r="AA515" s="3"/>
    </row>
    <row r="516" ht="105.75" customHeight="1">
      <c r="A516" s="11"/>
      <c r="B516" s="12"/>
      <c r="C516" s="11"/>
      <c r="D516" s="13"/>
      <c r="E516" s="14"/>
      <c r="F516" s="14"/>
      <c r="G516" s="14"/>
      <c r="H516" s="15"/>
      <c r="I516" s="15"/>
      <c r="J516" s="3"/>
      <c r="K516" s="3"/>
      <c r="L516" s="3"/>
      <c r="M516" s="3"/>
      <c r="N516" s="3"/>
      <c r="O516" s="3"/>
      <c r="P516" s="3"/>
      <c r="Q516" s="3"/>
      <c r="R516" s="3"/>
      <c r="S516" s="3"/>
      <c r="T516" s="3"/>
      <c r="U516" s="3"/>
      <c r="V516" s="3"/>
      <c r="W516" s="3"/>
      <c r="X516" s="3"/>
      <c r="Y516" s="3"/>
      <c r="Z516" s="3"/>
      <c r="AA516" s="3"/>
    </row>
    <row r="517" ht="105.75" customHeight="1">
      <c r="A517" s="11"/>
      <c r="B517" s="12"/>
      <c r="C517" s="11"/>
      <c r="D517" s="13"/>
      <c r="E517" s="14"/>
      <c r="F517" s="14"/>
      <c r="G517" s="14"/>
      <c r="H517" s="15"/>
      <c r="I517" s="15"/>
      <c r="J517" s="3"/>
      <c r="K517" s="3"/>
      <c r="L517" s="3"/>
      <c r="M517" s="3"/>
      <c r="N517" s="3"/>
      <c r="O517" s="3"/>
      <c r="P517" s="3"/>
      <c r="Q517" s="3"/>
      <c r="R517" s="3"/>
      <c r="S517" s="3"/>
      <c r="T517" s="3"/>
      <c r="U517" s="3"/>
      <c r="V517" s="3"/>
      <c r="W517" s="3"/>
      <c r="X517" s="3"/>
      <c r="Y517" s="3"/>
      <c r="Z517" s="3"/>
      <c r="AA517" s="3"/>
    </row>
    <row r="518" ht="105.75" customHeight="1">
      <c r="A518" s="11"/>
      <c r="B518" s="12"/>
      <c r="C518" s="11"/>
      <c r="D518" s="13"/>
      <c r="E518" s="16"/>
      <c r="F518" s="16"/>
      <c r="G518" s="16"/>
      <c r="H518" s="15"/>
      <c r="I518" s="15"/>
      <c r="J518" s="3"/>
      <c r="K518" s="3"/>
      <c r="L518" s="3"/>
      <c r="M518" s="3"/>
      <c r="N518" s="3"/>
      <c r="O518" s="3"/>
      <c r="P518" s="3"/>
      <c r="Q518" s="3"/>
      <c r="R518" s="3"/>
      <c r="S518" s="3"/>
      <c r="T518" s="3"/>
      <c r="U518" s="3"/>
      <c r="V518" s="3"/>
      <c r="W518" s="3"/>
      <c r="X518" s="3"/>
      <c r="Y518" s="3"/>
      <c r="Z518" s="3"/>
      <c r="AA518" s="3"/>
    </row>
    <row r="519" ht="105.75" customHeight="1">
      <c r="A519" s="11"/>
      <c r="B519" s="12"/>
      <c r="C519" s="11"/>
      <c r="D519" s="13"/>
      <c r="E519" s="14"/>
      <c r="F519" s="14"/>
      <c r="G519" s="14"/>
      <c r="H519" s="15"/>
      <c r="I519" s="15"/>
      <c r="J519" s="3"/>
      <c r="K519" s="3"/>
      <c r="L519" s="3"/>
      <c r="M519" s="3"/>
      <c r="N519" s="3"/>
      <c r="O519" s="3"/>
      <c r="P519" s="3"/>
      <c r="Q519" s="3"/>
      <c r="R519" s="3"/>
      <c r="S519" s="3"/>
      <c r="T519" s="3"/>
      <c r="U519" s="3"/>
      <c r="V519" s="3"/>
      <c r="W519" s="3"/>
      <c r="X519" s="3"/>
      <c r="Y519" s="3"/>
      <c r="Z519" s="3"/>
      <c r="AA519" s="3"/>
    </row>
    <row r="520" ht="105.75" customHeight="1">
      <c r="A520" s="11"/>
      <c r="B520" s="12"/>
      <c r="C520" s="11"/>
      <c r="D520" s="13"/>
      <c r="E520" s="14"/>
      <c r="F520" s="14"/>
      <c r="G520" s="14"/>
      <c r="H520" s="15"/>
      <c r="I520" s="15"/>
      <c r="J520" s="3"/>
      <c r="K520" s="3"/>
      <c r="L520" s="3"/>
      <c r="M520" s="3"/>
      <c r="N520" s="3"/>
      <c r="O520" s="3"/>
      <c r="P520" s="3"/>
      <c r="Q520" s="3"/>
      <c r="R520" s="3"/>
      <c r="S520" s="3"/>
      <c r="T520" s="3"/>
      <c r="U520" s="3"/>
      <c r="V520" s="3"/>
      <c r="W520" s="3"/>
      <c r="X520" s="3"/>
      <c r="Y520" s="3"/>
      <c r="Z520" s="3"/>
      <c r="AA520" s="3"/>
    </row>
    <row r="521" ht="105.75" customHeight="1">
      <c r="A521" s="11"/>
      <c r="B521" s="12"/>
      <c r="C521" s="11"/>
      <c r="D521" s="13"/>
      <c r="E521" s="14"/>
      <c r="F521" s="14"/>
      <c r="G521" s="14"/>
      <c r="H521" s="15"/>
      <c r="I521" s="15"/>
      <c r="J521" s="3"/>
      <c r="K521" s="3"/>
      <c r="L521" s="3"/>
      <c r="M521" s="3"/>
      <c r="N521" s="3"/>
      <c r="O521" s="3"/>
      <c r="P521" s="3"/>
      <c r="Q521" s="3"/>
      <c r="R521" s="3"/>
      <c r="S521" s="3"/>
      <c r="T521" s="3"/>
      <c r="U521" s="3"/>
      <c r="V521" s="3"/>
      <c r="W521" s="3"/>
      <c r="X521" s="3"/>
      <c r="Y521" s="3"/>
      <c r="Z521" s="3"/>
      <c r="AA521" s="3"/>
    </row>
    <row r="522" ht="105.75" customHeight="1">
      <c r="A522" s="11"/>
      <c r="B522" s="12"/>
      <c r="C522" s="11"/>
      <c r="D522" s="13"/>
      <c r="E522" s="14"/>
      <c r="F522" s="14"/>
      <c r="G522" s="14"/>
      <c r="H522" s="15"/>
      <c r="I522" s="15"/>
      <c r="J522" s="3"/>
      <c r="K522" s="3"/>
      <c r="L522" s="3"/>
      <c r="M522" s="3"/>
      <c r="N522" s="3"/>
      <c r="O522" s="3"/>
      <c r="P522" s="3"/>
      <c r="Q522" s="3"/>
      <c r="R522" s="3"/>
      <c r="S522" s="3"/>
      <c r="T522" s="3"/>
      <c r="U522" s="3"/>
      <c r="V522" s="3"/>
      <c r="W522" s="3"/>
      <c r="X522" s="3"/>
      <c r="Y522" s="3"/>
      <c r="Z522" s="3"/>
      <c r="AA522" s="3"/>
    </row>
    <row r="523" ht="105.75" customHeight="1">
      <c r="A523" s="11"/>
      <c r="B523" s="12"/>
      <c r="C523" s="11"/>
      <c r="D523" s="13"/>
      <c r="E523" s="14"/>
      <c r="F523" s="14"/>
      <c r="G523" s="14"/>
      <c r="H523" s="15"/>
      <c r="I523" s="15"/>
      <c r="J523" s="3"/>
      <c r="K523" s="3"/>
      <c r="L523" s="3"/>
      <c r="M523" s="3"/>
      <c r="N523" s="3"/>
      <c r="O523" s="3"/>
      <c r="P523" s="3"/>
      <c r="Q523" s="3"/>
      <c r="R523" s="3"/>
      <c r="S523" s="3"/>
      <c r="T523" s="3"/>
      <c r="U523" s="3"/>
      <c r="V523" s="3"/>
      <c r="W523" s="3"/>
      <c r="X523" s="3"/>
      <c r="Y523" s="3"/>
      <c r="Z523" s="3"/>
      <c r="AA523" s="3"/>
    </row>
    <row r="524" ht="105.75" customHeight="1">
      <c r="A524" s="11"/>
      <c r="B524" s="12"/>
      <c r="C524" s="11"/>
      <c r="D524" s="13"/>
      <c r="E524" s="14"/>
      <c r="F524" s="14"/>
      <c r="G524" s="14"/>
      <c r="H524" s="15"/>
      <c r="I524" s="15"/>
      <c r="J524" s="3"/>
      <c r="K524" s="3"/>
      <c r="L524" s="3"/>
      <c r="M524" s="3"/>
      <c r="N524" s="3"/>
      <c r="O524" s="3"/>
      <c r="P524" s="3"/>
      <c r="Q524" s="3"/>
      <c r="R524" s="3"/>
      <c r="S524" s="3"/>
      <c r="T524" s="3"/>
      <c r="U524" s="3"/>
      <c r="V524" s="3"/>
      <c r="W524" s="3"/>
      <c r="X524" s="3"/>
      <c r="Y524" s="3"/>
      <c r="Z524" s="3"/>
      <c r="AA524" s="3"/>
    </row>
    <row r="525" ht="105.75" customHeight="1">
      <c r="A525" s="11"/>
      <c r="B525" s="12"/>
      <c r="C525" s="11"/>
      <c r="D525" s="13"/>
      <c r="E525" s="14"/>
      <c r="F525" s="14"/>
      <c r="G525" s="14"/>
      <c r="H525" s="15"/>
      <c r="I525" s="15"/>
      <c r="J525" s="3"/>
      <c r="K525" s="3"/>
      <c r="L525" s="3"/>
      <c r="M525" s="3"/>
      <c r="N525" s="3"/>
      <c r="O525" s="3"/>
      <c r="P525" s="3"/>
      <c r="Q525" s="3"/>
      <c r="R525" s="3"/>
      <c r="S525" s="3"/>
      <c r="T525" s="3"/>
      <c r="U525" s="3"/>
      <c r="V525" s="3"/>
      <c r="W525" s="3"/>
      <c r="X525" s="3"/>
      <c r="Y525" s="3"/>
      <c r="Z525" s="3"/>
      <c r="AA525" s="3"/>
    </row>
    <row r="526" ht="105.75" customHeight="1">
      <c r="A526" s="11"/>
      <c r="B526" s="12"/>
      <c r="C526" s="11"/>
      <c r="D526" s="13"/>
      <c r="E526" s="14"/>
      <c r="F526" s="14"/>
      <c r="G526" s="14"/>
      <c r="H526" s="15"/>
      <c r="I526" s="15"/>
      <c r="J526" s="3"/>
      <c r="K526" s="3"/>
      <c r="L526" s="3"/>
      <c r="M526" s="3"/>
      <c r="N526" s="3"/>
      <c r="O526" s="3"/>
      <c r="P526" s="3"/>
      <c r="Q526" s="3"/>
      <c r="R526" s="3"/>
      <c r="S526" s="3"/>
      <c r="T526" s="3"/>
      <c r="U526" s="3"/>
      <c r="V526" s="3"/>
      <c r="W526" s="3"/>
      <c r="X526" s="3"/>
      <c r="Y526" s="3"/>
      <c r="Z526" s="3"/>
      <c r="AA526" s="3"/>
    </row>
    <row r="527" ht="105.75" customHeight="1">
      <c r="A527" s="11"/>
      <c r="B527" s="12"/>
      <c r="C527" s="11"/>
      <c r="D527" s="13"/>
      <c r="E527" s="14"/>
      <c r="F527" s="14"/>
      <c r="G527" s="14"/>
      <c r="H527" s="15"/>
      <c r="I527" s="15"/>
      <c r="J527" s="3"/>
      <c r="K527" s="3"/>
      <c r="L527" s="3"/>
      <c r="M527" s="3"/>
      <c r="N527" s="3"/>
      <c r="O527" s="3"/>
      <c r="P527" s="3"/>
      <c r="Q527" s="3"/>
      <c r="R527" s="3"/>
      <c r="S527" s="3"/>
      <c r="T527" s="3"/>
      <c r="U527" s="3"/>
      <c r="V527" s="3"/>
      <c r="W527" s="3"/>
      <c r="X527" s="3"/>
      <c r="Y527" s="3"/>
      <c r="Z527" s="3"/>
      <c r="AA527" s="3"/>
    </row>
    <row r="528" ht="105.75" customHeight="1">
      <c r="A528" s="11"/>
      <c r="B528" s="12"/>
      <c r="C528" s="11"/>
      <c r="D528" s="13"/>
      <c r="E528" s="16"/>
      <c r="F528" s="16"/>
      <c r="G528" s="16"/>
      <c r="H528" s="15"/>
      <c r="I528" s="15"/>
      <c r="J528" s="3"/>
      <c r="K528" s="3"/>
      <c r="L528" s="3"/>
      <c r="M528" s="3"/>
      <c r="N528" s="3"/>
      <c r="O528" s="3"/>
      <c r="P528" s="3"/>
      <c r="Q528" s="3"/>
      <c r="R528" s="3"/>
      <c r="S528" s="3"/>
      <c r="T528" s="3"/>
      <c r="U528" s="3"/>
      <c r="V528" s="3"/>
      <c r="W528" s="3"/>
      <c r="X528" s="3"/>
      <c r="Y528" s="3"/>
      <c r="Z528" s="3"/>
      <c r="AA528" s="3"/>
    </row>
    <row r="529" ht="105.75" customHeight="1">
      <c r="A529" s="11"/>
      <c r="B529" s="12"/>
      <c r="C529" s="11"/>
      <c r="D529" s="13"/>
      <c r="E529" s="14"/>
      <c r="F529" s="14"/>
      <c r="G529" s="14"/>
      <c r="H529" s="15"/>
      <c r="I529" s="15"/>
      <c r="J529" s="3"/>
      <c r="K529" s="3"/>
      <c r="L529" s="3"/>
      <c r="M529" s="3"/>
      <c r="N529" s="3"/>
      <c r="O529" s="3"/>
      <c r="P529" s="3"/>
      <c r="Q529" s="3"/>
      <c r="R529" s="3"/>
      <c r="S529" s="3"/>
      <c r="T529" s="3"/>
      <c r="U529" s="3"/>
      <c r="V529" s="3"/>
      <c r="W529" s="3"/>
      <c r="X529" s="3"/>
      <c r="Y529" s="3"/>
      <c r="Z529" s="3"/>
      <c r="AA529" s="3"/>
    </row>
    <row r="530" ht="105.75" customHeight="1">
      <c r="A530" s="11"/>
      <c r="B530" s="12"/>
      <c r="C530" s="11"/>
      <c r="D530" s="13"/>
      <c r="E530" s="14"/>
      <c r="F530" s="14"/>
      <c r="G530" s="14"/>
      <c r="H530" s="15"/>
      <c r="I530" s="15"/>
      <c r="J530" s="3"/>
      <c r="K530" s="3"/>
      <c r="L530" s="3"/>
      <c r="M530" s="3"/>
      <c r="N530" s="3"/>
      <c r="O530" s="3"/>
      <c r="P530" s="3"/>
      <c r="Q530" s="3"/>
      <c r="R530" s="3"/>
      <c r="S530" s="3"/>
      <c r="T530" s="3"/>
      <c r="U530" s="3"/>
      <c r="V530" s="3"/>
      <c r="W530" s="3"/>
      <c r="X530" s="3"/>
      <c r="Y530" s="3"/>
      <c r="Z530" s="3"/>
      <c r="AA530" s="3"/>
    </row>
    <row r="531" ht="105.75" customHeight="1">
      <c r="A531" s="11"/>
      <c r="B531" s="12"/>
      <c r="C531" s="11"/>
      <c r="D531" s="13"/>
      <c r="E531" s="14"/>
      <c r="F531" s="14"/>
      <c r="G531" s="14"/>
      <c r="H531" s="15"/>
      <c r="I531" s="15"/>
      <c r="J531" s="3"/>
      <c r="K531" s="3"/>
      <c r="L531" s="3"/>
      <c r="M531" s="3"/>
      <c r="N531" s="3"/>
      <c r="O531" s="3"/>
      <c r="P531" s="3"/>
      <c r="Q531" s="3"/>
      <c r="R531" s="3"/>
      <c r="S531" s="3"/>
      <c r="T531" s="3"/>
      <c r="U531" s="3"/>
      <c r="V531" s="3"/>
      <c r="W531" s="3"/>
      <c r="X531" s="3"/>
      <c r="Y531" s="3"/>
      <c r="Z531" s="3"/>
      <c r="AA531" s="3"/>
    </row>
    <row r="532" ht="105.75" customHeight="1">
      <c r="A532" s="11"/>
      <c r="B532" s="12"/>
      <c r="C532" s="11"/>
      <c r="D532" s="13"/>
      <c r="E532" s="14"/>
      <c r="F532" s="14"/>
      <c r="G532" s="14"/>
      <c r="H532" s="15"/>
      <c r="I532" s="15"/>
      <c r="J532" s="3"/>
      <c r="K532" s="3"/>
      <c r="L532" s="3"/>
      <c r="M532" s="3"/>
      <c r="N532" s="3"/>
      <c r="O532" s="3"/>
      <c r="P532" s="3"/>
      <c r="Q532" s="3"/>
      <c r="R532" s="3"/>
      <c r="S532" s="3"/>
      <c r="T532" s="3"/>
      <c r="U532" s="3"/>
      <c r="V532" s="3"/>
      <c r="W532" s="3"/>
      <c r="X532" s="3"/>
      <c r="Y532" s="3"/>
      <c r="Z532" s="3"/>
      <c r="AA532" s="3"/>
    </row>
    <row r="533" ht="105.75" customHeight="1">
      <c r="A533" s="11"/>
      <c r="B533" s="12"/>
      <c r="C533" s="11"/>
      <c r="D533" s="13"/>
      <c r="E533" s="14"/>
      <c r="F533" s="14"/>
      <c r="G533" s="14"/>
      <c r="H533" s="15"/>
      <c r="I533" s="15"/>
      <c r="J533" s="3"/>
      <c r="K533" s="3"/>
      <c r="L533" s="3"/>
      <c r="M533" s="3"/>
      <c r="N533" s="3"/>
      <c r="O533" s="3"/>
      <c r="P533" s="3"/>
      <c r="Q533" s="3"/>
      <c r="R533" s="3"/>
      <c r="S533" s="3"/>
      <c r="T533" s="3"/>
      <c r="U533" s="3"/>
      <c r="V533" s="3"/>
      <c r="W533" s="3"/>
      <c r="X533" s="3"/>
      <c r="Y533" s="3"/>
      <c r="Z533" s="3"/>
      <c r="AA533" s="3"/>
    </row>
    <row r="534" ht="105.75" customHeight="1">
      <c r="A534" s="11"/>
      <c r="B534" s="12"/>
      <c r="C534" s="11"/>
      <c r="D534" s="13"/>
      <c r="E534" s="14"/>
      <c r="F534" s="14"/>
      <c r="G534" s="14"/>
      <c r="H534" s="15"/>
      <c r="I534" s="15"/>
      <c r="J534" s="3"/>
      <c r="K534" s="3"/>
      <c r="L534" s="3"/>
      <c r="M534" s="3"/>
      <c r="N534" s="3"/>
      <c r="O534" s="3"/>
      <c r="P534" s="3"/>
      <c r="Q534" s="3"/>
      <c r="R534" s="3"/>
      <c r="S534" s="3"/>
      <c r="T534" s="3"/>
      <c r="U534" s="3"/>
      <c r="V534" s="3"/>
      <c r="W534" s="3"/>
      <c r="X534" s="3"/>
      <c r="Y534" s="3"/>
      <c r="Z534" s="3"/>
      <c r="AA534" s="3"/>
    </row>
    <row r="535" ht="105.75" customHeight="1">
      <c r="A535" s="11"/>
      <c r="B535" s="12"/>
      <c r="C535" s="11"/>
      <c r="D535" s="13"/>
      <c r="E535" s="14"/>
      <c r="F535" s="14"/>
      <c r="G535" s="14"/>
      <c r="H535" s="15"/>
      <c r="I535" s="15"/>
      <c r="J535" s="3"/>
      <c r="K535" s="3"/>
      <c r="L535" s="3"/>
      <c r="M535" s="3"/>
      <c r="N535" s="3"/>
      <c r="O535" s="3"/>
      <c r="P535" s="3"/>
      <c r="Q535" s="3"/>
      <c r="R535" s="3"/>
      <c r="S535" s="3"/>
      <c r="T535" s="3"/>
      <c r="U535" s="3"/>
      <c r="V535" s="3"/>
      <c r="W535" s="3"/>
      <c r="X535" s="3"/>
      <c r="Y535" s="3"/>
      <c r="Z535" s="3"/>
      <c r="AA535" s="3"/>
    </row>
    <row r="536" ht="105.75" customHeight="1">
      <c r="A536" s="11"/>
      <c r="B536" s="12"/>
      <c r="C536" s="11"/>
      <c r="D536" s="13"/>
      <c r="E536" s="14"/>
      <c r="F536" s="14"/>
      <c r="G536" s="14"/>
      <c r="H536" s="15"/>
      <c r="I536" s="15"/>
      <c r="J536" s="3"/>
      <c r="K536" s="3"/>
      <c r="L536" s="3"/>
      <c r="M536" s="3"/>
      <c r="N536" s="3"/>
      <c r="O536" s="3"/>
      <c r="P536" s="3"/>
      <c r="Q536" s="3"/>
      <c r="R536" s="3"/>
      <c r="S536" s="3"/>
      <c r="T536" s="3"/>
      <c r="U536" s="3"/>
      <c r="V536" s="3"/>
      <c r="W536" s="3"/>
      <c r="X536" s="3"/>
      <c r="Y536" s="3"/>
      <c r="Z536" s="3"/>
      <c r="AA536" s="3"/>
    </row>
    <row r="537" ht="105.75" customHeight="1">
      <c r="A537" s="11"/>
      <c r="B537" s="12"/>
      <c r="C537" s="11"/>
      <c r="D537" s="13"/>
      <c r="E537" s="14"/>
      <c r="F537" s="14"/>
      <c r="G537" s="14"/>
      <c r="H537" s="15"/>
      <c r="I537" s="15"/>
      <c r="J537" s="3"/>
      <c r="K537" s="3"/>
      <c r="L537" s="3"/>
      <c r="M537" s="3"/>
      <c r="N537" s="3"/>
      <c r="O537" s="3"/>
      <c r="P537" s="3"/>
      <c r="Q537" s="3"/>
      <c r="R537" s="3"/>
      <c r="S537" s="3"/>
      <c r="T537" s="3"/>
      <c r="U537" s="3"/>
      <c r="V537" s="3"/>
      <c r="W537" s="3"/>
      <c r="X537" s="3"/>
      <c r="Y537" s="3"/>
      <c r="Z537" s="3"/>
      <c r="AA537" s="3"/>
    </row>
    <row r="538" ht="105.75" customHeight="1">
      <c r="A538" s="11"/>
      <c r="B538" s="12"/>
      <c r="C538" s="11"/>
      <c r="D538" s="13"/>
      <c r="E538" s="14"/>
      <c r="F538" s="14"/>
      <c r="G538" s="14"/>
      <c r="H538" s="15"/>
      <c r="I538" s="15"/>
      <c r="J538" s="3"/>
      <c r="K538" s="3"/>
      <c r="L538" s="3"/>
      <c r="M538" s="3"/>
      <c r="N538" s="3"/>
      <c r="O538" s="3"/>
      <c r="P538" s="3"/>
      <c r="Q538" s="3"/>
      <c r="R538" s="3"/>
      <c r="S538" s="3"/>
      <c r="T538" s="3"/>
      <c r="U538" s="3"/>
      <c r="V538" s="3"/>
      <c r="W538" s="3"/>
      <c r="X538" s="3"/>
      <c r="Y538" s="3"/>
      <c r="Z538" s="3"/>
      <c r="AA538" s="3"/>
    </row>
    <row r="539" ht="105.75" customHeight="1">
      <c r="A539" s="11"/>
      <c r="B539" s="12"/>
      <c r="C539" s="11"/>
      <c r="D539" s="13"/>
      <c r="E539" s="14"/>
      <c r="F539" s="14"/>
      <c r="G539" s="14"/>
      <c r="H539" s="15"/>
      <c r="I539" s="15"/>
      <c r="J539" s="3"/>
      <c r="K539" s="3"/>
      <c r="L539" s="3"/>
      <c r="M539" s="3"/>
      <c r="N539" s="3"/>
      <c r="O539" s="3"/>
      <c r="P539" s="3"/>
      <c r="Q539" s="3"/>
      <c r="R539" s="3"/>
      <c r="S539" s="3"/>
      <c r="T539" s="3"/>
      <c r="U539" s="3"/>
      <c r="V539" s="3"/>
      <c r="W539" s="3"/>
      <c r="X539" s="3"/>
      <c r="Y539" s="3"/>
      <c r="Z539" s="3"/>
      <c r="AA539" s="3"/>
    </row>
    <row r="540" ht="105.75" customHeight="1">
      <c r="A540" s="11"/>
      <c r="B540" s="12"/>
      <c r="C540" s="11"/>
      <c r="D540" s="13"/>
      <c r="E540" s="14"/>
      <c r="F540" s="14"/>
      <c r="G540" s="14"/>
      <c r="H540" s="15"/>
      <c r="I540" s="15"/>
      <c r="J540" s="3"/>
      <c r="K540" s="3"/>
      <c r="L540" s="3"/>
      <c r="M540" s="3"/>
      <c r="N540" s="3"/>
      <c r="O540" s="3"/>
      <c r="P540" s="3"/>
      <c r="Q540" s="3"/>
      <c r="R540" s="3"/>
      <c r="S540" s="3"/>
      <c r="T540" s="3"/>
      <c r="U540" s="3"/>
      <c r="V540" s="3"/>
      <c r="W540" s="3"/>
      <c r="X540" s="3"/>
      <c r="Y540" s="3"/>
      <c r="Z540" s="3"/>
      <c r="AA540" s="3"/>
    </row>
    <row r="541" ht="105.75" customHeight="1">
      <c r="A541" s="11"/>
      <c r="B541" s="12"/>
      <c r="C541" s="11"/>
      <c r="D541" s="13"/>
      <c r="E541" s="14"/>
      <c r="F541" s="14"/>
      <c r="G541" s="14"/>
      <c r="H541" s="15"/>
      <c r="I541" s="15"/>
      <c r="J541" s="3"/>
      <c r="K541" s="3"/>
      <c r="L541" s="3"/>
      <c r="M541" s="3"/>
      <c r="N541" s="3"/>
      <c r="O541" s="3"/>
      <c r="P541" s="3"/>
      <c r="Q541" s="3"/>
      <c r="R541" s="3"/>
      <c r="S541" s="3"/>
      <c r="T541" s="3"/>
      <c r="U541" s="3"/>
      <c r="V541" s="3"/>
      <c r="W541" s="3"/>
      <c r="X541" s="3"/>
      <c r="Y541" s="3"/>
      <c r="Z541" s="3"/>
      <c r="AA541" s="3"/>
    </row>
    <row r="542" ht="105.75" customHeight="1">
      <c r="A542" s="11"/>
      <c r="B542" s="12"/>
      <c r="C542" s="11"/>
      <c r="D542" s="13"/>
      <c r="E542" s="14"/>
      <c r="F542" s="14"/>
      <c r="G542" s="14"/>
      <c r="H542" s="15"/>
      <c r="I542" s="15"/>
      <c r="J542" s="3"/>
      <c r="K542" s="3"/>
      <c r="L542" s="3"/>
      <c r="M542" s="3"/>
      <c r="N542" s="3"/>
      <c r="O542" s="3"/>
      <c r="P542" s="3"/>
      <c r="Q542" s="3"/>
      <c r="R542" s="3"/>
      <c r="S542" s="3"/>
      <c r="T542" s="3"/>
      <c r="U542" s="3"/>
      <c r="V542" s="3"/>
      <c r="W542" s="3"/>
      <c r="X542" s="3"/>
      <c r="Y542" s="3"/>
      <c r="Z542" s="3"/>
      <c r="AA542" s="3"/>
    </row>
    <row r="543" ht="105.75" customHeight="1">
      <c r="A543" s="11"/>
      <c r="B543" s="12"/>
      <c r="C543" s="11"/>
      <c r="D543" s="13"/>
      <c r="E543" s="14"/>
      <c r="F543" s="14"/>
      <c r="G543" s="14"/>
      <c r="H543" s="15"/>
      <c r="I543" s="15"/>
      <c r="J543" s="3"/>
      <c r="K543" s="3"/>
      <c r="L543" s="3"/>
      <c r="M543" s="3"/>
      <c r="N543" s="3"/>
      <c r="O543" s="3"/>
      <c r="P543" s="3"/>
      <c r="Q543" s="3"/>
      <c r="R543" s="3"/>
      <c r="S543" s="3"/>
      <c r="T543" s="3"/>
      <c r="U543" s="3"/>
      <c r="V543" s="3"/>
      <c r="W543" s="3"/>
      <c r="X543" s="3"/>
      <c r="Y543" s="3"/>
      <c r="Z543" s="3"/>
      <c r="AA543" s="3"/>
    </row>
    <row r="544" ht="105.75" customHeight="1">
      <c r="A544" s="11"/>
      <c r="B544" s="12"/>
      <c r="C544" s="11"/>
      <c r="D544" s="13"/>
      <c r="E544" s="14"/>
      <c r="F544" s="14"/>
      <c r="G544" s="14"/>
      <c r="H544" s="15"/>
      <c r="I544" s="15"/>
      <c r="J544" s="3"/>
      <c r="K544" s="3"/>
      <c r="L544" s="3"/>
      <c r="M544" s="3"/>
      <c r="N544" s="3"/>
      <c r="O544" s="3"/>
      <c r="P544" s="3"/>
      <c r="Q544" s="3"/>
      <c r="R544" s="3"/>
      <c r="S544" s="3"/>
      <c r="T544" s="3"/>
      <c r="U544" s="3"/>
      <c r="V544" s="3"/>
      <c r="W544" s="3"/>
      <c r="X544" s="3"/>
      <c r="Y544" s="3"/>
      <c r="Z544" s="3"/>
      <c r="AA544" s="3"/>
    </row>
    <row r="545" ht="105.75" customHeight="1">
      <c r="A545" s="11"/>
      <c r="B545" s="12"/>
      <c r="C545" s="11"/>
      <c r="D545" s="13"/>
      <c r="E545" s="14"/>
      <c r="F545" s="14"/>
      <c r="G545" s="14"/>
      <c r="H545" s="15"/>
      <c r="I545" s="15"/>
      <c r="J545" s="3"/>
      <c r="K545" s="3"/>
      <c r="L545" s="3"/>
      <c r="M545" s="3"/>
      <c r="N545" s="3"/>
      <c r="O545" s="3"/>
      <c r="P545" s="3"/>
      <c r="Q545" s="3"/>
      <c r="R545" s="3"/>
      <c r="S545" s="3"/>
      <c r="T545" s="3"/>
      <c r="U545" s="3"/>
      <c r="V545" s="3"/>
      <c r="W545" s="3"/>
      <c r="X545" s="3"/>
      <c r="Y545" s="3"/>
      <c r="Z545" s="3"/>
      <c r="AA545" s="3"/>
    </row>
    <row r="546" ht="105.75" customHeight="1">
      <c r="A546" s="11"/>
      <c r="B546" s="12"/>
      <c r="C546" s="11"/>
      <c r="D546" s="13"/>
      <c r="E546" s="14"/>
      <c r="F546" s="14"/>
      <c r="G546" s="14"/>
      <c r="H546" s="15"/>
      <c r="I546" s="15"/>
      <c r="J546" s="3"/>
      <c r="K546" s="3"/>
      <c r="L546" s="3"/>
      <c r="M546" s="3"/>
      <c r="N546" s="3"/>
      <c r="O546" s="3"/>
      <c r="P546" s="3"/>
      <c r="Q546" s="3"/>
      <c r="R546" s="3"/>
      <c r="S546" s="3"/>
      <c r="T546" s="3"/>
      <c r="U546" s="3"/>
      <c r="V546" s="3"/>
      <c r="W546" s="3"/>
      <c r="X546" s="3"/>
      <c r="Y546" s="3"/>
      <c r="Z546" s="3"/>
      <c r="AA546" s="3"/>
    </row>
    <row r="547" ht="105.75" customHeight="1">
      <c r="A547" s="11"/>
      <c r="B547" s="12"/>
      <c r="C547" s="11"/>
      <c r="D547" s="13"/>
      <c r="E547" s="14"/>
      <c r="F547" s="14"/>
      <c r="G547" s="14"/>
      <c r="H547" s="15"/>
      <c r="I547" s="15"/>
      <c r="J547" s="3"/>
      <c r="K547" s="3"/>
      <c r="L547" s="3"/>
      <c r="M547" s="3"/>
      <c r="N547" s="3"/>
      <c r="O547" s="3"/>
      <c r="P547" s="3"/>
      <c r="Q547" s="3"/>
      <c r="R547" s="3"/>
      <c r="S547" s="3"/>
      <c r="T547" s="3"/>
      <c r="U547" s="3"/>
      <c r="V547" s="3"/>
      <c r="W547" s="3"/>
      <c r="X547" s="3"/>
      <c r="Y547" s="3"/>
      <c r="Z547" s="3"/>
      <c r="AA547" s="3"/>
    </row>
    <row r="548" ht="105.75" customHeight="1">
      <c r="A548" s="11"/>
      <c r="B548" s="12"/>
      <c r="C548" s="11"/>
      <c r="D548" s="13"/>
      <c r="E548" s="14"/>
      <c r="F548" s="14"/>
      <c r="G548" s="14"/>
      <c r="H548" s="15"/>
      <c r="I548" s="15"/>
      <c r="J548" s="3"/>
      <c r="K548" s="3"/>
      <c r="L548" s="3"/>
      <c r="M548" s="3"/>
      <c r="N548" s="3"/>
      <c r="O548" s="3"/>
      <c r="P548" s="3"/>
      <c r="Q548" s="3"/>
      <c r="R548" s="3"/>
      <c r="S548" s="3"/>
      <c r="T548" s="3"/>
      <c r="U548" s="3"/>
      <c r="V548" s="3"/>
      <c r="W548" s="3"/>
      <c r="X548" s="3"/>
      <c r="Y548" s="3"/>
      <c r="Z548" s="3"/>
      <c r="AA548" s="3"/>
    </row>
    <row r="549" ht="105.75" customHeight="1">
      <c r="A549" s="11"/>
      <c r="B549" s="12"/>
      <c r="C549" s="11"/>
      <c r="D549" s="13"/>
      <c r="E549" s="14"/>
      <c r="F549" s="14"/>
      <c r="G549" s="14"/>
      <c r="H549" s="15"/>
      <c r="I549" s="15"/>
      <c r="J549" s="3"/>
      <c r="K549" s="3"/>
      <c r="L549" s="3"/>
      <c r="M549" s="3"/>
      <c r="N549" s="3"/>
      <c r="O549" s="3"/>
      <c r="P549" s="3"/>
      <c r="Q549" s="3"/>
      <c r="R549" s="3"/>
      <c r="S549" s="3"/>
      <c r="T549" s="3"/>
      <c r="U549" s="3"/>
      <c r="V549" s="3"/>
      <c r="W549" s="3"/>
      <c r="X549" s="3"/>
      <c r="Y549" s="3"/>
      <c r="Z549" s="3"/>
      <c r="AA549" s="3"/>
    </row>
    <row r="550" ht="105.75" customHeight="1">
      <c r="A550" s="11"/>
      <c r="B550" s="12"/>
      <c r="C550" s="11"/>
      <c r="D550" s="13"/>
      <c r="E550" s="14"/>
      <c r="F550" s="14"/>
      <c r="G550" s="14"/>
      <c r="H550" s="15"/>
      <c r="I550" s="15"/>
      <c r="J550" s="3"/>
      <c r="K550" s="3"/>
      <c r="L550" s="3"/>
      <c r="M550" s="3"/>
      <c r="N550" s="3"/>
      <c r="O550" s="3"/>
      <c r="P550" s="3"/>
      <c r="Q550" s="3"/>
      <c r="R550" s="3"/>
      <c r="S550" s="3"/>
      <c r="T550" s="3"/>
      <c r="U550" s="3"/>
      <c r="V550" s="3"/>
      <c r="W550" s="3"/>
      <c r="X550" s="3"/>
      <c r="Y550" s="3"/>
      <c r="Z550" s="3"/>
      <c r="AA550" s="3"/>
    </row>
    <row r="551" ht="105.75" customHeight="1">
      <c r="A551" s="11"/>
      <c r="B551" s="12"/>
      <c r="C551" s="11"/>
      <c r="D551" s="13"/>
      <c r="E551" s="14"/>
      <c r="F551" s="14"/>
      <c r="G551" s="14"/>
      <c r="H551" s="15"/>
      <c r="I551" s="15"/>
      <c r="J551" s="3"/>
      <c r="K551" s="3"/>
      <c r="L551" s="3"/>
      <c r="M551" s="3"/>
      <c r="N551" s="3"/>
      <c r="O551" s="3"/>
      <c r="P551" s="3"/>
      <c r="Q551" s="3"/>
      <c r="R551" s="3"/>
      <c r="S551" s="3"/>
      <c r="T551" s="3"/>
      <c r="U551" s="3"/>
      <c r="V551" s="3"/>
      <c r="W551" s="3"/>
      <c r="X551" s="3"/>
      <c r="Y551" s="3"/>
      <c r="Z551" s="3"/>
      <c r="AA551" s="3"/>
    </row>
    <row r="552" ht="105.75" customHeight="1">
      <c r="A552" s="11"/>
      <c r="B552" s="12"/>
      <c r="C552" s="11"/>
      <c r="D552" s="13"/>
      <c r="E552" s="14"/>
      <c r="F552" s="14"/>
      <c r="G552" s="14"/>
      <c r="H552" s="15"/>
      <c r="I552" s="15"/>
      <c r="J552" s="3"/>
      <c r="K552" s="3"/>
      <c r="L552" s="3"/>
      <c r="M552" s="3"/>
      <c r="N552" s="3"/>
      <c r="O552" s="3"/>
      <c r="P552" s="3"/>
      <c r="Q552" s="3"/>
      <c r="R552" s="3"/>
      <c r="S552" s="3"/>
      <c r="T552" s="3"/>
      <c r="U552" s="3"/>
      <c r="V552" s="3"/>
      <c r="W552" s="3"/>
      <c r="X552" s="3"/>
      <c r="Y552" s="3"/>
      <c r="Z552" s="3"/>
      <c r="AA552" s="3"/>
    </row>
    <row r="553" ht="105.75" customHeight="1">
      <c r="A553" s="11"/>
      <c r="B553" s="12"/>
      <c r="C553" s="11"/>
      <c r="D553" s="13"/>
      <c r="E553" s="16"/>
      <c r="F553" s="16"/>
      <c r="G553" s="16"/>
      <c r="H553" s="15"/>
      <c r="I553" s="15"/>
      <c r="J553" s="3"/>
      <c r="K553" s="3"/>
      <c r="L553" s="3"/>
      <c r="M553" s="3"/>
      <c r="N553" s="3"/>
      <c r="O553" s="3"/>
      <c r="P553" s="3"/>
      <c r="Q553" s="3"/>
      <c r="R553" s="3"/>
      <c r="S553" s="3"/>
      <c r="T553" s="3"/>
      <c r="U553" s="3"/>
      <c r="V553" s="3"/>
      <c r="W553" s="3"/>
      <c r="X553" s="3"/>
      <c r="Y553" s="3"/>
      <c r="Z553" s="3"/>
      <c r="AA553" s="3"/>
    </row>
    <row r="554" ht="105.75" customHeight="1">
      <c r="A554" s="11"/>
      <c r="B554" s="12"/>
      <c r="C554" s="11"/>
      <c r="D554" s="13"/>
      <c r="E554" s="14"/>
      <c r="F554" s="14"/>
      <c r="G554" s="14"/>
      <c r="H554" s="15"/>
      <c r="I554" s="15"/>
      <c r="J554" s="3"/>
      <c r="K554" s="3"/>
      <c r="L554" s="3"/>
      <c r="M554" s="3"/>
      <c r="N554" s="3"/>
      <c r="O554" s="3"/>
      <c r="P554" s="3"/>
      <c r="Q554" s="3"/>
      <c r="R554" s="3"/>
      <c r="S554" s="3"/>
      <c r="T554" s="3"/>
      <c r="U554" s="3"/>
      <c r="V554" s="3"/>
      <c r="W554" s="3"/>
      <c r="X554" s="3"/>
      <c r="Y554" s="3"/>
      <c r="Z554" s="3"/>
      <c r="AA554" s="3"/>
    </row>
    <row r="555" ht="105.75" customHeight="1">
      <c r="A555" s="11"/>
      <c r="B555" s="12"/>
      <c r="C555" s="11"/>
      <c r="D555" s="13"/>
      <c r="E555" s="16"/>
      <c r="F555" s="16"/>
      <c r="G555" s="16"/>
      <c r="H555" s="15"/>
      <c r="I555" s="15"/>
      <c r="J555" s="3"/>
      <c r="K555" s="3"/>
      <c r="L555" s="3"/>
      <c r="M555" s="3"/>
      <c r="N555" s="3"/>
      <c r="O555" s="3"/>
      <c r="P555" s="3"/>
      <c r="Q555" s="3"/>
      <c r="R555" s="3"/>
      <c r="S555" s="3"/>
      <c r="T555" s="3"/>
      <c r="U555" s="3"/>
      <c r="V555" s="3"/>
      <c r="W555" s="3"/>
      <c r="X555" s="3"/>
      <c r="Y555" s="3"/>
      <c r="Z555" s="3"/>
      <c r="AA555" s="3"/>
    </row>
    <row r="556" ht="105.75" customHeight="1">
      <c r="A556" s="11"/>
      <c r="B556" s="12"/>
      <c r="C556" s="11"/>
      <c r="D556" s="13"/>
      <c r="E556" s="14"/>
      <c r="F556" s="14"/>
      <c r="G556" s="14"/>
      <c r="H556" s="15"/>
      <c r="I556" s="15"/>
      <c r="J556" s="3"/>
      <c r="K556" s="3"/>
      <c r="L556" s="3"/>
      <c r="M556" s="3"/>
      <c r="N556" s="3"/>
      <c r="O556" s="3"/>
      <c r="P556" s="3"/>
      <c r="Q556" s="3"/>
      <c r="R556" s="3"/>
      <c r="S556" s="3"/>
      <c r="T556" s="3"/>
      <c r="U556" s="3"/>
      <c r="V556" s="3"/>
      <c r="W556" s="3"/>
      <c r="X556" s="3"/>
      <c r="Y556" s="3"/>
      <c r="Z556" s="3"/>
      <c r="AA556" s="3"/>
    </row>
    <row r="557" ht="105.75" customHeight="1">
      <c r="A557" s="11"/>
      <c r="B557" s="12"/>
      <c r="C557" s="11"/>
      <c r="D557" s="13"/>
      <c r="E557" s="14"/>
      <c r="F557" s="14"/>
      <c r="G557" s="14"/>
      <c r="H557" s="15"/>
      <c r="I557" s="15"/>
      <c r="J557" s="3"/>
      <c r="K557" s="3"/>
      <c r="L557" s="3"/>
      <c r="M557" s="3"/>
      <c r="N557" s="3"/>
      <c r="O557" s="3"/>
      <c r="P557" s="3"/>
      <c r="Q557" s="3"/>
      <c r="R557" s="3"/>
      <c r="S557" s="3"/>
      <c r="T557" s="3"/>
      <c r="U557" s="3"/>
      <c r="V557" s="3"/>
      <c r="W557" s="3"/>
      <c r="X557" s="3"/>
      <c r="Y557" s="3"/>
      <c r="Z557" s="3"/>
      <c r="AA557" s="3"/>
    </row>
    <row r="558" ht="105.75" customHeight="1">
      <c r="A558" s="11"/>
      <c r="B558" s="12"/>
      <c r="C558" s="11"/>
      <c r="D558" s="13"/>
      <c r="E558" s="14"/>
      <c r="F558" s="14"/>
      <c r="G558" s="14"/>
      <c r="H558" s="15"/>
      <c r="I558" s="15"/>
      <c r="J558" s="3"/>
      <c r="K558" s="3"/>
      <c r="L558" s="3"/>
      <c r="M558" s="3"/>
      <c r="N558" s="3"/>
      <c r="O558" s="3"/>
      <c r="P558" s="3"/>
      <c r="Q558" s="3"/>
      <c r="R558" s="3"/>
      <c r="S558" s="3"/>
      <c r="T558" s="3"/>
      <c r="U558" s="3"/>
      <c r="V558" s="3"/>
      <c r="W558" s="3"/>
      <c r="X558" s="3"/>
      <c r="Y558" s="3"/>
      <c r="Z558" s="3"/>
      <c r="AA558" s="3"/>
    </row>
    <row r="559" ht="105.75" customHeight="1">
      <c r="A559" s="11"/>
      <c r="B559" s="12"/>
      <c r="C559" s="11"/>
      <c r="D559" s="13"/>
      <c r="E559" s="14"/>
      <c r="F559" s="14"/>
      <c r="G559" s="14"/>
      <c r="H559" s="15"/>
      <c r="I559" s="15"/>
      <c r="J559" s="3"/>
      <c r="K559" s="3"/>
      <c r="L559" s="3"/>
      <c r="M559" s="3"/>
      <c r="N559" s="3"/>
      <c r="O559" s="3"/>
      <c r="P559" s="3"/>
      <c r="Q559" s="3"/>
      <c r="R559" s="3"/>
      <c r="S559" s="3"/>
      <c r="T559" s="3"/>
      <c r="U559" s="3"/>
      <c r="V559" s="3"/>
      <c r="W559" s="3"/>
      <c r="X559" s="3"/>
      <c r="Y559" s="3"/>
      <c r="Z559" s="3"/>
      <c r="AA559" s="3"/>
    </row>
    <row r="560" ht="105.75" customHeight="1">
      <c r="A560" s="11"/>
      <c r="B560" s="12"/>
      <c r="C560" s="11"/>
      <c r="D560" s="13"/>
      <c r="E560" s="14"/>
      <c r="F560" s="14"/>
      <c r="G560" s="14"/>
      <c r="H560" s="15"/>
      <c r="I560" s="15"/>
      <c r="J560" s="3"/>
      <c r="K560" s="3"/>
      <c r="L560" s="3"/>
      <c r="M560" s="3"/>
      <c r="N560" s="3"/>
      <c r="O560" s="3"/>
      <c r="P560" s="3"/>
      <c r="Q560" s="3"/>
      <c r="R560" s="3"/>
      <c r="S560" s="3"/>
      <c r="T560" s="3"/>
      <c r="U560" s="3"/>
      <c r="V560" s="3"/>
      <c r="W560" s="3"/>
      <c r="X560" s="3"/>
      <c r="Y560" s="3"/>
      <c r="Z560" s="3"/>
      <c r="AA560" s="3"/>
    </row>
    <row r="561" ht="105.75" customHeight="1">
      <c r="A561" s="11"/>
      <c r="B561" s="12"/>
      <c r="C561" s="11"/>
      <c r="D561" s="13"/>
      <c r="E561" s="16"/>
      <c r="F561" s="16"/>
      <c r="G561" s="16"/>
      <c r="H561" s="15"/>
      <c r="I561" s="15"/>
      <c r="J561" s="3"/>
      <c r="K561" s="3"/>
      <c r="L561" s="3"/>
      <c r="M561" s="3"/>
      <c r="N561" s="3"/>
      <c r="O561" s="3"/>
      <c r="P561" s="3"/>
      <c r="Q561" s="3"/>
      <c r="R561" s="3"/>
      <c r="S561" s="3"/>
      <c r="T561" s="3"/>
      <c r="U561" s="3"/>
      <c r="V561" s="3"/>
      <c r="W561" s="3"/>
      <c r="X561" s="3"/>
      <c r="Y561" s="3"/>
      <c r="Z561" s="3"/>
      <c r="AA561" s="3"/>
    </row>
    <row r="562" ht="105.75" customHeight="1">
      <c r="A562" s="11"/>
      <c r="B562" s="12"/>
      <c r="C562" s="11"/>
      <c r="D562" s="13"/>
      <c r="E562" s="14"/>
      <c r="F562" s="14"/>
      <c r="G562" s="14"/>
      <c r="H562" s="15"/>
      <c r="I562" s="15"/>
      <c r="J562" s="3"/>
      <c r="K562" s="3"/>
      <c r="L562" s="3"/>
      <c r="M562" s="3"/>
      <c r="N562" s="3"/>
      <c r="O562" s="3"/>
      <c r="P562" s="3"/>
      <c r="Q562" s="3"/>
      <c r="R562" s="3"/>
      <c r="S562" s="3"/>
      <c r="T562" s="3"/>
      <c r="U562" s="3"/>
      <c r="V562" s="3"/>
      <c r="W562" s="3"/>
      <c r="X562" s="3"/>
      <c r="Y562" s="3"/>
      <c r="Z562" s="3"/>
      <c r="AA562" s="3"/>
    </row>
    <row r="563" ht="105.75" customHeight="1">
      <c r="A563" s="11"/>
      <c r="B563" s="12"/>
      <c r="C563" s="11"/>
      <c r="D563" s="13"/>
      <c r="E563" s="14"/>
      <c r="F563" s="14"/>
      <c r="G563" s="14"/>
      <c r="H563" s="15"/>
      <c r="I563" s="15"/>
      <c r="J563" s="3"/>
      <c r="K563" s="3"/>
      <c r="L563" s="3"/>
      <c r="M563" s="3"/>
      <c r="N563" s="3"/>
      <c r="O563" s="3"/>
      <c r="P563" s="3"/>
      <c r="Q563" s="3"/>
      <c r="R563" s="3"/>
      <c r="S563" s="3"/>
      <c r="T563" s="3"/>
      <c r="U563" s="3"/>
      <c r="V563" s="3"/>
      <c r="W563" s="3"/>
      <c r="X563" s="3"/>
      <c r="Y563" s="3"/>
      <c r="Z563" s="3"/>
      <c r="AA563" s="3"/>
    </row>
    <row r="564" ht="105.75" customHeight="1">
      <c r="A564" s="11"/>
      <c r="B564" s="12"/>
      <c r="C564" s="11"/>
      <c r="D564" s="13"/>
      <c r="E564" s="14"/>
      <c r="F564" s="14"/>
      <c r="G564" s="14"/>
      <c r="H564" s="15"/>
      <c r="I564" s="15"/>
      <c r="J564" s="3"/>
      <c r="K564" s="3"/>
      <c r="L564" s="3"/>
      <c r="M564" s="3"/>
      <c r="N564" s="3"/>
      <c r="O564" s="3"/>
      <c r="P564" s="3"/>
      <c r="Q564" s="3"/>
      <c r="R564" s="3"/>
      <c r="S564" s="3"/>
      <c r="T564" s="3"/>
      <c r="U564" s="3"/>
      <c r="V564" s="3"/>
      <c r="W564" s="3"/>
      <c r="X564" s="3"/>
      <c r="Y564" s="3"/>
      <c r="Z564" s="3"/>
      <c r="AA564" s="3"/>
    </row>
    <row r="565" ht="105.75" customHeight="1">
      <c r="A565" s="11"/>
      <c r="B565" s="12"/>
      <c r="C565" s="11"/>
      <c r="D565" s="13"/>
      <c r="E565" s="14"/>
      <c r="F565" s="14"/>
      <c r="G565" s="14"/>
      <c r="H565" s="15"/>
      <c r="I565" s="15"/>
      <c r="J565" s="3"/>
      <c r="K565" s="3"/>
      <c r="L565" s="3"/>
      <c r="M565" s="3"/>
      <c r="N565" s="3"/>
      <c r="O565" s="3"/>
      <c r="P565" s="3"/>
      <c r="Q565" s="3"/>
      <c r="R565" s="3"/>
      <c r="S565" s="3"/>
      <c r="T565" s="3"/>
      <c r="U565" s="3"/>
      <c r="V565" s="3"/>
      <c r="W565" s="3"/>
      <c r="X565" s="3"/>
      <c r="Y565" s="3"/>
      <c r="Z565" s="3"/>
      <c r="AA565" s="3"/>
    </row>
    <row r="566" ht="105.75" customHeight="1">
      <c r="A566" s="11"/>
      <c r="B566" s="12"/>
      <c r="C566" s="11"/>
      <c r="D566" s="13"/>
      <c r="E566" s="14"/>
      <c r="F566" s="14"/>
      <c r="G566" s="14"/>
      <c r="H566" s="15"/>
      <c r="I566" s="15"/>
      <c r="J566" s="3"/>
      <c r="K566" s="3"/>
      <c r="L566" s="3"/>
      <c r="M566" s="3"/>
      <c r="N566" s="3"/>
      <c r="O566" s="3"/>
      <c r="P566" s="3"/>
      <c r="Q566" s="3"/>
      <c r="R566" s="3"/>
      <c r="S566" s="3"/>
      <c r="T566" s="3"/>
      <c r="U566" s="3"/>
      <c r="V566" s="3"/>
      <c r="W566" s="3"/>
      <c r="X566" s="3"/>
      <c r="Y566" s="3"/>
      <c r="Z566" s="3"/>
      <c r="AA566" s="3"/>
    </row>
    <row r="567" ht="105.75" customHeight="1">
      <c r="A567" s="11"/>
      <c r="B567" s="12"/>
      <c r="C567" s="11"/>
      <c r="D567" s="13"/>
      <c r="E567" s="14"/>
      <c r="F567" s="14"/>
      <c r="G567" s="14"/>
      <c r="H567" s="15"/>
      <c r="I567" s="15"/>
      <c r="J567" s="3"/>
      <c r="K567" s="3"/>
      <c r="L567" s="3"/>
      <c r="M567" s="3"/>
      <c r="N567" s="3"/>
      <c r="O567" s="3"/>
      <c r="P567" s="3"/>
      <c r="Q567" s="3"/>
      <c r="R567" s="3"/>
      <c r="S567" s="3"/>
      <c r="T567" s="3"/>
      <c r="U567" s="3"/>
      <c r="V567" s="3"/>
      <c r="W567" s="3"/>
      <c r="X567" s="3"/>
      <c r="Y567" s="3"/>
      <c r="Z567" s="3"/>
      <c r="AA567" s="3"/>
    </row>
    <row r="568" ht="105.75" customHeight="1">
      <c r="A568" s="11"/>
      <c r="B568" s="12"/>
      <c r="C568" s="11"/>
      <c r="D568" s="13"/>
      <c r="E568" s="14"/>
      <c r="F568" s="14"/>
      <c r="G568" s="14"/>
      <c r="H568" s="15"/>
      <c r="I568" s="15"/>
      <c r="J568" s="3"/>
      <c r="K568" s="3"/>
      <c r="L568" s="3"/>
      <c r="M568" s="3"/>
      <c r="N568" s="3"/>
      <c r="O568" s="3"/>
      <c r="P568" s="3"/>
      <c r="Q568" s="3"/>
      <c r="R568" s="3"/>
      <c r="S568" s="3"/>
      <c r="T568" s="3"/>
      <c r="U568" s="3"/>
      <c r="V568" s="3"/>
      <c r="W568" s="3"/>
      <c r="X568" s="3"/>
      <c r="Y568" s="3"/>
      <c r="Z568" s="3"/>
      <c r="AA568" s="3"/>
    </row>
    <row r="569" ht="105.75" customHeight="1">
      <c r="A569" s="11"/>
      <c r="B569" s="12"/>
      <c r="C569" s="11"/>
      <c r="D569" s="13"/>
      <c r="E569" s="14"/>
      <c r="F569" s="14"/>
      <c r="G569" s="14"/>
      <c r="H569" s="15"/>
      <c r="I569" s="15"/>
      <c r="J569" s="3"/>
      <c r="K569" s="3"/>
      <c r="L569" s="3"/>
      <c r="M569" s="3"/>
      <c r="N569" s="3"/>
      <c r="O569" s="3"/>
      <c r="P569" s="3"/>
      <c r="Q569" s="3"/>
      <c r="R569" s="3"/>
      <c r="S569" s="3"/>
      <c r="T569" s="3"/>
      <c r="U569" s="3"/>
      <c r="V569" s="3"/>
      <c r="W569" s="3"/>
      <c r="X569" s="3"/>
      <c r="Y569" s="3"/>
      <c r="Z569" s="3"/>
      <c r="AA569" s="3"/>
    </row>
    <row r="570" ht="105.75" customHeight="1">
      <c r="A570" s="11"/>
      <c r="B570" s="12"/>
      <c r="C570" s="11"/>
      <c r="D570" s="13"/>
      <c r="E570" s="14"/>
      <c r="F570" s="14"/>
      <c r="G570" s="14"/>
      <c r="H570" s="15"/>
      <c r="I570" s="15"/>
      <c r="J570" s="3"/>
      <c r="K570" s="3"/>
      <c r="L570" s="3"/>
      <c r="M570" s="3"/>
      <c r="N570" s="3"/>
      <c r="O570" s="3"/>
      <c r="P570" s="3"/>
      <c r="Q570" s="3"/>
      <c r="R570" s="3"/>
      <c r="S570" s="3"/>
      <c r="T570" s="3"/>
      <c r="U570" s="3"/>
      <c r="V570" s="3"/>
      <c r="W570" s="3"/>
      <c r="X570" s="3"/>
      <c r="Y570" s="3"/>
      <c r="Z570" s="3"/>
      <c r="AA570" s="3"/>
    </row>
    <row r="571" ht="105.75" customHeight="1">
      <c r="A571" s="11"/>
      <c r="B571" s="12"/>
      <c r="C571" s="11"/>
      <c r="D571" s="13"/>
      <c r="E571" s="14"/>
      <c r="F571" s="14"/>
      <c r="G571" s="14"/>
      <c r="H571" s="15"/>
      <c r="I571" s="15"/>
      <c r="J571" s="3"/>
      <c r="K571" s="3"/>
      <c r="L571" s="3"/>
      <c r="M571" s="3"/>
      <c r="N571" s="3"/>
      <c r="O571" s="3"/>
      <c r="P571" s="3"/>
      <c r="Q571" s="3"/>
      <c r="R571" s="3"/>
      <c r="S571" s="3"/>
      <c r="T571" s="3"/>
      <c r="U571" s="3"/>
      <c r="V571" s="3"/>
      <c r="W571" s="3"/>
      <c r="X571" s="3"/>
      <c r="Y571" s="3"/>
      <c r="Z571" s="3"/>
      <c r="AA571" s="3"/>
    </row>
    <row r="572" ht="105.75" customHeight="1">
      <c r="A572" s="11"/>
      <c r="B572" s="12"/>
      <c r="C572" s="11"/>
      <c r="D572" s="13"/>
      <c r="E572" s="14"/>
      <c r="F572" s="14"/>
      <c r="G572" s="14"/>
      <c r="H572" s="15"/>
      <c r="I572" s="15"/>
      <c r="J572" s="3"/>
      <c r="K572" s="3"/>
      <c r="L572" s="3"/>
      <c r="M572" s="3"/>
      <c r="N572" s="3"/>
      <c r="O572" s="3"/>
      <c r="P572" s="3"/>
      <c r="Q572" s="3"/>
      <c r="R572" s="3"/>
      <c r="S572" s="3"/>
      <c r="T572" s="3"/>
      <c r="U572" s="3"/>
      <c r="V572" s="3"/>
      <c r="W572" s="3"/>
      <c r="X572" s="3"/>
      <c r="Y572" s="3"/>
      <c r="Z572" s="3"/>
      <c r="AA572" s="3"/>
    </row>
    <row r="573" ht="105.75" customHeight="1">
      <c r="A573" s="11"/>
      <c r="B573" s="12"/>
      <c r="C573" s="11"/>
      <c r="D573" s="13"/>
      <c r="E573" s="14"/>
      <c r="F573" s="14"/>
      <c r="G573" s="14"/>
      <c r="H573" s="15"/>
      <c r="I573" s="15"/>
      <c r="J573" s="3"/>
      <c r="K573" s="3"/>
      <c r="L573" s="3"/>
      <c r="M573" s="3"/>
      <c r="N573" s="3"/>
      <c r="O573" s="3"/>
      <c r="P573" s="3"/>
      <c r="Q573" s="3"/>
      <c r="R573" s="3"/>
      <c r="S573" s="3"/>
      <c r="T573" s="3"/>
      <c r="U573" s="3"/>
      <c r="V573" s="3"/>
      <c r="W573" s="3"/>
      <c r="X573" s="3"/>
      <c r="Y573" s="3"/>
      <c r="Z573" s="3"/>
      <c r="AA573" s="3"/>
    </row>
    <row r="574" ht="105.75" customHeight="1">
      <c r="A574" s="11"/>
      <c r="B574" s="12"/>
      <c r="C574" s="11"/>
      <c r="D574" s="13"/>
      <c r="E574" s="14"/>
      <c r="F574" s="14"/>
      <c r="G574" s="14"/>
      <c r="H574" s="15"/>
      <c r="I574" s="15"/>
      <c r="J574" s="3"/>
      <c r="K574" s="3"/>
      <c r="L574" s="3"/>
      <c r="M574" s="3"/>
      <c r="N574" s="3"/>
      <c r="O574" s="3"/>
      <c r="P574" s="3"/>
      <c r="Q574" s="3"/>
      <c r="R574" s="3"/>
      <c r="S574" s="3"/>
      <c r="T574" s="3"/>
      <c r="U574" s="3"/>
      <c r="V574" s="3"/>
      <c r="W574" s="3"/>
      <c r="X574" s="3"/>
      <c r="Y574" s="3"/>
      <c r="Z574" s="3"/>
      <c r="AA574" s="3"/>
    </row>
    <row r="575" ht="105.75" customHeight="1">
      <c r="A575" s="11"/>
      <c r="B575" s="12"/>
      <c r="C575" s="11"/>
      <c r="D575" s="13"/>
      <c r="E575" s="14"/>
      <c r="F575" s="14"/>
      <c r="G575" s="14"/>
      <c r="H575" s="15"/>
      <c r="I575" s="15"/>
      <c r="J575" s="3"/>
      <c r="K575" s="3"/>
      <c r="L575" s="3"/>
      <c r="M575" s="3"/>
      <c r="N575" s="3"/>
      <c r="O575" s="3"/>
      <c r="P575" s="3"/>
      <c r="Q575" s="3"/>
      <c r="R575" s="3"/>
      <c r="S575" s="3"/>
      <c r="T575" s="3"/>
      <c r="U575" s="3"/>
      <c r="V575" s="3"/>
      <c r="W575" s="3"/>
      <c r="X575" s="3"/>
      <c r="Y575" s="3"/>
      <c r="Z575" s="3"/>
      <c r="AA575" s="3"/>
    </row>
    <row r="576" ht="105.75" customHeight="1">
      <c r="A576" s="11"/>
      <c r="B576" s="12"/>
      <c r="C576" s="11"/>
      <c r="D576" s="13"/>
      <c r="E576" s="16"/>
      <c r="F576" s="16"/>
      <c r="G576" s="16"/>
      <c r="H576" s="15"/>
      <c r="I576" s="15"/>
      <c r="J576" s="3"/>
      <c r="K576" s="3"/>
      <c r="L576" s="3"/>
      <c r="M576" s="3"/>
      <c r="N576" s="3"/>
      <c r="O576" s="3"/>
      <c r="P576" s="3"/>
      <c r="Q576" s="3"/>
      <c r="R576" s="3"/>
      <c r="S576" s="3"/>
      <c r="T576" s="3"/>
      <c r="U576" s="3"/>
      <c r="V576" s="3"/>
      <c r="W576" s="3"/>
      <c r="X576" s="3"/>
      <c r="Y576" s="3"/>
      <c r="Z576" s="3"/>
      <c r="AA576" s="3"/>
    </row>
    <row r="577" ht="105.75" customHeight="1">
      <c r="A577" s="11"/>
      <c r="B577" s="12"/>
      <c r="C577" s="11"/>
      <c r="D577" s="13"/>
      <c r="E577" s="14"/>
      <c r="F577" s="14"/>
      <c r="G577" s="14"/>
      <c r="H577" s="15"/>
      <c r="I577" s="15"/>
      <c r="J577" s="3"/>
      <c r="K577" s="3"/>
      <c r="L577" s="3"/>
      <c r="M577" s="3"/>
      <c r="N577" s="3"/>
      <c r="O577" s="3"/>
      <c r="P577" s="3"/>
      <c r="Q577" s="3"/>
      <c r="R577" s="3"/>
      <c r="S577" s="3"/>
      <c r="T577" s="3"/>
      <c r="U577" s="3"/>
      <c r="V577" s="3"/>
      <c r="W577" s="3"/>
      <c r="X577" s="3"/>
      <c r="Y577" s="3"/>
      <c r="Z577" s="3"/>
      <c r="AA577" s="3"/>
    </row>
    <row r="578" ht="105.75" customHeight="1">
      <c r="A578" s="11"/>
      <c r="B578" s="12"/>
      <c r="C578" s="11"/>
      <c r="D578" s="13"/>
      <c r="E578" s="16"/>
      <c r="F578" s="16"/>
      <c r="G578" s="16"/>
      <c r="H578" s="15"/>
      <c r="I578" s="15"/>
      <c r="J578" s="3"/>
      <c r="K578" s="3"/>
      <c r="L578" s="3"/>
      <c r="M578" s="3"/>
      <c r="N578" s="3"/>
      <c r="O578" s="3"/>
      <c r="P578" s="3"/>
      <c r="Q578" s="3"/>
      <c r="R578" s="3"/>
      <c r="S578" s="3"/>
      <c r="T578" s="3"/>
      <c r="U578" s="3"/>
      <c r="V578" s="3"/>
      <c r="W578" s="3"/>
      <c r="X578" s="3"/>
      <c r="Y578" s="3"/>
      <c r="Z578" s="3"/>
      <c r="AA578" s="3"/>
    </row>
    <row r="579" ht="105.75" customHeight="1">
      <c r="A579" s="11"/>
      <c r="B579" s="12"/>
      <c r="C579" s="11"/>
      <c r="D579" s="13"/>
      <c r="E579" s="14"/>
      <c r="F579" s="14"/>
      <c r="G579" s="14"/>
      <c r="H579" s="15"/>
      <c r="I579" s="15"/>
      <c r="J579" s="3"/>
      <c r="K579" s="3"/>
      <c r="L579" s="3"/>
      <c r="M579" s="3"/>
      <c r="N579" s="3"/>
      <c r="O579" s="3"/>
      <c r="P579" s="3"/>
      <c r="Q579" s="3"/>
      <c r="R579" s="3"/>
      <c r="S579" s="3"/>
      <c r="T579" s="3"/>
      <c r="U579" s="3"/>
      <c r="V579" s="3"/>
      <c r="W579" s="3"/>
      <c r="X579" s="3"/>
      <c r="Y579" s="3"/>
      <c r="Z579" s="3"/>
      <c r="AA579" s="3"/>
    </row>
    <row r="580" ht="105.75" customHeight="1">
      <c r="A580" s="11"/>
      <c r="B580" s="12"/>
      <c r="C580" s="11"/>
      <c r="D580" s="13"/>
      <c r="E580" s="14"/>
      <c r="F580" s="14"/>
      <c r="G580" s="14"/>
      <c r="H580" s="15"/>
      <c r="I580" s="15"/>
      <c r="J580" s="3"/>
      <c r="K580" s="3"/>
      <c r="L580" s="3"/>
      <c r="M580" s="3"/>
      <c r="N580" s="3"/>
      <c r="O580" s="3"/>
      <c r="P580" s="3"/>
      <c r="Q580" s="3"/>
      <c r="R580" s="3"/>
      <c r="S580" s="3"/>
      <c r="T580" s="3"/>
      <c r="U580" s="3"/>
      <c r="V580" s="3"/>
      <c r="W580" s="3"/>
      <c r="X580" s="3"/>
      <c r="Y580" s="3"/>
      <c r="Z580" s="3"/>
      <c r="AA580" s="3"/>
    </row>
    <row r="581" ht="105.75" customHeight="1">
      <c r="A581" s="11"/>
      <c r="B581" s="12"/>
      <c r="C581" s="11"/>
      <c r="D581" s="13"/>
      <c r="E581" s="16"/>
      <c r="F581" s="16"/>
      <c r="G581" s="16"/>
      <c r="H581" s="15"/>
      <c r="I581" s="15"/>
      <c r="J581" s="3"/>
      <c r="K581" s="3"/>
      <c r="L581" s="3"/>
      <c r="M581" s="3"/>
      <c r="N581" s="3"/>
      <c r="O581" s="3"/>
      <c r="P581" s="3"/>
      <c r="Q581" s="3"/>
      <c r="R581" s="3"/>
      <c r="S581" s="3"/>
      <c r="T581" s="3"/>
      <c r="U581" s="3"/>
      <c r="V581" s="3"/>
      <c r="W581" s="3"/>
      <c r="X581" s="3"/>
      <c r="Y581" s="3"/>
      <c r="Z581" s="3"/>
      <c r="AA581" s="3"/>
    </row>
    <row r="582" ht="105.75" customHeight="1">
      <c r="A582" s="11"/>
      <c r="B582" s="12"/>
      <c r="C582" s="11"/>
      <c r="D582" s="13"/>
      <c r="E582" s="14"/>
      <c r="F582" s="14"/>
      <c r="G582" s="14"/>
      <c r="H582" s="15"/>
      <c r="I582" s="15"/>
      <c r="J582" s="3"/>
      <c r="K582" s="3"/>
      <c r="L582" s="3"/>
      <c r="M582" s="3"/>
      <c r="N582" s="3"/>
      <c r="O582" s="3"/>
      <c r="P582" s="3"/>
      <c r="Q582" s="3"/>
      <c r="R582" s="3"/>
      <c r="S582" s="3"/>
      <c r="T582" s="3"/>
      <c r="U582" s="3"/>
      <c r="V582" s="3"/>
      <c r="W582" s="3"/>
      <c r="X582" s="3"/>
      <c r="Y582" s="3"/>
      <c r="Z582" s="3"/>
      <c r="AA582" s="3"/>
    </row>
    <row r="583" ht="105.75" customHeight="1">
      <c r="A583" s="11"/>
      <c r="B583" s="12"/>
      <c r="C583" s="11"/>
      <c r="D583" s="13"/>
      <c r="E583" s="14"/>
      <c r="F583" s="14"/>
      <c r="G583" s="14"/>
      <c r="H583" s="15"/>
      <c r="I583" s="15"/>
      <c r="J583" s="3"/>
      <c r="K583" s="3"/>
      <c r="L583" s="3"/>
      <c r="M583" s="3"/>
      <c r="N583" s="3"/>
      <c r="O583" s="3"/>
      <c r="P583" s="3"/>
      <c r="Q583" s="3"/>
      <c r="R583" s="3"/>
      <c r="S583" s="3"/>
      <c r="T583" s="3"/>
      <c r="U583" s="3"/>
      <c r="V583" s="3"/>
      <c r="W583" s="3"/>
      <c r="X583" s="3"/>
      <c r="Y583" s="3"/>
      <c r="Z583" s="3"/>
      <c r="AA583" s="3"/>
    </row>
    <row r="584" ht="105.75" customHeight="1">
      <c r="A584" s="11"/>
      <c r="B584" s="12"/>
      <c r="C584" s="11"/>
      <c r="D584" s="13"/>
      <c r="E584" s="14"/>
      <c r="F584" s="14"/>
      <c r="G584" s="14"/>
      <c r="H584" s="15"/>
      <c r="I584" s="15"/>
      <c r="J584" s="3"/>
      <c r="K584" s="3"/>
      <c r="L584" s="3"/>
      <c r="M584" s="3"/>
      <c r="N584" s="3"/>
      <c r="O584" s="3"/>
      <c r="P584" s="3"/>
      <c r="Q584" s="3"/>
      <c r="R584" s="3"/>
      <c r="S584" s="3"/>
      <c r="T584" s="3"/>
      <c r="U584" s="3"/>
      <c r="V584" s="3"/>
      <c r="W584" s="3"/>
      <c r="X584" s="3"/>
      <c r="Y584" s="3"/>
      <c r="Z584" s="3"/>
      <c r="AA584" s="3"/>
    </row>
    <row r="585" ht="105.75" customHeight="1">
      <c r="A585" s="11"/>
      <c r="B585" s="12"/>
      <c r="C585" s="11"/>
      <c r="D585" s="13"/>
      <c r="E585" s="14"/>
      <c r="F585" s="14"/>
      <c r="G585" s="14"/>
      <c r="H585" s="15"/>
      <c r="I585" s="15"/>
      <c r="J585" s="3"/>
      <c r="K585" s="3"/>
      <c r="L585" s="3"/>
      <c r="M585" s="3"/>
      <c r="N585" s="3"/>
      <c r="O585" s="3"/>
      <c r="P585" s="3"/>
      <c r="Q585" s="3"/>
      <c r="R585" s="3"/>
      <c r="S585" s="3"/>
      <c r="T585" s="3"/>
      <c r="U585" s="3"/>
      <c r="V585" s="3"/>
      <c r="W585" s="3"/>
      <c r="X585" s="3"/>
      <c r="Y585" s="3"/>
      <c r="Z585" s="3"/>
      <c r="AA585" s="3"/>
    </row>
    <row r="586" ht="105.75" customHeight="1">
      <c r="A586" s="11"/>
      <c r="B586" s="12"/>
      <c r="C586" s="11"/>
      <c r="D586" s="13"/>
      <c r="E586" s="14"/>
      <c r="F586" s="14"/>
      <c r="G586" s="14"/>
      <c r="H586" s="15"/>
      <c r="I586" s="15"/>
      <c r="J586" s="3"/>
      <c r="K586" s="3"/>
      <c r="L586" s="3"/>
      <c r="M586" s="3"/>
      <c r="N586" s="3"/>
      <c r="O586" s="3"/>
      <c r="P586" s="3"/>
      <c r="Q586" s="3"/>
      <c r="R586" s="3"/>
      <c r="S586" s="3"/>
      <c r="T586" s="3"/>
      <c r="U586" s="3"/>
      <c r="V586" s="3"/>
      <c r="W586" s="3"/>
      <c r="X586" s="3"/>
      <c r="Y586" s="3"/>
      <c r="Z586" s="3"/>
      <c r="AA586" s="3"/>
    </row>
    <row r="587" ht="105.75" customHeight="1">
      <c r="A587" s="11"/>
      <c r="B587" s="12"/>
      <c r="C587" s="11"/>
      <c r="D587" s="13"/>
      <c r="E587" s="14"/>
      <c r="F587" s="14"/>
      <c r="G587" s="14"/>
      <c r="H587" s="15"/>
      <c r="I587" s="15"/>
      <c r="J587" s="3"/>
      <c r="K587" s="3"/>
      <c r="L587" s="3"/>
      <c r="M587" s="3"/>
      <c r="N587" s="3"/>
      <c r="O587" s="3"/>
      <c r="P587" s="3"/>
      <c r="Q587" s="3"/>
      <c r="R587" s="3"/>
      <c r="S587" s="3"/>
      <c r="T587" s="3"/>
      <c r="U587" s="3"/>
      <c r="V587" s="3"/>
      <c r="W587" s="3"/>
      <c r="X587" s="3"/>
      <c r="Y587" s="3"/>
      <c r="Z587" s="3"/>
      <c r="AA587" s="3"/>
    </row>
    <row r="588" ht="105.75" customHeight="1">
      <c r="A588" s="11"/>
      <c r="B588" s="12"/>
      <c r="C588" s="11"/>
      <c r="D588" s="13"/>
      <c r="E588" s="14"/>
      <c r="F588" s="14"/>
      <c r="G588" s="14"/>
      <c r="H588" s="15"/>
      <c r="I588" s="15"/>
      <c r="J588" s="3"/>
      <c r="K588" s="3"/>
      <c r="L588" s="3"/>
      <c r="M588" s="3"/>
      <c r="N588" s="3"/>
      <c r="O588" s="3"/>
      <c r="P588" s="3"/>
      <c r="Q588" s="3"/>
      <c r="R588" s="3"/>
      <c r="S588" s="3"/>
      <c r="T588" s="3"/>
      <c r="U588" s="3"/>
      <c r="V588" s="3"/>
      <c r="W588" s="3"/>
      <c r="X588" s="3"/>
      <c r="Y588" s="3"/>
      <c r="Z588" s="3"/>
      <c r="AA588" s="3"/>
    </row>
    <row r="589" ht="105.75" customHeight="1">
      <c r="A589" s="11"/>
      <c r="B589" s="12"/>
      <c r="C589" s="11"/>
      <c r="D589" s="13"/>
      <c r="E589" s="16"/>
      <c r="F589" s="16"/>
      <c r="G589" s="16"/>
      <c r="H589" s="15"/>
      <c r="I589" s="15"/>
      <c r="J589" s="3"/>
      <c r="K589" s="3"/>
      <c r="L589" s="3"/>
      <c r="M589" s="3"/>
      <c r="N589" s="3"/>
      <c r="O589" s="3"/>
      <c r="P589" s="3"/>
      <c r="Q589" s="3"/>
      <c r="R589" s="3"/>
      <c r="S589" s="3"/>
      <c r="T589" s="3"/>
      <c r="U589" s="3"/>
      <c r="V589" s="3"/>
      <c r="W589" s="3"/>
      <c r="X589" s="3"/>
      <c r="Y589" s="3"/>
      <c r="Z589" s="3"/>
      <c r="AA589" s="3"/>
    </row>
    <row r="590" ht="105.75" customHeight="1">
      <c r="A590" s="11"/>
      <c r="B590" s="12"/>
      <c r="C590" s="11"/>
      <c r="D590" s="13"/>
      <c r="E590" s="14"/>
      <c r="F590" s="14"/>
      <c r="G590" s="14"/>
      <c r="H590" s="15"/>
      <c r="I590" s="15"/>
      <c r="J590" s="3"/>
      <c r="K590" s="3"/>
      <c r="L590" s="3"/>
      <c r="M590" s="3"/>
      <c r="N590" s="3"/>
      <c r="O590" s="3"/>
      <c r="P590" s="3"/>
      <c r="Q590" s="3"/>
      <c r="R590" s="3"/>
      <c r="S590" s="3"/>
      <c r="T590" s="3"/>
      <c r="U590" s="3"/>
      <c r="V590" s="3"/>
      <c r="W590" s="3"/>
      <c r="X590" s="3"/>
      <c r="Y590" s="3"/>
      <c r="Z590" s="3"/>
      <c r="AA590" s="3"/>
    </row>
    <row r="591" ht="105.75" customHeight="1">
      <c r="A591" s="11"/>
      <c r="B591" s="12"/>
      <c r="C591" s="11"/>
      <c r="D591" s="13"/>
      <c r="E591" s="16"/>
      <c r="F591" s="16"/>
      <c r="G591" s="16"/>
      <c r="H591" s="15"/>
      <c r="I591" s="15"/>
      <c r="J591" s="3"/>
      <c r="K591" s="3"/>
      <c r="L591" s="3"/>
      <c r="M591" s="3"/>
      <c r="N591" s="3"/>
      <c r="O591" s="3"/>
      <c r="P591" s="3"/>
      <c r="Q591" s="3"/>
      <c r="R591" s="3"/>
      <c r="S591" s="3"/>
      <c r="T591" s="3"/>
      <c r="U591" s="3"/>
      <c r="V591" s="3"/>
      <c r="W591" s="3"/>
      <c r="X591" s="3"/>
      <c r="Y591" s="3"/>
      <c r="Z591" s="3"/>
      <c r="AA591" s="3"/>
    </row>
    <row r="592" ht="105.75" customHeight="1">
      <c r="A592" s="11"/>
      <c r="B592" s="12"/>
      <c r="C592" s="11"/>
      <c r="D592" s="13"/>
      <c r="E592" s="14"/>
      <c r="F592" s="14"/>
      <c r="G592" s="14"/>
      <c r="H592" s="15"/>
      <c r="I592" s="15"/>
      <c r="J592" s="3"/>
      <c r="K592" s="3"/>
      <c r="L592" s="3"/>
      <c r="M592" s="3"/>
      <c r="N592" s="3"/>
      <c r="O592" s="3"/>
      <c r="P592" s="3"/>
      <c r="Q592" s="3"/>
      <c r="R592" s="3"/>
      <c r="S592" s="3"/>
      <c r="T592" s="3"/>
      <c r="U592" s="3"/>
      <c r="V592" s="3"/>
      <c r="W592" s="3"/>
      <c r="X592" s="3"/>
      <c r="Y592" s="3"/>
      <c r="Z592" s="3"/>
      <c r="AA592" s="3"/>
    </row>
    <row r="593" ht="105.75" customHeight="1">
      <c r="A593" s="11"/>
      <c r="B593" s="12"/>
      <c r="C593" s="11"/>
      <c r="D593" s="13"/>
      <c r="E593" s="14"/>
      <c r="F593" s="14"/>
      <c r="G593" s="14"/>
      <c r="H593" s="15"/>
      <c r="I593" s="15"/>
      <c r="J593" s="3"/>
      <c r="K593" s="3"/>
      <c r="L593" s="3"/>
      <c r="M593" s="3"/>
      <c r="N593" s="3"/>
      <c r="O593" s="3"/>
      <c r="P593" s="3"/>
      <c r="Q593" s="3"/>
      <c r="R593" s="3"/>
      <c r="S593" s="3"/>
      <c r="T593" s="3"/>
      <c r="U593" s="3"/>
      <c r="V593" s="3"/>
      <c r="W593" s="3"/>
      <c r="X593" s="3"/>
      <c r="Y593" s="3"/>
      <c r="Z593" s="3"/>
      <c r="AA593" s="3"/>
    </row>
    <row r="594" ht="105.75" customHeight="1">
      <c r="A594" s="11"/>
      <c r="B594" s="12"/>
      <c r="C594" s="11"/>
      <c r="D594" s="13"/>
      <c r="E594" s="14"/>
      <c r="F594" s="14"/>
      <c r="G594" s="14"/>
      <c r="H594" s="15"/>
      <c r="I594" s="15"/>
      <c r="J594" s="3"/>
      <c r="K594" s="3"/>
      <c r="L594" s="3"/>
      <c r="M594" s="3"/>
      <c r="N594" s="3"/>
      <c r="O594" s="3"/>
      <c r="P594" s="3"/>
      <c r="Q594" s="3"/>
      <c r="R594" s="3"/>
      <c r="S594" s="3"/>
      <c r="T594" s="3"/>
      <c r="U594" s="3"/>
      <c r="V594" s="3"/>
      <c r="W594" s="3"/>
      <c r="X594" s="3"/>
      <c r="Y594" s="3"/>
      <c r="Z594" s="3"/>
      <c r="AA594" s="3"/>
    </row>
    <row r="595" ht="105.75" customHeight="1">
      <c r="A595" s="11"/>
      <c r="B595" s="12"/>
      <c r="C595" s="11"/>
      <c r="D595" s="13"/>
      <c r="E595" s="14"/>
      <c r="F595" s="14"/>
      <c r="G595" s="14"/>
      <c r="H595" s="15"/>
      <c r="I595" s="15"/>
      <c r="J595" s="3"/>
      <c r="K595" s="3"/>
      <c r="L595" s="3"/>
      <c r="M595" s="3"/>
      <c r="N595" s="3"/>
      <c r="O595" s="3"/>
      <c r="P595" s="3"/>
      <c r="Q595" s="3"/>
      <c r="R595" s="3"/>
      <c r="S595" s="3"/>
      <c r="T595" s="3"/>
      <c r="U595" s="3"/>
      <c r="V595" s="3"/>
      <c r="W595" s="3"/>
      <c r="X595" s="3"/>
      <c r="Y595" s="3"/>
      <c r="Z595" s="3"/>
      <c r="AA595" s="3"/>
    </row>
    <row r="596" ht="105.75" customHeight="1">
      <c r="A596" s="11"/>
      <c r="B596" s="12"/>
      <c r="C596" s="11"/>
      <c r="D596" s="13"/>
      <c r="E596" s="14"/>
      <c r="F596" s="14"/>
      <c r="G596" s="14"/>
      <c r="H596" s="15"/>
      <c r="I596" s="15"/>
      <c r="J596" s="3"/>
      <c r="K596" s="3"/>
      <c r="L596" s="3"/>
      <c r="M596" s="3"/>
      <c r="N596" s="3"/>
      <c r="O596" s="3"/>
      <c r="P596" s="3"/>
      <c r="Q596" s="3"/>
      <c r="R596" s="3"/>
      <c r="S596" s="3"/>
      <c r="T596" s="3"/>
      <c r="U596" s="3"/>
      <c r="V596" s="3"/>
      <c r="W596" s="3"/>
      <c r="X596" s="3"/>
      <c r="Y596" s="3"/>
      <c r="Z596" s="3"/>
      <c r="AA596" s="3"/>
    </row>
    <row r="597" ht="105.75" customHeight="1">
      <c r="A597" s="11"/>
      <c r="B597" s="12"/>
      <c r="C597" s="11"/>
      <c r="D597" s="13"/>
      <c r="E597" s="14"/>
      <c r="F597" s="14"/>
      <c r="G597" s="14"/>
      <c r="H597" s="15"/>
      <c r="I597" s="15"/>
      <c r="J597" s="3"/>
      <c r="K597" s="3"/>
      <c r="L597" s="3"/>
      <c r="M597" s="3"/>
      <c r="N597" s="3"/>
      <c r="O597" s="3"/>
      <c r="P597" s="3"/>
      <c r="Q597" s="3"/>
      <c r="R597" s="3"/>
      <c r="S597" s="3"/>
      <c r="T597" s="3"/>
      <c r="U597" s="3"/>
      <c r="V597" s="3"/>
      <c r="W597" s="3"/>
      <c r="X597" s="3"/>
      <c r="Y597" s="3"/>
      <c r="Z597" s="3"/>
      <c r="AA597" s="3"/>
    </row>
    <row r="598" ht="105.75" customHeight="1">
      <c r="A598" s="11"/>
      <c r="B598" s="12"/>
      <c r="C598" s="11"/>
      <c r="D598" s="13"/>
      <c r="E598" s="14"/>
      <c r="F598" s="14"/>
      <c r="G598" s="14"/>
      <c r="H598" s="15"/>
      <c r="I598" s="15"/>
      <c r="J598" s="3"/>
      <c r="K598" s="3"/>
      <c r="L598" s="3"/>
      <c r="M598" s="3"/>
      <c r="N598" s="3"/>
      <c r="O598" s="3"/>
      <c r="P598" s="3"/>
      <c r="Q598" s="3"/>
      <c r="R598" s="3"/>
      <c r="S598" s="3"/>
      <c r="T598" s="3"/>
      <c r="U598" s="3"/>
      <c r="V598" s="3"/>
      <c r="W598" s="3"/>
      <c r="X598" s="3"/>
      <c r="Y598" s="3"/>
      <c r="Z598" s="3"/>
      <c r="AA598" s="3"/>
    </row>
    <row r="599" ht="105.75" customHeight="1">
      <c r="A599" s="11"/>
      <c r="B599" s="12"/>
      <c r="C599" s="11"/>
      <c r="D599" s="13"/>
      <c r="E599" s="14"/>
      <c r="F599" s="14"/>
      <c r="G599" s="14"/>
      <c r="H599" s="15"/>
      <c r="I599" s="15"/>
      <c r="J599" s="3"/>
      <c r="K599" s="3"/>
      <c r="L599" s="3"/>
      <c r="M599" s="3"/>
      <c r="N599" s="3"/>
      <c r="O599" s="3"/>
      <c r="P599" s="3"/>
      <c r="Q599" s="3"/>
      <c r="R599" s="3"/>
      <c r="S599" s="3"/>
      <c r="T599" s="3"/>
      <c r="U599" s="3"/>
      <c r="V599" s="3"/>
      <c r="W599" s="3"/>
      <c r="X599" s="3"/>
      <c r="Y599" s="3"/>
      <c r="Z599" s="3"/>
      <c r="AA599" s="3"/>
    </row>
    <row r="600" ht="105.75" customHeight="1">
      <c r="A600" s="11"/>
      <c r="B600" s="12"/>
      <c r="C600" s="11"/>
      <c r="D600" s="13"/>
      <c r="E600" s="14"/>
      <c r="F600" s="14"/>
      <c r="G600" s="14"/>
      <c r="H600" s="15"/>
      <c r="I600" s="15"/>
      <c r="J600" s="3"/>
      <c r="K600" s="3"/>
      <c r="L600" s="3"/>
      <c r="M600" s="3"/>
      <c r="N600" s="3"/>
      <c r="O600" s="3"/>
      <c r="P600" s="3"/>
      <c r="Q600" s="3"/>
      <c r="R600" s="3"/>
      <c r="S600" s="3"/>
      <c r="T600" s="3"/>
      <c r="U600" s="3"/>
      <c r="V600" s="3"/>
      <c r="W600" s="3"/>
      <c r="X600" s="3"/>
      <c r="Y600" s="3"/>
      <c r="Z600" s="3"/>
      <c r="AA600" s="3"/>
    </row>
    <row r="601" ht="105.75" customHeight="1">
      <c r="A601" s="11"/>
      <c r="B601" s="12"/>
      <c r="C601" s="11"/>
      <c r="D601" s="13"/>
      <c r="E601" s="14"/>
      <c r="F601" s="14"/>
      <c r="G601" s="14"/>
      <c r="H601" s="15"/>
      <c r="I601" s="15"/>
      <c r="J601" s="3"/>
      <c r="K601" s="3"/>
      <c r="L601" s="3"/>
      <c r="M601" s="3"/>
      <c r="N601" s="3"/>
      <c r="O601" s="3"/>
      <c r="P601" s="3"/>
      <c r="Q601" s="3"/>
      <c r="R601" s="3"/>
      <c r="S601" s="3"/>
      <c r="T601" s="3"/>
      <c r="U601" s="3"/>
      <c r="V601" s="3"/>
      <c r="W601" s="3"/>
      <c r="X601" s="3"/>
      <c r="Y601" s="3"/>
      <c r="Z601" s="3"/>
      <c r="AA601" s="3"/>
    </row>
    <row r="602" ht="105.75" customHeight="1">
      <c r="A602" s="11"/>
      <c r="B602" s="12"/>
      <c r="C602" s="11"/>
      <c r="D602" s="13"/>
      <c r="E602" s="14"/>
      <c r="F602" s="14"/>
      <c r="G602" s="14"/>
      <c r="H602" s="15"/>
      <c r="I602" s="15"/>
      <c r="J602" s="3"/>
      <c r="K602" s="3"/>
      <c r="L602" s="3"/>
      <c r="M602" s="3"/>
      <c r="N602" s="3"/>
      <c r="O602" s="3"/>
      <c r="P602" s="3"/>
      <c r="Q602" s="3"/>
      <c r="R602" s="3"/>
      <c r="S602" s="3"/>
      <c r="T602" s="3"/>
      <c r="U602" s="3"/>
      <c r="V602" s="3"/>
      <c r="W602" s="3"/>
      <c r="X602" s="3"/>
      <c r="Y602" s="3"/>
      <c r="Z602" s="3"/>
      <c r="AA602" s="3"/>
    </row>
    <row r="603" ht="105.75" customHeight="1">
      <c r="A603" s="11"/>
      <c r="B603" s="12"/>
      <c r="C603" s="11"/>
      <c r="D603" s="13"/>
      <c r="E603" s="14"/>
      <c r="F603" s="14"/>
      <c r="G603" s="14"/>
      <c r="H603" s="15"/>
      <c r="I603" s="15"/>
      <c r="J603" s="3"/>
      <c r="K603" s="3"/>
      <c r="L603" s="3"/>
      <c r="M603" s="3"/>
      <c r="N603" s="3"/>
      <c r="O603" s="3"/>
      <c r="P603" s="3"/>
      <c r="Q603" s="3"/>
      <c r="R603" s="3"/>
      <c r="S603" s="3"/>
      <c r="T603" s="3"/>
      <c r="U603" s="3"/>
      <c r="V603" s="3"/>
      <c r="W603" s="3"/>
      <c r="X603" s="3"/>
      <c r="Y603" s="3"/>
      <c r="Z603" s="3"/>
      <c r="AA603" s="3"/>
    </row>
    <row r="604" ht="105.75" customHeight="1">
      <c r="A604" s="11"/>
      <c r="B604" s="12"/>
      <c r="C604" s="11"/>
      <c r="D604" s="13"/>
      <c r="E604" s="14"/>
      <c r="F604" s="14"/>
      <c r="G604" s="14"/>
      <c r="H604" s="15"/>
      <c r="I604" s="15"/>
      <c r="J604" s="3"/>
      <c r="K604" s="3"/>
      <c r="L604" s="3"/>
      <c r="M604" s="3"/>
      <c r="N604" s="3"/>
      <c r="O604" s="3"/>
      <c r="P604" s="3"/>
      <c r="Q604" s="3"/>
      <c r="R604" s="3"/>
      <c r="S604" s="3"/>
      <c r="T604" s="3"/>
      <c r="U604" s="3"/>
      <c r="V604" s="3"/>
      <c r="W604" s="3"/>
      <c r="X604" s="3"/>
      <c r="Y604" s="3"/>
      <c r="Z604" s="3"/>
      <c r="AA604" s="3"/>
    </row>
    <row r="605" ht="105.75" customHeight="1">
      <c r="A605" s="11"/>
      <c r="B605" s="12"/>
      <c r="C605" s="11"/>
      <c r="D605" s="13"/>
      <c r="E605" s="14"/>
      <c r="F605" s="14"/>
      <c r="G605" s="14"/>
      <c r="H605" s="15"/>
      <c r="I605" s="15"/>
      <c r="J605" s="3"/>
      <c r="K605" s="3"/>
      <c r="L605" s="3"/>
      <c r="M605" s="3"/>
      <c r="N605" s="3"/>
      <c r="O605" s="3"/>
      <c r="P605" s="3"/>
      <c r="Q605" s="3"/>
      <c r="R605" s="3"/>
      <c r="S605" s="3"/>
      <c r="T605" s="3"/>
      <c r="U605" s="3"/>
      <c r="V605" s="3"/>
      <c r="W605" s="3"/>
      <c r="X605" s="3"/>
      <c r="Y605" s="3"/>
      <c r="Z605" s="3"/>
      <c r="AA605" s="3"/>
    </row>
    <row r="606" ht="105.75" customHeight="1">
      <c r="A606" s="11"/>
      <c r="B606" s="12"/>
      <c r="C606" s="11"/>
      <c r="D606" s="13"/>
      <c r="E606" s="14"/>
      <c r="F606" s="14"/>
      <c r="G606" s="14"/>
      <c r="H606" s="15"/>
      <c r="I606" s="15"/>
      <c r="J606" s="3"/>
      <c r="K606" s="3"/>
      <c r="L606" s="3"/>
      <c r="M606" s="3"/>
      <c r="N606" s="3"/>
      <c r="O606" s="3"/>
      <c r="P606" s="3"/>
      <c r="Q606" s="3"/>
      <c r="R606" s="3"/>
      <c r="S606" s="3"/>
      <c r="T606" s="3"/>
      <c r="U606" s="3"/>
      <c r="V606" s="3"/>
      <c r="W606" s="3"/>
      <c r="X606" s="3"/>
      <c r="Y606" s="3"/>
      <c r="Z606" s="3"/>
      <c r="AA606" s="3"/>
    </row>
    <row r="607" ht="105.75" customHeight="1">
      <c r="A607" s="11"/>
      <c r="B607" s="12"/>
      <c r="C607" s="11"/>
      <c r="D607" s="13"/>
      <c r="E607" s="14"/>
      <c r="F607" s="14"/>
      <c r="G607" s="14"/>
      <c r="H607" s="15"/>
      <c r="I607" s="15"/>
      <c r="J607" s="3"/>
      <c r="K607" s="3"/>
      <c r="L607" s="3"/>
      <c r="M607" s="3"/>
      <c r="N607" s="3"/>
      <c r="O607" s="3"/>
      <c r="P607" s="3"/>
      <c r="Q607" s="3"/>
      <c r="R607" s="3"/>
      <c r="S607" s="3"/>
      <c r="T607" s="3"/>
      <c r="U607" s="3"/>
      <c r="V607" s="3"/>
      <c r="W607" s="3"/>
      <c r="X607" s="3"/>
      <c r="Y607" s="3"/>
      <c r="Z607" s="3"/>
      <c r="AA607" s="3"/>
    </row>
    <row r="608" ht="105.75" customHeight="1">
      <c r="A608" s="11"/>
      <c r="B608" s="12"/>
      <c r="C608" s="11"/>
      <c r="D608" s="13"/>
      <c r="E608" s="14"/>
      <c r="F608" s="14"/>
      <c r="G608" s="14"/>
      <c r="H608" s="15"/>
      <c r="I608" s="15"/>
      <c r="J608" s="3"/>
      <c r="K608" s="3"/>
      <c r="L608" s="3"/>
      <c r="M608" s="3"/>
      <c r="N608" s="3"/>
      <c r="O608" s="3"/>
      <c r="P608" s="3"/>
      <c r="Q608" s="3"/>
      <c r="R608" s="3"/>
      <c r="S608" s="3"/>
      <c r="T608" s="3"/>
      <c r="U608" s="3"/>
      <c r="V608" s="3"/>
      <c r="W608" s="3"/>
      <c r="X608" s="3"/>
      <c r="Y608" s="3"/>
      <c r="Z608" s="3"/>
      <c r="AA608" s="3"/>
    </row>
    <row r="609" ht="105.75" customHeight="1">
      <c r="A609" s="11"/>
      <c r="B609" s="12"/>
      <c r="C609" s="11"/>
      <c r="D609" s="13"/>
      <c r="E609" s="14"/>
      <c r="F609" s="14"/>
      <c r="G609" s="14"/>
      <c r="H609" s="15"/>
      <c r="I609" s="15"/>
      <c r="J609" s="3"/>
      <c r="K609" s="3"/>
      <c r="L609" s="3"/>
      <c r="M609" s="3"/>
      <c r="N609" s="3"/>
      <c r="O609" s="3"/>
      <c r="P609" s="3"/>
      <c r="Q609" s="3"/>
      <c r="R609" s="3"/>
      <c r="S609" s="3"/>
      <c r="T609" s="3"/>
      <c r="U609" s="3"/>
      <c r="V609" s="3"/>
      <c r="W609" s="3"/>
      <c r="X609" s="3"/>
      <c r="Y609" s="3"/>
      <c r="Z609" s="3"/>
      <c r="AA609" s="3"/>
    </row>
    <row r="610" ht="105.75" customHeight="1">
      <c r="A610" s="11"/>
      <c r="B610" s="12"/>
      <c r="C610" s="11"/>
      <c r="D610" s="13"/>
      <c r="E610" s="14"/>
      <c r="F610" s="14"/>
      <c r="G610" s="14"/>
      <c r="H610" s="15"/>
      <c r="I610" s="15"/>
      <c r="J610" s="3"/>
      <c r="K610" s="3"/>
      <c r="L610" s="3"/>
      <c r="M610" s="3"/>
      <c r="N610" s="3"/>
      <c r="O610" s="3"/>
      <c r="P610" s="3"/>
      <c r="Q610" s="3"/>
      <c r="R610" s="3"/>
      <c r="S610" s="3"/>
      <c r="T610" s="3"/>
      <c r="U610" s="3"/>
      <c r="V610" s="3"/>
      <c r="W610" s="3"/>
      <c r="X610" s="3"/>
      <c r="Y610" s="3"/>
      <c r="Z610" s="3"/>
      <c r="AA610" s="3"/>
    </row>
    <row r="611" ht="105.75" customHeight="1">
      <c r="A611" s="11"/>
      <c r="B611" s="12"/>
      <c r="C611" s="11"/>
      <c r="D611" s="13"/>
      <c r="E611" s="14"/>
      <c r="F611" s="14"/>
      <c r="G611" s="14"/>
      <c r="H611" s="15"/>
      <c r="I611" s="15"/>
      <c r="J611" s="3"/>
      <c r="K611" s="3"/>
      <c r="L611" s="3"/>
      <c r="M611" s="3"/>
      <c r="N611" s="3"/>
      <c r="O611" s="3"/>
      <c r="P611" s="3"/>
      <c r="Q611" s="3"/>
      <c r="R611" s="3"/>
      <c r="S611" s="3"/>
      <c r="T611" s="3"/>
      <c r="U611" s="3"/>
      <c r="V611" s="3"/>
      <c r="W611" s="3"/>
      <c r="X611" s="3"/>
      <c r="Y611" s="3"/>
      <c r="Z611" s="3"/>
      <c r="AA611" s="3"/>
    </row>
    <row r="612" ht="105.75" customHeight="1">
      <c r="A612" s="11"/>
      <c r="B612" s="12"/>
      <c r="C612" s="11"/>
      <c r="D612" s="13"/>
      <c r="E612" s="14"/>
      <c r="F612" s="14"/>
      <c r="G612" s="14"/>
      <c r="H612" s="15"/>
      <c r="I612" s="15"/>
      <c r="J612" s="3"/>
      <c r="K612" s="3"/>
      <c r="L612" s="3"/>
      <c r="M612" s="3"/>
      <c r="N612" s="3"/>
      <c r="O612" s="3"/>
      <c r="P612" s="3"/>
      <c r="Q612" s="3"/>
      <c r="R612" s="3"/>
      <c r="S612" s="3"/>
      <c r="T612" s="3"/>
      <c r="U612" s="3"/>
      <c r="V612" s="3"/>
      <c r="W612" s="3"/>
      <c r="X612" s="3"/>
      <c r="Y612" s="3"/>
      <c r="Z612" s="3"/>
      <c r="AA612" s="3"/>
    </row>
    <row r="613" ht="105.75" customHeight="1">
      <c r="A613" s="11"/>
      <c r="B613" s="12"/>
      <c r="C613" s="11"/>
      <c r="D613" s="13"/>
      <c r="E613" s="14"/>
      <c r="F613" s="14"/>
      <c r="G613" s="14"/>
      <c r="H613" s="15"/>
      <c r="I613" s="15"/>
      <c r="J613" s="3"/>
      <c r="K613" s="3"/>
      <c r="L613" s="3"/>
      <c r="M613" s="3"/>
      <c r="N613" s="3"/>
      <c r="O613" s="3"/>
      <c r="P613" s="3"/>
      <c r="Q613" s="3"/>
      <c r="R613" s="3"/>
      <c r="S613" s="3"/>
      <c r="T613" s="3"/>
      <c r="U613" s="3"/>
      <c r="V613" s="3"/>
      <c r="W613" s="3"/>
      <c r="X613" s="3"/>
      <c r="Y613" s="3"/>
      <c r="Z613" s="3"/>
      <c r="AA613" s="3"/>
    </row>
    <row r="614" ht="105.75" customHeight="1">
      <c r="A614" s="11"/>
      <c r="B614" s="12"/>
      <c r="C614" s="11"/>
      <c r="D614" s="13"/>
      <c r="E614" s="14"/>
      <c r="F614" s="14"/>
      <c r="G614" s="14"/>
      <c r="H614" s="15"/>
      <c r="I614" s="15"/>
      <c r="J614" s="3"/>
      <c r="K614" s="3"/>
      <c r="L614" s="3"/>
      <c r="M614" s="3"/>
      <c r="N614" s="3"/>
      <c r="O614" s="3"/>
      <c r="P614" s="3"/>
      <c r="Q614" s="3"/>
      <c r="R614" s="3"/>
      <c r="S614" s="3"/>
      <c r="T614" s="3"/>
      <c r="U614" s="3"/>
      <c r="V614" s="3"/>
      <c r="W614" s="3"/>
      <c r="X614" s="3"/>
      <c r="Y614" s="3"/>
      <c r="Z614" s="3"/>
      <c r="AA614" s="3"/>
    </row>
    <row r="615" ht="105.75" customHeight="1">
      <c r="A615" s="11"/>
      <c r="B615" s="12"/>
      <c r="C615" s="11"/>
      <c r="D615" s="13"/>
      <c r="E615" s="14"/>
      <c r="F615" s="14"/>
      <c r="G615" s="14"/>
      <c r="H615" s="15"/>
      <c r="I615" s="15"/>
      <c r="J615" s="3"/>
      <c r="K615" s="3"/>
      <c r="L615" s="3"/>
      <c r="M615" s="3"/>
      <c r="N615" s="3"/>
      <c r="O615" s="3"/>
      <c r="P615" s="3"/>
      <c r="Q615" s="3"/>
      <c r="R615" s="3"/>
      <c r="S615" s="3"/>
      <c r="T615" s="3"/>
      <c r="U615" s="3"/>
      <c r="V615" s="3"/>
      <c r="W615" s="3"/>
      <c r="X615" s="3"/>
      <c r="Y615" s="3"/>
      <c r="Z615" s="3"/>
      <c r="AA615" s="3"/>
    </row>
    <row r="616" ht="105.75" customHeight="1">
      <c r="A616" s="11"/>
      <c r="B616" s="12"/>
      <c r="C616" s="11"/>
      <c r="D616" s="13"/>
      <c r="E616" s="14"/>
      <c r="F616" s="14"/>
      <c r="G616" s="14"/>
      <c r="H616" s="15"/>
      <c r="I616" s="15"/>
      <c r="J616" s="3"/>
      <c r="K616" s="3"/>
      <c r="L616" s="3"/>
      <c r="M616" s="3"/>
      <c r="N616" s="3"/>
      <c r="O616" s="3"/>
      <c r="P616" s="3"/>
      <c r="Q616" s="3"/>
      <c r="R616" s="3"/>
      <c r="S616" s="3"/>
      <c r="T616" s="3"/>
      <c r="U616" s="3"/>
      <c r="V616" s="3"/>
      <c r="W616" s="3"/>
      <c r="X616" s="3"/>
      <c r="Y616" s="3"/>
      <c r="Z616" s="3"/>
      <c r="AA616" s="3"/>
    </row>
    <row r="617" ht="105.75" customHeight="1">
      <c r="A617" s="11"/>
      <c r="B617" s="12"/>
      <c r="C617" s="11"/>
      <c r="D617" s="13"/>
      <c r="E617" s="14"/>
      <c r="F617" s="14"/>
      <c r="G617" s="14"/>
      <c r="H617" s="15"/>
      <c r="I617" s="15"/>
      <c r="J617" s="3"/>
      <c r="K617" s="3"/>
      <c r="L617" s="3"/>
      <c r="M617" s="3"/>
      <c r="N617" s="3"/>
      <c r="O617" s="3"/>
      <c r="P617" s="3"/>
      <c r="Q617" s="3"/>
      <c r="R617" s="3"/>
      <c r="S617" s="3"/>
      <c r="T617" s="3"/>
      <c r="U617" s="3"/>
      <c r="V617" s="3"/>
      <c r="W617" s="3"/>
      <c r="X617" s="3"/>
      <c r="Y617" s="3"/>
      <c r="Z617" s="3"/>
      <c r="AA617" s="3"/>
    </row>
    <row r="618" ht="105.75" customHeight="1">
      <c r="A618" s="11"/>
      <c r="B618" s="12"/>
      <c r="C618" s="11"/>
      <c r="D618" s="13"/>
      <c r="E618" s="14"/>
      <c r="F618" s="14"/>
      <c r="G618" s="14"/>
      <c r="H618" s="15"/>
      <c r="I618" s="15"/>
      <c r="J618" s="3"/>
      <c r="K618" s="3"/>
      <c r="L618" s="3"/>
      <c r="M618" s="3"/>
      <c r="N618" s="3"/>
      <c r="O618" s="3"/>
      <c r="P618" s="3"/>
      <c r="Q618" s="3"/>
      <c r="R618" s="3"/>
      <c r="S618" s="3"/>
      <c r="T618" s="3"/>
      <c r="U618" s="3"/>
      <c r="V618" s="3"/>
      <c r="W618" s="3"/>
      <c r="X618" s="3"/>
      <c r="Y618" s="3"/>
      <c r="Z618" s="3"/>
      <c r="AA618" s="3"/>
    </row>
    <row r="619" ht="105.75" customHeight="1">
      <c r="A619" s="11"/>
      <c r="B619" s="12"/>
      <c r="C619" s="11"/>
      <c r="D619" s="13"/>
      <c r="E619" s="14"/>
      <c r="F619" s="14"/>
      <c r="G619" s="14"/>
      <c r="H619" s="15"/>
      <c r="I619" s="15"/>
      <c r="J619" s="3"/>
      <c r="K619" s="3"/>
      <c r="L619" s="3"/>
      <c r="M619" s="3"/>
      <c r="N619" s="3"/>
      <c r="O619" s="3"/>
      <c r="P619" s="3"/>
      <c r="Q619" s="3"/>
      <c r="R619" s="3"/>
      <c r="S619" s="3"/>
      <c r="T619" s="3"/>
      <c r="U619" s="3"/>
      <c r="V619" s="3"/>
      <c r="W619" s="3"/>
      <c r="X619" s="3"/>
      <c r="Y619" s="3"/>
      <c r="Z619" s="3"/>
      <c r="AA619" s="3"/>
    </row>
    <row r="620" ht="105.75" customHeight="1">
      <c r="A620" s="11"/>
      <c r="B620" s="12"/>
      <c r="C620" s="11"/>
      <c r="D620" s="13"/>
      <c r="E620" s="14"/>
      <c r="F620" s="14"/>
      <c r="G620" s="14"/>
      <c r="H620" s="15"/>
      <c r="I620" s="15"/>
      <c r="J620" s="3"/>
      <c r="K620" s="3"/>
      <c r="L620" s="3"/>
      <c r="M620" s="3"/>
      <c r="N620" s="3"/>
      <c r="O620" s="3"/>
      <c r="P620" s="3"/>
      <c r="Q620" s="3"/>
      <c r="R620" s="3"/>
      <c r="S620" s="3"/>
      <c r="T620" s="3"/>
      <c r="U620" s="3"/>
      <c r="V620" s="3"/>
      <c r="W620" s="3"/>
      <c r="X620" s="3"/>
      <c r="Y620" s="3"/>
      <c r="Z620" s="3"/>
      <c r="AA620" s="3"/>
    </row>
    <row r="621" ht="105.75" customHeight="1">
      <c r="A621" s="11"/>
      <c r="B621" s="12"/>
      <c r="C621" s="11"/>
      <c r="D621" s="13"/>
      <c r="E621" s="14"/>
      <c r="F621" s="14"/>
      <c r="G621" s="14"/>
      <c r="H621" s="15"/>
      <c r="I621" s="15"/>
      <c r="J621" s="3"/>
      <c r="K621" s="3"/>
      <c r="L621" s="3"/>
      <c r="M621" s="3"/>
      <c r="N621" s="3"/>
      <c r="O621" s="3"/>
      <c r="P621" s="3"/>
      <c r="Q621" s="3"/>
      <c r="R621" s="3"/>
      <c r="S621" s="3"/>
      <c r="T621" s="3"/>
      <c r="U621" s="3"/>
      <c r="V621" s="3"/>
      <c r="W621" s="3"/>
      <c r="X621" s="3"/>
      <c r="Y621" s="3"/>
      <c r="Z621" s="3"/>
      <c r="AA621" s="3"/>
    </row>
    <row r="622" ht="105.75" customHeight="1">
      <c r="A622" s="11"/>
      <c r="B622" s="12"/>
      <c r="C622" s="11"/>
      <c r="D622" s="13"/>
      <c r="E622" s="14"/>
      <c r="F622" s="14"/>
      <c r="G622" s="14"/>
      <c r="H622" s="15"/>
      <c r="I622" s="15"/>
      <c r="J622" s="3"/>
      <c r="K622" s="3"/>
      <c r="L622" s="3"/>
      <c r="M622" s="3"/>
      <c r="N622" s="3"/>
      <c r="O622" s="3"/>
      <c r="P622" s="3"/>
      <c r="Q622" s="3"/>
      <c r="R622" s="3"/>
      <c r="S622" s="3"/>
      <c r="T622" s="3"/>
      <c r="U622" s="3"/>
      <c r="V622" s="3"/>
      <c r="W622" s="3"/>
      <c r="X622" s="3"/>
      <c r="Y622" s="3"/>
      <c r="Z622" s="3"/>
      <c r="AA622" s="3"/>
    </row>
    <row r="623" ht="105.75" customHeight="1">
      <c r="A623" s="11"/>
      <c r="B623" s="12"/>
      <c r="C623" s="11"/>
      <c r="D623" s="13"/>
      <c r="E623" s="14"/>
      <c r="F623" s="14"/>
      <c r="G623" s="14"/>
      <c r="H623" s="15"/>
      <c r="I623" s="15"/>
      <c r="J623" s="3"/>
      <c r="K623" s="3"/>
      <c r="L623" s="3"/>
      <c r="M623" s="3"/>
      <c r="N623" s="3"/>
      <c r="O623" s="3"/>
      <c r="P623" s="3"/>
      <c r="Q623" s="3"/>
      <c r="R623" s="3"/>
      <c r="S623" s="3"/>
      <c r="T623" s="3"/>
      <c r="U623" s="3"/>
      <c r="V623" s="3"/>
      <c r="W623" s="3"/>
      <c r="X623" s="3"/>
      <c r="Y623" s="3"/>
      <c r="Z623" s="3"/>
      <c r="AA623" s="3"/>
    </row>
    <row r="624" ht="105.75" customHeight="1">
      <c r="A624" s="11"/>
      <c r="B624" s="12"/>
      <c r="C624" s="11"/>
      <c r="D624" s="13"/>
      <c r="E624" s="14"/>
      <c r="F624" s="14"/>
      <c r="G624" s="14"/>
      <c r="H624" s="15"/>
      <c r="I624" s="15"/>
      <c r="J624" s="3"/>
      <c r="K624" s="3"/>
      <c r="L624" s="3"/>
      <c r="M624" s="3"/>
      <c r="N624" s="3"/>
      <c r="O624" s="3"/>
      <c r="P624" s="3"/>
      <c r="Q624" s="3"/>
      <c r="R624" s="3"/>
      <c r="S624" s="3"/>
      <c r="T624" s="3"/>
      <c r="U624" s="3"/>
      <c r="V624" s="3"/>
      <c r="W624" s="3"/>
      <c r="X624" s="3"/>
      <c r="Y624" s="3"/>
      <c r="Z624" s="3"/>
      <c r="AA624" s="3"/>
    </row>
    <row r="625" ht="105.75" customHeight="1">
      <c r="A625" s="11"/>
      <c r="B625" s="12"/>
      <c r="C625" s="11"/>
      <c r="D625" s="13"/>
      <c r="E625" s="14"/>
      <c r="F625" s="14"/>
      <c r="G625" s="14"/>
      <c r="H625" s="15"/>
      <c r="I625" s="15"/>
      <c r="J625" s="3"/>
      <c r="K625" s="3"/>
      <c r="L625" s="3"/>
      <c r="M625" s="3"/>
      <c r="N625" s="3"/>
      <c r="O625" s="3"/>
      <c r="P625" s="3"/>
      <c r="Q625" s="3"/>
      <c r="R625" s="3"/>
      <c r="S625" s="3"/>
      <c r="T625" s="3"/>
      <c r="U625" s="3"/>
      <c r="V625" s="3"/>
      <c r="W625" s="3"/>
      <c r="X625" s="3"/>
      <c r="Y625" s="3"/>
      <c r="Z625" s="3"/>
      <c r="AA625" s="3"/>
    </row>
    <row r="626" ht="105.75" customHeight="1">
      <c r="A626" s="11"/>
      <c r="B626" s="12"/>
      <c r="C626" s="11"/>
      <c r="D626" s="13"/>
      <c r="E626" s="14"/>
      <c r="F626" s="14"/>
      <c r="G626" s="14"/>
      <c r="H626" s="15"/>
      <c r="I626" s="15"/>
      <c r="J626" s="3"/>
      <c r="K626" s="3"/>
      <c r="L626" s="3"/>
      <c r="M626" s="3"/>
      <c r="N626" s="3"/>
      <c r="O626" s="3"/>
      <c r="P626" s="3"/>
      <c r="Q626" s="3"/>
      <c r="R626" s="3"/>
      <c r="S626" s="3"/>
      <c r="T626" s="3"/>
      <c r="U626" s="3"/>
      <c r="V626" s="3"/>
      <c r="W626" s="3"/>
      <c r="X626" s="3"/>
      <c r="Y626" s="3"/>
      <c r="Z626" s="3"/>
      <c r="AA626" s="3"/>
    </row>
    <row r="627" ht="105.75" customHeight="1">
      <c r="A627" s="11"/>
      <c r="B627" s="12"/>
      <c r="C627" s="11"/>
      <c r="D627" s="13"/>
      <c r="E627" s="14"/>
      <c r="F627" s="14"/>
      <c r="G627" s="14"/>
      <c r="H627" s="15"/>
      <c r="I627" s="15"/>
      <c r="J627" s="3"/>
      <c r="K627" s="3"/>
      <c r="L627" s="3"/>
      <c r="M627" s="3"/>
      <c r="N627" s="3"/>
      <c r="O627" s="3"/>
      <c r="P627" s="3"/>
      <c r="Q627" s="3"/>
      <c r="R627" s="3"/>
      <c r="S627" s="3"/>
      <c r="T627" s="3"/>
      <c r="U627" s="3"/>
      <c r="V627" s="3"/>
      <c r="W627" s="3"/>
      <c r="X627" s="3"/>
      <c r="Y627" s="3"/>
      <c r="Z627" s="3"/>
      <c r="AA627" s="3"/>
    </row>
    <row r="628" ht="105.75" customHeight="1">
      <c r="A628" s="11"/>
      <c r="B628" s="12"/>
      <c r="C628" s="11"/>
      <c r="D628" s="13"/>
      <c r="E628" s="14"/>
      <c r="F628" s="14"/>
      <c r="G628" s="14"/>
      <c r="H628" s="15"/>
      <c r="I628" s="15"/>
      <c r="J628" s="3"/>
      <c r="K628" s="3"/>
      <c r="L628" s="3"/>
      <c r="M628" s="3"/>
      <c r="N628" s="3"/>
      <c r="O628" s="3"/>
      <c r="P628" s="3"/>
      <c r="Q628" s="3"/>
      <c r="R628" s="3"/>
      <c r="S628" s="3"/>
      <c r="T628" s="3"/>
      <c r="U628" s="3"/>
      <c r="V628" s="3"/>
      <c r="W628" s="3"/>
      <c r="X628" s="3"/>
      <c r="Y628" s="3"/>
      <c r="Z628" s="3"/>
      <c r="AA628" s="3"/>
    </row>
    <row r="629" ht="105.75" customHeight="1">
      <c r="A629" s="11"/>
      <c r="B629" s="12"/>
      <c r="C629" s="11"/>
      <c r="D629" s="13"/>
      <c r="E629" s="14"/>
      <c r="F629" s="14"/>
      <c r="G629" s="14"/>
      <c r="H629" s="15"/>
      <c r="I629" s="15"/>
      <c r="J629" s="3"/>
      <c r="K629" s="3"/>
      <c r="L629" s="3"/>
      <c r="M629" s="3"/>
      <c r="N629" s="3"/>
      <c r="O629" s="3"/>
      <c r="P629" s="3"/>
      <c r="Q629" s="3"/>
      <c r="R629" s="3"/>
      <c r="S629" s="3"/>
      <c r="T629" s="3"/>
      <c r="U629" s="3"/>
      <c r="V629" s="3"/>
      <c r="W629" s="3"/>
      <c r="X629" s="3"/>
      <c r="Y629" s="3"/>
      <c r="Z629" s="3"/>
      <c r="AA629" s="3"/>
    </row>
    <row r="630" ht="105.75" customHeight="1">
      <c r="A630" s="11"/>
      <c r="B630" s="12"/>
      <c r="C630" s="11"/>
      <c r="D630" s="13"/>
      <c r="E630" s="14"/>
      <c r="F630" s="14"/>
      <c r="G630" s="14"/>
      <c r="H630" s="15"/>
      <c r="I630" s="15"/>
      <c r="J630" s="3"/>
      <c r="K630" s="3"/>
      <c r="L630" s="3"/>
      <c r="M630" s="3"/>
      <c r="N630" s="3"/>
      <c r="O630" s="3"/>
      <c r="P630" s="3"/>
      <c r="Q630" s="3"/>
      <c r="R630" s="3"/>
      <c r="S630" s="3"/>
      <c r="T630" s="3"/>
      <c r="U630" s="3"/>
      <c r="V630" s="3"/>
      <c r="W630" s="3"/>
      <c r="X630" s="3"/>
      <c r="Y630" s="3"/>
      <c r="Z630" s="3"/>
      <c r="AA630" s="3"/>
    </row>
    <row r="631" ht="105.75" customHeight="1">
      <c r="A631" s="11"/>
      <c r="B631" s="12"/>
      <c r="C631" s="11"/>
      <c r="D631" s="13"/>
      <c r="E631" s="14"/>
      <c r="F631" s="14"/>
      <c r="G631" s="14"/>
      <c r="H631" s="15"/>
      <c r="I631" s="15"/>
      <c r="J631" s="3"/>
      <c r="K631" s="3"/>
      <c r="L631" s="3"/>
      <c r="M631" s="3"/>
      <c r="N631" s="3"/>
      <c r="O631" s="3"/>
      <c r="P631" s="3"/>
      <c r="Q631" s="3"/>
      <c r="R631" s="3"/>
      <c r="S631" s="3"/>
      <c r="T631" s="3"/>
      <c r="U631" s="3"/>
      <c r="V631" s="3"/>
      <c r="W631" s="3"/>
      <c r="X631" s="3"/>
      <c r="Y631" s="3"/>
      <c r="Z631" s="3"/>
      <c r="AA631" s="3"/>
    </row>
    <row r="632" ht="105.75" customHeight="1">
      <c r="A632" s="11"/>
      <c r="B632" s="12"/>
      <c r="C632" s="11"/>
      <c r="D632" s="13"/>
      <c r="E632" s="14"/>
      <c r="F632" s="14"/>
      <c r="G632" s="14"/>
      <c r="H632" s="15"/>
      <c r="I632" s="15"/>
      <c r="J632" s="3"/>
      <c r="K632" s="3"/>
      <c r="L632" s="3"/>
      <c r="M632" s="3"/>
      <c r="N632" s="3"/>
      <c r="O632" s="3"/>
      <c r="P632" s="3"/>
      <c r="Q632" s="3"/>
      <c r="R632" s="3"/>
      <c r="S632" s="3"/>
      <c r="T632" s="3"/>
      <c r="U632" s="3"/>
      <c r="V632" s="3"/>
      <c r="W632" s="3"/>
      <c r="X632" s="3"/>
      <c r="Y632" s="3"/>
      <c r="Z632" s="3"/>
      <c r="AA632" s="3"/>
    </row>
    <row r="633" ht="105.75" customHeight="1">
      <c r="A633" s="11"/>
      <c r="B633" s="12"/>
      <c r="C633" s="11"/>
      <c r="D633" s="13"/>
      <c r="E633" s="14"/>
      <c r="F633" s="14"/>
      <c r="G633" s="14"/>
      <c r="H633" s="15"/>
      <c r="I633" s="15"/>
      <c r="J633" s="3"/>
      <c r="K633" s="3"/>
      <c r="L633" s="3"/>
      <c r="M633" s="3"/>
      <c r="N633" s="3"/>
      <c r="O633" s="3"/>
      <c r="P633" s="3"/>
      <c r="Q633" s="3"/>
      <c r="R633" s="3"/>
      <c r="S633" s="3"/>
      <c r="T633" s="3"/>
      <c r="U633" s="3"/>
      <c r="V633" s="3"/>
      <c r="W633" s="3"/>
      <c r="X633" s="3"/>
      <c r="Y633" s="3"/>
      <c r="Z633" s="3"/>
      <c r="AA633" s="3"/>
    </row>
    <row r="634" ht="105.75" customHeight="1">
      <c r="A634" s="11"/>
      <c r="B634" s="12"/>
      <c r="C634" s="11"/>
      <c r="D634" s="13"/>
      <c r="E634" s="16"/>
      <c r="F634" s="16"/>
      <c r="G634" s="16"/>
      <c r="H634" s="15"/>
      <c r="I634" s="15"/>
      <c r="J634" s="3"/>
      <c r="K634" s="3"/>
      <c r="L634" s="3"/>
      <c r="M634" s="3"/>
      <c r="N634" s="3"/>
      <c r="O634" s="3"/>
      <c r="P634" s="3"/>
      <c r="Q634" s="3"/>
      <c r="R634" s="3"/>
      <c r="S634" s="3"/>
      <c r="T634" s="3"/>
      <c r="U634" s="3"/>
      <c r="V634" s="3"/>
      <c r="W634" s="3"/>
      <c r="X634" s="3"/>
      <c r="Y634" s="3"/>
      <c r="Z634" s="3"/>
      <c r="AA634" s="3"/>
    </row>
    <row r="635" ht="105.75" customHeight="1">
      <c r="A635" s="11"/>
      <c r="B635" s="12"/>
      <c r="C635" s="11"/>
      <c r="D635" s="13"/>
      <c r="E635" s="14"/>
      <c r="F635" s="14"/>
      <c r="G635" s="14"/>
      <c r="H635" s="15"/>
      <c r="I635" s="15"/>
      <c r="J635" s="3"/>
      <c r="K635" s="3"/>
      <c r="L635" s="3"/>
      <c r="M635" s="3"/>
      <c r="N635" s="3"/>
      <c r="O635" s="3"/>
      <c r="P635" s="3"/>
      <c r="Q635" s="3"/>
      <c r="R635" s="3"/>
      <c r="S635" s="3"/>
      <c r="T635" s="3"/>
      <c r="U635" s="3"/>
      <c r="V635" s="3"/>
      <c r="W635" s="3"/>
      <c r="X635" s="3"/>
      <c r="Y635" s="3"/>
      <c r="Z635" s="3"/>
      <c r="AA635" s="3"/>
    </row>
    <row r="636" ht="105.75" customHeight="1">
      <c r="A636" s="11"/>
      <c r="B636" s="12"/>
      <c r="C636" s="11"/>
      <c r="D636" s="13"/>
      <c r="E636" s="14"/>
      <c r="F636" s="14"/>
      <c r="G636" s="14"/>
      <c r="H636" s="15"/>
      <c r="I636" s="15"/>
      <c r="J636" s="3"/>
      <c r="K636" s="3"/>
      <c r="L636" s="3"/>
      <c r="M636" s="3"/>
      <c r="N636" s="3"/>
      <c r="O636" s="3"/>
      <c r="P636" s="3"/>
      <c r="Q636" s="3"/>
      <c r="R636" s="3"/>
      <c r="S636" s="3"/>
      <c r="T636" s="3"/>
      <c r="U636" s="3"/>
      <c r="V636" s="3"/>
      <c r="W636" s="3"/>
      <c r="X636" s="3"/>
      <c r="Y636" s="3"/>
      <c r="Z636" s="3"/>
      <c r="AA636" s="3"/>
    </row>
    <row r="637" ht="105.75" customHeight="1">
      <c r="A637" s="11"/>
      <c r="B637" s="12"/>
      <c r="C637" s="11"/>
      <c r="D637" s="13"/>
      <c r="E637" s="14"/>
      <c r="F637" s="14"/>
      <c r="G637" s="14"/>
      <c r="H637" s="15"/>
      <c r="I637" s="15"/>
      <c r="J637" s="3"/>
      <c r="K637" s="3"/>
      <c r="L637" s="3"/>
      <c r="M637" s="3"/>
      <c r="N637" s="3"/>
      <c r="O637" s="3"/>
      <c r="P637" s="3"/>
      <c r="Q637" s="3"/>
      <c r="R637" s="3"/>
      <c r="S637" s="3"/>
      <c r="T637" s="3"/>
      <c r="U637" s="3"/>
      <c r="V637" s="3"/>
      <c r="W637" s="3"/>
      <c r="X637" s="3"/>
      <c r="Y637" s="3"/>
      <c r="Z637" s="3"/>
      <c r="AA637" s="3"/>
    </row>
    <row r="638" ht="105.75" customHeight="1">
      <c r="A638" s="11"/>
      <c r="B638" s="12"/>
      <c r="C638" s="11"/>
      <c r="D638" s="13"/>
      <c r="E638" s="16"/>
      <c r="F638" s="16"/>
      <c r="G638" s="16"/>
      <c r="H638" s="15"/>
      <c r="I638" s="15"/>
      <c r="J638" s="3"/>
      <c r="K638" s="3"/>
      <c r="L638" s="3"/>
      <c r="M638" s="3"/>
      <c r="N638" s="3"/>
      <c r="O638" s="3"/>
      <c r="P638" s="3"/>
      <c r="Q638" s="3"/>
      <c r="R638" s="3"/>
      <c r="S638" s="3"/>
      <c r="T638" s="3"/>
      <c r="U638" s="3"/>
      <c r="V638" s="3"/>
      <c r="W638" s="3"/>
      <c r="X638" s="3"/>
      <c r="Y638" s="3"/>
      <c r="Z638" s="3"/>
      <c r="AA638" s="3"/>
    </row>
    <row r="639" ht="105.75" customHeight="1">
      <c r="A639" s="11"/>
      <c r="B639" s="12"/>
      <c r="C639" s="11"/>
      <c r="D639" s="13"/>
      <c r="E639" s="14"/>
      <c r="F639" s="14"/>
      <c r="G639" s="14"/>
      <c r="H639" s="15"/>
      <c r="I639" s="15"/>
      <c r="J639" s="3"/>
      <c r="K639" s="3"/>
      <c r="L639" s="3"/>
      <c r="M639" s="3"/>
      <c r="N639" s="3"/>
      <c r="O639" s="3"/>
      <c r="P639" s="3"/>
      <c r="Q639" s="3"/>
      <c r="R639" s="3"/>
      <c r="S639" s="3"/>
      <c r="T639" s="3"/>
      <c r="U639" s="3"/>
      <c r="V639" s="3"/>
      <c r="W639" s="3"/>
      <c r="X639" s="3"/>
      <c r="Y639" s="3"/>
      <c r="Z639" s="3"/>
      <c r="AA639" s="3"/>
    </row>
    <row r="640" ht="105.75" customHeight="1">
      <c r="A640" s="11"/>
      <c r="B640" s="12"/>
      <c r="C640" s="11"/>
      <c r="D640" s="13"/>
      <c r="E640" s="14"/>
      <c r="F640" s="14"/>
      <c r="G640" s="14"/>
      <c r="H640" s="15"/>
      <c r="I640" s="15"/>
      <c r="J640" s="3"/>
      <c r="K640" s="3"/>
      <c r="L640" s="3"/>
      <c r="M640" s="3"/>
      <c r="N640" s="3"/>
      <c r="O640" s="3"/>
      <c r="P640" s="3"/>
      <c r="Q640" s="3"/>
      <c r="R640" s="3"/>
      <c r="S640" s="3"/>
      <c r="T640" s="3"/>
      <c r="U640" s="3"/>
      <c r="V640" s="3"/>
      <c r="W640" s="3"/>
      <c r="X640" s="3"/>
      <c r="Y640" s="3"/>
      <c r="Z640" s="3"/>
      <c r="AA640" s="3"/>
    </row>
    <row r="641" ht="105.75" customHeight="1">
      <c r="A641" s="11"/>
      <c r="B641" s="12"/>
      <c r="C641" s="11"/>
      <c r="D641" s="13"/>
      <c r="E641" s="14"/>
      <c r="F641" s="14"/>
      <c r="G641" s="14"/>
      <c r="H641" s="15"/>
      <c r="I641" s="15"/>
      <c r="J641" s="3"/>
      <c r="K641" s="3"/>
      <c r="L641" s="3"/>
      <c r="M641" s="3"/>
      <c r="N641" s="3"/>
      <c r="O641" s="3"/>
      <c r="P641" s="3"/>
      <c r="Q641" s="3"/>
      <c r="R641" s="3"/>
      <c r="S641" s="3"/>
      <c r="T641" s="3"/>
      <c r="U641" s="3"/>
      <c r="V641" s="3"/>
      <c r="W641" s="3"/>
      <c r="X641" s="3"/>
      <c r="Y641" s="3"/>
      <c r="Z641" s="3"/>
      <c r="AA641" s="3"/>
    </row>
    <row r="642" ht="105.75" customHeight="1">
      <c r="A642" s="11"/>
      <c r="B642" s="12"/>
      <c r="C642" s="11"/>
      <c r="D642" s="13"/>
      <c r="E642" s="14"/>
      <c r="F642" s="14"/>
      <c r="G642" s="14"/>
      <c r="H642" s="15"/>
      <c r="I642" s="15"/>
      <c r="J642" s="3"/>
      <c r="K642" s="3"/>
      <c r="L642" s="3"/>
      <c r="M642" s="3"/>
      <c r="N642" s="3"/>
      <c r="O642" s="3"/>
      <c r="P642" s="3"/>
      <c r="Q642" s="3"/>
      <c r="R642" s="3"/>
      <c r="S642" s="3"/>
      <c r="T642" s="3"/>
      <c r="U642" s="3"/>
      <c r="V642" s="3"/>
      <c r="W642" s="3"/>
      <c r="X642" s="3"/>
      <c r="Y642" s="3"/>
      <c r="Z642" s="3"/>
      <c r="AA642" s="3"/>
    </row>
    <row r="643" ht="105.75" customHeight="1">
      <c r="A643" s="11"/>
      <c r="B643" s="12"/>
      <c r="C643" s="11"/>
      <c r="D643" s="13"/>
      <c r="E643" s="14"/>
      <c r="F643" s="14"/>
      <c r="G643" s="14"/>
      <c r="H643" s="15"/>
      <c r="I643" s="15"/>
      <c r="J643" s="3"/>
      <c r="K643" s="3"/>
      <c r="L643" s="3"/>
      <c r="M643" s="3"/>
      <c r="N643" s="3"/>
      <c r="O643" s="3"/>
      <c r="P643" s="3"/>
      <c r="Q643" s="3"/>
      <c r="R643" s="3"/>
      <c r="S643" s="3"/>
      <c r="T643" s="3"/>
      <c r="U643" s="3"/>
      <c r="V643" s="3"/>
      <c r="W643" s="3"/>
      <c r="X643" s="3"/>
      <c r="Y643" s="3"/>
      <c r="Z643" s="3"/>
      <c r="AA643" s="3"/>
    </row>
    <row r="644" ht="105.75" customHeight="1">
      <c r="A644" s="11"/>
      <c r="B644" s="12"/>
      <c r="C644" s="11"/>
      <c r="D644" s="13"/>
      <c r="E644" s="14"/>
      <c r="F644" s="14"/>
      <c r="G644" s="14"/>
      <c r="H644" s="15"/>
      <c r="I644" s="15"/>
      <c r="J644" s="3"/>
      <c r="K644" s="3"/>
      <c r="L644" s="3"/>
      <c r="M644" s="3"/>
      <c r="N644" s="3"/>
      <c r="O644" s="3"/>
      <c r="P644" s="3"/>
      <c r="Q644" s="3"/>
      <c r="R644" s="3"/>
      <c r="S644" s="3"/>
      <c r="T644" s="3"/>
      <c r="U644" s="3"/>
      <c r="V644" s="3"/>
      <c r="W644" s="3"/>
      <c r="X644" s="3"/>
      <c r="Y644" s="3"/>
      <c r="Z644" s="3"/>
      <c r="AA644" s="3"/>
    </row>
    <row r="645" ht="105.75" customHeight="1">
      <c r="A645" s="11"/>
      <c r="B645" s="12"/>
      <c r="C645" s="11"/>
      <c r="D645" s="13"/>
      <c r="E645" s="14"/>
      <c r="F645" s="14"/>
      <c r="G645" s="14"/>
      <c r="H645" s="15"/>
      <c r="I645" s="15"/>
      <c r="J645" s="3"/>
      <c r="K645" s="3"/>
      <c r="L645" s="3"/>
      <c r="M645" s="3"/>
      <c r="N645" s="3"/>
      <c r="O645" s="3"/>
      <c r="P645" s="3"/>
      <c r="Q645" s="3"/>
      <c r="R645" s="3"/>
      <c r="S645" s="3"/>
      <c r="T645" s="3"/>
      <c r="U645" s="3"/>
      <c r="V645" s="3"/>
      <c r="W645" s="3"/>
      <c r="X645" s="3"/>
      <c r="Y645" s="3"/>
      <c r="Z645" s="3"/>
      <c r="AA645" s="3"/>
    </row>
    <row r="646" ht="105.75" customHeight="1">
      <c r="A646" s="11"/>
      <c r="B646" s="12"/>
      <c r="C646" s="11"/>
      <c r="D646" s="13"/>
      <c r="E646" s="14"/>
      <c r="F646" s="14"/>
      <c r="G646" s="14"/>
      <c r="H646" s="15"/>
      <c r="I646" s="15"/>
      <c r="J646" s="3"/>
      <c r="K646" s="3"/>
      <c r="L646" s="3"/>
      <c r="M646" s="3"/>
      <c r="N646" s="3"/>
      <c r="O646" s="3"/>
      <c r="P646" s="3"/>
      <c r="Q646" s="3"/>
      <c r="R646" s="3"/>
      <c r="S646" s="3"/>
      <c r="T646" s="3"/>
      <c r="U646" s="3"/>
      <c r="V646" s="3"/>
      <c r="W646" s="3"/>
      <c r="X646" s="3"/>
      <c r="Y646" s="3"/>
      <c r="Z646" s="3"/>
      <c r="AA646" s="3"/>
    </row>
    <row r="647" ht="105.75" customHeight="1">
      <c r="A647" s="11"/>
      <c r="B647" s="12"/>
      <c r="C647" s="11"/>
      <c r="D647" s="13"/>
      <c r="E647" s="16"/>
      <c r="F647" s="16"/>
      <c r="G647" s="16"/>
      <c r="H647" s="15"/>
      <c r="I647" s="15"/>
      <c r="J647" s="3"/>
      <c r="K647" s="3"/>
      <c r="L647" s="3"/>
      <c r="M647" s="3"/>
      <c r="N647" s="3"/>
      <c r="O647" s="3"/>
      <c r="P647" s="3"/>
      <c r="Q647" s="3"/>
      <c r="R647" s="3"/>
      <c r="S647" s="3"/>
      <c r="T647" s="3"/>
      <c r="U647" s="3"/>
      <c r="V647" s="3"/>
      <c r="W647" s="3"/>
      <c r="X647" s="3"/>
      <c r="Y647" s="3"/>
      <c r="Z647" s="3"/>
      <c r="AA647" s="3"/>
    </row>
    <row r="648" ht="105.75" customHeight="1">
      <c r="A648" s="11"/>
      <c r="B648" s="12"/>
      <c r="C648" s="11"/>
      <c r="D648" s="13"/>
      <c r="E648" s="14"/>
      <c r="F648" s="14"/>
      <c r="G648" s="14"/>
      <c r="H648" s="15"/>
      <c r="I648" s="15"/>
      <c r="J648" s="3"/>
      <c r="K648" s="3"/>
      <c r="L648" s="3"/>
      <c r="M648" s="3"/>
      <c r="N648" s="3"/>
      <c r="O648" s="3"/>
      <c r="P648" s="3"/>
      <c r="Q648" s="3"/>
      <c r="R648" s="3"/>
      <c r="S648" s="3"/>
      <c r="T648" s="3"/>
      <c r="U648" s="3"/>
      <c r="V648" s="3"/>
      <c r="W648" s="3"/>
      <c r="X648" s="3"/>
      <c r="Y648" s="3"/>
      <c r="Z648" s="3"/>
      <c r="AA648" s="3"/>
    </row>
    <row r="649" ht="105.75" customHeight="1">
      <c r="A649" s="11"/>
      <c r="B649" s="12"/>
      <c r="C649" s="11"/>
      <c r="D649" s="13"/>
      <c r="E649" s="14"/>
      <c r="F649" s="14"/>
      <c r="G649" s="14"/>
      <c r="H649" s="15"/>
      <c r="I649" s="15"/>
      <c r="J649" s="3"/>
      <c r="K649" s="3"/>
      <c r="L649" s="3"/>
      <c r="M649" s="3"/>
      <c r="N649" s="3"/>
      <c r="O649" s="3"/>
      <c r="P649" s="3"/>
      <c r="Q649" s="3"/>
      <c r="R649" s="3"/>
      <c r="S649" s="3"/>
      <c r="T649" s="3"/>
      <c r="U649" s="3"/>
      <c r="V649" s="3"/>
      <c r="W649" s="3"/>
      <c r="X649" s="3"/>
      <c r="Y649" s="3"/>
      <c r="Z649" s="3"/>
      <c r="AA649" s="3"/>
    </row>
    <row r="650" ht="105.75" customHeight="1">
      <c r="A650" s="11"/>
      <c r="B650" s="12"/>
      <c r="C650" s="11"/>
      <c r="D650" s="13"/>
      <c r="E650" s="14"/>
      <c r="F650" s="14"/>
      <c r="G650" s="14"/>
      <c r="H650" s="15"/>
      <c r="I650" s="15"/>
      <c r="J650" s="3"/>
      <c r="K650" s="3"/>
      <c r="L650" s="3"/>
      <c r="M650" s="3"/>
      <c r="N650" s="3"/>
      <c r="O650" s="3"/>
      <c r="P650" s="3"/>
      <c r="Q650" s="3"/>
      <c r="R650" s="3"/>
      <c r="S650" s="3"/>
      <c r="T650" s="3"/>
      <c r="U650" s="3"/>
      <c r="V650" s="3"/>
      <c r="W650" s="3"/>
      <c r="X650" s="3"/>
      <c r="Y650" s="3"/>
      <c r="Z650" s="3"/>
      <c r="AA650" s="3"/>
    </row>
    <row r="651" ht="105.75" customHeight="1">
      <c r="A651" s="11"/>
      <c r="B651" s="12"/>
      <c r="C651" s="11"/>
      <c r="D651" s="13"/>
      <c r="E651" s="14"/>
      <c r="F651" s="14"/>
      <c r="G651" s="14"/>
      <c r="H651" s="15"/>
      <c r="I651" s="15"/>
      <c r="J651" s="3"/>
      <c r="K651" s="3"/>
      <c r="L651" s="3"/>
      <c r="M651" s="3"/>
      <c r="N651" s="3"/>
      <c r="O651" s="3"/>
      <c r="P651" s="3"/>
      <c r="Q651" s="3"/>
      <c r="R651" s="3"/>
      <c r="S651" s="3"/>
      <c r="T651" s="3"/>
      <c r="U651" s="3"/>
      <c r="V651" s="3"/>
      <c r="W651" s="3"/>
      <c r="X651" s="3"/>
      <c r="Y651" s="3"/>
      <c r="Z651" s="3"/>
      <c r="AA651" s="3"/>
    </row>
    <row r="652" ht="105.75" customHeight="1">
      <c r="A652" s="11"/>
      <c r="B652" s="12"/>
      <c r="C652" s="11"/>
      <c r="D652" s="13"/>
      <c r="E652" s="14"/>
      <c r="F652" s="14"/>
      <c r="G652" s="14"/>
      <c r="H652" s="15"/>
      <c r="I652" s="15"/>
      <c r="J652" s="3"/>
      <c r="K652" s="3"/>
      <c r="L652" s="3"/>
      <c r="M652" s="3"/>
      <c r="N652" s="3"/>
      <c r="O652" s="3"/>
      <c r="P652" s="3"/>
      <c r="Q652" s="3"/>
      <c r="R652" s="3"/>
      <c r="S652" s="3"/>
      <c r="T652" s="3"/>
      <c r="U652" s="3"/>
      <c r="V652" s="3"/>
      <c r="W652" s="3"/>
      <c r="X652" s="3"/>
      <c r="Y652" s="3"/>
      <c r="Z652" s="3"/>
      <c r="AA652" s="3"/>
    </row>
    <row r="653" ht="105.75" customHeight="1">
      <c r="A653" s="11"/>
      <c r="B653" s="12"/>
      <c r="C653" s="11"/>
      <c r="D653" s="13"/>
      <c r="E653" s="14"/>
      <c r="F653" s="14"/>
      <c r="G653" s="14"/>
      <c r="H653" s="15"/>
      <c r="I653" s="15"/>
      <c r="J653" s="3"/>
      <c r="K653" s="3"/>
      <c r="L653" s="3"/>
      <c r="M653" s="3"/>
      <c r="N653" s="3"/>
      <c r="O653" s="3"/>
      <c r="P653" s="3"/>
      <c r="Q653" s="3"/>
      <c r="R653" s="3"/>
      <c r="S653" s="3"/>
      <c r="T653" s="3"/>
      <c r="U653" s="3"/>
      <c r="V653" s="3"/>
      <c r="W653" s="3"/>
      <c r="X653" s="3"/>
      <c r="Y653" s="3"/>
      <c r="Z653" s="3"/>
      <c r="AA653" s="3"/>
    </row>
    <row r="654" ht="105.75" customHeight="1">
      <c r="A654" s="11"/>
      <c r="B654" s="12"/>
      <c r="C654" s="11"/>
      <c r="D654" s="13"/>
      <c r="E654" s="14"/>
      <c r="F654" s="14"/>
      <c r="G654" s="14"/>
      <c r="H654" s="15"/>
      <c r="I654" s="15"/>
      <c r="J654" s="3"/>
      <c r="K654" s="3"/>
      <c r="L654" s="3"/>
      <c r="M654" s="3"/>
      <c r="N654" s="3"/>
      <c r="O654" s="3"/>
      <c r="P654" s="3"/>
      <c r="Q654" s="3"/>
      <c r="R654" s="3"/>
      <c r="S654" s="3"/>
      <c r="T654" s="3"/>
      <c r="U654" s="3"/>
      <c r="V654" s="3"/>
      <c r="W654" s="3"/>
      <c r="X654" s="3"/>
      <c r="Y654" s="3"/>
      <c r="Z654" s="3"/>
      <c r="AA654" s="3"/>
    </row>
    <row r="655" ht="105.75" customHeight="1">
      <c r="A655" s="11"/>
      <c r="B655" s="12"/>
      <c r="C655" s="11"/>
      <c r="D655" s="13"/>
      <c r="E655" s="14"/>
      <c r="F655" s="14"/>
      <c r="G655" s="14"/>
      <c r="H655" s="15"/>
      <c r="I655" s="15"/>
      <c r="J655" s="3"/>
      <c r="K655" s="3"/>
      <c r="L655" s="3"/>
      <c r="M655" s="3"/>
      <c r="N655" s="3"/>
      <c r="O655" s="3"/>
      <c r="P655" s="3"/>
      <c r="Q655" s="3"/>
      <c r="R655" s="3"/>
      <c r="S655" s="3"/>
      <c r="T655" s="3"/>
      <c r="U655" s="3"/>
      <c r="V655" s="3"/>
      <c r="W655" s="3"/>
      <c r="X655" s="3"/>
      <c r="Y655" s="3"/>
      <c r="Z655" s="3"/>
      <c r="AA655" s="3"/>
    </row>
    <row r="656" ht="105.75" customHeight="1">
      <c r="A656" s="11"/>
      <c r="B656" s="12"/>
      <c r="C656" s="11"/>
      <c r="D656" s="13"/>
      <c r="E656" s="16"/>
      <c r="F656" s="16"/>
      <c r="G656" s="16"/>
      <c r="H656" s="15"/>
      <c r="I656" s="15"/>
      <c r="J656" s="3"/>
      <c r="K656" s="3"/>
      <c r="L656" s="3"/>
      <c r="M656" s="3"/>
      <c r="N656" s="3"/>
      <c r="O656" s="3"/>
      <c r="P656" s="3"/>
      <c r="Q656" s="3"/>
      <c r="R656" s="3"/>
      <c r="S656" s="3"/>
      <c r="T656" s="3"/>
      <c r="U656" s="3"/>
      <c r="V656" s="3"/>
      <c r="W656" s="3"/>
      <c r="X656" s="3"/>
      <c r="Y656" s="3"/>
      <c r="Z656" s="3"/>
      <c r="AA656" s="3"/>
    </row>
    <row r="657" ht="105.75" customHeight="1">
      <c r="A657" s="11"/>
      <c r="B657" s="12"/>
      <c r="C657" s="11"/>
      <c r="D657" s="13"/>
      <c r="E657" s="14"/>
      <c r="F657" s="14"/>
      <c r="G657" s="14"/>
      <c r="H657" s="15"/>
      <c r="I657" s="15"/>
      <c r="J657" s="3"/>
      <c r="K657" s="3"/>
      <c r="L657" s="3"/>
      <c r="M657" s="3"/>
      <c r="N657" s="3"/>
      <c r="O657" s="3"/>
      <c r="P657" s="3"/>
      <c r="Q657" s="3"/>
      <c r="R657" s="3"/>
      <c r="S657" s="3"/>
      <c r="T657" s="3"/>
      <c r="U657" s="3"/>
      <c r="V657" s="3"/>
      <c r="W657" s="3"/>
      <c r="X657" s="3"/>
      <c r="Y657" s="3"/>
      <c r="Z657" s="3"/>
      <c r="AA657" s="3"/>
    </row>
    <row r="658" ht="105.75" customHeight="1">
      <c r="A658" s="11"/>
      <c r="B658" s="12"/>
      <c r="C658" s="11"/>
      <c r="D658" s="13"/>
      <c r="E658" s="14"/>
      <c r="F658" s="14"/>
      <c r="G658" s="14"/>
      <c r="H658" s="15"/>
      <c r="I658" s="15"/>
      <c r="J658" s="3"/>
      <c r="K658" s="3"/>
      <c r="L658" s="3"/>
      <c r="M658" s="3"/>
      <c r="N658" s="3"/>
      <c r="O658" s="3"/>
      <c r="P658" s="3"/>
      <c r="Q658" s="3"/>
      <c r="R658" s="3"/>
      <c r="S658" s="3"/>
      <c r="T658" s="3"/>
      <c r="U658" s="3"/>
      <c r="V658" s="3"/>
      <c r="W658" s="3"/>
      <c r="X658" s="3"/>
      <c r="Y658" s="3"/>
      <c r="Z658" s="3"/>
      <c r="AA658" s="3"/>
    </row>
    <row r="659" ht="105.75" customHeight="1">
      <c r="A659" s="11"/>
      <c r="B659" s="12"/>
      <c r="C659" s="11"/>
      <c r="D659" s="13"/>
      <c r="E659" s="14"/>
      <c r="F659" s="14"/>
      <c r="G659" s="14"/>
      <c r="H659" s="15"/>
      <c r="I659" s="15"/>
      <c r="J659" s="3"/>
      <c r="K659" s="3"/>
      <c r="L659" s="3"/>
      <c r="M659" s="3"/>
      <c r="N659" s="3"/>
      <c r="O659" s="3"/>
      <c r="P659" s="3"/>
      <c r="Q659" s="3"/>
      <c r="R659" s="3"/>
      <c r="S659" s="3"/>
      <c r="T659" s="3"/>
      <c r="U659" s="3"/>
      <c r="V659" s="3"/>
      <c r="W659" s="3"/>
      <c r="X659" s="3"/>
      <c r="Y659" s="3"/>
      <c r="Z659" s="3"/>
      <c r="AA659" s="3"/>
    </row>
    <row r="660" ht="105.75" customHeight="1">
      <c r="A660" s="11"/>
      <c r="B660" s="12"/>
      <c r="C660" s="11"/>
      <c r="D660" s="13"/>
      <c r="E660" s="14"/>
      <c r="F660" s="14"/>
      <c r="G660" s="14"/>
      <c r="H660" s="15"/>
      <c r="I660" s="15"/>
      <c r="J660" s="3"/>
      <c r="K660" s="3"/>
      <c r="L660" s="3"/>
      <c r="M660" s="3"/>
      <c r="N660" s="3"/>
      <c r="O660" s="3"/>
      <c r="P660" s="3"/>
      <c r="Q660" s="3"/>
      <c r="R660" s="3"/>
      <c r="S660" s="3"/>
      <c r="T660" s="3"/>
      <c r="U660" s="3"/>
      <c r="V660" s="3"/>
      <c r="W660" s="3"/>
      <c r="X660" s="3"/>
      <c r="Y660" s="3"/>
      <c r="Z660" s="3"/>
      <c r="AA660" s="3"/>
    </row>
    <row r="661" ht="105.75" customHeight="1">
      <c r="A661" s="11"/>
      <c r="B661" s="12"/>
      <c r="C661" s="11"/>
      <c r="D661" s="13"/>
      <c r="E661" s="14"/>
      <c r="F661" s="14"/>
      <c r="G661" s="14"/>
      <c r="H661" s="15"/>
      <c r="I661" s="15"/>
      <c r="J661" s="3"/>
      <c r="K661" s="3"/>
      <c r="L661" s="3"/>
      <c r="M661" s="3"/>
      <c r="N661" s="3"/>
      <c r="O661" s="3"/>
      <c r="P661" s="3"/>
      <c r="Q661" s="3"/>
      <c r="R661" s="3"/>
      <c r="S661" s="3"/>
      <c r="T661" s="3"/>
      <c r="U661" s="3"/>
      <c r="V661" s="3"/>
      <c r="W661" s="3"/>
      <c r="X661" s="3"/>
      <c r="Y661" s="3"/>
      <c r="Z661" s="3"/>
      <c r="AA661" s="3"/>
    </row>
    <row r="662" ht="105.75" customHeight="1">
      <c r="A662" s="11"/>
      <c r="B662" s="12"/>
      <c r="C662" s="11"/>
      <c r="D662" s="13"/>
      <c r="E662" s="14"/>
      <c r="F662" s="14"/>
      <c r="G662" s="14"/>
      <c r="H662" s="15"/>
      <c r="I662" s="15"/>
      <c r="J662" s="3"/>
      <c r="K662" s="3"/>
      <c r="L662" s="3"/>
      <c r="M662" s="3"/>
      <c r="N662" s="3"/>
      <c r="O662" s="3"/>
      <c r="P662" s="3"/>
      <c r="Q662" s="3"/>
      <c r="R662" s="3"/>
      <c r="S662" s="3"/>
      <c r="T662" s="3"/>
      <c r="U662" s="3"/>
      <c r="V662" s="3"/>
      <c r="W662" s="3"/>
      <c r="X662" s="3"/>
      <c r="Y662" s="3"/>
      <c r="Z662" s="3"/>
      <c r="AA662" s="3"/>
    </row>
    <row r="663" ht="105.75" customHeight="1">
      <c r="A663" s="11"/>
      <c r="B663" s="12"/>
      <c r="C663" s="11"/>
      <c r="D663" s="13"/>
      <c r="E663" s="16"/>
      <c r="F663" s="16"/>
      <c r="G663" s="16"/>
      <c r="H663" s="15"/>
      <c r="I663" s="15"/>
      <c r="J663" s="3"/>
      <c r="K663" s="3"/>
      <c r="L663" s="3"/>
      <c r="M663" s="3"/>
      <c r="N663" s="3"/>
      <c r="O663" s="3"/>
      <c r="P663" s="3"/>
      <c r="Q663" s="3"/>
      <c r="R663" s="3"/>
      <c r="S663" s="3"/>
      <c r="T663" s="3"/>
      <c r="U663" s="3"/>
      <c r="V663" s="3"/>
      <c r="W663" s="3"/>
      <c r="X663" s="3"/>
      <c r="Y663" s="3"/>
      <c r="Z663" s="3"/>
      <c r="AA663" s="3"/>
    </row>
    <row r="664" ht="105.75" customHeight="1">
      <c r="A664" s="11"/>
      <c r="B664" s="12"/>
      <c r="C664" s="11"/>
      <c r="D664" s="13"/>
      <c r="E664" s="14"/>
      <c r="F664" s="14"/>
      <c r="G664" s="14"/>
      <c r="H664" s="15"/>
      <c r="I664" s="15"/>
      <c r="J664" s="3"/>
      <c r="K664" s="3"/>
      <c r="L664" s="3"/>
      <c r="M664" s="3"/>
      <c r="N664" s="3"/>
      <c r="O664" s="3"/>
      <c r="P664" s="3"/>
      <c r="Q664" s="3"/>
      <c r="R664" s="3"/>
      <c r="S664" s="3"/>
      <c r="T664" s="3"/>
      <c r="U664" s="3"/>
      <c r="V664" s="3"/>
      <c r="W664" s="3"/>
      <c r="X664" s="3"/>
      <c r="Y664" s="3"/>
      <c r="Z664" s="3"/>
      <c r="AA664" s="3"/>
    </row>
    <row r="665" ht="105.75" customHeight="1">
      <c r="A665" s="11"/>
      <c r="B665" s="12"/>
      <c r="C665" s="11"/>
      <c r="D665" s="13"/>
      <c r="E665" s="16"/>
      <c r="F665" s="16"/>
      <c r="G665" s="16"/>
      <c r="H665" s="15"/>
      <c r="I665" s="15"/>
      <c r="J665" s="3"/>
      <c r="K665" s="3"/>
      <c r="L665" s="3"/>
      <c r="M665" s="3"/>
      <c r="N665" s="3"/>
      <c r="O665" s="3"/>
      <c r="P665" s="3"/>
      <c r="Q665" s="3"/>
      <c r="R665" s="3"/>
      <c r="S665" s="3"/>
      <c r="T665" s="3"/>
      <c r="U665" s="3"/>
      <c r="V665" s="3"/>
      <c r="W665" s="3"/>
      <c r="X665" s="3"/>
      <c r="Y665" s="3"/>
      <c r="Z665" s="3"/>
      <c r="AA665" s="3"/>
    </row>
    <row r="666" ht="105.75" customHeight="1">
      <c r="A666" s="11"/>
      <c r="B666" s="12"/>
      <c r="C666" s="11"/>
      <c r="D666" s="13"/>
      <c r="E666" s="14"/>
      <c r="F666" s="14"/>
      <c r="G666" s="14"/>
      <c r="H666" s="15"/>
      <c r="I666" s="15"/>
      <c r="J666" s="3"/>
      <c r="K666" s="3"/>
      <c r="L666" s="3"/>
      <c r="M666" s="3"/>
      <c r="N666" s="3"/>
      <c r="O666" s="3"/>
      <c r="P666" s="3"/>
      <c r="Q666" s="3"/>
      <c r="R666" s="3"/>
      <c r="S666" s="3"/>
      <c r="T666" s="3"/>
      <c r="U666" s="3"/>
      <c r="V666" s="3"/>
      <c r="W666" s="3"/>
      <c r="X666" s="3"/>
      <c r="Y666" s="3"/>
      <c r="Z666" s="3"/>
      <c r="AA666" s="3"/>
    </row>
    <row r="667" ht="105.75" customHeight="1">
      <c r="A667" s="11"/>
      <c r="B667" s="12"/>
      <c r="C667" s="11"/>
      <c r="D667" s="13"/>
      <c r="E667" s="14"/>
      <c r="F667" s="14"/>
      <c r="G667" s="14"/>
      <c r="H667" s="15"/>
      <c r="I667" s="15"/>
      <c r="J667" s="3"/>
      <c r="K667" s="3"/>
      <c r="L667" s="3"/>
      <c r="M667" s="3"/>
      <c r="N667" s="3"/>
      <c r="O667" s="3"/>
      <c r="P667" s="3"/>
      <c r="Q667" s="3"/>
      <c r="R667" s="3"/>
      <c r="S667" s="3"/>
      <c r="T667" s="3"/>
      <c r="U667" s="3"/>
      <c r="V667" s="3"/>
      <c r="W667" s="3"/>
      <c r="X667" s="3"/>
      <c r="Y667" s="3"/>
      <c r="Z667" s="3"/>
      <c r="AA667" s="3"/>
    </row>
    <row r="668" ht="105.75" customHeight="1">
      <c r="A668" s="11"/>
      <c r="B668" s="12"/>
      <c r="C668" s="11"/>
      <c r="D668" s="13"/>
      <c r="E668" s="14"/>
      <c r="F668" s="14"/>
      <c r="G668" s="14"/>
      <c r="H668" s="15"/>
      <c r="I668" s="15"/>
      <c r="J668" s="3"/>
      <c r="K668" s="3"/>
      <c r="L668" s="3"/>
      <c r="M668" s="3"/>
      <c r="N668" s="3"/>
      <c r="O668" s="3"/>
      <c r="P668" s="3"/>
      <c r="Q668" s="3"/>
      <c r="R668" s="3"/>
      <c r="S668" s="3"/>
      <c r="T668" s="3"/>
      <c r="U668" s="3"/>
      <c r="V668" s="3"/>
      <c r="W668" s="3"/>
      <c r="X668" s="3"/>
      <c r="Y668" s="3"/>
      <c r="Z668" s="3"/>
      <c r="AA668" s="3"/>
    </row>
    <row r="669" ht="105.75" customHeight="1">
      <c r="A669" s="11"/>
      <c r="B669" s="12"/>
      <c r="C669" s="11"/>
      <c r="D669" s="13"/>
      <c r="E669" s="14"/>
      <c r="F669" s="14"/>
      <c r="G669" s="14"/>
      <c r="H669" s="15"/>
      <c r="I669" s="15"/>
      <c r="J669" s="3"/>
      <c r="K669" s="3"/>
      <c r="L669" s="3"/>
      <c r="M669" s="3"/>
      <c r="N669" s="3"/>
      <c r="O669" s="3"/>
      <c r="P669" s="3"/>
      <c r="Q669" s="3"/>
      <c r="R669" s="3"/>
      <c r="S669" s="3"/>
      <c r="T669" s="3"/>
      <c r="U669" s="3"/>
      <c r="V669" s="3"/>
      <c r="W669" s="3"/>
      <c r="X669" s="3"/>
      <c r="Y669" s="3"/>
      <c r="Z669" s="3"/>
      <c r="AA669" s="3"/>
    </row>
    <row r="670" ht="105.75" customHeight="1">
      <c r="A670" s="11"/>
      <c r="B670" s="12"/>
      <c r="C670" s="11"/>
      <c r="D670" s="13"/>
      <c r="E670" s="14"/>
      <c r="F670" s="14"/>
      <c r="G670" s="14"/>
      <c r="H670" s="15"/>
      <c r="I670" s="15"/>
      <c r="J670" s="3"/>
      <c r="K670" s="3"/>
      <c r="L670" s="3"/>
      <c r="M670" s="3"/>
      <c r="N670" s="3"/>
      <c r="O670" s="3"/>
      <c r="P670" s="3"/>
      <c r="Q670" s="3"/>
      <c r="R670" s="3"/>
      <c r="S670" s="3"/>
      <c r="T670" s="3"/>
      <c r="U670" s="3"/>
      <c r="V670" s="3"/>
      <c r="W670" s="3"/>
      <c r="X670" s="3"/>
      <c r="Y670" s="3"/>
      <c r="Z670" s="3"/>
      <c r="AA670" s="3"/>
    </row>
    <row r="671" ht="105.75" customHeight="1">
      <c r="A671" s="11"/>
      <c r="B671" s="12"/>
      <c r="C671" s="11"/>
      <c r="D671" s="13"/>
      <c r="E671" s="14"/>
      <c r="F671" s="14"/>
      <c r="G671" s="14"/>
      <c r="H671" s="15"/>
      <c r="I671" s="15"/>
      <c r="J671" s="3"/>
      <c r="K671" s="3"/>
      <c r="L671" s="3"/>
      <c r="M671" s="3"/>
      <c r="N671" s="3"/>
      <c r="O671" s="3"/>
      <c r="P671" s="3"/>
      <c r="Q671" s="3"/>
      <c r="R671" s="3"/>
      <c r="S671" s="3"/>
      <c r="T671" s="3"/>
      <c r="U671" s="3"/>
      <c r="V671" s="3"/>
      <c r="W671" s="3"/>
      <c r="X671" s="3"/>
      <c r="Y671" s="3"/>
      <c r="Z671" s="3"/>
      <c r="AA671" s="3"/>
    </row>
    <row r="672" ht="105.75" customHeight="1">
      <c r="A672" s="11"/>
      <c r="B672" s="12"/>
      <c r="C672" s="11"/>
      <c r="D672" s="13"/>
      <c r="E672" s="14"/>
      <c r="F672" s="14"/>
      <c r="G672" s="14"/>
      <c r="H672" s="15"/>
      <c r="I672" s="15"/>
      <c r="J672" s="3"/>
      <c r="K672" s="3"/>
      <c r="L672" s="3"/>
      <c r="M672" s="3"/>
      <c r="N672" s="3"/>
      <c r="O672" s="3"/>
      <c r="P672" s="3"/>
      <c r="Q672" s="3"/>
      <c r="R672" s="3"/>
      <c r="S672" s="3"/>
      <c r="T672" s="3"/>
      <c r="U672" s="3"/>
      <c r="V672" s="3"/>
      <c r="W672" s="3"/>
      <c r="X672" s="3"/>
      <c r="Y672" s="3"/>
      <c r="Z672" s="3"/>
      <c r="AA672" s="3"/>
    </row>
    <row r="673" ht="105.75" customHeight="1">
      <c r="A673" s="11"/>
      <c r="B673" s="12"/>
      <c r="C673" s="11"/>
      <c r="D673" s="13"/>
      <c r="E673" s="16"/>
      <c r="F673" s="16"/>
      <c r="G673" s="16"/>
      <c r="H673" s="15"/>
      <c r="I673" s="15"/>
      <c r="J673" s="3"/>
      <c r="K673" s="3"/>
      <c r="L673" s="3"/>
      <c r="M673" s="3"/>
      <c r="N673" s="3"/>
      <c r="O673" s="3"/>
      <c r="P673" s="3"/>
      <c r="Q673" s="3"/>
      <c r="R673" s="3"/>
      <c r="S673" s="3"/>
      <c r="T673" s="3"/>
      <c r="U673" s="3"/>
      <c r="V673" s="3"/>
      <c r="W673" s="3"/>
      <c r="X673" s="3"/>
      <c r="Y673" s="3"/>
      <c r="Z673" s="3"/>
      <c r="AA673" s="3"/>
    </row>
    <row r="674" ht="105.75" customHeight="1">
      <c r="A674" s="11"/>
      <c r="B674" s="12"/>
      <c r="C674" s="11"/>
      <c r="D674" s="13"/>
      <c r="E674" s="14"/>
      <c r="F674" s="14"/>
      <c r="G674" s="14"/>
      <c r="H674" s="15"/>
      <c r="I674" s="15"/>
      <c r="J674" s="3"/>
      <c r="K674" s="3"/>
      <c r="L674" s="3"/>
      <c r="M674" s="3"/>
      <c r="N674" s="3"/>
      <c r="O674" s="3"/>
      <c r="P674" s="3"/>
      <c r="Q674" s="3"/>
      <c r="R674" s="3"/>
      <c r="S674" s="3"/>
      <c r="T674" s="3"/>
      <c r="U674" s="3"/>
      <c r="V674" s="3"/>
      <c r="W674" s="3"/>
      <c r="X674" s="3"/>
      <c r="Y674" s="3"/>
      <c r="Z674" s="3"/>
      <c r="AA674" s="3"/>
    </row>
    <row r="675" ht="105.75" customHeight="1">
      <c r="A675" s="11"/>
      <c r="B675" s="12"/>
      <c r="C675" s="11"/>
      <c r="D675" s="13"/>
      <c r="E675" s="14"/>
      <c r="F675" s="14"/>
      <c r="G675" s="14"/>
      <c r="H675" s="15"/>
      <c r="I675" s="15"/>
      <c r="J675" s="3"/>
      <c r="K675" s="3"/>
      <c r="L675" s="3"/>
      <c r="M675" s="3"/>
      <c r="N675" s="3"/>
      <c r="O675" s="3"/>
      <c r="P675" s="3"/>
      <c r="Q675" s="3"/>
      <c r="R675" s="3"/>
      <c r="S675" s="3"/>
      <c r="T675" s="3"/>
      <c r="U675" s="3"/>
      <c r="V675" s="3"/>
      <c r="W675" s="3"/>
      <c r="X675" s="3"/>
      <c r="Y675" s="3"/>
      <c r="Z675" s="3"/>
      <c r="AA675" s="3"/>
    </row>
    <row r="676" ht="105.75" customHeight="1">
      <c r="A676" s="11"/>
      <c r="B676" s="12"/>
      <c r="C676" s="11"/>
      <c r="D676" s="13"/>
      <c r="E676" s="14"/>
      <c r="F676" s="14"/>
      <c r="G676" s="14"/>
      <c r="H676" s="15"/>
      <c r="I676" s="15"/>
      <c r="J676" s="3"/>
      <c r="K676" s="3"/>
      <c r="L676" s="3"/>
      <c r="M676" s="3"/>
      <c r="N676" s="3"/>
      <c r="O676" s="3"/>
      <c r="P676" s="3"/>
      <c r="Q676" s="3"/>
      <c r="R676" s="3"/>
      <c r="S676" s="3"/>
      <c r="T676" s="3"/>
      <c r="U676" s="3"/>
      <c r="V676" s="3"/>
      <c r="W676" s="3"/>
      <c r="X676" s="3"/>
      <c r="Y676" s="3"/>
      <c r="Z676" s="3"/>
      <c r="AA676" s="3"/>
    </row>
    <row r="677" ht="105.75" customHeight="1">
      <c r="A677" s="11"/>
      <c r="B677" s="12"/>
      <c r="C677" s="11"/>
      <c r="D677" s="13"/>
      <c r="E677" s="16"/>
      <c r="F677" s="16"/>
      <c r="G677" s="16"/>
      <c r="H677" s="15"/>
      <c r="I677" s="15"/>
      <c r="J677" s="3"/>
      <c r="K677" s="3"/>
      <c r="L677" s="3"/>
      <c r="M677" s="3"/>
      <c r="N677" s="3"/>
      <c r="O677" s="3"/>
      <c r="P677" s="3"/>
      <c r="Q677" s="3"/>
      <c r="R677" s="3"/>
      <c r="S677" s="3"/>
      <c r="T677" s="3"/>
      <c r="U677" s="3"/>
      <c r="V677" s="3"/>
      <c r="W677" s="3"/>
      <c r="X677" s="3"/>
      <c r="Y677" s="3"/>
      <c r="Z677" s="3"/>
      <c r="AA677" s="3"/>
    </row>
    <row r="678" ht="105.75" customHeight="1">
      <c r="A678" s="11"/>
      <c r="B678" s="12"/>
      <c r="C678" s="11"/>
      <c r="D678" s="13"/>
      <c r="E678" s="14"/>
      <c r="F678" s="14"/>
      <c r="G678" s="14"/>
      <c r="H678" s="15"/>
      <c r="I678" s="15"/>
      <c r="J678" s="3"/>
      <c r="K678" s="3"/>
      <c r="L678" s="3"/>
      <c r="M678" s="3"/>
      <c r="N678" s="3"/>
      <c r="O678" s="3"/>
      <c r="P678" s="3"/>
      <c r="Q678" s="3"/>
      <c r="R678" s="3"/>
      <c r="S678" s="3"/>
      <c r="T678" s="3"/>
      <c r="U678" s="3"/>
      <c r="V678" s="3"/>
      <c r="W678" s="3"/>
      <c r="X678" s="3"/>
      <c r="Y678" s="3"/>
      <c r="Z678" s="3"/>
      <c r="AA678" s="3"/>
    </row>
    <row r="679" ht="105.75" customHeight="1">
      <c r="A679" s="11"/>
      <c r="B679" s="12"/>
      <c r="C679" s="11"/>
      <c r="D679" s="13"/>
      <c r="E679" s="14"/>
      <c r="F679" s="14"/>
      <c r="G679" s="14"/>
      <c r="H679" s="15"/>
      <c r="I679" s="15"/>
      <c r="J679" s="3"/>
      <c r="K679" s="3"/>
      <c r="L679" s="3"/>
      <c r="M679" s="3"/>
      <c r="N679" s="3"/>
      <c r="O679" s="3"/>
      <c r="P679" s="3"/>
      <c r="Q679" s="3"/>
      <c r="R679" s="3"/>
      <c r="S679" s="3"/>
      <c r="T679" s="3"/>
      <c r="U679" s="3"/>
      <c r="V679" s="3"/>
      <c r="W679" s="3"/>
      <c r="X679" s="3"/>
      <c r="Y679" s="3"/>
      <c r="Z679" s="3"/>
      <c r="AA679" s="3"/>
    </row>
    <row r="680" ht="105.75" customHeight="1">
      <c r="A680" s="11"/>
      <c r="B680" s="12"/>
      <c r="C680" s="11"/>
      <c r="D680" s="13"/>
      <c r="E680" s="14"/>
      <c r="F680" s="14"/>
      <c r="G680" s="14"/>
      <c r="H680" s="15"/>
      <c r="I680" s="15"/>
      <c r="J680" s="3"/>
      <c r="K680" s="3"/>
      <c r="L680" s="3"/>
      <c r="M680" s="3"/>
      <c r="N680" s="3"/>
      <c r="O680" s="3"/>
      <c r="P680" s="3"/>
      <c r="Q680" s="3"/>
      <c r="R680" s="3"/>
      <c r="S680" s="3"/>
      <c r="T680" s="3"/>
      <c r="U680" s="3"/>
      <c r="V680" s="3"/>
      <c r="W680" s="3"/>
      <c r="X680" s="3"/>
      <c r="Y680" s="3"/>
      <c r="Z680" s="3"/>
      <c r="AA680" s="3"/>
    </row>
    <row r="681" ht="105.75" customHeight="1">
      <c r="A681" s="11"/>
      <c r="B681" s="12"/>
      <c r="C681" s="11"/>
      <c r="D681" s="13"/>
      <c r="E681" s="14"/>
      <c r="F681" s="14"/>
      <c r="G681" s="14"/>
      <c r="H681" s="15"/>
      <c r="I681" s="15"/>
      <c r="J681" s="3"/>
      <c r="K681" s="3"/>
      <c r="L681" s="3"/>
      <c r="M681" s="3"/>
      <c r="N681" s="3"/>
      <c r="O681" s="3"/>
      <c r="P681" s="3"/>
      <c r="Q681" s="3"/>
      <c r="R681" s="3"/>
      <c r="S681" s="3"/>
      <c r="T681" s="3"/>
      <c r="U681" s="3"/>
      <c r="V681" s="3"/>
      <c r="W681" s="3"/>
      <c r="X681" s="3"/>
      <c r="Y681" s="3"/>
      <c r="Z681" s="3"/>
      <c r="AA681" s="3"/>
    </row>
    <row r="682" ht="105.75" customHeight="1">
      <c r="A682" s="11"/>
      <c r="B682" s="12"/>
      <c r="C682" s="11"/>
      <c r="D682" s="13"/>
      <c r="E682" s="14"/>
      <c r="F682" s="14"/>
      <c r="G682" s="14"/>
      <c r="H682" s="15"/>
      <c r="I682" s="15"/>
      <c r="J682" s="3"/>
      <c r="K682" s="3"/>
      <c r="L682" s="3"/>
      <c r="M682" s="3"/>
      <c r="N682" s="3"/>
      <c r="O682" s="3"/>
      <c r="P682" s="3"/>
      <c r="Q682" s="3"/>
      <c r="R682" s="3"/>
      <c r="S682" s="3"/>
      <c r="T682" s="3"/>
      <c r="U682" s="3"/>
      <c r="V682" s="3"/>
      <c r="W682" s="3"/>
      <c r="X682" s="3"/>
      <c r="Y682" s="3"/>
      <c r="Z682" s="3"/>
      <c r="AA682" s="3"/>
    </row>
    <row r="683" ht="105.75" customHeight="1">
      <c r="A683" s="11"/>
      <c r="B683" s="12"/>
      <c r="C683" s="11"/>
      <c r="D683" s="13"/>
      <c r="E683" s="14"/>
      <c r="F683" s="14"/>
      <c r="G683" s="14"/>
      <c r="H683" s="15"/>
      <c r="I683" s="15"/>
      <c r="J683" s="3"/>
      <c r="K683" s="3"/>
      <c r="L683" s="3"/>
      <c r="M683" s="3"/>
      <c r="N683" s="3"/>
      <c r="O683" s="3"/>
      <c r="P683" s="3"/>
      <c r="Q683" s="3"/>
      <c r="R683" s="3"/>
      <c r="S683" s="3"/>
      <c r="T683" s="3"/>
      <c r="U683" s="3"/>
      <c r="V683" s="3"/>
      <c r="W683" s="3"/>
      <c r="X683" s="3"/>
      <c r="Y683" s="3"/>
      <c r="Z683" s="3"/>
      <c r="AA683" s="3"/>
    </row>
    <row r="684" ht="105.75" customHeight="1">
      <c r="A684" s="11"/>
      <c r="B684" s="12"/>
      <c r="C684" s="11"/>
      <c r="D684" s="13"/>
      <c r="E684" s="14"/>
      <c r="F684" s="14"/>
      <c r="G684" s="14"/>
      <c r="H684" s="15"/>
      <c r="I684" s="15"/>
      <c r="J684" s="3"/>
      <c r="K684" s="3"/>
      <c r="L684" s="3"/>
      <c r="M684" s="3"/>
      <c r="N684" s="3"/>
      <c r="O684" s="3"/>
      <c r="P684" s="3"/>
      <c r="Q684" s="3"/>
      <c r="R684" s="3"/>
      <c r="S684" s="3"/>
      <c r="T684" s="3"/>
      <c r="U684" s="3"/>
      <c r="V684" s="3"/>
      <c r="W684" s="3"/>
      <c r="X684" s="3"/>
      <c r="Y684" s="3"/>
      <c r="Z684" s="3"/>
      <c r="AA684" s="3"/>
    </row>
    <row r="685" ht="105.75" customHeight="1">
      <c r="A685" s="11"/>
      <c r="B685" s="12"/>
      <c r="C685" s="11"/>
      <c r="D685" s="13"/>
      <c r="E685" s="14"/>
      <c r="F685" s="14"/>
      <c r="G685" s="14"/>
      <c r="H685" s="15"/>
      <c r="I685" s="15"/>
      <c r="J685" s="3"/>
      <c r="K685" s="3"/>
      <c r="L685" s="3"/>
      <c r="M685" s="3"/>
      <c r="N685" s="3"/>
      <c r="O685" s="3"/>
      <c r="P685" s="3"/>
      <c r="Q685" s="3"/>
      <c r="R685" s="3"/>
      <c r="S685" s="3"/>
      <c r="T685" s="3"/>
      <c r="U685" s="3"/>
      <c r="V685" s="3"/>
      <c r="W685" s="3"/>
      <c r="X685" s="3"/>
      <c r="Y685" s="3"/>
      <c r="Z685" s="3"/>
      <c r="AA685" s="3"/>
    </row>
    <row r="686" ht="105.75" customHeight="1">
      <c r="A686" s="11"/>
      <c r="B686" s="12"/>
      <c r="C686" s="11"/>
      <c r="D686" s="13"/>
      <c r="E686" s="14"/>
      <c r="F686" s="14"/>
      <c r="G686" s="14"/>
      <c r="H686" s="15"/>
      <c r="I686" s="15"/>
      <c r="J686" s="3"/>
      <c r="K686" s="3"/>
      <c r="L686" s="3"/>
      <c r="M686" s="3"/>
      <c r="N686" s="3"/>
      <c r="O686" s="3"/>
      <c r="P686" s="3"/>
      <c r="Q686" s="3"/>
      <c r="R686" s="3"/>
      <c r="S686" s="3"/>
      <c r="T686" s="3"/>
      <c r="U686" s="3"/>
      <c r="V686" s="3"/>
      <c r="W686" s="3"/>
      <c r="X686" s="3"/>
      <c r="Y686" s="3"/>
      <c r="Z686" s="3"/>
      <c r="AA686" s="3"/>
    </row>
    <row r="687" ht="105.75" customHeight="1">
      <c r="A687" s="11"/>
      <c r="B687" s="12"/>
      <c r="C687" s="11"/>
      <c r="D687" s="13"/>
      <c r="E687" s="14"/>
      <c r="F687" s="14"/>
      <c r="G687" s="14"/>
      <c r="H687" s="15"/>
      <c r="I687" s="15"/>
      <c r="J687" s="3"/>
      <c r="K687" s="3"/>
      <c r="L687" s="3"/>
      <c r="M687" s="3"/>
      <c r="N687" s="3"/>
      <c r="O687" s="3"/>
      <c r="P687" s="3"/>
      <c r="Q687" s="3"/>
      <c r="R687" s="3"/>
      <c r="S687" s="3"/>
      <c r="T687" s="3"/>
      <c r="U687" s="3"/>
      <c r="V687" s="3"/>
      <c r="W687" s="3"/>
      <c r="X687" s="3"/>
      <c r="Y687" s="3"/>
      <c r="Z687" s="3"/>
      <c r="AA687" s="3"/>
    </row>
    <row r="688" ht="105.75" customHeight="1">
      <c r="A688" s="11"/>
      <c r="B688" s="12"/>
      <c r="C688" s="11"/>
      <c r="D688" s="13"/>
      <c r="E688" s="14"/>
      <c r="F688" s="14"/>
      <c r="G688" s="14"/>
      <c r="H688" s="15"/>
      <c r="I688" s="15"/>
      <c r="J688" s="3"/>
      <c r="K688" s="3"/>
      <c r="L688" s="3"/>
      <c r="M688" s="3"/>
      <c r="N688" s="3"/>
      <c r="O688" s="3"/>
      <c r="P688" s="3"/>
      <c r="Q688" s="3"/>
      <c r="R688" s="3"/>
      <c r="S688" s="3"/>
      <c r="T688" s="3"/>
      <c r="U688" s="3"/>
      <c r="V688" s="3"/>
      <c r="W688" s="3"/>
      <c r="X688" s="3"/>
      <c r="Y688" s="3"/>
      <c r="Z688" s="3"/>
      <c r="AA688" s="3"/>
    </row>
    <row r="689" ht="105.75" customHeight="1">
      <c r="A689" s="11"/>
      <c r="B689" s="12"/>
      <c r="C689" s="11"/>
      <c r="D689" s="13"/>
      <c r="E689" s="14"/>
      <c r="F689" s="14"/>
      <c r="G689" s="14"/>
      <c r="H689" s="15"/>
      <c r="I689" s="15"/>
      <c r="J689" s="3"/>
      <c r="K689" s="3"/>
      <c r="L689" s="3"/>
      <c r="M689" s="3"/>
      <c r="N689" s="3"/>
      <c r="O689" s="3"/>
      <c r="P689" s="3"/>
      <c r="Q689" s="3"/>
      <c r="R689" s="3"/>
      <c r="S689" s="3"/>
      <c r="T689" s="3"/>
      <c r="U689" s="3"/>
      <c r="V689" s="3"/>
      <c r="W689" s="3"/>
      <c r="X689" s="3"/>
      <c r="Y689" s="3"/>
      <c r="Z689" s="3"/>
      <c r="AA689" s="3"/>
    </row>
    <row r="690" ht="105.75" customHeight="1">
      <c r="A690" s="11"/>
      <c r="B690" s="12"/>
      <c r="C690" s="11"/>
      <c r="D690" s="13"/>
      <c r="E690" s="14"/>
      <c r="F690" s="14"/>
      <c r="G690" s="14"/>
      <c r="H690" s="15"/>
      <c r="I690" s="15"/>
      <c r="J690" s="3"/>
      <c r="K690" s="3"/>
      <c r="L690" s="3"/>
      <c r="M690" s="3"/>
      <c r="N690" s="3"/>
      <c r="O690" s="3"/>
      <c r="P690" s="3"/>
      <c r="Q690" s="3"/>
      <c r="R690" s="3"/>
      <c r="S690" s="3"/>
      <c r="T690" s="3"/>
      <c r="U690" s="3"/>
      <c r="V690" s="3"/>
      <c r="W690" s="3"/>
      <c r="X690" s="3"/>
      <c r="Y690" s="3"/>
      <c r="Z690" s="3"/>
      <c r="AA690" s="3"/>
    </row>
    <row r="691" ht="105.75" customHeight="1">
      <c r="A691" s="11"/>
      <c r="B691" s="12"/>
      <c r="C691" s="11"/>
      <c r="D691" s="13"/>
      <c r="E691" s="14"/>
      <c r="F691" s="14"/>
      <c r="G691" s="14"/>
      <c r="H691" s="15"/>
      <c r="I691" s="15"/>
      <c r="J691" s="3"/>
      <c r="K691" s="3"/>
      <c r="L691" s="3"/>
      <c r="M691" s="3"/>
      <c r="N691" s="3"/>
      <c r="O691" s="3"/>
      <c r="P691" s="3"/>
      <c r="Q691" s="3"/>
      <c r="R691" s="3"/>
      <c r="S691" s="3"/>
      <c r="T691" s="3"/>
      <c r="U691" s="3"/>
      <c r="V691" s="3"/>
      <c r="W691" s="3"/>
      <c r="X691" s="3"/>
      <c r="Y691" s="3"/>
      <c r="Z691" s="3"/>
      <c r="AA691" s="3"/>
    </row>
    <row r="692" ht="105.75" customHeight="1">
      <c r="A692" s="11"/>
      <c r="B692" s="12"/>
      <c r="C692" s="11"/>
      <c r="D692" s="13"/>
      <c r="E692" s="14"/>
      <c r="F692" s="14"/>
      <c r="G692" s="14"/>
      <c r="H692" s="15"/>
      <c r="I692" s="15"/>
      <c r="J692" s="3"/>
      <c r="K692" s="3"/>
      <c r="L692" s="3"/>
      <c r="M692" s="3"/>
      <c r="N692" s="3"/>
      <c r="O692" s="3"/>
      <c r="P692" s="3"/>
      <c r="Q692" s="3"/>
      <c r="R692" s="3"/>
      <c r="S692" s="3"/>
      <c r="T692" s="3"/>
      <c r="U692" s="3"/>
      <c r="V692" s="3"/>
      <c r="W692" s="3"/>
      <c r="X692" s="3"/>
      <c r="Y692" s="3"/>
      <c r="Z692" s="3"/>
      <c r="AA692" s="3"/>
    </row>
    <row r="693" ht="105.75" customHeight="1">
      <c r="A693" s="11"/>
      <c r="B693" s="12"/>
      <c r="C693" s="11"/>
      <c r="D693" s="13"/>
      <c r="E693" s="14"/>
      <c r="F693" s="14"/>
      <c r="G693" s="14"/>
      <c r="H693" s="15"/>
      <c r="I693" s="15"/>
      <c r="J693" s="3"/>
      <c r="K693" s="3"/>
      <c r="L693" s="3"/>
      <c r="M693" s="3"/>
      <c r="N693" s="3"/>
      <c r="O693" s="3"/>
      <c r="P693" s="3"/>
      <c r="Q693" s="3"/>
      <c r="R693" s="3"/>
      <c r="S693" s="3"/>
      <c r="T693" s="3"/>
      <c r="U693" s="3"/>
      <c r="V693" s="3"/>
      <c r="W693" s="3"/>
      <c r="X693" s="3"/>
      <c r="Y693" s="3"/>
      <c r="Z693" s="3"/>
      <c r="AA693" s="3"/>
    </row>
    <row r="694" ht="105.75" customHeight="1">
      <c r="A694" s="11"/>
      <c r="B694" s="12"/>
      <c r="C694" s="11"/>
      <c r="D694" s="13"/>
      <c r="E694" s="14"/>
      <c r="F694" s="14"/>
      <c r="G694" s="14"/>
      <c r="H694" s="15"/>
      <c r="I694" s="15"/>
      <c r="J694" s="3"/>
      <c r="K694" s="3"/>
      <c r="L694" s="3"/>
      <c r="M694" s="3"/>
      <c r="N694" s="3"/>
      <c r="O694" s="3"/>
      <c r="P694" s="3"/>
      <c r="Q694" s="3"/>
      <c r="R694" s="3"/>
      <c r="S694" s="3"/>
      <c r="T694" s="3"/>
      <c r="U694" s="3"/>
      <c r="V694" s="3"/>
      <c r="W694" s="3"/>
      <c r="X694" s="3"/>
      <c r="Y694" s="3"/>
      <c r="Z694" s="3"/>
      <c r="AA694" s="3"/>
    </row>
    <row r="695" ht="105.75" customHeight="1">
      <c r="A695" s="11"/>
      <c r="B695" s="12"/>
      <c r="C695" s="11"/>
      <c r="D695" s="13"/>
      <c r="E695" s="16"/>
      <c r="F695" s="16"/>
      <c r="G695" s="16"/>
      <c r="H695" s="15"/>
      <c r="I695" s="15"/>
      <c r="J695" s="3"/>
      <c r="K695" s="3"/>
      <c r="L695" s="3"/>
      <c r="M695" s="3"/>
      <c r="N695" s="3"/>
      <c r="O695" s="3"/>
      <c r="P695" s="3"/>
      <c r="Q695" s="3"/>
      <c r="R695" s="3"/>
      <c r="S695" s="3"/>
      <c r="T695" s="3"/>
      <c r="U695" s="3"/>
      <c r="V695" s="3"/>
      <c r="W695" s="3"/>
      <c r="X695" s="3"/>
      <c r="Y695" s="3"/>
      <c r="Z695" s="3"/>
      <c r="AA695" s="3"/>
    </row>
    <row r="696" ht="105.75" customHeight="1">
      <c r="A696" s="11"/>
      <c r="B696" s="12"/>
      <c r="C696" s="11"/>
      <c r="D696" s="13"/>
      <c r="E696" s="14"/>
      <c r="F696" s="14"/>
      <c r="G696" s="14"/>
      <c r="H696" s="15"/>
      <c r="I696" s="15"/>
      <c r="J696" s="3"/>
      <c r="K696" s="3"/>
      <c r="L696" s="3"/>
      <c r="M696" s="3"/>
      <c r="N696" s="3"/>
      <c r="O696" s="3"/>
      <c r="P696" s="3"/>
      <c r="Q696" s="3"/>
      <c r="R696" s="3"/>
      <c r="S696" s="3"/>
      <c r="T696" s="3"/>
      <c r="U696" s="3"/>
      <c r="V696" s="3"/>
      <c r="W696" s="3"/>
      <c r="X696" s="3"/>
      <c r="Y696" s="3"/>
      <c r="Z696" s="3"/>
      <c r="AA696" s="3"/>
    </row>
    <row r="697" ht="105.75" customHeight="1">
      <c r="A697" s="11"/>
      <c r="B697" s="12"/>
      <c r="C697" s="11"/>
      <c r="D697" s="13"/>
      <c r="E697" s="14"/>
      <c r="F697" s="14"/>
      <c r="G697" s="14"/>
      <c r="H697" s="15"/>
      <c r="I697" s="15"/>
      <c r="J697" s="3"/>
      <c r="K697" s="3"/>
      <c r="L697" s="3"/>
      <c r="M697" s="3"/>
      <c r="N697" s="3"/>
      <c r="O697" s="3"/>
      <c r="P697" s="3"/>
      <c r="Q697" s="3"/>
      <c r="R697" s="3"/>
      <c r="S697" s="3"/>
      <c r="T697" s="3"/>
      <c r="U697" s="3"/>
      <c r="V697" s="3"/>
      <c r="W697" s="3"/>
      <c r="X697" s="3"/>
      <c r="Y697" s="3"/>
      <c r="Z697" s="3"/>
      <c r="AA697" s="3"/>
    </row>
    <row r="698" ht="105.75" customHeight="1">
      <c r="A698" s="11"/>
      <c r="B698" s="12"/>
      <c r="C698" s="11"/>
      <c r="D698" s="13"/>
      <c r="E698" s="14"/>
      <c r="F698" s="14"/>
      <c r="G698" s="14"/>
      <c r="H698" s="15"/>
      <c r="I698" s="15"/>
      <c r="J698" s="3"/>
      <c r="K698" s="3"/>
      <c r="L698" s="3"/>
      <c r="M698" s="3"/>
      <c r="N698" s="3"/>
      <c r="O698" s="3"/>
      <c r="P698" s="3"/>
      <c r="Q698" s="3"/>
      <c r="R698" s="3"/>
      <c r="S698" s="3"/>
      <c r="T698" s="3"/>
      <c r="U698" s="3"/>
      <c r="V698" s="3"/>
      <c r="W698" s="3"/>
      <c r="X698" s="3"/>
      <c r="Y698" s="3"/>
      <c r="Z698" s="3"/>
      <c r="AA698" s="3"/>
    </row>
    <row r="699" ht="105.75" customHeight="1">
      <c r="A699" s="11"/>
      <c r="B699" s="12"/>
      <c r="C699" s="11"/>
      <c r="D699" s="13"/>
      <c r="E699" s="14"/>
      <c r="F699" s="14"/>
      <c r="G699" s="14"/>
      <c r="H699" s="15"/>
      <c r="I699" s="15"/>
      <c r="J699" s="3"/>
      <c r="K699" s="3"/>
      <c r="L699" s="3"/>
      <c r="M699" s="3"/>
      <c r="N699" s="3"/>
      <c r="O699" s="3"/>
      <c r="P699" s="3"/>
      <c r="Q699" s="3"/>
      <c r="R699" s="3"/>
      <c r="S699" s="3"/>
      <c r="T699" s="3"/>
      <c r="U699" s="3"/>
      <c r="V699" s="3"/>
      <c r="W699" s="3"/>
      <c r="X699" s="3"/>
      <c r="Y699" s="3"/>
      <c r="Z699" s="3"/>
      <c r="AA699" s="3"/>
    </row>
    <row r="700" ht="105.75" customHeight="1">
      <c r="A700" s="11"/>
      <c r="B700" s="12"/>
      <c r="C700" s="11"/>
      <c r="D700" s="13"/>
      <c r="E700" s="14"/>
      <c r="F700" s="14"/>
      <c r="G700" s="14"/>
      <c r="H700" s="15"/>
      <c r="I700" s="15"/>
      <c r="J700" s="3"/>
      <c r="K700" s="3"/>
      <c r="L700" s="3"/>
      <c r="M700" s="3"/>
      <c r="N700" s="3"/>
      <c r="O700" s="3"/>
      <c r="P700" s="3"/>
      <c r="Q700" s="3"/>
      <c r="R700" s="3"/>
      <c r="S700" s="3"/>
      <c r="T700" s="3"/>
      <c r="U700" s="3"/>
      <c r="V700" s="3"/>
      <c r="W700" s="3"/>
      <c r="X700" s="3"/>
      <c r="Y700" s="3"/>
      <c r="Z700" s="3"/>
      <c r="AA700" s="3"/>
    </row>
    <row r="701" ht="105.75" customHeight="1">
      <c r="A701" s="11"/>
      <c r="B701" s="12"/>
      <c r="C701" s="11"/>
      <c r="D701" s="13"/>
      <c r="E701" s="14"/>
      <c r="F701" s="14"/>
      <c r="G701" s="14"/>
      <c r="H701" s="15"/>
      <c r="I701" s="15"/>
      <c r="J701" s="3"/>
      <c r="K701" s="3"/>
      <c r="L701" s="3"/>
      <c r="M701" s="3"/>
      <c r="N701" s="3"/>
      <c r="O701" s="3"/>
      <c r="P701" s="3"/>
      <c r="Q701" s="3"/>
      <c r="R701" s="3"/>
      <c r="S701" s="3"/>
      <c r="T701" s="3"/>
      <c r="U701" s="3"/>
      <c r="V701" s="3"/>
      <c r="W701" s="3"/>
      <c r="X701" s="3"/>
      <c r="Y701" s="3"/>
      <c r="Z701" s="3"/>
      <c r="AA701" s="3"/>
    </row>
    <row r="702" ht="105.75" customHeight="1">
      <c r="A702" s="11"/>
      <c r="B702" s="12"/>
      <c r="C702" s="11"/>
      <c r="D702" s="13"/>
      <c r="E702" s="14"/>
      <c r="F702" s="14"/>
      <c r="G702" s="14"/>
      <c r="H702" s="15"/>
      <c r="I702" s="15"/>
      <c r="J702" s="3"/>
      <c r="K702" s="3"/>
      <c r="L702" s="3"/>
      <c r="M702" s="3"/>
      <c r="N702" s="3"/>
      <c r="O702" s="3"/>
      <c r="P702" s="3"/>
      <c r="Q702" s="3"/>
      <c r="R702" s="3"/>
      <c r="S702" s="3"/>
      <c r="T702" s="3"/>
      <c r="U702" s="3"/>
      <c r="V702" s="3"/>
      <c r="W702" s="3"/>
      <c r="X702" s="3"/>
      <c r="Y702" s="3"/>
      <c r="Z702" s="3"/>
      <c r="AA702" s="3"/>
    </row>
    <row r="703" ht="105.75" customHeight="1">
      <c r="A703" s="11"/>
      <c r="B703" s="12"/>
      <c r="C703" s="11"/>
      <c r="D703" s="13"/>
      <c r="E703" s="14"/>
      <c r="F703" s="14"/>
      <c r="G703" s="14"/>
      <c r="H703" s="15"/>
      <c r="I703" s="15"/>
      <c r="J703" s="3"/>
      <c r="K703" s="3"/>
      <c r="L703" s="3"/>
      <c r="M703" s="3"/>
      <c r="N703" s="3"/>
      <c r="O703" s="3"/>
      <c r="P703" s="3"/>
      <c r="Q703" s="3"/>
      <c r="R703" s="3"/>
      <c r="S703" s="3"/>
      <c r="T703" s="3"/>
      <c r="U703" s="3"/>
      <c r="V703" s="3"/>
      <c r="W703" s="3"/>
      <c r="X703" s="3"/>
      <c r="Y703" s="3"/>
      <c r="Z703" s="3"/>
      <c r="AA703" s="3"/>
    </row>
    <row r="704" ht="105.75" customHeight="1">
      <c r="A704" s="11"/>
      <c r="B704" s="12"/>
      <c r="C704" s="11"/>
      <c r="D704" s="13"/>
      <c r="E704" s="14"/>
      <c r="F704" s="14"/>
      <c r="G704" s="14"/>
      <c r="H704" s="15"/>
      <c r="I704" s="15"/>
      <c r="J704" s="3"/>
      <c r="K704" s="3"/>
      <c r="L704" s="3"/>
      <c r="M704" s="3"/>
      <c r="N704" s="3"/>
      <c r="O704" s="3"/>
      <c r="P704" s="3"/>
      <c r="Q704" s="3"/>
      <c r="R704" s="3"/>
      <c r="S704" s="3"/>
      <c r="T704" s="3"/>
      <c r="U704" s="3"/>
      <c r="V704" s="3"/>
      <c r="W704" s="3"/>
      <c r="X704" s="3"/>
      <c r="Y704" s="3"/>
      <c r="Z704" s="3"/>
      <c r="AA704" s="3"/>
    </row>
    <row r="705" ht="105.75" customHeight="1">
      <c r="A705" s="11"/>
      <c r="B705" s="12"/>
      <c r="C705" s="11"/>
      <c r="D705" s="13"/>
      <c r="E705" s="14"/>
      <c r="F705" s="14"/>
      <c r="G705" s="14"/>
      <c r="H705" s="15"/>
      <c r="I705" s="15"/>
      <c r="J705" s="3"/>
      <c r="K705" s="3"/>
      <c r="L705" s="3"/>
      <c r="M705" s="3"/>
      <c r="N705" s="3"/>
      <c r="O705" s="3"/>
      <c r="P705" s="3"/>
      <c r="Q705" s="3"/>
      <c r="R705" s="3"/>
      <c r="S705" s="3"/>
      <c r="T705" s="3"/>
      <c r="U705" s="3"/>
      <c r="V705" s="3"/>
      <c r="W705" s="3"/>
      <c r="X705" s="3"/>
      <c r="Y705" s="3"/>
      <c r="Z705" s="3"/>
      <c r="AA705" s="3"/>
    </row>
    <row r="706" ht="105.75" customHeight="1">
      <c r="A706" s="11"/>
      <c r="B706" s="12"/>
      <c r="C706" s="11"/>
      <c r="D706" s="13"/>
      <c r="E706" s="14"/>
      <c r="F706" s="14"/>
      <c r="G706" s="14"/>
      <c r="H706" s="15"/>
      <c r="I706" s="15"/>
      <c r="J706" s="3"/>
      <c r="K706" s="3"/>
      <c r="L706" s="3"/>
      <c r="M706" s="3"/>
      <c r="N706" s="3"/>
      <c r="O706" s="3"/>
      <c r="P706" s="3"/>
      <c r="Q706" s="3"/>
      <c r="R706" s="3"/>
      <c r="S706" s="3"/>
      <c r="T706" s="3"/>
      <c r="U706" s="3"/>
      <c r="V706" s="3"/>
      <c r="W706" s="3"/>
      <c r="X706" s="3"/>
      <c r="Y706" s="3"/>
      <c r="Z706" s="3"/>
      <c r="AA706" s="3"/>
    </row>
    <row r="707" ht="105.75" customHeight="1">
      <c r="A707" s="11"/>
      <c r="B707" s="12"/>
      <c r="C707" s="11"/>
      <c r="D707" s="13"/>
      <c r="E707" s="14"/>
      <c r="F707" s="14"/>
      <c r="G707" s="14"/>
      <c r="H707" s="15"/>
      <c r="I707" s="15"/>
      <c r="J707" s="3"/>
      <c r="K707" s="3"/>
      <c r="L707" s="3"/>
      <c r="M707" s="3"/>
      <c r="N707" s="3"/>
      <c r="O707" s="3"/>
      <c r="P707" s="3"/>
      <c r="Q707" s="3"/>
      <c r="R707" s="3"/>
      <c r="S707" s="3"/>
      <c r="T707" s="3"/>
      <c r="U707" s="3"/>
      <c r="V707" s="3"/>
      <c r="W707" s="3"/>
      <c r="X707" s="3"/>
      <c r="Y707" s="3"/>
      <c r="Z707" s="3"/>
      <c r="AA707" s="3"/>
    </row>
    <row r="708" ht="105.75" customHeight="1">
      <c r="A708" s="11"/>
      <c r="B708" s="12"/>
      <c r="C708" s="11"/>
      <c r="D708" s="13"/>
      <c r="E708" s="14"/>
      <c r="F708" s="14"/>
      <c r="G708" s="14"/>
      <c r="H708" s="15"/>
      <c r="I708" s="15"/>
      <c r="J708" s="3"/>
      <c r="K708" s="3"/>
      <c r="L708" s="3"/>
      <c r="M708" s="3"/>
      <c r="N708" s="3"/>
      <c r="O708" s="3"/>
      <c r="P708" s="3"/>
      <c r="Q708" s="3"/>
      <c r="R708" s="3"/>
      <c r="S708" s="3"/>
      <c r="T708" s="3"/>
      <c r="U708" s="3"/>
      <c r="V708" s="3"/>
      <c r="W708" s="3"/>
      <c r="X708" s="3"/>
      <c r="Y708" s="3"/>
      <c r="Z708" s="3"/>
      <c r="AA708" s="3"/>
    </row>
    <row r="709" ht="105.75" customHeight="1">
      <c r="A709" s="11"/>
      <c r="B709" s="12"/>
      <c r="C709" s="11"/>
      <c r="D709" s="13"/>
      <c r="E709" s="14"/>
      <c r="F709" s="14"/>
      <c r="G709" s="14"/>
      <c r="H709" s="15"/>
      <c r="I709" s="15"/>
      <c r="J709" s="3"/>
      <c r="K709" s="3"/>
      <c r="L709" s="3"/>
      <c r="M709" s="3"/>
      <c r="N709" s="3"/>
      <c r="O709" s="3"/>
      <c r="P709" s="3"/>
      <c r="Q709" s="3"/>
      <c r="R709" s="3"/>
      <c r="S709" s="3"/>
      <c r="T709" s="3"/>
      <c r="U709" s="3"/>
      <c r="V709" s="3"/>
      <c r="W709" s="3"/>
      <c r="X709" s="3"/>
      <c r="Y709" s="3"/>
      <c r="Z709" s="3"/>
      <c r="AA709" s="3"/>
    </row>
    <row r="710" ht="105.75" customHeight="1">
      <c r="A710" s="11"/>
      <c r="B710" s="12"/>
      <c r="C710" s="11"/>
      <c r="D710" s="13"/>
      <c r="E710" s="14"/>
      <c r="F710" s="14"/>
      <c r="G710" s="14"/>
      <c r="H710" s="15"/>
      <c r="I710" s="15"/>
      <c r="J710" s="3"/>
      <c r="K710" s="3"/>
      <c r="L710" s="3"/>
      <c r="M710" s="3"/>
      <c r="N710" s="3"/>
      <c r="O710" s="3"/>
      <c r="P710" s="3"/>
      <c r="Q710" s="3"/>
      <c r="R710" s="3"/>
      <c r="S710" s="3"/>
      <c r="T710" s="3"/>
      <c r="U710" s="3"/>
      <c r="V710" s="3"/>
      <c r="W710" s="3"/>
      <c r="X710" s="3"/>
      <c r="Y710" s="3"/>
      <c r="Z710" s="3"/>
      <c r="AA710" s="3"/>
    </row>
    <row r="711" ht="105.75" customHeight="1">
      <c r="A711" s="11"/>
      <c r="B711" s="12"/>
      <c r="C711" s="11"/>
      <c r="D711" s="13"/>
      <c r="E711" s="14"/>
      <c r="F711" s="14"/>
      <c r="G711" s="14"/>
      <c r="H711" s="15"/>
      <c r="I711" s="15"/>
      <c r="J711" s="3"/>
      <c r="K711" s="3"/>
      <c r="L711" s="3"/>
      <c r="M711" s="3"/>
      <c r="N711" s="3"/>
      <c r="O711" s="3"/>
      <c r="P711" s="3"/>
      <c r="Q711" s="3"/>
      <c r="R711" s="3"/>
      <c r="S711" s="3"/>
      <c r="T711" s="3"/>
      <c r="U711" s="3"/>
      <c r="V711" s="3"/>
      <c r="W711" s="3"/>
      <c r="X711" s="3"/>
      <c r="Y711" s="3"/>
      <c r="Z711" s="3"/>
      <c r="AA711" s="3"/>
    </row>
    <row r="712" ht="105.75" customHeight="1">
      <c r="A712" s="11"/>
      <c r="B712" s="12"/>
      <c r="C712" s="11"/>
      <c r="D712" s="13"/>
      <c r="E712" s="16"/>
      <c r="F712" s="16"/>
      <c r="G712" s="16"/>
      <c r="H712" s="15"/>
      <c r="I712" s="15"/>
      <c r="J712" s="3"/>
      <c r="K712" s="3"/>
      <c r="L712" s="3"/>
      <c r="M712" s="3"/>
      <c r="N712" s="3"/>
      <c r="O712" s="3"/>
      <c r="P712" s="3"/>
      <c r="Q712" s="3"/>
      <c r="R712" s="3"/>
      <c r="S712" s="3"/>
      <c r="T712" s="3"/>
      <c r="U712" s="3"/>
      <c r="V712" s="3"/>
      <c r="W712" s="3"/>
      <c r="X712" s="3"/>
      <c r="Y712" s="3"/>
      <c r="Z712" s="3"/>
      <c r="AA712" s="3"/>
    </row>
    <row r="713" ht="105.75" customHeight="1">
      <c r="A713" s="11"/>
      <c r="B713" s="12"/>
      <c r="C713" s="11"/>
      <c r="D713" s="13"/>
      <c r="E713" s="14"/>
      <c r="F713" s="14"/>
      <c r="G713" s="14"/>
      <c r="H713" s="15"/>
      <c r="I713" s="15"/>
      <c r="J713" s="3"/>
      <c r="K713" s="3"/>
      <c r="L713" s="3"/>
      <c r="M713" s="3"/>
      <c r="N713" s="3"/>
      <c r="O713" s="3"/>
      <c r="P713" s="3"/>
      <c r="Q713" s="3"/>
      <c r="R713" s="3"/>
      <c r="S713" s="3"/>
      <c r="T713" s="3"/>
      <c r="U713" s="3"/>
      <c r="V713" s="3"/>
      <c r="W713" s="3"/>
      <c r="X713" s="3"/>
      <c r="Y713" s="3"/>
      <c r="Z713" s="3"/>
      <c r="AA713" s="3"/>
    </row>
    <row r="714" ht="105.75" customHeight="1">
      <c r="A714" s="11"/>
      <c r="B714" s="12"/>
      <c r="C714" s="11"/>
      <c r="D714" s="13"/>
      <c r="E714" s="14"/>
      <c r="F714" s="14"/>
      <c r="G714" s="14"/>
      <c r="H714" s="15"/>
      <c r="I714" s="15"/>
      <c r="J714" s="3"/>
      <c r="K714" s="3"/>
      <c r="L714" s="3"/>
      <c r="M714" s="3"/>
      <c r="N714" s="3"/>
      <c r="O714" s="3"/>
      <c r="P714" s="3"/>
      <c r="Q714" s="3"/>
      <c r="R714" s="3"/>
      <c r="S714" s="3"/>
      <c r="T714" s="3"/>
      <c r="U714" s="3"/>
      <c r="V714" s="3"/>
      <c r="W714" s="3"/>
      <c r="X714" s="3"/>
      <c r="Y714" s="3"/>
      <c r="Z714" s="3"/>
      <c r="AA714" s="3"/>
    </row>
    <row r="715" ht="105.75" customHeight="1">
      <c r="A715" s="11"/>
      <c r="B715" s="12"/>
      <c r="C715" s="11"/>
      <c r="D715" s="13"/>
      <c r="E715" s="14"/>
      <c r="F715" s="14"/>
      <c r="G715" s="14"/>
      <c r="H715" s="15"/>
      <c r="I715" s="15"/>
      <c r="J715" s="3"/>
      <c r="K715" s="3"/>
      <c r="L715" s="3"/>
      <c r="M715" s="3"/>
      <c r="N715" s="3"/>
      <c r="O715" s="3"/>
      <c r="P715" s="3"/>
      <c r="Q715" s="3"/>
      <c r="R715" s="3"/>
      <c r="S715" s="3"/>
      <c r="T715" s="3"/>
      <c r="U715" s="3"/>
      <c r="V715" s="3"/>
      <c r="W715" s="3"/>
      <c r="X715" s="3"/>
      <c r="Y715" s="3"/>
      <c r="Z715" s="3"/>
      <c r="AA715" s="3"/>
    </row>
    <row r="716" ht="105.75" customHeight="1">
      <c r="A716" s="11"/>
      <c r="B716" s="12"/>
      <c r="C716" s="11"/>
      <c r="D716" s="13"/>
      <c r="E716" s="14"/>
      <c r="F716" s="14"/>
      <c r="G716" s="14"/>
      <c r="H716" s="15"/>
      <c r="I716" s="15"/>
      <c r="J716" s="3"/>
      <c r="K716" s="3"/>
      <c r="L716" s="3"/>
      <c r="M716" s="3"/>
      <c r="N716" s="3"/>
      <c r="O716" s="3"/>
      <c r="P716" s="3"/>
      <c r="Q716" s="3"/>
      <c r="R716" s="3"/>
      <c r="S716" s="3"/>
      <c r="T716" s="3"/>
      <c r="U716" s="3"/>
      <c r="V716" s="3"/>
      <c r="W716" s="3"/>
      <c r="X716" s="3"/>
      <c r="Y716" s="3"/>
      <c r="Z716" s="3"/>
      <c r="AA716" s="3"/>
    </row>
    <row r="717" ht="105.75" customHeight="1">
      <c r="A717" s="11"/>
      <c r="B717" s="12"/>
      <c r="C717" s="11"/>
      <c r="D717" s="13"/>
      <c r="E717" s="14"/>
      <c r="F717" s="14"/>
      <c r="G717" s="14"/>
      <c r="H717" s="15"/>
      <c r="I717" s="15"/>
      <c r="J717" s="3"/>
      <c r="K717" s="3"/>
      <c r="L717" s="3"/>
      <c r="M717" s="3"/>
      <c r="N717" s="3"/>
      <c r="O717" s="3"/>
      <c r="P717" s="3"/>
      <c r="Q717" s="3"/>
      <c r="R717" s="3"/>
      <c r="S717" s="3"/>
      <c r="T717" s="3"/>
      <c r="U717" s="3"/>
      <c r="V717" s="3"/>
      <c r="W717" s="3"/>
      <c r="X717" s="3"/>
      <c r="Y717" s="3"/>
      <c r="Z717" s="3"/>
      <c r="AA717" s="3"/>
    </row>
    <row r="718" ht="105.75" customHeight="1">
      <c r="A718" s="11"/>
      <c r="B718" s="12"/>
      <c r="C718" s="11"/>
      <c r="D718" s="13"/>
      <c r="E718" s="14"/>
      <c r="F718" s="14"/>
      <c r="G718" s="14"/>
      <c r="H718" s="15"/>
      <c r="I718" s="15"/>
      <c r="J718" s="3"/>
      <c r="K718" s="3"/>
      <c r="L718" s="3"/>
      <c r="M718" s="3"/>
      <c r="N718" s="3"/>
      <c r="O718" s="3"/>
      <c r="P718" s="3"/>
      <c r="Q718" s="3"/>
      <c r="R718" s="3"/>
      <c r="S718" s="3"/>
      <c r="T718" s="3"/>
      <c r="U718" s="3"/>
      <c r="V718" s="3"/>
      <c r="W718" s="3"/>
      <c r="X718" s="3"/>
      <c r="Y718" s="3"/>
      <c r="Z718" s="3"/>
      <c r="AA718" s="3"/>
    </row>
    <row r="719" ht="105.75" customHeight="1">
      <c r="A719" s="11"/>
      <c r="B719" s="12"/>
      <c r="C719" s="11"/>
      <c r="D719" s="13"/>
      <c r="E719" s="14"/>
      <c r="F719" s="14"/>
      <c r="G719" s="14"/>
      <c r="H719" s="15"/>
      <c r="I719" s="15"/>
      <c r="J719" s="3"/>
      <c r="K719" s="3"/>
      <c r="L719" s="3"/>
      <c r="M719" s="3"/>
      <c r="N719" s="3"/>
      <c r="O719" s="3"/>
      <c r="P719" s="3"/>
      <c r="Q719" s="3"/>
      <c r="R719" s="3"/>
      <c r="S719" s="3"/>
      <c r="T719" s="3"/>
      <c r="U719" s="3"/>
      <c r="V719" s="3"/>
      <c r="W719" s="3"/>
      <c r="X719" s="3"/>
      <c r="Y719" s="3"/>
      <c r="Z719" s="3"/>
      <c r="AA719" s="3"/>
    </row>
    <row r="720" ht="105.75" customHeight="1">
      <c r="A720" s="11"/>
      <c r="B720" s="12"/>
      <c r="C720" s="11"/>
      <c r="D720" s="13"/>
      <c r="E720" s="14"/>
      <c r="F720" s="14"/>
      <c r="G720" s="14"/>
      <c r="H720" s="15"/>
      <c r="I720" s="15"/>
      <c r="J720" s="3"/>
      <c r="K720" s="3"/>
      <c r="L720" s="3"/>
      <c r="M720" s="3"/>
      <c r="N720" s="3"/>
      <c r="O720" s="3"/>
      <c r="P720" s="3"/>
      <c r="Q720" s="3"/>
      <c r="R720" s="3"/>
      <c r="S720" s="3"/>
      <c r="T720" s="3"/>
      <c r="U720" s="3"/>
      <c r="V720" s="3"/>
      <c r="W720" s="3"/>
      <c r="X720" s="3"/>
      <c r="Y720" s="3"/>
      <c r="Z720" s="3"/>
      <c r="AA720" s="3"/>
    </row>
    <row r="721" ht="105.75" customHeight="1">
      <c r="A721" s="11"/>
      <c r="B721" s="12"/>
      <c r="C721" s="11"/>
      <c r="D721" s="13"/>
      <c r="E721" s="14"/>
      <c r="F721" s="14"/>
      <c r="G721" s="14"/>
      <c r="H721" s="15"/>
      <c r="I721" s="15"/>
      <c r="J721" s="3"/>
      <c r="K721" s="3"/>
      <c r="L721" s="3"/>
      <c r="M721" s="3"/>
      <c r="N721" s="3"/>
      <c r="O721" s="3"/>
      <c r="P721" s="3"/>
      <c r="Q721" s="3"/>
      <c r="R721" s="3"/>
      <c r="S721" s="3"/>
      <c r="T721" s="3"/>
      <c r="U721" s="3"/>
      <c r="V721" s="3"/>
      <c r="W721" s="3"/>
      <c r="X721" s="3"/>
      <c r="Y721" s="3"/>
      <c r="Z721" s="3"/>
      <c r="AA721" s="3"/>
    </row>
    <row r="722" ht="105.75" customHeight="1">
      <c r="A722" s="11"/>
      <c r="B722" s="12"/>
      <c r="C722" s="11"/>
      <c r="D722" s="13"/>
      <c r="E722" s="16"/>
      <c r="F722" s="16"/>
      <c r="G722" s="16"/>
      <c r="H722" s="15"/>
      <c r="I722" s="15"/>
      <c r="J722" s="3"/>
      <c r="K722" s="3"/>
      <c r="L722" s="3"/>
      <c r="M722" s="3"/>
      <c r="N722" s="3"/>
      <c r="O722" s="3"/>
      <c r="P722" s="3"/>
      <c r="Q722" s="3"/>
      <c r="R722" s="3"/>
      <c r="S722" s="3"/>
      <c r="T722" s="3"/>
      <c r="U722" s="3"/>
      <c r="V722" s="3"/>
      <c r="W722" s="3"/>
      <c r="X722" s="3"/>
      <c r="Y722" s="3"/>
      <c r="Z722" s="3"/>
      <c r="AA722" s="3"/>
    </row>
    <row r="723" ht="105.75" customHeight="1">
      <c r="A723" s="11"/>
      <c r="B723" s="12"/>
      <c r="C723" s="11"/>
      <c r="D723" s="13"/>
      <c r="E723" s="14"/>
      <c r="F723" s="14"/>
      <c r="G723" s="14"/>
      <c r="H723" s="15"/>
      <c r="I723" s="15"/>
      <c r="J723" s="3"/>
      <c r="K723" s="3"/>
      <c r="L723" s="3"/>
      <c r="M723" s="3"/>
      <c r="N723" s="3"/>
      <c r="O723" s="3"/>
      <c r="P723" s="3"/>
      <c r="Q723" s="3"/>
      <c r="R723" s="3"/>
      <c r="S723" s="3"/>
      <c r="T723" s="3"/>
      <c r="U723" s="3"/>
      <c r="V723" s="3"/>
      <c r="W723" s="3"/>
      <c r="X723" s="3"/>
      <c r="Y723" s="3"/>
      <c r="Z723" s="3"/>
      <c r="AA723" s="3"/>
    </row>
    <row r="724" ht="105.75" customHeight="1">
      <c r="A724" s="11"/>
      <c r="B724" s="12"/>
      <c r="C724" s="11"/>
      <c r="D724" s="13"/>
      <c r="E724" s="16"/>
      <c r="F724" s="16"/>
      <c r="G724" s="16"/>
      <c r="H724" s="15"/>
      <c r="I724" s="15"/>
      <c r="J724" s="3"/>
      <c r="K724" s="3"/>
      <c r="L724" s="3"/>
      <c r="M724" s="3"/>
      <c r="N724" s="3"/>
      <c r="O724" s="3"/>
      <c r="P724" s="3"/>
      <c r="Q724" s="3"/>
      <c r="R724" s="3"/>
      <c r="S724" s="3"/>
      <c r="T724" s="3"/>
      <c r="U724" s="3"/>
      <c r="V724" s="3"/>
      <c r="W724" s="3"/>
      <c r="X724" s="3"/>
      <c r="Y724" s="3"/>
      <c r="Z724" s="3"/>
      <c r="AA724" s="3"/>
    </row>
    <row r="725" ht="105.75" customHeight="1">
      <c r="A725" s="11"/>
      <c r="B725" s="12"/>
      <c r="C725" s="11"/>
      <c r="D725" s="13"/>
      <c r="E725" s="14"/>
      <c r="F725" s="14"/>
      <c r="G725" s="14"/>
      <c r="H725" s="15"/>
      <c r="I725" s="15"/>
      <c r="J725" s="3"/>
      <c r="K725" s="3"/>
      <c r="L725" s="3"/>
      <c r="M725" s="3"/>
      <c r="N725" s="3"/>
      <c r="O725" s="3"/>
      <c r="P725" s="3"/>
      <c r="Q725" s="3"/>
      <c r="R725" s="3"/>
      <c r="S725" s="3"/>
      <c r="T725" s="3"/>
      <c r="U725" s="3"/>
      <c r="V725" s="3"/>
      <c r="W725" s="3"/>
      <c r="X725" s="3"/>
      <c r="Y725" s="3"/>
      <c r="Z725" s="3"/>
      <c r="AA725" s="3"/>
    </row>
    <row r="726" ht="105.75" customHeight="1">
      <c r="A726" s="11"/>
      <c r="B726" s="12"/>
      <c r="C726" s="11"/>
      <c r="D726" s="13"/>
      <c r="E726" s="14"/>
      <c r="F726" s="14"/>
      <c r="G726" s="14"/>
      <c r="H726" s="15"/>
      <c r="I726" s="15"/>
      <c r="J726" s="3"/>
      <c r="K726" s="3"/>
      <c r="L726" s="3"/>
      <c r="M726" s="3"/>
      <c r="N726" s="3"/>
      <c r="O726" s="3"/>
      <c r="P726" s="3"/>
      <c r="Q726" s="3"/>
      <c r="R726" s="3"/>
      <c r="S726" s="3"/>
      <c r="T726" s="3"/>
      <c r="U726" s="3"/>
      <c r="V726" s="3"/>
      <c r="W726" s="3"/>
      <c r="X726" s="3"/>
      <c r="Y726" s="3"/>
      <c r="Z726" s="3"/>
      <c r="AA726" s="3"/>
    </row>
    <row r="727" ht="105.75" customHeight="1">
      <c r="A727" s="11"/>
      <c r="B727" s="12"/>
      <c r="C727" s="11"/>
      <c r="D727" s="13"/>
      <c r="E727" s="14"/>
      <c r="F727" s="14"/>
      <c r="G727" s="14"/>
      <c r="H727" s="15"/>
      <c r="I727" s="15"/>
      <c r="J727" s="3"/>
      <c r="K727" s="3"/>
      <c r="L727" s="3"/>
      <c r="M727" s="3"/>
      <c r="N727" s="3"/>
      <c r="O727" s="3"/>
      <c r="P727" s="3"/>
      <c r="Q727" s="3"/>
      <c r="R727" s="3"/>
      <c r="S727" s="3"/>
      <c r="T727" s="3"/>
      <c r="U727" s="3"/>
      <c r="V727" s="3"/>
      <c r="W727" s="3"/>
      <c r="X727" s="3"/>
      <c r="Y727" s="3"/>
      <c r="Z727" s="3"/>
      <c r="AA727" s="3"/>
    </row>
    <row r="728" ht="105.75" customHeight="1">
      <c r="A728" s="11"/>
      <c r="B728" s="12"/>
      <c r="C728" s="11"/>
      <c r="D728" s="13"/>
      <c r="E728" s="16"/>
      <c r="F728" s="16"/>
      <c r="G728" s="16"/>
      <c r="H728" s="15"/>
      <c r="I728" s="15"/>
      <c r="J728" s="3"/>
      <c r="K728" s="3"/>
      <c r="L728" s="3"/>
      <c r="M728" s="3"/>
      <c r="N728" s="3"/>
      <c r="O728" s="3"/>
      <c r="P728" s="3"/>
      <c r="Q728" s="3"/>
      <c r="R728" s="3"/>
      <c r="S728" s="3"/>
      <c r="T728" s="3"/>
      <c r="U728" s="3"/>
      <c r="V728" s="3"/>
      <c r="W728" s="3"/>
      <c r="X728" s="3"/>
      <c r="Y728" s="3"/>
      <c r="Z728" s="3"/>
      <c r="AA728" s="3"/>
    </row>
    <row r="729" ht="105.75" customHeight="1">
      <c r="A729" s="11"/>
      <c r="B729" s="12"/>
      <c r="C729" s="11"/>
      <c r="D729" s="13"/>
      <c r="E729" s="14"/>
      <c r="F729" s="14"/>
      <c r="G729" s="14"/>
      <c r="H729" s="15"/>
      <c r="I729" s="15"/>
      <c r="J729" s="3"/>
      <c r="K729" s="3"/>
      <c r="L729" s="3"/>
      <c r="M729" s="3"/>
      <c r="N729" s="3"/>
      <c r="O729" s="3"/>
      <c r="P729" s="3"/>
      <c r="Q729" s="3"/>
      <c r="R729" s="3"/>
      <c r="S729" s="3"/>
      <c r="T729" s="3"/>
      <c r="U729" s="3"/>
      <c r="V729" s="3"/>
      <c r="W729" s="3"/>
      <c r="X729" s="3"/>
      <c r="Y729" s="3"/>
      <c r="Z729" s="3"/>
      <c r="AA729" s="3"/>
    </row>
    <row r="730" ht="105.75" customHeight="1">
      <c r="A730" s="11"/>
      <c r="B730" s="12"/>
      <c r="C730" s="11"/>
      <c r="D730" s="13"/>
      <c r="E730" s="14"/>
      <c r="F730" s="14"/>
      <c r="G730" s="14"/>
      <c r="H730" s="15"/>
      <c r="I730" s="15"/>
      <c r="J730" s="3"/>
      <c r="K730" s="3"/>
      <c r="L730" s="3"/>
      <c r="M730" s="3"/>
      <c r="N730" s="3"/>
      <c r="O730" s="3"/>
      <c r="P730" s="3"/>
      <c r="Q730" s="3"/>
      <c r="R730" s="3"/>
      <c r="S730" s="3"/>
      <c r="T730" s="3"/>
      <c r="U730" s="3"/>
      <c r="V730" s="3"/>
      <c r="W730" s="3"/>
      <c r="X730" s="3"/>
      <c r="Y730" s="3"/>
      <c r="Z730" s="3"/>
      <c r="AA730" s="3"/>
    </row>
    <row r="731" ht="105.75" customHeight="1">
      <c r="A731" s="11"/>
      <c r="B731" s="12"/>
      <c r="C731" s="11"/>
      <c r="D731" s="13"/>
      <c r="E731" s="16"/>
      <c r="F731" s="16"/>
      <c r="G731" s="16"/>
      <c r="H731" s="15"/>
      <c r="I731" s="15"/>
      <c r="J731" s="3"/>
      <c r="K731" s="3"/>
      <c r="L731" s="3"/>
      <c r="M731" s="3"/>
      <c r="N731" s="3"/>
      <c r="O731" s="3"/>
      <c r="P731" s="3"/>
      <c r="Q731" s="3"/>
      <c r="R731" s="3"/>
      <c r="S731" s="3"/>
      <c r="T731" s="3"/>
      <c r="U731" s="3"/>
      <c r="V731" s="3"/>
      <c r="W731" s="3"/>
      <c r="X731" s="3"/>
      <c r="Y731" s="3"/>
      <c r="Z731" s="3"/>
      <c r="AA731" s="3"/>
    </row>
    <row r="732" ht="105.75" customHeight="1">
      <c r="A732" s="11"/>
      <c r="B732" s="12"/>
      <c r="C732" s="11"/>
      <c r="D732" s="13"/>
      <c r="E732" s="16"/>
      <c r="F732" s="16"/>
      <c r="G732" s="16"/>
      <c r="H732" s="15"/>
      <c r="I732" s="15"/>
      <c r="J732" s="3"/>
      <c r="K732" s="3"/>
      <c r="L732" s="3"/>
      <c r="M732" s="3"/>
      <c r="N732" s="3"/>
      <c r="O732" s="3"/>
      <c r="P732" s="3"/>
      <c r="Q732" s="3"/>
      <c r="R732" s="3"/>
      <c r="S732" s="3"/>
      <c r="T732" s="3"/>
      <c r="U732" s="3"/>
      <c r="V732" s="3"/>
      <c r="W732" s="3"/>
      <c r="X732" s="3"/>
      <c r="Y732" s="3"/>
      <c r="Z732" s="3"/>
      <c r="AA732" s="3"/>
    </row>
    <row r="733" ht="105.75" customHeight="1">
      <c r="A733" s="11"/>
      <c r="B733" s="12"/>
      <c r="C733" s="11"/>
      <c r="D733" s="13"/>
      <c r="E733" s="14"/>
      <c r="F733" s="14"/>
      <c r="G733" s="14"/>
      <c r="H733" s="15"/>
      <c r="I733" s="15"/>
      <c r="J733" s="3"/>
      <c r="K733" s="3"/>
      <c r="L733" s="3"/>
      <c r="M733" s="3"/>
      <c r="N733" s="3"/>
      <c r="O733" s="3"/>
      <c r="P733" s="3"/>
      <c r="Q733" s="3"/>
      <c r="R733" s="3"/>
      <c r="S733" s="3"/>
      <c r="T733" s="3"/>
      <c r="U733" s="3"/>
      <c r="V733" s="3"/>
      <c r="W733" s="3"/>
      <c r="X733" s="3"/>
      <c r="Y733" s="3"/>
      <c r="Z733" s="3"/>
      <c r="AA733" s="3"/>
    </row>
    <row r="734" ht="105.75" customHeight="1">
      <c r="A734" s="11"/>
      <c r="B734" s="12"/>
      <c r="C734" s="11"/>
      <c r="D734" s="13"/>
      <c r="E734" s="14"/>
      <c r="F734" s="14"/>
      <c r="G734" s="14"/>
      <c r="H734" s="15"/>
      <c r="I734" s="15"/>
      <c r="J734" s="3"/>
      <c r="K734" s="3"/>
      <c r="L734" s="3"/>
      <c r="M734" s="3"/>
      <c r="N734" s="3"/>
      <c r="O734" s="3"/>
      <c r="P734" s="3"/>
      <c r="Q734" s="3"/>
      <c r="R734" s="3"/>
      <c r="S734" s="3"/>
      <c r="T734" s="3"/>
      <c r="U734" s="3"/>
      <c r="V734" s="3"/>
      <c r="W734" s="3"/>
      <c r="X734" s="3"/>
      <c r="Y734" s="3"/>
      <c r="Z734" s="3"/>
      <c r="AA734" s="3"/>
    </row>
    <row r="735" ht="105.75" customHeight="1">
      <c r="A735" s="11"/>
      <c r="B735" s="12"/>
      <c r="C735" s="11"/>
      <c r="D735" s="13"/>
      <c r="E735" s="16"/>
      <c r="F735" s="16"/>
      <c r="G735" s="16"/>
      <c r="H735" s="15"/>
      <c r="I735" s="15"/>
      <c r="J735" s="3"/>
      <c r="K735" s="3"/>
      <c r="L735" s="3"/>
      <c r="M735" s="3"/>
      <c r="N735" s="3"/>
      <c r="O735" s="3"/>
      <c r="P735" s="3"/>
      <c r="Q735" s="3"/>
      <c r="R735" s="3"/>
      <c r="S735" s="3"/>
      <c r="T735" s="3"/>
      <c r="U735" s="3"/>
      <c r="V735" s="3"/>
      <c r="W735" s="3"/>
      <c r="X735" s="3"/>
      <c r="Y735" s="3"/>
      <c r="Z735" s="3"/>
      <c r="AA735" s="3"/>
    </row>
    <row r="736" ht="105.75" customHeight="1">
      <c r="A736" s="11"/>
      <c r="B736" s="12"/>
      <c r="C736" s="11"/>
      <c r="D736" s="13"/>
      <c r="E736" s="14"/>
      <c r="F736" s="14"/>
      <c r="G736" s="14"/>
      <c r="H736" s="15"/>
      <c r="I736" s="15"/>
      <c r="J736" s="3"/>
      <c r="K736" s="3"/>
      <c r="L736" s="3"/>
      <c r="M736" s="3"/>
      <c r="N736" s="3"/>
      <c r="O736" s="3"/>
      <c r="P736" s="3"/>
      <c r="Q736" s="3"/>
      <c r="R736" s="3"/>
      <c r="S736" s="3"/>
      <c r="T736" s="3"/>
      <c r="U736" s="3"/>
      <c r="V736" s="3"/>
      <c r="W736" s="3"/>
      <c r="X736" s="3"/>
      <c r="Y736" s="3"/>
      <c r="Z736" s="3"/>
      <c r="AA736" s="3"/>
    </row>
    <row r="737" ht="105.75" customHeight="1">
      <c r="A737" s="11"/>
      <c r="B737" s="12"/>
      <c r="C737" s="11"/>
      <c r="D737" s="13"/>
      <c r="E737" s="14"/>
      <c r="F737" s="14"/>
      <c r="G737" s="14"/>
      <c r="H737" s="15"/>
      <c r="I737" s="15"/>
      <c r="J737" s="3"/>
      <c r="K737" s="3"/>
      <c r="L737" s="3"/>
      <c r="M737" s="3"/>
      <c r="N737" s="3"/>
      <c r="O737" s="3"/>
      <c r="P737" s="3"/>
      <c r="Q737" s="3"/>
      <c r="R737" s="3"/>
      <c r="S737" s="3"/>
      <c r="T737" s="3"/>
      <c r="U737" s="3"/>
      <c r="V737" s="3"/>
      <c r="W737" s="3"/>
      <c r="X737" s="3"/>
      <c r="Y737" s="3"/>
      <c r="Z737" s="3"/>
      <c r="AA737" s="3"/>
    </row>
    <row r="738" ht="105.75" customHeight="1">
      <c r="A738" s="11"/>
      <c r="B738" s="12"/>
      <c r="C738" s="11"/>
      <c r="D738" s="13"/>
      <c r="E738" s="14"/>
      <c r="F738" s="14"/>
      <c r="G738" s="14"/>
      <c r="H738" s="15"/>
      <c r="I738" s="15"/>
      <c r="J738" s="3"/>
      <c r="K738" s="3"/>
      <c r="L738" s="3"/>
      <c r="M738" s="3"/>
      <c r="N738" s="3"/>
      <c r="O738" s="3"/>
      <c r="P738" s="3"/>
      <c r="Q738" s="3"/>
      <c r="R738" s="3"/>
      <c r="S738" s="3"/>
      <c r="T738" s="3"/>
      <c r="U738" s="3"/>
      <c r="V738" s="3"/>
      <c r="W738" s="3"/>
      <c r="X738" s="3"/>
      <c r="Y738" s="3"/>
      <c r="Z738" s="3"/>
      <c r="AA738" s="3"/>
    </row>
    <row r="739" ht="105.75" customHeight="1">
      <c r="A739" s="11"/>
      <c r="B739" s="12"/>
      <c r="C739" s="11"/>
      <c r="D739" s="13"/>
      <c r="E739" s="14"/>
      <c r="F739" s="14"/>
      <c r="G739" s="14"/>
      <c r="H739" s="15"/>
      <c r="I739" s="15"/>
      <c r="J739" s="3"/>
      <c r="K739" s="3"/>
      <c r="L739" s="3"/>
      <c r="M739" s="3"/>
      <c r="N739" s="3"/>
      <c r="O739" s="3"/>
      <c r="P739" s="3"/>
      <c r="Q739" s="3"/>
      <c r="R739" s="3"/>
      <c r="S739" s="3"/>
      <c r="T739" s="3"/>
      <c r="U739" s="3"/>
      <c r="V739" s="3"/>
      <c r="W739" s="3"/>
      <c r="X739" s="3"/>
      <c r="Y739" s="3"/>
      <c r="Z739" s="3"/>
      <c r="AA739" s="3"/>
    </row>
    <row r="740" ht="105.75" customHeight="1">
      <c r="A740" s="11"/>
      <c r="B740" s="12"/>
      <c r="C740" s="11"/>
      <c r="D740" s="13"/>
      <c r="E740" s="16"/>
      <c r="F740" s="16"/>
      <c r="G740" s="16"/>
      <c r="H740" s="15"/>
      <c r="I740" s="15"/>
      <c r="J740" s="3"/>
      <c r="K740" s="3"/>
      <c r="L740" s="3"/>
      <c r="M740" s="3"/>
      <c r="N740" s="3"/>
      <c r="O740" s="3"/>
      <c r="P740" s="3"/>
      <c r="Q740" s="3"/>
      <c r="R740" s="3"/>
      <c r="S740" s="3"/>
      <c r="T740" s="3"/>
      <c r="U740" s="3"/>
      <c r="V740" s="3"/>
      <c r="W740" s="3"/>
      <c r="X740" s="3"/>
      <c r="Y740" s="3"/>
      <c r="Z740" s="3"/>
      <c r="AA740" s="3"/>
    </row>
    <row r="741" ht="105.75" customHeight="1">
      <c r="A741" s="11"/>
      <c r="B741" s="12"/>
      <c r="C741" s="11"/>
      <c r="D741" s="13"/>
      <c r="E741" s="14"/>
      <c r="F741" s="14"/>
      <c r="G741" s="14"/>
      <c r="H741" s="15"/>
      <c r="I741" s="15"/>
      <c r="J741" s="3"/>
      <c r="K741" s="3"/>
      <c r="L741" s="3"/>
      <c r="M741" s="3"/>
      <c r="N741" s="3"/>
      <c r="O741" s="3"/>
      <c r="P741" s="3"/>
      <c r="Q741" s="3"/>
      <c r="R741" s="3"/>
      <c r="S741" s="3"/>
      <c r="T741" s="3"/>
      <c r="U741" s="3"/>
      <c r="V741" s="3"/>
      <c r="W741" s="3"/>
      <c r="X741" s="3"/>
      <c r="Y741" s="3"/>
      <c r="Z741" s="3"/>
      <c r="AA741" s="3"/>
    </row>
    <row r="742" ht="105.75" customHeight="1">
      <c r="A742" s="11"/>
      <c r="B742" s="12"/>
      <c r="C742" s="11"/>
      <c r="D742" s="13"/>
      <c r="E742" s="14"/>
      <c r="F742" s="14"/>
      <c r="G742" s="14"/>
      <c r="H742" s="15"/>
      <c r="I742" s="15"/>
      <c r="J742" s="3"/>
      <c r="K742" s="3"/>
      <c r="L742" s="3"/>
      <c r="M742" s="3"/>
      <c r="N742" s="3"/>
      <c r="O742" s="3"/>
      <c r="P742" s="3"/>
      <c r="Q742" s="3"/>
      <c r="R742" s="3"/>
      <c r="S742" s="3"/>
      <c r="T742" s="3"/>
      <c r="U742" s="3"/>
      <c r="V742" s="3"/>
      <c r="W742" s="3"/>
      <c r="X742" s="3"/>
      <c r="Y742" s="3"/>
      <c r="Z742" s="3"/>
      <c r="AA742" s="3"/>
    </row>
    <row r="743" ht="105.75" customHeight="1">
      <c r="A743" s="11"/>
      <c r="B743" s="12"/>
      <c r="C743" s="11"/>
      <c r="D743" s="13"/>
      <c r="E743" s="14"/>
      <c r="F743" s="14"/>
      <c r="G743" s="14"/>
      <c r="H743" s="15"/>
      <c r="I743" s="15"/>
      <c r="J743" s="3"/>
      <c r="K743" s="3"/>
      <c r="L743" s="3"/>
      <c r="M743" s="3"/>
      <c r="N743" s="3"/>
      <c r="O743" s="3"/>
      <c r="P743" s="3"/>
      <c r="Q743" s="3"/>
      <c r="R743" s="3"/>
      <c r="S743" s="3"/>
      <c r="T743" s="3"/>
      <c r="U743" s="3"/>
      <c r="V743" s="3"/>
      <c r="W743" s="3"/>
      <c r="X743" s="3"/>
      <c r="Y743" s="3"/>
      <c r="Z743" s="3"/>
      <c r="AA743" s="3"/>
    </row>
    <row r="744" ht="105.75" customHeight="1">
      <c r="A744" s="11"/>
      <c r="B744" s="12"/>
      <c r="C744" s="11"/>
      <c r="D744" s="13"/>
      <c r="E744" s="14"/>
      <c r="F744" s="14"/>
      <c r="G744" s="14"/>
      <c r="H744" s="15"/>
      <c r="I744" s="15"/>
      <c r="J744" s="3"/>
      <c r="K744" s="3"/>
      <c r="L744" s="3"/>
      <c r="M744" s="3"/>
      <c r="N744" s="3"/>
      <c r="O744" s="3"/>
      <c r="P744" s="3"/>
      <c r="Q744" s="3"/>
      <c r="R744" s="3"/>
      <c r="S744" s="3"/>
      <c r="T744" s="3"/>
      <c r="U744" s="3"/>
      <c r="V744" s="3"/>
      <c r="W744" s="3"/>
      <c r="X744" s="3"/>
      <c r="Y744" s="3"/>
      <c r="Z744" s="3"/>
      <c r="AA744" s="3"/>
    </row>
    <row r="745" ht="105.75" customHeight="1">
      <c r="A745" s="11"/>
      <c r="B745" s="12"/>
      <c r="C745" s="11"/>
      <c r="D745" s="13"/>
      <c r="E745" s="14"/>
      <c r="F745" s="14"/>
      <c r="G745" s="14"/>
      <c r="H745" s="15"/>
      <c r="I745" s="15"/>
      <c r="J745" s="3"/>
      <c r="K745" s="3"/>
      <c r="L745" s="3"/>
      <c r="M745" s="3"/>
      <c r="N745" s="3"/>
      <c r="O745" s="3"/>
      <c r="P745" s="3"/>
      <c r="Q745" s="3"/>
      <c r="R745" s="3"/>
      <c r="S745" s="3"/>
      <c r="T745" s="3"/>
      <c r="U745" s="3"/>
      <c r="V745" s="3"/>
      <c r="W745" s="3"/>
      <c r="X745" s="3"/>
      <c r="Y745" s="3"/>
      <c r="Z745" s="3"/>
      <c r="AA745" s="3"/>
    </row>
    <row r="746" ht="105.75" customHeight="1">
      <c r="A746" s="11"/>
      <c r="B746" s="12"/>
      <c r="C746" s="11"/>
      <c r="D746" s="13"/>
      <c r="E746" s="14"/>
      <c r="F746" s="14"/>
      <c r="G746" s="14"/>
      <c r="H746" s="15"/>
      <c r="I746" s="15"/>
      <c r="J746" s="3"/>
      <c r="K746" s="3"/>
      <c r="L746" s="3"/>
      <c r="M746" s="3"/>
      <c r="N746" s="3"/>
      <c r="O746" s="3"/>
      <c r="P746" s="3"/>
      <c r="Q746" s="3"/>
      <c r="R746" s="3"/>
      <c r="S746" s="3"/>
      <c r="T746" s="3"/>
      <c r="U746" s="3"/>
      <c r="V746" s="3"/>
      <c r="W746" s="3"/>
      <c r="X746" s="3"/>
      <c r="Y746" s="3"/>
      <c r="Z746" s="3"/>
      <c r="AA746" s="3"/>
    </row>
    <row r="747" ht="105.75" customHeight="1">
      <c r="A747" s="11"/>
      <c r="B747" s="12"/>
      <c r="C747" s="11"/>
      <c r="D747" s="13"/>
      <c r="E747" s="14"/>
      <c r="F747" s="14"/>
      <c r="G747" s="14"/>
      <c r="H747" s="15"/>
      <c r="I747" s="15"/>
      <c r="J747" s="3"/>
      <c r="K747" s="3"/>
      <c r="L747" s="3"/>
      <c r="M747" s="3"/>
      <c r="N747" s="3"/>
      <c r="O747" s="3"/>
      <c r="P747" s="3"/>
      <c r="Q747" s="3"/>
      <c r="R747" s="3"/>
      <c r="S747" s="3"/>
      <c r="T747" s="3"/>
      <c r="U747" s="3"/>
      <c r="V747" s="3"/>
      <c r="W747" s="3"/>
      <c r="X747" s="3"/>
      <c r="Y747" s="3"/>
      <c r="Z747" s="3"/>
      <c r="AA747" s="3"/>
    </row>
    <row r="748" ht="105.75" customHeight="1">
      <c r="A748" s="11"/>
      <c r="B748" s="12"/>
      <c r="C748" s="11"/>
      <c r="D748" s="13"/>
      <c r="E748" s="14"/>
      <c r="F748" s="14"/>
      <c r="G748" s="14"/>
      <c r="H748" s="15"/>
      <c r="I748" s="15"/>
      <c r="J748" s="3"/>
      <c r="K748" s="3"/>
      <c r="L748" s="3"/>
      <c r="M748" s="3"/>
      <c r="N748" s="3"/>
      <c r="O748" s="3"/>
      <c r="P748" s="3"/>
      <c r="Q748" s="3"/>
      <c r="R748" s="3"/>
      <c r="S748" s="3"/>
      <c r="T748" s="3"/>
      <c r="U748" s="3"/>
      <c r="V748" s="3"/>
      <c r="W748" s="3"/>
      <c r="X748" s="3"/>
      <c r="Y748" s="3"/>
      <c r="Z748" s="3"/>
      <c r="AA748" s="3"/>
    </row>
    <row r="749" ht="105.75" customHeight="1">
      <c r="A749" s="11"/>
      <c r="B749" s="12"/>
      <c r="C749" s="11"/>
      <c r="D749" s="13"/>
      <c r="E749" s="14"/>
      <c r="F749" s="14"/>
      <c r="G749" s="14"/>
      <c r="H749" s="15"/>
      <c r="I749" s="15"/>
      <c r="J749" s="3"/>
      <c r="K749" s="3"/>
      <c r="L749" s="3"/>
      <c r="M749" s="3"/>
      <c r="N749" s="3"/>
      <c r="O749" s="3"/>
      <c r="P749" s="3"/>
      <c r="Q749" s="3"/>
      <c r="R749" s="3"/>
      <c r="S749" s="3"/>
      <c r="T749" s="3"/>
      <c r="U749" s="3"/>
      <c r="V749" s="3"/>
      <c r="W749" s="3"/>
      <c r="X749" s="3"/>
      <c r="Y749" s="3"/>
      <c r="Z749" s="3"/>
      <c r="AA749" s="3"/>
    </row>
    <row r="750" ht="105.75" customHeight="1">
      <c r="A750" s="11"/>
      <c r="B750" s="12"/>
      <c r="C750" s="11"/>
      <c r="D750" s="13"/>
      <c r="E750" s="14"/>
      <c r="F750" s="14"/>
      <c r="G750" s="14"/>
      <c r="H750" s="15"/>
      <c r="I750" s="15"/>
      <c r="J750" s="3"/>
      <c r="K750" s="3"/>
      <c r="L750" s="3"/>
      <c r="M750" s="3"/>
      <c r="N750" s="3"/>
      <c r="O750" s="3"/>
      <c r="P750" s="3"/>
      <c r="Q750" s="3"/>
      <c r="R750" s="3"/>
      <c r="S750" s="3"/>
      <c r="T750" s="3"/>
      <c r="U750" s="3"/>
      <c r="V750" s="3"/>
      <c r="W750" s="3"/>
      <c r="X750" s="3"/>
      <c r="Y750" s="3"/>
      <c r="Z750" s="3"/>
      <c r="AA750" s="3"/>
    </row>
    <row r="751" ht="105.75" customHeight="1">
      <c r="A751" s="11"/>
      <c r="B751" s="12"/>
      <c r="C751" s="11"/>
      <c r="D751" s="13"/>
      <c r="E751" s="14"/>
      <c r="F751" s="14"/>
      <c r="G751" s="14"/>
      <c r="H751" s="15"/>
      <c r="I751" s="15"/>
      <c r="J751" s="3"/>
      <c r="K751" s="3"/>
      <c r="L751" s="3"/>
      <c r="M751" s="3"/>
      <c r="N751" s="3"/>
      <c r="O751" s="3"/>
      <c r="P751" s="3"/>
      <c r="Q751" s="3"/>
      <c r="R751" s="3"/>
      <c r="S751" s="3"/>
      <c r="T751" s="3"/>
      <c r="U751" s="3"/>
      <c r="V751" s="3"/>
      <c r="W751" s="3"/>
      <c r="X751" s="3"/>
      <c r="Y751" s="3"/>
      <c r="Z751" s="3"/>
      <c r="AA751" s="3"/>
    </row>
    <row r="752" ht="105.75" customHeight="1">
      <c r="A752" s="11"/>
      <c r="B752" s="12"/>
      <c r="C752" s="11"/>
      <c r="D752" s="13"/>
      <c r="E752" s="16"/>
      <c r="F752" s="16"/>
      <c r="G752" s="16"/>
      <c r="H752" s="15"/>
      <c r="I752" s="15"/>
      <c r="J752" s="3"/>
      <c r="K752" s="3"/>
      <c r="L752" s="3"/>
      <c r="M752" s="3"/>
      <c r="N752" s="3"/>
      <c r="O752" s="3"/>
      <c r="P752" s="3"/>
      <c r="Q752" s="3"/>
      <c r="R752" s="3"/>
      <c r="S752" s="3"/>
      <c r="T752" s="3"/>
      <c r="U752" s="3"/>
      <c r="V752" s="3"/>
      <c r="W752" s="3"/>
      <c r="X752" s="3"/>
      <c r="Y752" s="3"/>
      <c r="Z752" s="3"/>
      <c r="AA752" s="3"/>
    </row>
    <row r="753" ht="105.75" customHeight="1">
      <c r="A753" s="11"/>
      <c r="B753" s="12"/>
      <c r="C753" s="11"/>
      <c r="D753" s="13"/>
      <c r="E753" s="14"/>
      <c r="F753" s="14"/>
      <c r="G753" s="14"/>
      <c r="H753" s="15"/>
      <c r="I753" s="15"/>
      <c r="J753" s="3"/>
      <c r="K753" s="3"/>
      <c r="L753" s="3"/>
      <c r="M753" s="3"/>
      <c r="N753" s="3"/>
      <c r="O753" s="3"/>
      <c r="P753" s="3"/>
      <c r="Q753" s="3"/>
      <c r="R753" s="3"/>
      <c r="S753" s="3"/>
      <c r="T753" s="3"/>
      <c r="U753" s="3"/>
      <c r="V753" s="3"/>
      <c r="W753" s="3"/>
      <c r="X753" s="3"/>
      <c r="Y753" s="3"/>
      <c r="Z753" s="3"/>
      <c r="AA753" s="3"/>
    </row>
    <row r="754" ht="105.75" customHeight="1">
      <c r="A754" s="11"/>
      <c r="B754" s="12"/>
      <c r="C754" s="11"/>
      <c r="D754" s="13"/>
      <c r="E754" s="14"/>
      <c r="F754" s="14"/>
      <c r="G754" s="14"/>
      <c r="H754" s="15"/>
      <c r="I754" s="15"/>
      <c r="J754" s="3"/>
      <c r="K754" s="3"/>
      <c r="L754" s="3"/>
      <c r="M754" s="3"/>
      <c r="N754" s="3"/>
      <c r="O754" s="3"/>
      <c r="P754" s="3"/>
      <c r="Q754" s="3"/>
      <c r="R754" s="3"/>
      <c r="S754" s="3"/>
      <c r="T754" s="3"/>
      <c r="U754" s="3"/>
      <c r="V754" s="3"/>
      <c r="W754" s="3"/>
      <c r="X754" s="3"/>
      <c r="Y754" s="3"/>
      <c r="Z754" s="3"/>
      <c r="AA754" s="3"/>
    </row>
    <row r="755" ht="105.75" customHeight="1">
      <c r="A755" s="11"/>
      <c r="B755" s="12"/>
      <c r="C755" s="11"/>
      <c r="D755" s="13"/>
      <c r="E755" s="14"/>
      <c r="F755" s="14"/>
      <c r="G755" s="14"/>
      <c r="H755" s="15"/>
      <c r="I755" s="15"/>
      <c r="J755" s="3"/>
      <c r="K755" s="3"/>
      <c r="L755" s="3"/>
      <c r="M755" s="3"/>
      <c r="N755" s="3"/>
      <c r="O755" s="3"/>
      <c r="P755" s="3"/>
      <c r="Q755" s="3"/>
      <c r="R755" s="3"/>
      <c r="S755" s="3"/>
      <c r="T755" s="3"/>
      <c r="U755" s="3"/>
      <c r="V755" s="3"/>
      <c r="W755" s="3"/>
      <c r="X755" s="3"/>
      <c r="Y755" s="3"/>
      <c r="Z755" s="3"/>
      <c r="AA755" s="3"/>
    </row>
    <row r="756" ht="105.75" customHeight="1">
      <c r="A756" s="11"/>
      <c r="B756" s="12"/>
      <c r="C756" s="11"/>
      <c r="D756" s="13"/>
      <c r="E756" s="14"/>
      <c r="F756" s="14"/>
      <c r="G756" s="14"/>
      <c r="H756" s="15"/>
      <c r="I756" s="15"/>
      <c r="J756" s="3"/>
      <c r="K756" s="3"/>
      <c r="L756" s="3"/>
      <c r="M756" s="3"/>
      <c r="N756" s="3"/>
      <c r="O756" s="3"/>
      <c r="P756" s="3"/>
      <c r="Q756" s="3"/>
      <c r="R756" s="3"/>
      <c r="S756" s="3"/>
      <c r="T756" s="3"/>
      <c r="U756" s="3"/>
      <c r="V756" s="3"/>
      <c r="W756" s="3"/>
      <c r="X756" s="3"/>
      <c r="Y756" s="3"/>
      <c r="Z756" s="3"/>
      <c r="AA756" s="3"/>
    </row>
    <row r="757" ht="105.75" customHeight="1">
      <c r="A757" s="11"/>
      <c r="B757" s="12"/>
      <c r="C757" s="11"/>
      <c r="D757" s="13"/>
      <c r="E757" s="14"/>
      <c r="F757" s="14"/>
      <c r="G757" s="14"/>
      <c r="H757" s="15"/>
      <c r="I757" s="15"/>
      <c r="J757" s="3"/>
      <c r="K757" s="3"/>
      <c r="L757" s="3"/>
      <c r="M757" s="3"/>
      <c r="N757" s="3"/>
      <c r="O757" s="3"/>
      <c r="P757" s="3"/>
      <c r="Q757" s="3"/>
      <c r="R757" s="3"/>
      <c r="S757" s="3"/>
      <c r="T757" s="3"/>
      <c r="U757" s="3"/>
      <c r="V757" s="3"/>
      <c r="W757" s="3"/>
      <c r="X757" s="3"/>
      <c r="Y757" s="3"/>
      <c r="Z757" s="3"/>
      <c r="AA757" s="3"/>
    </row>
    <row r="758" ht="105.75" customHeight="1">
      <c r="A758" s="11"/>
      <c r="B758" s="12"/>
      <c r="C758" s="11"/>
      <c r="D758" s="13"/>
      <c r="E758" s="14"/>
      <c r="F758" s="14"/>
      <c r="G758" s="14"/>
      <c r="H758" s="15"/>
      <c r="I758" s="15"/>
      <c r="J758" s="3"/>
      <c r="K758" s="3"/>
      <c r="L758" s="3"/>
      <c r="M758" s="3"/>
      <c r="N758" s="3"/>
      <c r="O758" s="3"/>
      <c r="P758" s="3"/>
      <c r="Q758" s="3"/>
      <c r="R758" s="3"/>
      <c r="S758" s="3"/>
      <c r="T758" s="3"/>
      <c r="U758" s="3"/>
      <c r="V758" s="3"/>
      <c r="W758" s="3"/>
      <c r="X758" s="3"/>
      <c r="Y758" s="3"/>
      <c r="Z758" s="3"/>
      <c r="AA758" s="3"/>
    </row>
    <row r="759" ht="105.75" customHeight="1">
      <c r="A759" s="11"/>
      <c r="B759" s="12"/>
      <c r="C759" s="11"/>
      <c r="D759" s="13"/>
      <c r="E759" s="14"/>
      <c r="F759" s="14"/>
      <c r="G759" s="14"/>
      <c r="H759" s="15"/>
      <c r="I759" s="15"/>
      <c r="J759" s="3"/>
      <c r="K759" s="3"/>
      <c r="L759" s="3"/>
      <c r="M759" s="3"/>
      <c r="N759" s="3"/>
      <c r="O759" s="3"/>
      <c r="P759" s="3"/>
      <c r="Q759" s="3"/>
      <c r="R759" s="3"/>
      <c r="S759" s="3"/>
      <c r="T759" s="3"/>
      <c r="U759" s="3"/>
      <c r="V759" s="3"/>
      <c r="W759" s="3"/>
      <c r="X759" s="3"/>
      <c r="Y759" s="3"/>
      <c r="Z759" s="3"/>
      <c r="AA759" s="3"/>
    </row>
    <row r="760" ht="105.75" customHeight="1">
      <c r="A760" s="11"/>
      <c r="B760" s="12"/>
      <c r="C760" s="11"/>
      <c r="D760" s="13"/>
      <c r="E760" s="14"/>
      <c r="F760" s="14"/>
      <c r="G760" s="14"/>
      <c r="H760" s="15"/>
      <c r="I760" s="15"/>
      <c r="J760" s="3"/>
      <c r="K760" s="3"/>
      <c r="L760" s="3"/>
      <c r="M760" s="3"/>
      <c r="N760" s="3"/>
      <c r="O760" s="3"/>
      <c r="P760" s="3"/>
      <c r="Q760" s="3"/>
      <c r="R760" s="3"/>
      <c r="S760" s="3"/>
      <c r="T760" s="3"/>
      <c r="U760" s="3"/>
      <c r="V760" s="3"/>
      <c r="W760" s="3"/>
      <c r="X760" s="3"/>
      <c r="Y760" s="3"/>
      <c r="Z760" s="3"/>
      <c r="AA760" s="3"/>
    </row>
    <row r="761" ht="105.75" customHeight="1">
      <c r="A761" s="11"/>
      <c r="B761" s="12"/>
      <c r="C761" s="11"/>
      <c r="D761" s="13"/>
      <c r="E761" s="14"/>
      <c r="F761" s="14"/>
      <c r="G761" s="14"/>
      <c r="H761" s="15"/>
      <c r="I761" s="15"/>
      <c r="J761" s="3"/>
      <c r="K761" s="3"/>
      <c r="L761" s="3"/>
      <c r="M761" s="3"/>
      <c r="N761" s="3"/>
      <c r="O761" s="3"/>
      <c r="P761" s="3"/>
      <c r="Q761" s="3"/>
      <c r="R761" s="3"/>
      <c r="S761" s="3"/>
      <c r="T761" s="3"/>
      <c r="U761" s="3"/>
      <c r="V761" s="3"/>
      <c r="W761" s="3"/>
      <c r="X761" s="3"/>
      <c r="Y761" s="3"/>
      <c r="Z761" s="3"/>
      <c r="AA761" s="3"/>
    </row>
    <row r="762" ht="105.75" customHeight="1">
      <c r="A762" s="11"/>
      <c r="B762" s="12"/>
      <c r="C762" s="11"/>
      <c r="D762" s="13"/>
      <c r="E762" s="14"/>
      <c r="F762" s="14"/>
      <c r="G762" s="14"/>
      <c r="H762" s="15"/>
      <c r="I762" s="15"/>
      <c r="J762" s="3"/>
      <c r="K762" s="3"/>
      <c r="L762" s="3"/>
      <c r="M762" s="3"/>
      <c r="N762" s="3"/>
      <c r="O762" s="3"/>
      <c r="P762" s="3"/>
      <c r="Q762" s="3"/>
      <c r="R762" s="3"/>
      <c r="S762" s="3"/>
      <c r="T762" s="3"/>
      <c r="U762" s="3"/>
      <c r="V762" s="3"/>
      <c r="W762" s="3"/>
      <c r="X762" s="3"/>
      <c r="Y762" s="3"/>
      <c r="Z762" s="3"/>
      <c r="AA762" s="3"/>
    </row>
    <row r="763" ht="105.75" customHeight="1">
      <c r="A763" s="11"/>
      <c r="B763" s="12"/>
      <c r="C763" s="11"/>
      <c r="D763" s="13"/>
      <c r="E763" s="14"/>
      <c r="F763" s="14"/>
      <c r="G763" s="14"/>
      <c r="H763" s="15"/>
      <c r="I763" s="15"/>
      <c r="J763" s="3"/>
      <c r="K763" s="3"/>
      <c r="L763" s="3"/>
      <c r="M763" s="3"/>
      <c r="N763" s="3"/>
      <c r="O763" s="3"/>
      <c r="P763" s="3"/>
      <c r="Q763" s="3"/>
      <c r="R763" s="3"/>
      <c r="S763" s="3"/>
      <c r="T763" s="3"/>
      <c r="U763" s="3"/>
      <c r="V763" s="3"/>
      <c r="W763" s="3"/>
      <c r="X763" s="3"/>
      <c r="Y763" s="3"/>
      <c r="Z763" s="3"/>
      <c r="AA763" s="3"/>
    </row>
    <row r="764" ht="105.75" customHeight="1">
      <c r="A764" s="11"/>
      <c r="B764" s="12"/>
      <c r="C764" s="11"/>
      <c r="D764" s="13"/>
      <c r="E764" s="14"/>
      <c r="F764" s="14"/>
      <c r="G764" s="14"/>
      <c r="H764" s="15"/>
      <c r="I764" s="15"/>
      <c r="J764" s="3"/>
      <c r="K764" s="3"/>
      <c r="L764" s="3"/>
      <c r="M764" s="3"/>
      <c r="N764" s="3"/>
      <c r="O764" s="3"/>
      <c r="P764" s="3"/>
      <c r="Q764" s="3"/>
      <c r="R764" s="3"/>
      <c r="S764" s="3"/>
      <c r="T764" s="3"/>
      <c r="U764" s="3"/>
      <c r="V764" s="3"/>
      <c r="W764" s="3"/>
      <c r="X764" s="3"/>
      <c r="Y764" s="3"/>
      <c r="Z764" s="3"/>
      <c r="AA764" s="3"/>
    </row>
    <row r="765" ht="105.75" customHeight="1">
      <c r="A765" s="11"/>
      <c r="B765" s="12"/>
      <c r="C765" s="11"/>
      <c r="D765" s="13"/>
      <c r="E765" s="14"/>
      <c r="F765" s="14"/>
      <c r="G765" s="14"/>
      <c r="H765" s="15"/>
      <c r="I765" s="15"/>
      <c r="J765" s="3"/>
      <c r="K765" s="3"/>
      <c r="L765" s="3"/>
      <c r="M765" s="3"/>
      <c r="N765" s="3"/>
      <c r="O765" s="3"/>
      <c r="P765" s="3"/>
      <c r="Q765" s="3"/>
      <c r="R765" s="3"/>
      <c r="S765" s="3"/>
      <c r="T765" s="3"/>
      <c r="U765" s="3"/>
      <c r="V765" s="3"/>
      <c r="W765" s="3"/>
      <c r="X765" s="3"/>
      <c r="Y765" s="3"/>
      <c r="Z765" s="3"/>
      <c r="AA765" s="3"/>
    </row>
    <row r="766" ht="105.75" customHeight="1">
      <c r="A766" s="11"/>
      <c r="B766" s="12"/>
      <c r="C766" s="11"/>
      <c r="D766" s="13"/>
      <c r="E766" s="16"/>
      <c r="F766" s="16"/>
      <c r="G766" s="16"/>
      <c r="H766" s="15"/>
      <c r="I766" s="15"/>
      <c r="J766" s="3"/>
      <c r="K766" s="3"/>
      <c r="L766" s="3"/>
      <c r="M766" s="3"/>
      <c r="N766" s="3"/>
      <c r="O766" s="3"/>
      <c r="P766" s="3"/>
      <c r="Q766" s="3"/>
      <c r="R766" s="3"/>
      <c r="S766" s="3"/>
      <c r="T766" s="3"/>
      <c r="U766" s="3"/>
      <c r="V766" s="3"/>
      <c r="W766" s="3"/>
      <c r="X766" s="3"/>
      <c r="Y766" s="3"/>
      <c r="Z766" s="3"/>
      <c r="AA766" s="3"/>
    </row>
    <row r="767" ht="105.75" customHeight="1">
      <c r="A767" s="11"/>
      <c r="B767" s="12"/>
      <c r="C767" s="11"/>
      <c r="D767" s="13"/>
      <c r="E767" s="14"/>
      <c r="F767" s="14"/>
      <c r="G767" s="14"/>
      <c r="H767" s="15"/>
      <c r="I767" s="15"/>
      <c r="J767" s="3"/>
      <c r="K767" s="3"/>
      <c r="L767" s="3"/>
      <c r="M767" s="3"/>
      <c r="N767" s="3"/>
      <c r="O767" s="3"/>
      <c r="P767" s="3"/>
      <c r="Q767" s="3"/>
      <c r="R767" s="3"/>
      <c r="S767" s="3"/>
      <c r="T767" s="3"/>
      <c r="U767" s="3"/>
      <c r="V767" s="3"/>
      <c r="W767" s="3"/>
      <c r="X767" s="3"/>
      <c r="Y767" s="3"/>
      <c r="Z767" s="3"/>
      <c r="AA767" s="3"/>
    </row>
    <row r="768" ht="105.75" customHeight="1">
      <c r="A768" s="11"/>
      <c r="B768" s="12"/>
      <c r="C768" s="11"/>
      <c r="D768" s="13"/>
      <c r="E768" s="14"/>
      <c r="F768" s="14"/>
      <c r="G768" s="14"/>
      <c r="H768" s="15"/>
      <c r="I768" s="15"/>
      <c r="J768" s="3"/>
      <c r="K768" s="3"/>
      <c r="L768" s="3"/>
      <c r="M768" s="3"/>
      <c r="N768" s="3"/>
      <c r="O768" s="3"/>
      <c r="P768" s="3"/>
      <c r="Q768" s="3"/>
      <c r="R768" s="3"/>
      <c r="S768" s="3"/>
      <c r="T768" s="3"/>
      <c r="U768" s="3"/>
      <c r="V768" s="3"/>
      <c r="W768" s="3"/>
      <c r="X768" s="3"/>
      <c r="Y768" s="3"/>
      <c r="Z768" s="3"/>
      <c r="AA768" s="3"/>
    </row>
    <row r="769" ht="105.75" customHeight="1">
      <c r="A769" s="11"/>
      <c r="B769" s="12"/>
      <c r="C769" s="11"/>
      <c r="D769" s="13"/>
      <c r="E769" s="14"/>
      <c r="F769" s="14"/>
      <c r="G769" s="14"/>
      <c r="H769" s="15"/>
      <c r="I769" s="15"/>
      <c r="J769" s="3"/>
      <c r="K769" s="3"/>
      <c r="L769" s="3"/>
      <c r="M769" s="3"/>
      <c r="N769" s="3"/>
      <c r="O769" s="3"/>
      <c r="P769" s="3"/>
      <c r="Q769" s="3"/>
      <c r="R769" s="3"/>
      <c r="S769" s="3"/>
      <c r="T769" s="3"/>
      <c r="U769" s="3"/>
      <c r="V769" s="3"/>
      <c r="W769" s="3"/>
      <c r="X769" s="3"/>
      <c r="Y769" s="3"/>
      <c r="Z769" s="3"/>
      <c r="AA769" s="3"/>
    </row>
    <row r="770" ht="105.75" customHeight="1">
      <c r="A770" s="11"/>
      <c r="B770" s="12"/>
      <c r="C770" s="11"/>
      <c r="D770" s="13"/>
      <c r="E770" s="14"/>
      <c r="F770" s="14"/>
      <c r="G770" s="14"/>
      <c r="H770" s="15"/>
      <c r="I770" s="15"/>
      <c r="J770" s="3"/>
      <c r="K770" s="3"/>
      <c r="L770" s="3"/>
      <c r="M770" s="3"/>
      <c r="N770" s="3"/>
      <c r="O770" s="3"/>
      <c r="P770" s="3"/>
      <c r="Q770" s="3"/>
      <c r="R770" s="3"/>
      <c r="S770" s="3"/>
      <c r="T770" s="3"/>
      <c r="U770" s="3"/>
      <c r="V770" s="3"/>
      <c r="W770" s="3"/>
      <c r="X770" s="3"/>
      <c r="Y770" s="3"/>
      <c r="Z770" s="3"/>
      <c r="AA770" s="3"/>
    </row>
    <row r="771" ht="105.75" customHeight="1">
      <c r="A771" s="11"/>
      <c r="B771" s="12"/>
      <c r="C771" s="11"/>
      <c r="D771" s="13"/>
      <c r="E771" s="14"/>
      <c r="F771" s="14"/>
      <c r="G771" s="14"/>
      <c r="H771" s="15"/>
      <c r="I771" s="15"/>
      <c r="J771" s="3"/>
      <c r="K771" s="3"/>
      <c r="L771" s="3"/>
      <c r="M771" s="3"/>
      <c r="N771" s="3"/>
      <c r="O771" s="3"/>
      <c r="P771" s="3"/>
      <c r="Q771" s="3"/>
      <c r="R771" s="3"/>
      <c r="S771" s="3"/>
      <c r="T771" s="3"/>
      <c r="U771" s="3"/>
      <c r="V771" s="3"/>
      <c r="W771" s="3"/>
      <c r="X771" s="3"/>
      <c r="Y771" s="3"/>
      <c r="Z771" s="3"/>
      <c r="AA771" s="3"/>
    </row>
    <row r="772" ht="105.75" customHeight="1">
      <c r="A772" s="11"/>
      <c r="B772" s="12"/>
      <c r="C772" s="11"/>
      <c r="D772" s="13"/>
      <c r="E772" s="14"/>
      <c r="F772" s="14"/>
      <c r="G772" s="14"/>
      <c r="H772" s="15"/>
      <c r="I772" s="15"/>
      <c r="J772" s="3"/>
      <c r="K772" s="3"/>
      <c r="L772" s="3"/>
      <c r="M772" s="3"/>
      <c r="N772" s="3"/>
      <c r="O772" s="3"/>
      <c r="P772" s="3"/>
      <c r="Q772" s="3"/>
      <c r="R772" s="3"/>
      <c r="S772" s="3"/>
      <c r="T772" s="3"/>
      <c r="U772" s="3"/>
      <c r="V772" s="3"/>
      <c r="W772" s="3"/>
      <c r="X772" s="3"/>
      <c r="Y772" s="3"/>
      <c r="Z772" s="3"/>
      <c r="AA772" s="3"/>
    </row>
    <row r="773" ht="105.75" customHeight="1">
      <c r="A773" s="11"/>
      <c r="B773" s="12"/>
      <c r="C773" s="11"/>
      <c r="D773" s="13"/>
      <c r="E773" s="14"/>
      <c r="F773" s="14"/>
      <c r="G773" s="14"/>
      <c r="H773" s="15"/>
      <c r="I773" s="15"/>
      <c r="J773" s="3"/>
      <c r="K773" s="3"/>
      <c r="L773" s="3"/>
      <c r="M773" s="3"/>
      <c r="N773" s="3"/>
      <c r="O773" s="3"/>
      <c r="P773" s="3"/>
      <c r="Q773" s="3"/>
      <c r="R773" s="3"/>
      <c r="S773" s="3"/>
      <c r="T773" s="3"/>
      <c r="U773" s="3"/>
      <c r="V773" s="3"/>
      <c r="W773" s="3"/>
      <c r="X773" s="3"/>
      <c r="Y773" s="3"/>
      <c r="Z773" s="3"/>
      <c r="AA773" s="3"/>
    </row>
    <row r="774" ht="105.75" customHeight="1">
      <c r="A774" s="11"/>
      <c r="B774" s="12"/>
      <c r="C774" s="11"/>
      <c r="D774" s="13"/>
      <c r="E774" s="14"/>
      <c r="F774" s="14"/>
      <c r="G774" s="14"/>
      <c r="H774" s="15"/>
      <c r="I774" s="15"/>
      <c r="J774" s="3"/>
      <c r="K774" s="3"/>
      <c r="L774" s="3"/>
      <c r="M774" s="3"/>
      <c r="N774" s="3"/>
      <c r="O774" s="3"/>
      <c r="P774" s="3"/>
      <c r="Q774" s="3"/>
      <c r="R774" s="3"/>
      <c r="S774" s="3"/>
      <c r="T774" s="3"/>
      <c r="U774" s="3"/>
      <c r="V774" s="3"/>
      <c r="W774" s="3"/>
      <c r="X774" s="3"/>
      <c r="Y774" s="3"/>
      <c r="Z774" s="3"/>
      <c r="AA774" s="3"/>
    </row>
    <row r="775" ht="105.75" customHeight="1">
      <c r="A775" s="11"/>
      <c r="B775" s="12"/>
      <c r="C775" s="11"/>
      <c r="D775" s="13"/>
      <c r="E775" s="14"/>
      <c r="F775" s="14"/>
      <c r="G775" s="14"/>
      <c r="H775" s="15"/>
      <c r="I775" s="15"/>
      <c r="J775" s="3"/>
      <c r="K775" s="3"/>
      <c r="L775" s="3"/>
      <c r="M775" s="3"/>
      <c r="N775" s="3"/>
      <c r="O775" s="3"/>
      <c r="P775" s="3"/>
      <c r="Q775" s="3"/>
      <c r="R775" s="3"/>
      <c r="S775" s="3"/>
      <c r="T775" s="3"/>
      <c r="U775" s="3"/>
      <c r="V775" s="3"/>
      <c r="W775" s="3"/>
      <c r="X775" s="3"/>
      <c r="Y775" s="3"/>
      <c r="Z775" s="3"/>
      <c r="AA775" s="3"/>
    </row>
    <row r="776" ht="105.75" customHeight="1">
      <c r="A776" s="11"/>
      <c r="B776" s="12"/>
      <c r="C776" s="11"/>
      <c r="D776" s="13"/>
      <c r="E776" s="14"/>
      <c r="F776" s="14"/>
      <c r="G776" s="14"/>
      <c r="H776" s="15"/>
      <c r="I776" s="15"/>
      <c r="J776" s="3"/>
      <c r="K776" s="3"/>
      <c r="L776" s="3"/>
      <c r="M776" s="3"/>
      <c r="N776" s="3"/>
      <c r="O776" s="3"/>
      <c r="P776" s="3"/>
      <c r="Q776" s="3"/>
      <c r="R776" s="3"/>
      <c r="S776" s="3"/>
      <c r="T776" s="3"/>
      <c r="U776" s="3"/>
      <c r="V776" s="3"/>
      <c r="W776" s="3"/>
      <c r="X776" s="3"/>
      <c r="Y776" s="3"/>
      <c r="Z776" s="3"/>
      <c r="AA776" s="3"/>
    </row>
    <row r="777" ht="105.75" customHeight="1">
      <c r="A777" s="11"/>
      <c r="B777" s="12"/>
      <c r="C777" s="11"/>
      <c r="D777" s="13"/>
      <c r="E777" s="14"/>
      <c r="F777" s="14"/>
      <c r="G777" s="14"/>
      <c r="H777" s="15"/>
      <c r="I777" s="15"/>
      <c r="J777" s="3"/>
      <c r="K777" s="3"/>
      <c r="L777" s="3"/>
      <c r="M777" s="3"/>
      <c r="N777" s="3"/>
      <c r="O777" s="3"/>
      <c r="P777" s="3"/>
      <c r="Q777" s="3"/>
      <c r="R777" s="3"/>
      <c r="S777" s="3"/>
      <c r="T777" s="3"/>
      <c r="U777" s="3"/>
      <c r="V777" s="3"/>
      <c r="W777" s="3"/>
      <c r="X777" s="3"/>
      <c r="Y777" s="3"/>
      <c r="Z777" s="3"/>
      <c r="AA777" s="3"/>
    </row>
    <row r="778" ht="105.75" customHeight="1">
      <c r="A778" s="11"/>
      <c r="B778" s="12"/>
      <c r="C778" s="11"/>
      <c r="D778" s="13"/>
      <c r="E778" s="14"/>
      <c r="F778" s="14"/>
      <c r="G778" s="14"/>
      <c r="H778" s="15"/>
      <c r="I778" s="15"/>
      <c r="J778" s="3"/>
      <c r="K778" s="3"/>
      <c r="L778" s="3"/>
      <c r="M778" s="3"/>
      <c r="N778" s="3"/>
      <c r="O778" s="3"/>
      <c r="P778" s="3"/>
      <c r="Q778" s="3"/>
      <c r="R778" s="3"/>
      <c r="S778" s="3"/>
      <c r="T778" s="3"/>
      <c r="U778" s="3"/>
      <c r="V778" s="3"/>
      <c r="W778" s="3"/>
      <c r="X778" s="3"/>
      <c r="Y778" s="3"/>
      <c r="Z778" s="3"/>
      <c r="AA778" s="3"/>
    </row>
    <row r="779" ht="105.75" customHeight="1">
      <c r="A779" s="11"/>
      <c r="B779" s="12"/>
      <c r="C779" s="11"/>
      <c r="D779" s="13"/>
      <c r="E779" s="16"/>
      <c r="F779" s="16"/>
      <c r="G779" s="16"/>
      <c r="H779" s="15"/>
      <c r="I779" s="15"/>
      <c r="J779" s="3"/>
      <c r="K779" s="3"/>
      <c r="L779" s="3"/>
      <c r="M779" s="3"/>
      <c r="N779" s="3"/>
      <c r="O779" s="3"/>
      <c r="P779" s="3"/>
      <c r="Q779" s="3"/>
      <c r="R779" s="3"/>
      <c r="S779" s="3"/>
      <c r="T779" s="3"/>
      <c r="U779" s="3"/>
      <c r="V779" s="3"/>
      <c r="W779" s="3"/>
      <c r="X779" s="3"/>
      <c r="Y779" s="3"/>
      <c r="Z779" s="3"/>
      <c r="AA779" s="3"/>
    </row>
    <row r="780" ht="105.75" customHeight="1">
      <c r="A780" s="11"/>
      <c r="B780" s="12"/>
      <c r="C780" s="11"/>
      <c r="D780" s="13"/>
      <c r="E780" s="14"/>
      <c r="F780" s="14"/>
      <c r="G780" s="14"/>
      <c r="H780" s="15"/>
      <c r="I780" s="15"/>
      <c r="J780" s="3"/>
      <c r="K780" s="3"/>
      <c r="L780" s="3"/>
      <c r="M780" s="3"/>
      <c r="N780" s="3"/>
      <c r="O780" s="3"/>
      <c r="P780" s="3"/>
      <c r="Q780" s="3"/>
      <c r="R780" s="3"/>
      <c r="S780" s="3"/>
      <c r="T780" s="3"/>
      <c r="U780" s="3"/>
      <c r="V780" s="3"/>
      <c r="W780" s="3"/>
      <c r="X780" s="3"/>
      <c r="Y780" s="3"/>
      <c r="Z780" s="3"/>
      <c r="AA780" s="3"/>
    </row>
    <row r="781" ht="105.75" customHeight="1">
      <c r="A781" s="11"/>
      <c r="B781" s="12"/>
      <c r="C781" s="11"/>
      <c r="D781" s="13"/>
      <c r="E781" s="14"/>
      <c r="F781" s="14"/>
      <c r="G781" s="14"/>
      <c r="H781" s="15"/>
      <c r="I781" s="15"/>
      <c r="J781" s="3"/>
      <c r="K781" s="3"/>
      <c r="L781" s="3"/>
      <c r="M781" s="3"/>
      <c r="N781" s="3"/>
      <c r="O781" s="3"/>
      <c r="P781" s="3"/>
      <c r="Q781" s="3"/>
      <c r="R781" s="3"/>
      <c r="S781" s="3"/>
      <c r="T781" s="3"/>
      <c r="U781" s="3"/>
      <c r="V781" s="3"/>
      <c r="W781" s="3"/>
      <c r="X781" s="3"/>
      <c r="Y781" s="3"/>
      <c r="Z781" s="3"/>
      <c r="AA781" s="3"/>
    </row>
    <row r="782" ht="105.75" customHeight="1">
      <c r="A782" s="11"/>
      <c r="B782" s="12"/>
      <c r="C782" s="11"/>
      <c r="D782" s="13"/>
      <c r="E782" s="14"/>
      <c r="F782" s="14"/>
      <c r="G782" s="14"/>
      <c r="H782" s="15"/>
      <c r="I782" s="15"/>
      <c r="J782" s="3"/>
      <c r="K782" s="3"/>
      <c r="L782" s="3"/>
      <c r="M782" s="3"/>
      <c r="N782" s="3"/>
      <c r="O782" s="3"/>
      <c r="P782" s="3"/>
      <c r="Q782" s="3"/>
      <c r="R782" s="3"/>
      <c r="S782" s="3"/>
      <c r="T782" s="3"/>
      <c r="U782" s="3"/>
      <c r="V782" s="3"/>
      <c r="W782" s="3"/>
      <c r="X782" s="3"/>
      <c r="Y782" s="3"/>
      <c r="Z782" s="3"/>
      <c r="AA782" s="3"/>
    </row>
    <row r="783" ht="105.75" customHeight="1">
      <c r="A783" s="11"/>
      <c r="B783" s="12"/>
      <c r="C783" s="11"/>
      <c r="D783" s="13"/>
      <c r="E783" s="14"/>
      <c r="F783" s="14"/>
      <c r="G783" s="14"/>
      <c r="H783" s="15"/>
      <c r="I783" s="15"/>
      <c r="J783" s="3"/>
      <c r="K783" s="3"/>
      <c r="L783" s="3"/>
      <c r="M783" s="3"/>
      <c r="N783" s="3"/>
      <c r="O783" s="3"/>
      <c r="P783" s="3"/>
      <c r="Q783" s="3"/>
      <c r="R783" s="3"/>
      <c r="S783" s="3"/>
      <c r="T783" s="3"/>
      <c r="U783" s="3"/>
      <c r="V783" s="3"/>
      <c r="W783" s="3"/>
      <c r="X783" s="3"/>
      <c r="Y783" s="3"/>
      <c r="Z783" s="3"/>
      <c r="AA783" s="3"/>
    </row>
    <row r="784" ht="105.75" customHeight="1">
      <c r="A784" s="11"/>
      <c r="B784" s="12"/>
      <c r="C784" s="11"/>
      <c r="D784" s="13"/>
      <c r="E784" s="16"/>
      <c r="F784" s="16"/>
      <c r="G784" s="16"/>
      <c r="H784" s="15"/>
      <c r="I784" s="15"/>
      <c r="J784" s="3"/>
      <c r="K784" s="3"/>
      <c r="L784" s="3"/>
      <c r="M784" s="3"/>
      <c r="N784" s="3"/>
      <c r="O784" s="3"/>
      <c r="P784" s="3"/>
      <c r="Q784" s="3"/>
      <c r="R784" s="3"/>
      <c r="S784" s="3"/>
      <c r="T784" s="3"/>
      <c r="U784" s="3"/>
      <c r="V784" s="3"/>
      <c r="W784" s="3"/>
      <c r="X784" s="3"/>
      <c r="Y784" s="3"/>
      <c r="Z784" s="3"/>
      <c r="AA784" s="3"/>
    </row>
    <row r="785" ht="105.75" customHeight="1">
      <c r="A785" s="11"/>
      <c r="B785" s="12"/>
      <c r="C785" s="11"/>
      <c r="D785" s="13"/>
      <c r="E785" s="14"/>
      <c r="F785" s="14"/>
      <c r="G785" s="14"/>
      <c r="H785" s="15"/>
      <c r="I785" s="15"/>
      <c r="J785" s="3"/>
      <c r="K785" s="3"/>
      <c r="L785" s="3"/>
      <c r="M785" s="3"/>
      <c r="N785" s="3"/>
      <c r="O785" s="3"/>
      <c r="P785" s="3"/>
      <c r="Q785" s="3"/>
      <c r="R785" s="3"/>
      <c r="S785" s="3"/>
      <c r="T785" s="3"/>
      <c r="U785" s="3"/>
      <c r="V785" s="3"/>
      <c r="W785" s="3"/>
      <c r="X785" s="3"/>
      <c r="Y785" s="3"/>
      <c r="Z785" s="3"/>
      <c r="AA785" s="3"/>
    </row>
    <row r="786" ht="105.75" customHeight="1">
      <c r="A786" s="11"/>
      <c r="B786" s="12"/>
      <c r="C786" s="11"/>
      <c r="D786" s="13"/>
      <c r="E786" s="16"/>
      <c r="F786" s="16"/>
      <c r="G786" s="16"/>
      <c r="H786" s="15"/>
      <c r="I786" s="15"/>
      <c r="J786" s="3"/>
      <c r="K786" s="3"/>
      <c r="L786" s="3"/>
      <c r="M786" s="3"/>
      <c r="N786" s="3"/>
      <c r="O786" s="3"/>
      <c r="P786" s="3"/>
      <c r="Q786" s="3"/>
      <c r="R786" s="3"/>
      <c r="S786" s="3"/>
      <c r="T786" s="3"/>
      <c r="U786" s="3"/>
      <c r="V786" s="3"/>
      <c r="W786" s="3"/>
      <c r="X786" s="3"/>
      <c r="Y786" s="3"/>
      <c r="Z786" s="3"/>
      <c r="AA786" s="3"/>
    </row>
    <row r="787" ht="105.75" customHeight="1">
      <c r="A787" s="11"/>
      <c r="B787" s="12"/>
      <c r="C787" s="11"/>
      <c r="D787" s="13"/>
      <c r="E787" s="14"/>
      <c r="F787" s="14"/>
      <c r="G787" s="14"/>
      <c r="H787" s="15"/>
      <c r="I787" s="15"/>
      <c r="J787" s="3"/>
      <c r="K787" s="3"/>
      <c r="L787" s="3"/>
      <c r="M787" s="3"/>
      <c r="N787" s="3"/>
      <c r="O787" s="3"/>
      <c r="P787" s="3"/>
      <c r="Q787" s="3"/>
      <c r="R787" s="3"/>
      <c r="S787" s="3"/>
      <c r="T787" s="3"/>
      <c r="U787" s="3"/>
      <c r="V787" s="3"/>
      <c r="W787" s="3"/>
      <c r="X787" s="3"/>
      <c r="Y787" s="3"/>
      <c r="Z787" s="3"/>
      <c r="AA787" s="3"/>
    </row>
    <row r="788" ht="105.75" customHeight="1">
      <c r="A788" s="11"/>
      <c r="B788" s="12"/>
      <c r="C788" s="11"/>
      <c r="D788" s="13"/>
      <c r="E788" s="14"/>
      <c r="F788" s="14"/>
      <c r="G788" s="14"/>
      <c r="H788" s="15"/>
      <c r="I788" s="15"/>
      <c r="J788" s="3"/>
      <c r="K788" s="3"/>
      <c r="L788" s="3"/>
      <c r="M788" s="3"/>
      <c r="N788" s="3"/>
      <c r="O788" s="3"/>
      <c r="P788" s="3"/>
      <c r="Q788" s="3"/>
      <c r="R788" s="3"/>
      <c r="S788" s="3"/>
      <c r="T788" s="3"/>
      <c r="U788" s="3"/>
      <c r="V788" s="3"/>
      <c r="W788" s="3"/>
      <c r="X788" s="3"/>
      <c r="Y788" s="3"/>
      <c r="Z788" s="3"/>
      <c r="AA788" s="3"/>
    </row>
    <row r="789" ht="105.75" customHeight="1">
      <c r="A789" s="11"/>
      <c r="B789" s="12"/>
      <c r="C789" s="11"/>
      <c r="D789" s="13"/>
      <c r="E789" s="14"/>
      <c r="F789" s="14"/>
      <c r="G789" s="14"/>
      <c r="H789" s="15"/>
      <c r="I789" s="15"/>
      <c r="J789" s="3"/>
      <c r="K789" s="3"/>
      <c r="L789" s="3"/>
      <c r="M789" s="3"/>
      <c r="N789" s="3"/>
      <c r="O789" s="3"/>
      <c r="P789" s="3"/>
      <c r="Q789" s="3"/>
      <c r="R789" s="3"/>
      <c r="S789" s="3"/>
      <c r="T789" s="3"/>
      <c r="U789" s="3"/>
      <c r="V789" s="3"/>
      <c r="W789" s="3"/>
      <c r="X789" s="3"/>
      <c r="Y789" s="3"/>
      <c r="Z789" s="3"/>
      <c r="AA789" s="3"/>
    </row>
    <row r="790" ht="105.75" customHeight="1">
      <c r="A790" s="11"/>
      <c r="B790" s="12"/>
      <c r="C790" s="11"/>
      <c r="D790" s="13"/>
      <c r="E790" s="14"/>
      <c r="F790" s="14"/>
      <c r="G790" s="14"/>
      <c r="H790" s="15"/>
      <c r="I790" s="15"/>
      <c r="J790" s="3"/>
      <c r="K790" s="3"/>
      <c r="L790" s="3"/>
      <c r="M790" s="3"/>
      <c r="N790" s="3"/>
      <c r="O790" s="3"/>
      <c r="P790" s="3"/>
      <c r="Q790" s="3"/>
      <c r="R790" s="3"/>
      <c r="S790" s="3"/>
      <c r="T790" s="3"/>
      <c r="U790" s="3"/>
      <c r="V790" s="3"/>
      <c r="W790" s="3"/>
      <c r="X790" s="3"/>
      <c r="Y790" s="3"/>
      <c r="Z790" s="3"/>
      <c r="AA790" s="3"/>
    </row>
    <row r="791" ht="105.75" customHeight="1">
      <c r="A791" s="11"/>
      <c r="B791" s="12"/>
      <c r="C791" s="11"/>
      <c r="D791" s="13"/>
      <c r="E791" s="14"/>
      <c r="F791" s="14"/>
      <c r="G791" s="14"/>
      <c r="H791" s="15"/>
      <c r="I791" s="15"/>
      <c r="J791" s="3"/>
      <c r="K791" s="3"/>
      <c r="L791" s="3"/>
      <c r="M791" s="3"/>
      <c r="N791" s="3"/>
      <c r="O791" s="3"/>
      <c r="P791" s="3"/>
      <c r="Q791" s="3"/>
      <c r="R791" s="3"/>
      <c r="S791" s="3"/>
      <c r="T791" s="3"/>
      <c r="U791" s="3"/>
      <c r="V791" s="3"/>
      <c r="W791" s="3"/>
      <c r="X791" s="3"/>
      <c r="Y791" s="3"/>
      <c r="Z791" s="3"/>
      <c r="AA791" s="3"/>
    </row>
    <row r="792" ht="105.75" customHeight="1">
      <c r="A792" s="11"/>
      <c r="B792" s="12"/>
      <c r="C792" s="11"/>
      <c r="D792" s="13"/>
      <c r="E792" s="16"/>
      <c r="F792" s="16"/>
      <c r="G792" s="16"/>
      <c r="H792" s="15"/>
      <c r="I792" s="15"/>
      <c r="J792" s="3"/>
      <c r="K792" s="3"/>
      <c r="L792" s="3"/>
      <c r="M792" s="3"/>
      <c r="N792" s="3"/>
      <c r="O792" s="3"/>
      <c r="P792" s="3"/>
      <c r="Q792" s="3"/>
      <c r="R792" s="3"/>
      <c r="S792" s="3"/>
      <c r="T792" s="3"/>
      <c r="U792" s="3"/>
      <c r="V792" s="3"/>
      <c r="W792" s="3"/>
      <c r="X792" s="3"/>
      <c r="Y792" s="3"/>
      <c r="Z792" s="3"/>
      <c r="AA792" s="3"/>
    </row>
    <row r="793" ht="105.75" customHeight="1">
      <c r="A793" s="11"/>
      <c r="B793" s="12"/>
      <c r="C793" s="11"/>
      <c r="D793" s="13"/>
      <c r="E793" s="14"/>
      <c r="F793" s="14"/>
      <c r="G793" s="14"/>
      <c r="H793" s="15"/>
      <c r="I793" s="15"/>
      <c r="J793" s="3"/>
      <c r="K793" s="3"/>
      <c r="L793" s="3"/>
      <c r="M793" s="3"/>
      <c r="N793" s="3"/>
      <c r="O793" s="3"/>
      <c r="P793" s="3"/>
      <c r="Q793" s="3"/>
      <c r="R793" s="3"/>
      <c r="S793" s="3"/>
      <c r="T793" s="3"/>
      <c r="U793" s="3"/>
      <c r="V793" s="3"/>
      <c r="W793" s="3"/>
      <c r="X793" s="3"/>
      <c r="Y793" s="3"/>
      <c r="Z793" s="3"/>
      <c r="AA793" s="3"/>
    </row>
    <row r="794" ht="105.75" customHeight="1">
      <c r="A794" s="11"/>
      <c r="B794" s="12"/>
      <c r="C794" s="11"/>
      <c r="D794" s="13"/>
      <c r="E794" s="14"/>
      <c r="F794" s="14"/>
      <c r="G794" s="14"/>
      <c r="H794" s="15"/>
      <c r="I794" s="15"/>
      <c r="J794" s="3"/>
      <c r="K794" s="3"/>
      <c r="L794" s="3"/>
      <c r="M794" s="3"/>
      <c r="N794" s="3"/>
      <c r="O794" s="3"/>
      <c r="P794" s="3"/>
      <c r="Q794" s="3"/>
      <c r="R794" s="3"/>
      <c r="S794" s="3"/>
      <c r="T794" s="3"/>
      <c r="U794" s="3"/>
      <c r="V794" s="3"/>
      <c r="W794" s="3"/>
      <c r="X794" s="3"/>
      <c r="Y794" s="3"/>
      <c r="Z794" s="3"/>
      <c r="AA794" s="3"/>
    </row>
    <row r="795" ht="105.75" customHeight="1">
      <c r="A795" s="11"/>
      <c r="B795" s="12"/>
      <c r="C795" s="11"/>
      <c r="D795" s="13"/>
      <c r="E795" s="14"/>
      <c r="F795" s="14"/>
      <c r="G795" s="14"/>
      <c r="H795" s="15"/>
      <c r="I795" s="15"/>
      <c r="J795" s="3"/>
      <c r="K795" s="3"/>
      <c r="L795" s="3"/>
      <c r="M795" s="3"/>
      <c r="N795" s="3"/>
      <c r="O795" s="3"/>
      <c r="P795" s="3"/>
      <c r="Q795" s="3"/>
      <c r="R795" s="3"/>
      <c r="S795" s="3"/>
      <c r="T795" s="3"/>
      <c r="U795" s="3"/>
      <c r="V795" s="3"/>
      <c r="W795" s="3"/>
      <c r="X795" s="3"/>
      <c r="Y795" s="3"/>
      <c r="Z795" s="3"/>
      <c r="AA795" s="3"/>
    </row>
    <row r="796" ht="105.75" customHeight="1">
      <c r="A796" s="11"/>
      <c r="B796" s="12"/>
      <c r="C796" s="11"/>
      <c r="D796" s="13"/>
      <c r="E796" s="16"/>
      <c r="F796" s="16"/>
      <c r="G796" s="16"/>
      <c r="H796" s="15"/>
      <c r="I796" s="15"/>
      <c r="J796" s="3"/>
      <c r="K796" s="3"/>
      <c r="L796" s="3"/>
      <c r="M796" s="3"/>
      <c r="N796" s="3"/>
      <c r="O796" s="3"/>
      <c r="P796" s="3"/>
      <c r="Q796" s="3"/>
      <c r="R796" s="3"/>
      <c r="S796" s="3"/>
      <c r="T796" s="3"/>
      <c r="U796" s="3"/>
      <c r="V796" s="3"/>
      <c r="W796" s="3"/>
      <c r="X796" s="3"/>
      <c r="Y796" s="3"/>
      <c r="Z796" s="3"/>
      <c r="AA796" s="3"/>
    </row>
    <row r="797" ht="105.75" customHeight="1">
      <c r="A797" s="11"/>
      <c r="B797" s="12"/>
      <c r="C797" s="11"/>
      <c r="D797" s="13"/>
      <c r="E797" s="14"/>
      <c r="F797" s="14"/>
      <c r="G797" s="14"/>
      <c r="H797" s="15"/>
      <c r="I797" s="15"/>
      <c r="J797" s="3"/>
      <c r="K797" s="3"/>
      <c r="L797" s="3"/>
      <c r="M797" s="3"/>
      <c r="N797" s="3"/>
      <c r="O797" s="3"/>
      <c r="P797" s="3"/>
      <c r="Q797" s="3"/>
      <c r="R797" s="3"/>
      <c r="S797" s="3"/>
      <c r="T797" s="3"/>
      <c r="U797" s="3"/>
      <c r="V797" s="3"/>
      <c r="W797" s="3"/>
      <c r="X797" s="3"/>
      <c r="Y797" s="3"/>
      <c r="Z797" s="3"/>
      <c r="AA797" s="3"/>
    </row>
    <row r="798" ht="105.75" customHeight="1">
      <c r="A798" s="11"/>
      <c r="B798" s="12"/>
      <c r="C798" s="11"/>
      <c r="D798" s="13"/>
      <c r="E798" s="14"/>
      <c r="F798" s="14"/>
      <c r="G798" s="14"/>
      <c r="H798" s="15"/>
      <c r="I798" s="15"/>
      <c r="J798" s="3"/>
      <c r="K798" s="3"/>
      <c r="L798" s="3"/>
      <c r="M798" s="3"/>
      <c r="N798" s="3"/>
      <c r="O798" s="3"/>
      <c r="P798" s="3"/>
      <c r="Q798" s="3"/>
      <c r="R798" s="3"/>
      <c r="S798" s="3"/>
      <c r="T798" s="3"/>
      <c r="U798" s="3"/>
      <c r="V798" s="3"/>
      <c r="W798" s="3"/>
      <c r="X798" s="3"/>
      <c r="Y798" s="3"/>
      <c r="Z798" s="3"/>
      <c r="AA798" s="3"/>
    </row>
    <row r="799" ht="105.75" customHeight="1">
      <c r="A799" s="11"/>
      <c r="B799" s="12"/>
      <c r="C799" s="11"/>
      <c r="D799" s="13"/>
      <c r="E799" s="14"/>
      <c r="F799" s="14"/>
      <c r="G799" s="14"/>
      <c r="H799" s="15"/>
      <c r="I799" s="15"/>
      <c r="J799" s="3"/>
      <c r="K799" s="3"/>
      <c r="L799" s="3"/>
      <c r="M799" s="3"/>
      <c r="N799" s="3"/>
      <c r="O799" s="3"/>
      <c r="P799" s="3"/>
      <c r="Q799" s="3"/>
      <c r="R799" s="3"/>
      <c r="S799" s="3"/>
      <c r="T799" s="3"/>
      <c r="U799" s="3"/>
      <c r="V799" s="3"/>
      <c r="W799" s="3"/>
      <c r="X799" s="3"/>
      <c r="Y799" s="3"/>
      <c r="Z799" s="3"/>
      <c r="AA799" s="3"/>
    </row>
    <row r="800" ht="105.75" customHeight="1">
      <c r="A800" s="11"/>
      <c r="B800" s="12"/>
      <c r="C800" s="11"/>
      <c r="D800" s="13"/>
      <c r="E800" s="14"/>
      <c r="F800" s="14"/>
      <c r="G800" s="14"/>
      <c r="H800" s="15"/>
      <c r="I800" s="15"/>
      <c r="J800" s="3"/>
      <c r="K800" s="3"/>
      <c r="L800" s="3"/>
      <c r="M800" s="3"/>
      <c r="N800" s="3"/>
      <c r="O800" s="3"/>
      <c r="P800" s="3"/>
      <c r="Q800" s="3"/>
      <c r="R800" s="3"/>
      <c r="S800" s="3"/>
      <c r="T800" s="3"/>
      <c r="U800" s="3"/>
      <c r="V800" s="3"/>
      <c r="W800" s="3"/>
      <c r="X800" s="3"/>
      <c r="Y800" s="3"/>
      <c r="Z800" s="3"/>
      <c r="AA800" s="3"/>
    </row>
    <row r="801" ht="105.75" customHeight="1">
      <c r="A801" s="11"/>
      <c r="B801" s="12"/>
      <c r="C801" s="11"/>
      <c r="D801" s="13"/>
      <c r="E801" s="14"/>
      <c r="F801" s="14"/>
      <c r="G801" s="14"/>
      <c r="H801" s="15"/>
      <c r="I801" s="15"/>
      <c r="J801" s="3"/>
      <c r="K801" s="3"/>
      <c r="L801" s="3"/>
      <c r="M801" s="3"/>
      <c r="N801" s="3"/>
      <c r="O801" s="3"/>
      <c r="P801" s="3"/>
      <c r="Q801" s="3"/>
      <c r="R801" s="3"/>
      <c r="S801" s="3"/>
      <c r="T801" s="3"/>
      <c r="U801" s="3"/>
      <c r="V801" s="3"/>
      <c r="W801" s="3"/>
      <c r="X801" s="3"/>
      <c r="Y801" s="3"/>
      <c r="Z801" s="3"/>
      <c r="AA801" s="3"/>
    </row>
    <row r="802" ht="105.75" customHeight="1">
      <c r="A802" s="11"/>
      <c r="B802" s="12"/>
      <c r="C802" s="11"/>
      <c r="D802" s="13"/>
      <c r="E802" s="14"/>
      <c r="F802" s="14"/>
      <c r="G802" s="14"/>
      <c r="H802" s="15"/>
      <c r="I802" s="15"/>
      <c r="J802" s="3"/>
      <c r="K802" s="3"/>
      <c r="L802" s="3"/>
      <c r="M802" s="3"/>
      <c r="N802" s="3"/>
      <c r="O802" s="3"/>
      <c r="P802" s="3"/>
      <c r="Q802" s="3"/>
      <c r="R802" s="3"/>
      <c r="S802" s="3"/>
      <c r="T802" s="3"/>
      <c r="U802" s="3"/>
      <c r="V802" s="3"/>
      <c r="W802" s="3"/>
      <c r="X802" s="3"/>
      <c r="Y802" s="3"/>
      <c r="Z802" s="3"/>
      <c r="AA802" s="3"/>
    </row>
    <row r="803" ht="105.75" customHeight="1">
      <c r="A803" s="11"/>
      <c r="B803" s="12"/>
      <c r="C803" s="11"/>
      <c r="D803" s="13"/>
      <c r="E803" s="16"/>
      <c r="F803" s="16"/>
      <c r="G803" s="16"/>
      <c r="H803" s="15"/>
      <c r="I803" s="15"/>
      <c r="J803" s="3"/>
      <c r="K803" s="3"/>
      <c r="L803" s="3"/>
      <c r="M803" s="3"/>
      <c r="N803" s="3"/>
      <c r="O803" s="3"/>
      <c r="P803" s="3"/>
      <c r="Q803" s="3"/>
      <c r="R803" s="3"/>
      <c r="S803" s="3"/>
      <c r="T803" s="3"/>
      <c r="U803" s="3"/>
      <c r="V803" s="3"/>
      <c r="W803" s="3"/>
      <c r="X803" s="3"/>
      <c r="Y803" s="3"/>
      <c r="Z803" s="3"/>
      <c r="AA803" s="3"/>
    </row>
    <row r="804" ht="105.75" customHeight="1">
      <c r="A804" s="11"/>
      <c r="B804" s="12"/>
      <c r="C804" s="11"/>
      <c r="D804" s="13"/>
      <c r="E804" s="14"/>
      <c r="F804" s="14"/>
      <c r="G804" s="14"/>
      <c r="H804" s="15"/>
      <c r="I804" s="15"/>
      <c r="J804" s="3"/>
      <c r="K804" s="3"/>
      <c r="L804" s="3"/>
      <c r="M804" s="3"/>
      <c r="N804" s="3"/>
      <c r="O804" s="3"/>
      <c r="P804" s="3"/>
      <c r="Q804" s="3"/>
      <c r="R804" s="3"/>
      <c r="S804" s="3"/>
      <c r="T804" s="3"/>
      <c r="U804" s="3"/>
      <c r="V804" s="3"/>
      <c r="W804" s="3"/>
      <c r="X804" s="3"/>
      <c r="Y804" s="3"/>
      <c r="Z804" s="3"/>
      <c r="AA804" s="3"/>
    </row>
    <row r="805" ht="105.75" customHeight="1">
      <c r="A805" s="11"/>
      <c r="B805" s="12"/>
      <c r="C805" s="11"/>
      <c r="D805" s="13"/>
      <c r="E805" s="14"/>
      <c r="F805" s="14"/>
      <c r="G805" s="14"/>
      <c r="H805" s="15"/>
      <c r="I805" s="15"/>
      <c r="J805" s="3"/>
      <c r="K805" s="3"/>
      <c r="L805" s="3"/>
      <c r="M805" s="3"/>
      <c r="N805" s="3"/>
      <c r="O805" s="3"/>
      <c r="P805" s="3"/>
      <c r="Q805" s="3"/>
      <c r="R805" s="3"/>
      <c r="S805" s="3"/>
      <c r="T805" s="3"/>
      <c r="U805" s="3"/>
      <c r="V805" s="3"/>
      <c r="W805" s="3"/>
      <c r="X805" s="3"/>
      <c r="Y805" s="3"/>
      <c r="Z805" s="3"/>
      <c r="AA805" s="3"/>
    </row>
    <row r="806" ht="105.75" customHeight="1">
      <c r="A806" s="11"/>
      <c r="B806" s="12"/>
      <c r="C806" s="11"/>
      <c r="D806" s="13"/>
      <c r="E806" s="14"/>
      <c r="F806" s="14"/>
      <c r="G806" s="14"/>
      <c r="H806" s="15"/>
      <c r="I806" s="15"/>
      <c r="J806" s="3"/>
      <c r="K806" s="3"/>
      <c r="L806" s="3"/>
      <c r="M806" s="3"/>
      <c r="N806" s="3"/>
      <c r="O806" s="3"/>
      <c r="P806" s="3"/>
      <c r="Q806" s="3"/>
      <c r="R806" s="3"/>
      <c r="S806" s="3"/>
      <c r="T806" s="3"/>
      <c r="U806" s="3"/>
      <c r="V806" s="3"/>
      <c r="W806" s="3"/>
      <c r="X806" s="3"/>
      <c r="Y806" s="3"/>
      <c r="Z806" s="3"/>
      <c r="AA806" s="3"/>
    </row>
    <row r="807" ht="105.75" customHeight="1">
      <c r="A807" s="11"/>
      <c r="B807" s="12"/>
      <c r="C807" s="11"/>
      <c r="D807" s="13"/>
      <c r="E807" s="14"/>
      <c r="F807" s="14"/>
      <c r="G807" s="14"/>
      <c r="H807" s="15"/>
      <c r="I807" s="15"/>
      <c r="J807" s="3"/>
      <c r="K807" s="3"/>
      <c r="L807" s="3"/>
      <c r="M807" s="3"/>
      <c r="N807" s="3"/>
      <c r="O807" s="3"/>
      <c r="P807" s="3"/>
      <c r="Q807" s="3"/>
      <c r="R807" s="3"/>
      <c r="S807" s="3"/>
      <c r="T807" s="3"/>
      <c r="U807" s="3"/>
      <c r="V807" s="3"/>
      <c r="W807" s="3"/>
      <c r="X807" s="3"/>
      <c r="Y807" s="3"/>
      <c r="Z807" s="3"/>
      <c r="AA807" s="3"/>
    </row>
    <row r="808" ht="105.75" customHeight="1">
      <c r="A808" s="11"/>
      <c r="B808" s="12"/>
      <c r="C808" s="11"/>
      <c r="D808" s="13"/>
      <c r="E808" s="14"/>
      <c r="F808" s="14"/>
      <c r="G808" s="14"/>
      <c r="H808" s="15"/>
      <c r="I808" s="15"/>
      <c r="J808" s="3"/>
      <c r="K808" s="3"/>
      <c r="L808" s="3"/>
      <c r="M808" s="3"/>
      <c r="N808" s="3"/>
      <c r="O808" s="3"/>
      <c r="P808" s="3"/>
      <c r="Q808" s="3"/>
      <c r="R808" s="3"/>
      <c r="S808" s="3"/>
      <c r="T808" s="3"/>
      <c r="U808" s="3"/>
      <c r="V808" s="3"/>
      <c r="W808" s="3"/>
      <c r="X808" s="3"/>
      <c r="Y808" s="3"/>
      <c r="Z808" s="3"/>
      <c r="AA808" s="3"/>
    </row>
    <row r="809" ht="105.75" customHeight="1">
      <c r="A809" s="11"/>
      <c r="B809" s="12"/>
      <c r="C809" s="11"/>
      <c r="D809" s="13"/>
      <c r="E809" s="14"/>
      <c r="F809" s="14"/>
      <c r="G809" s="14"/>
      <c r="H809" s="15"/>
      <c r="I809" s="15"/>
      <c r="J809" s="3"/>
      <c r="K809" s="3"/>
      <c r="L809" s="3"/>
      <c r="M809" s="3"/>
      <c r="N809" s="3"/>
      <c r="O809" s="3"/>
      <c r="P809" s="3"/>
      <c r="Q809" s="3"/>
      <c r="R809" s="3"/>
      <c r="S809" s="3"/>
      <c r="T809" s="3"/>
      <c r="U809" s="3"/>
      <c r="V809" s="3"/>
      <c r="W809" s="3"/>
      <c r="X809" s="3"/>
      <c r="Y809" s="3"/>
      <c r="Z809" s="3"/>
      <c r="AA809" s="3"/>
    </row>
    <row r="810" ht="105.75" customHeight="1">
      <c r="A810" s="11"/>
      <c r="B810" s="12"/>
      <c r="C810" s="11"/>
      <c r="D810" s="13"/>
      <c r="E810" s="14"/>
      <c r="F810" s="14"/>
      <c r="G810" s="14"/>
      <c r="H810" s="15"/>
      <c r="I810" s="15"/>
      <c r="J810" s="3"/>
      <c r="K810" s="3"/>
      <c r="L810" s="3"/>
      <c r="M810" s="3"/>
      <c r="N810" s="3"/>
      <c r="O810" s="3"/>
      <c r="P810" s="3"/>
      <c r="Q810" s="3"/>
      <c r="R810" s="3"/>
      <c r="S810" s="3"/>
      <c r="T810" s="3"/>
      <c r="U810" s="3"/>
      <c r="V810" s="3"/>
      <c r="W810" s="3"/>
      <c r="X810" s="3"/>
      <c r="Y810" s="3"/>
      <c r="Z810" s="3"/>
      <c r="AA810" s="3"/>
    </row>
    <row r="811" ht="105.75" customHeight="1">
      <c r="A811" s="11"/>
      <c r="B811" s="12"/>
      <c r="C811" s="11"/>
      <c r="D811" s="13"/>
      <c r="E811" s="16"/>
      <c r="F811" s="16"/>
      <c r="G811" s="16"/>
      <c r="H811" s="15"/>
      <c r="I811" s="15"/>
      <c r="J811" s="3"/>
      <c r="K811" s="3"/>
      <c r="L811" s="3"/>
      <c r="M811" s="3"/>
      <c r="N811" s="3"/>
      <c r="O811" s="3"/>
      <c r="P811" s="3"/>
      <c r="Q811" s="3"/>
      <c r="R811" s="3"/>
      <c r="S811" s="3"/>
      <c r="T811" s="3"/>
      <c r="U811" s="3"/>
      <c r="V811" s="3"/>
      <c r="W811" s="3"/>
      <c r="X811" s="3"/>
      <c r="Y811" s="3"/>
      <c r="Z811" s="3"/>
      <c r="AA811" s="3"/>
    </row>
    <row r="812" ht="105.75" customHeight="1">
      <c r="A812" s="11"/>
      <c r="B812" s="12"/>
      <c r="C812" s="11"/>
      <c r="D812" s="13"/>
      <c r="E812" s="14"/>
      <c r="F812" s="14"/>
      <c r="G812" s="14"/>
      <c r="H812" s="15"/>
      <c r="I812" s="15"/>
      <c r="J812" s="3"/>
      <c r="K812" s="3"/>
      <c r="L812" s="3"/>
      <c r="M812" s="3"/>
      <c r="N812" s="3"/>
      <c r="O812" s="3"/>
      <c r="P812" s="3"/>
      <c r="Q812" s="3"/>
      <c r="R812" s="3"/>
      <c r="S812" s="3"/>
      <c r="T812" s="3"/>
      <c r="U812" s="3"/>
      <c r="V812" s="3"/>
      <c r="W812" s="3"/>
      <c r="X812" s="3"/>
      <c r="Y812" s="3"/>
      <c r="Z812" s="3"/>
      <c r="AA812" s="3"/>
    </row>
    <row r="813" ht="105.75" customHeight="1">
      <c r="A813" s="11"/>
      <c r="B813" s="12"/>
      <c r="C813" s="11"/>
      <c r="D813" s="13"/>
      <c r="E813" s="16"/>
      <c r="F813" s="16"/>
      <c r="G813" s="16"/>
      <c r="H813" s="15"/>
      <c r="I813" s="15"/>
      <c r="J813" s="3"/>
      <c r="K813" s="3"/>
      <c r="L813" s="3"/>
      <c r="M813" s="3"/>
      <c r="N813" s="3"/>
      <c r="O813" s="3"/>
      <c r="P813" s="3"/>
      <c r="Q813" s="3"/>
      <c r="R813" s="3"/>
      <c r="S813" s="3"/>
      <c r="T813" s="3"/>
      <c r="U813" s="3"/>
      <c r="V813" s="3"/>
      <c r="W813" s="3"/>
      <c r="X813" s="3"/>
      <c r="Y813" s="3"/>
      <c r="Z813" s="3"/>
      <c r="AA813" s="3"/>
    </row>
    <row r="814" ht="105.75" customHeight="1">
      <c r="A814" s="11"/>
      <c r="B814" s="12"/>
      <c r="C814" s="11"/>
      <c r="D814" s="13"/>
      <c r="E814" s="16"/>
      <c r="F814" s="16"/>
      <c r="G814" s="16"/>
      <c r="H814" s="15"/>
      <c r="I814" s="15"/>
      <c r="J814" s="3"/>
      <c r="K814" s="3"/>
      <c r="L814" s="3"/>
      <c r="M814" s="3"/>
      <c r="N814" s="3"/>
      <c r="O814" s="3"/>
      <c r="P814" s="3"/>
      <c r="Q814" s="3"/>
      <c r="R814" s="3"/>
      <c r="S814" s="3"/>
      <c r="T814" s="3"/>
      <c r="U814" s="3"/>
      <c r="V814" s="3"/>
      <c r="W814" s="3"/>
      <c r="X814" s="3"/>
      <c r="Y814" s="3"/>
      <c r="Z814" s="3"/>
      <c r="AA814" s="3"/>
    </row>
    <row r="815" ht="105.75" customHeight="1">
      <c r="A815" s="11"/>
      <c r="B815" s="12"/>
      <c r="C815" s="11"/>
      <c r="D815" s="13"/>
      <c r="E815" s="14"/>
      <c r="F815" s="14"/>
      <c r="G815" s="14"/>
      <c r="H815" s="15"/>
      <c r="I815" s="15"/>
      <c r="J815" s="3"/>
      <c r="K815" s="3"/>
      <c r="L815" s="3"/>
      <c r="M815" s="3"/>
      <c r="N815" s="3"/>
      <c r="O815" s="3"/>
      <c r="P815" s="3"/>
      <c r="Q815" s="3"/>
      <c r="R815" s="3"/>
      <c r="S815" s="3"/>
      <c r="T815" s="3"/>
      <c r="U815" s="3"/>
      <c r="V815" s="3"/>
      <c r="W815" s="3"/>
      <c r="X815" s="3"/>
      <c r="Y815" s="3"/>
      <c r="Z815" s="3"/>
      <c r="AA815" s="3"/>
    </row>
    <row r="816" ht="105.75" customHeight="1">
      <c r="A816" s="11"/>
      <c r="B816" s="12"/>
      <c r="C816" s="11"/>
      <c r="D816" s="13"/>
      <c r="E816" s="14"/>
      <c r="F816" s="14"/>
      <c r="G816" s="14"/>
      <c r="H816" s="15"/>
      <c r="I816" s="15"/>
      <c r="J816" s="3"/>
      <c r="K816" s="3"/>
      <c r="L816" s="3"/>
      <c r="M816" s="3"/>
      <c r="N816" s="3"/>
      <c r="O816" s="3"/>
      <c r="P816" s="3"/>
      <c r="Q816" s="3"/>
      <c r="R816" s="3"/>
      <c r="S816" s="3"/>
      <c r="T816" s="3"/>
      <c r="U816" s="3"/>
      <c r="V816" s="3"/>
      <c r="W816" s="3"/>
      <c r="X816" s="3"/>
      <c r="Y816" s="3"/>
      <c r="Z816" s="3"/>
      <c r="AA816" s="3"/>
    </row>
    <row r="817" ht="105.75" customHeight="1">
      <c r="A817" s="11"/>
      <c r="B817" s="12"/>
      <c r="C817" s="11"/>
      <c r="D817" s="13"/>
      <c r="E817" s="16"/>
      <c r="F817" s="16"/>
      <c r="G817" s="16"/>
      <c r="H817" s="15"/>
      <c r="I817" s="15"/>
      <c r="J817" s="3"/>
      <c r="K817" s="3"/>
      <c r="L817" s="3"/>
      <c r="M817" s="3"/>
      <c r="N817" s="3"/>
      <c r="O817" s="3"/>
      <c r="P817" s="3"/>
      <c r="Q817" s="3"/>
      <c r="R817" s="3"/>
      <c r="S817" s="3"/>
      <c r="T817" s="3"/>
      <c r="U817" s="3"/>
      <c r="V817" s="3"/>
      <c r="W817" s="3"/>
      <c r="X817" s="3"/>
      <c r="Y817" s="3"/>
      <c r="Z817" s="3"/>
      <c r="AA817" s="3"/>
    </row>
    <row r="818" ht="105.75" customHeight="1">
      <c r="A818" s="11"/>
      <c r="B818" s="12"/>
      <c r="C818" s="11"/>
      <c r="D818" s="13"/>
      <c r="E818" s="14"/>
      <c r="F818" s="14"/>
      <c r="G818" s="14"/>
      <c r="H818" s="15"/>
      <c r="I818" s="15"/>
      <c r="J818" s="3"/>
      <c r="K818" s="3"/>
      <c r="L818" s="3"/>
      <c r="M818" s="3"/>
      <c r="N818" s="3"/>
      <c r="O818" s="3"/>
      <c r="P818" s="3"/>
      <c r="Q818" s="3"/>
      <c r="R818" s="3"/>
      <c r="S818" s="3"/>
      <c r="T818" s="3"/>
      <c r="U818" s="3"/>
      <c r="V818" s="3"/>
      <c r="W818" s="3"/>
      <c r="X818" s="3"/>
      <c r="Y818" s="3"/>
      <c r="Z818" s="3"/>
      <c r="AA818" s="3"/>
    </row>
    <row r="819" ht="105.75" customHeight="1">
      <c r="A819" s="11"/>
      <c r="B819" s="12"/>
      <c r="C819" s="11"/>
      <c r="D819" s="13"/>
      <c r="E819" s="14"/>
      <c r="F819" s="14"/>
      <c r="G819" s="14"/>
      <c r="H819" s="15"/>
      <c r="I819" s="15"/>
      <c r="J819" s="3"/>
      <c r="K819" s="3"/>
      <c r="L819" s="3"/>
      <c r="M819" s="3"/>
      <c r="N819" s="3"/>
      <c r="O819" s="3"/>
      <c r="P819" s="3"/>
      <c r="Q819" s="3"/>
      <c r="R819" s="3"/>
      <c r="S819" s="3"/>
      <c r="T819" s="3"/>
      <c r="U819" s="3"/>
      <c r="V819" s="3"/>
      <c r="W819" s="3"/>
      <c r="X819" s="3"/>
      <c r="Y819" s="3"/>
      <c r="Z819" s="3"/>
      <c r="AA819" s="3"/>
    </row>
    <row r="820" ht="105.75" customHeight="1">
      <c r="A820" s="11"/>
      <c r="B820" s="12"/>
      <c r="C820" s="11"/>
      <c r="D820" s="13"/>
      <c r="E820" s="14"/>
      <c r="F820" s="14"/>
      <c r="G820" s="14"/>
      <c r="H820" s="15"/>
      <c r="I820" s="15"/>
      <c r="J820" s="3"/>
      <c r="K820" s="3"/>
      <c r="L820" s="3"/>
      <c r="M820" s="3"/>
      <c r="N820" s="3"/>
      <c r="O820" s="3"/>
      <c r="P820" s="3"/>
      <c r="Q820" s="3"/>
      <c r="R820" s="3"/>
      <c r="S820" s="3"/>
      <c r="T820" s="3"/>
      <c r="U820" s="3"/>
      <c r="V820" s="3"/>
      <c r="W820" s="3"/>
      <c r="X820" s="3"/>
      <c r="Y820" s="3"/>
      <c r="Z820" s="3"/>
      <c r="AA820" s="3"/>
    </row>
    <row r="821" ht="105.75" customHeight="1">
      <c r="A821" s="11"/>
      <c r="B821" s="12"/>
      <c r="C821" s="11"/>
      <c r="D821" s="13"/>
      <c r="E821" s="14"/>
      <c r="F821" s="14"/>
      <c r="G821" s="14"/>
      <c r="H821" s="15"/>
      <c r="I821" s="15"/>
      <c r="J821" s="3"/>
      <c r="K821" s="3"/>
      <c r="L821" s="3"/>
      <c r="M821" s="3"/>
      <c r="N821" s="3"/>
      <c r="O821" s="3"/>
      <c r="P821" s="3"/>
      <c r="Q821" s="3"/>
      <c r="R821" s="3"/>
      <c r="S821" s="3"/>
      <c r="T821" s="3"/>
      <c r="U821" s="3"/>
      <c r="V821" s="3"/>
      <c r="W821" s="3"/>
      <c r="X821" s="3"/>
      <c r="Y821" s="3"/>
      <c r="Z821" s="3"/>
      <c r="AA821" s="3"/>
    </row>
    <row r="822" ht="105.75" customHeight="1">
      <c r="A822" s="11"/>
      <c r="B822" s="12"/>
      <c r="C822" s="11"/>
      <c r="D822" s="13"/>
      <c r="E822" s="14"/>
      <c r="F822" s="14"/>
      <c r="G822" s="14"/>
      <c r="H822" s="15"/>
      <c r="I822" s="15"/>
      <c r="J822" s="3"/>
      <c r="K822" s="3"/>
      <c r="L822" s="3"/>
      <c r="M822" s="3"/>
      <c r="N822" s="3"/>
      <c r="O822" s="3"/>
      <c r="P822" s="3"/>
      <c r="Q822" s="3"/>
      <c r="R822" s="3"/>
      <c r="S822" s="3"/>
      <c r="T822" s="3"/>
      <c r="U822" s="3"/>
      <c r="V822" s="3"/>
      <c r="W822" s="3"/>
      <c r="X822" s="3"/>
      <c r="Y822" s="3"/>
      <c r="Z822" s="3"/>
      <c r="AA822" s="3"/>
    </row>
    <row r="823" ht="105.75" customHeight="1">
      <c r="A823" s="11"/>
      <c r="B823" s="12"/>
      <c r="C823" s="11"/>
      <c r="D823" s="13"/>
      <c r="E823" s="14"/>
      <c r="F823" s="14"/>
      <c r="G823" s="14"/>
      <c r="H823" s="15"/>
      <c r="I823" s="15"/>
      <c r="J823" s="3"/>
      <c r="K823" s="3"/>
      <c r="L823" s="3"/>
      <c r="M823" s="3"/>
      <c r="N823" s="3"/>
      <c r="O823" s="3"/>
      <c r="P823" s="3"/>
      <c r="Q823" s="3"/>
      <c r="R823" s="3"/>
      <c r="S823" s="3"/>
      <c r="T823" s="3"/>
      <c r="U823" s="3"/>
      <c r="V823" s="3"/>
      <c r="W823" s="3"/>
      <c r="X823" s="3"/>
      <c r="Y823" s="3"/>
      <c r="Z823" s="3"/>
      <c r="AA823" s="3"/>
    </row>
    <row r="824" ht="105.75" customHeight="1">
      <c r="A824" s="11"/>
      <c r="B824" s="12"/>
      <c r="C824" s="11"/>
      <c r="D824" s="13"/>
      <c r="E824" s="14"/>
      <c r="F824" s="14"/>
      <c r="G824" s="14"/>
      <c r="H824" s="15"/>
      <c r="I824" s="15"/>
      <c r="J824" s="3"/>
      <c r="K824" s="3"/>
      <c r="L824" s="3"/>
      <c r="M824" s="3"/>
      <c r="N824" s="3"/>
      <c r="O824" s="3"/>
      <c r="P824" s="3"/>
      <c r="Q824" s="3"/>
      <c r="R824" s="3"/>
      <c r="S824" s="3"/>
      <c r="T824" s="3"/>
      <c r="U824" s="3"/>
      <c r="V824" s="3"/>
      <c r="W824" s="3"/>
      <c r="X824" s="3"/>
      <c r="Y824" s="3"/>
      <c r="Z824" s="3"/>
      <c r="AA824" s="3"/>
    </row>
    <row r="825" ht="105.75" customHeight="1">
      <c r="A825" s="11"/>
      <c r="B825" s="12"/>
      <c r="C825" s="11"/>
      <c r="D825" s="13"/>
      <c r="E825" s="14"/>
      <c r="F825" s="14"/>
      <c r="G825" s="14"/>
      <c r="H825" s="15"/>
      <c r="I825" s="15"/>
      <c r="J825" s="3"/>
      <c r="K825" s="3"/>
      <c r="L825" s="3"/>
      <c r="M825" s="3"/>
      <c r="N825" s="3"/>
      <c r="O825" s="3"/>
      <c r="P825" s="3"/>
      <c r="Q825" s="3"/>
      <c r="R825" s="3"/>
      <c r="S825" s="3"/>
      <c r="T825" s="3"/>
      <c r="U825" s="3"/>
      <c r="V825" s="3"/>
      <c r="W825" s="3"/>
      <c r="X825" s="3"/>
      <c r="Y825" s="3"/>
      <c r="Z825" s="3"/>
      <c r="AA825" s="3"/>
    </row>
    <row r="826" ht="105.75" customHeight="1">
      <c r="A826" s="11"/>
      <c r="B826" s="12"/>
      <c r="C826" s="11"/>
      <c r="D826" s="13"/>
      <c r="E826" s="14"/>
      <c r="F826" s="14"/>
      <c r="G826" s="14"/>
      <c r="H826" s="15"/>
      <c r="I826" s="15"/>
      <c r="J826" s="3"/>
      <c r="K826" s="3"/>
      <c r="L826" s="3"/>
      <c r="M826" s="3"/>
      <c r="N826" s="3"/>
      <c r="O826" s="3"/>
      <c r="P826" s="3"/>
      <c r="Q826" s="3"/>
      <c r="R826" s="3"/>
      <c r="S826" s="3"/>
      <c r="T826" s="3"/>
      <c r="U826" s="3"/>
      <c r="V826" s="3"/>
      <c r="W826" s="3"/>
      <c r="X826" s="3"/>
      <c r="Y826" s="3"/>
      <c r="Z826" s="3"/>
      <c r="AA826" s="3"/>
    </row>
    <row r="827" ht="105.75" customHeight="1">
      <c r="A827" s="11"/>
      <c r="B827" s="12"/>
      <c r="C827" s="11"/>
      <c r="D827" s="13"/>
      <c r="E827" s="14"/>
      <c r="F827" s="14"/>
      <c r="G827" s="14"/>
      <c r="H827" s="15"/>
      <c r="I827" s="15"/>
      <c r="J827" s="3"/>
      <c r="K827" s="3"/>
      <c r="L827" s="3"/>
      <c r="M827" s="3"/>
      <c r="N827" s="3"/>
      <c r="O827" s="3"/>
      <c r="P827" s="3"/>
      <c r="Q827" s="3"/>
      <c r="R827" s="3"/>
      <c r="S827" s="3"/>
      <c r="T827" s="3"/>
      <c r="U827" s="3"/>
      <c r="V827" s="3"/>
      <c r="W827" s="3"/>
      <c r="X827" s="3"/>
      <c r="Y827" s="3"/>
      <c r="Z827" s="3"/>
      <c r="AA827" s="3"/>
    </row>
    <row r="828" ht="105.75" customHeight="1">
      <c r="A828" s="11"/>
      <c r="B828" s="12"/>
      <c r="C828" s="11"/>
      <c r="D828" s="13"/>
      <c r="E828" s="16"/>
      <c r="F828" s="16"/>
      <c r="G828" s="16"/>
      <c r="H828" s="15"/>
      <c r="I828" s="15"/>
      <c r="J828" s="3"/>
      <c r="K828" s="3"/>
      <c r="L828" s="3"/>
      <c r="M828" s="3"/>
      <c r="N828" s="3"/>
      <c r="O828" s="3"/>
      <c r="P828" s="3"/>
      <c r="Q828" s="3"/>
      <c r="R828" s="3"/>
      <c r="S828" s="3"/>
      <c r="T828" s="3"/>
      <c r="U828" s="3"/>
      <c r="V828" s="3"/>
      <c r="W828" s="3"/>
      <c r="X828" s="3"/>
      <c r="Y828" s="3"/>
      <c r="Z828" s="3"/>
      <c r="AA828" s="3"/>
    </row>
    <row r="829" ht="105.75" customHeight="1">
      <c r="A829" s="11"/>
      <c r="B829" s="12"/>
      <c r="C829" s="11"/>
      <c r="D829" s="13"/>
      <c r="E829" s="16"/>
      <c r="F829" s="16"/>
      <c r="G829" s="16"/>
      <c r="H829" s="15"/>
      <c r="I829" s="15"/>
      <c r="J829" s="3"/>
      <c r="K829" s="3"/>
      <c r="L829" s="3"/>
      <c r="M829" s="3"/>
      <c r="N829" s="3"/>
      <c r="O829" s="3"/>
      <c r="P829" s="3"/>
      <c r="Q829" s="3"/>
      <c r="R829" s="3"/>
      <c r="S829" s="3"/>
      <c r="T829" s="3"/>
      <c r="U829" s="3"/>
      <c r="V829" s="3"/>
      <c r="W829" s="3"/>
      <c r="X829" s="3"/>
      <c r="Y829" s="3"/>
      <c r="Z829" s="3"/>
      <c r="AA829" s="3"/>
    </row>
    <row r="830" ht="105.75" customHeight="1">
      <c r="A830" s="11"/>
      <c r="B830" s="12"/>
      <c r="C830" s="11"/>
      <c r="D830" s="13"/>
      <c r="E830" s="14"/>
      <c r="F830" s="14"/>
      <c r="G830" s="14"/>
      <c r="H830" s="15"/>
      <c r="I830" s="15"/>
      <c r="J830" s="3"/>
      <c r="K830" s="3"/>
      <c r="L830" s="3"/>
      <c r="M830" s="3"/>
      <c r="N830" s="3"/>
      <c r="O830" s="3"/>
      <c r="P830" s="3"/>
      <c r="Q830" s="3"/>
      <c r="R830" s="3"/>
      <c r="S830" s="3"/>
      <c r="T830" s="3"/>
      <c r="U830" s="3"/>
      <c r="V830" s="3"/>
      <c r="W830" s="3"/>
      <c r="X830" s="3"/>
      <c r="Y830" s="3"/>
      <c r="Z830" s="3"/>
      <c r="AA830" s="3"/>
    </row>
    <row r="831" ht="105.75" customHeight="1">
      <c r="A831" s="11"/>
      <c r="B831" s="12"/>
      <c r="C831" s="11"/>
      <c r="D831" s="13"/>
      <c r="E831" s="14"/>
      <c r="F831" s="14"/>
      <c r="G831" s="14"/>
      <c r="H831" s="15"/>
      <c r="I831" s="15"/>
      <c r="J831" s="3"/>
      <c r="K831" s="3"/>
      <c r="L831" s="3"/>
      <c r="M831" s="3"/>
      <c r="N831" s="3"/>
      <c r="O831" s="3"/>
      <c r="P831" s="3"/>
      <c r="Q831" s="3"/>
      <c r="R831" s="3"/>
      <c r="S831" s="3"/>
      <c r="T831" s="3"/>
      <c r="U831" s="3"/>
      <c r="V831" s="3"/>
      <c r="W831" s="3"/>
      <c r="X831" s="3"/>
      <c r="Y831" s="3"/>
      <c r="Z831" s="3"/>
      <c r="AA831" s="3"/>
    </row>
    <row r="832" ht="105.75" customHeight="1">
      <c r="A832" s="11"/>
      <c r="B832" s="12"/>
      <c r="C832" s="11"/>
      <c r="D832" s="13"/>
      <c r="E832" s="16"/>
      <c r="F832" s="16"/>
      <c r="G832" s="16"/>
      <c r="H832" s="15"/>
      <c r="I832" s="15"/>
      <c r="J832" s="3"/>
      <c r="K832" s="3"/>
      <c r="L832" s="3"/>
      <c r="M832" s="3"/>
      <c r="N832" s="3"/>
      <c r="O832" s="3"/>
      <c r="P832" s="3"/>
      <c r="Q832" s="3"/>
      <c r="R832" s="3"/>
      <c r="S832" s="3"/>
      <c r="T832" s="3"/>
      <c r="U832" s="3"/>
      <c r="V832" s="3"/>
      <c r="W832" s="3"/>
      <c r="X832" s="3"/>
      <c r="Y832" s="3"/>
      <c r="Z832" s="3"/>
      <c r="AA832" s="3"/>
    </row>
    <row r="833" ht="105.75" customHeight="1">
      <c r="A833" s="11"/>
      <c r="B833" s="12"/>
      <c r="C833" s="11"/>
      <c r="D833" s="13"/>
      <c r="E833" s="14"/>
      <c r="F833" s="14"/>
      <c r="G833" s="14"/>
      <c r="H833" s="15"/>
      <c r="I833" s="15"/>
      <c r="J833" s="3"/>
      <c r="K833" s="3"/>
      <c r="L833" s="3"/>
      <c r="M833" s="3"/>
      <c r="N833" s="3"/>
      <c r="O833" s="3"/>
      <c r="P833" s="3"/>
      <c r="Q833" s="3"/>
      <c r="R833" s="3"/>
      <c r="S833" s="3"/>
      <c r="T833" s="3"/>
      <c r="U833" s="3"/>
      <c r="V833" s="3"/>
      <c r="W833" s="3"/>
      <c r="X833" s="3"/>
      <c r="Y833" s="3"/>
      <c r="Z833" s="3"/>
      <c r="AA833" s="3"/>
    </row>
    <row r="834" ht="105.75" customHeight="1">
      <c r="A834" s="11"/>
      <c r="B834" s="12"/>
      <c r="C834" s="11"/>
      <c r="D834" s="13"/>
      <c r="E834" s="16"/>
      <c r="F834" s="16"/>
      <c r="G834" s="16"/>
      <c r="H834" s="15"/>
      <c r="I834" s="15"/>
      <c r="J834" s="3"/>
      <c r="K834" s="3"/>
      <c r="L834" s="3"/>
      <c r="M834" s="3"/>
      <c r="N834" s="3"/>
      <c r="O834" s="3"/>
      <c r="P834" s="3"/>
      <c r="Q834" s="3"/>
      <c r="R834" s="3"/>
      <c r="S834" s="3"/>
      <c r="T834" s="3"/>
      <c r="U834" s="3"/>
      <c r="V834" s="3"/>
      <c r="W834" s="3"/>
      <c r="X834" s="3"/>
      <c r="Y834" s="3"/>
      <c r="Z834" s="3"/>
      <c r="AA834" s="3"/>
    </row>
    <row r="835" ht="105.75" customHeight="1">
      <c r="A835" s="11"/>
      <c r="B835" s="12"/>
      <c r="C835" s="11"/>
      <c r="D835" s="13"/>
      <c r="E835" s="16"/>
      <c r="F835" s="16"/>
      <c r="G835" s="16"/>
      <c r="H835" s="15"/>
      <c r="I835" s="15"/>
      <c r="J835" s="3"/>
      <c r="K835" s="3"/>
      <c r="L835" s="3"/>
      <c r="M835" s="3"/>
      <c r="N835" s="3"/>
      <c r="O835" s="3"/>
      <c r="P835" s="3"/>
      <c r="Q835" s="3"/>
      <c r="R835" s="3"/>
      <c r="S835" s="3"/>
      <c r="T835" s="3"/>
      <c r="U835" s="3"/>
      <c r="V835" s="3"/>
      <c r="W835" s="3"/>
      <c r="X835" s="3"/>
      <c r="Y835" s="3"/>
      <c r="Z835" s="3"/>
      <c r="AA835" s="3"/>
    </row>
    <row r="836" ht="105.75" customHeight="1">
      <c r="A836" s="11"/>
      <c r="B836" s="12"/>
      <c r="C836" s="11"/>
      <c r="D836" s="13"/>
      <c r="E836" s="16"/>
      <c r="F836" s="16"/>
      <c r="G836" s="16"/>
      <c r="H836" s="15"/>
      <c r="I836" s="15"/>
      <c r="J836" s="3"/>
      <c r="K836" s="3"/>
      <c r="L836" s="3"/>
      <c r="M836" s="3"/>
      <c r="N836" s="3"/>
      <c r="O836" s="3"/>
      <c r="P836" s="3"/>
      <c r="Q836" s="3"/>
      <c r="R836" s="3"/>
      <c r="S836" s="3"/>
      <c r="T836" s="3"/>
      <c r="U836" s="3"/>
      <c r="V836" s="3"/>
      <c r="W836" s="3"/>
      <c r="X836" s="3"/>
      <c r="Y836" s="3"/>
      <c r="Z836" s="3"/>
      <c r="AA836" s="3"/>
    </row>
    <row r="837" ht="105.75" customHeight="1">
      <c r="A837" s="11"/>
      <c r="B837" s="12"/>
      <c r="C837" s="11"/>
      <c r="D837" s="13"/>
      <c r="E837" s="14"/>
      <c r="F837" s="14"/>
      <c r="G837" s="14"/>
      <c r="H837" s="15"/>
      <c r="I837" s="15"/>
      <c r="J837" s="3"/>
      <c r="K837" s="3"/>
      <c r="L837" s="3"/>
      <c r="M837" s="3"/>
      <c r="N837" s="3"/>
      <c r="O837" s="3"/>
      <c r="P837" s="3"/>
      <c r="Q837" s="3"/>
      <c r="R837" s="3"/>
      <c r="S837" s="3"/>
      <c r="T837" s="3"/>
      <c r="U837" s="3"/>
      <c r="V837" s="3"/>
      <c r="W837" s="3"/>
      <c r="X837" s="3"/>
      <c r="Y837" s="3"/>
      <c r="Z837" s="3"/>
      <c r="AA837" s="3"/>
    </row>
    <row r="838" ht="105.75" customHeight="1">
      <c r="A838" s="11"/>
      <c r="B838" s="12"/>
      <c r="C838" s="11"/>
      <c r="D838" s="13"/>
      <c r="E838" s="14"/>
      <c r="F838" s="14"/>
      <c r="G838" s="14"/>
      <c r="H838" s="15"/>
      <c r="I838" s="15"/>
      <c r="J838" s="3"/>
      <c r="K838" s="3"/>
      <c r="L838" s="3"/>
      <c r="M838" s="3"/>
      <c r="N838" s="3"/>
      <c r="O838" s="3"/>
      <c r="P838" s="3"/>
      <c r="Q838" s="3"/>
      <c r="R838" s="3"/>
      <c r="S838" s="3"/>
      <c r="T838" s="3"/>
      <c r="U838" s="3"/>
      <c r="V838" s="3"/>
      <c r="W838" s="3"/>
      <c r="X838" s="3"/>
      <c r="Y838" s="3"/>
      <c r="Z838" s="3"/>
      <c r="AA838" s="3"/>
    </row>
    <row r="839" ht="105.75" customHeight="1">
      <c r="A839" s="11"/>
      <c r="B839" s="12"/>
      <c r="C839" s="11"/>
      <c r="D839" s="13"/>
      <c r="E839" s="14"/>
      <c r="F839" s="14"/>
      <c r="G839" s="14"/>
      <c r="H839" s="15"/>
      <c r="I839" s="15"/>
      <c r="J839" s="3"/>
      <c r="K839" s="3"/>
      <c r="L839" s="3"/>
      <c r="M839" s="3"/>
      <c r="N839" s="3"/>
      <c r="O839" s="3"/>
      <c r="P839" s="3"/>
      <c r="Q839" s="3"/>
      <c r="R839" s="3"/>
      <c r="S839" s="3"/>
      <c r="T839" s="3"/>
      <c r="U839" s="3"/>
      <c r="V839" s="3"/>
      <c r="W839" s="3"/>
      <c r="X839" s="3"/>
      <c r="Y839" s="3"/>
      <c r="Z839" s="3"/>
      <c r="AA839" s="3"/>
    </row>
    <row r="840" ht="105.75" customHeight="1">
      <c r="A840" s="11"/>
      <c r="B840" s="12"/>
      <c r="C840" s="11"/>
      <c r="D840" s="13"/>
      <c r="E840" s="14"/>
      <c r="F840" s="14"/>
      <c r="G840" s="14"/>
      <c r="H840" s="15"/>
      <c r="I840" s="15"/>
      <c r="J840" s="3"/>
      <c r="K840" s="3"/>
      <c r="L840" s="3"/>
      <c r="M840" s="3"/>
      <c r="N840" s="3"/>
      <c r="O840" s="3"/>
      <c r="P840" s="3"/>
      <c r="Q840" s="3"/>
      <c r="R840" s="3"/>
      <c r="S840" s="3"/>
      <c r="T840" s="3"/>
      <c r="U840" s="3"/>
      <c r="V840" s="3"/>
      <c r="W840" s="3"/>
      <c r="X840" s="3"/>
      <c r="Y840" s="3"/>
      <c r="Z840" s="3"/>
      <c r="AA840" s="3"/>
    </row>
    <row r="841" ht="105.75" customHeight="1">
      <c r="A841" s="11"/>
      <c r="B841" s="12"/>
      <c r="C841" s="11"/>
      <c r="D841" s="13"/>
      <c r="E841" s="14"/>
      <c r="F841" s="14"/>
      <c r="G841" s="14"/>
      <c r="H841" s="15"/>
      <c r="I841" s="15"/>
      <c r="J841" s="3"/>
      <c r="K841" s="3"/>
      <c r="L841" s="3"/>
      <c r="M841" s="3"/>
      <c r="N841" s="3"/>
      <c r="O841" s="3"/>
      <c r="P841" s="3"/>
      <c r="Q841" s="3"/>
      <c r="R841" s="3"/>
      <c r="S841" s="3"/>
      <c r="T841" s="3"/>
      <c r="U841" s="3"/>
      <c r="V841" s="3"/>
      <c r="W841" s="3"/>
      <c r="X841" s="3"/>
      <c r="Y841" s="3"/>
      <c r="Z841" s="3"/>
      <c r="AA841" s="3"/>
    </row>
    <row r="842" ht="105.75" customHeight="1">
      <c r="A842" s="11"/>
      <c r="B842" s="12"/>
      <c r="C842" s="11"/>
      <c r="D842" s="13"/>
      <c r="E842" s="14"/>
      <c r="F842" s="14"/>
      <c r="G842" s="14"/>
      <c r="H842" s="15"/>
      <c r="I842" s="15"/>
      <c r="J842" s="3"/>
      <c r="K842" s="3"/>
      <c r="L842" s="3"/>
      <c r="M842" s="3"/>
      <c r="N842" s="3"/>
      <c r="O842" s="3"/>
      <c r="P842" s="3"/>
      <c r="Q842" s="3"/>
      <c r="R842" s="3"/>
      <c r="S842" s="3"/>
      <c r="T842" s="3"/>
      <c r="U842" s="3"/>
      <c r="V842" s="3"/>
      <c r="W842" s="3"/>
      <c r="X842" s="3"/>
      <c r="Y842" s="3"/>
      <c r="Z842" s="3"/>
      <c r="AA842" s="3"/>
    </row>
    <row r="843" ht="105.75" customHeight="1">
      <c r="A843" s="11"/>
      <c r="B843" s="12"/>
      <c r="C843" s="11"/>
      <c r="D843" s="13"/>
      <c r="E843" s="14"/>
      <c r="F843" s="14"/>
      <c r="G843" s="14"/>
      <c r="H843" s="15"/>
      <c r="I843" s="15"/>
      <c r="J843" s="3"/>
      <c r="K843" s="3"/>
      <c r="L843" s="3"/>
      <c r="M843" s="3"/>
      <c r="N843" s="3"/>
      <c r="O843" s="3"/>
      <c r="P843" s="3"/>
      <c r="Q843" s="3"/>
      <c r="R843" s="3"/>
      <c r="S843" s="3"/>
      <c r="T843" s="3"/>
      <c r="U843" s="3"/>
      <c r="V843" s="3"/>
      <c r="W843" s="3"/>
      <c r="X843" s="3"/>
      <c r="Y843" s="3"/>
      <c r="Z843" s="3"/>
      <c r="AA843" s="3"/>
    </row>
    <row r="844" ht="105.75" customHeight="1">
      <c r="A844" s="11"/>
      <c r="B844" s="12"/>
      <c r="C844" s="11"/>
      <c r="D844" s="13"/>
      <c r="E844" s="14"/>
      <c r="F844" s="14"/>
      <c r="G844" s="14"/>
      <c r="H844" s="15"/>
      <c r="I844" s="15"/>
      <c r="J844" s="3"/>
      <c r="K844" s="3"/>
      <c r="L844" s="3"/>
      <c r="M844" s="3"/>
      <c r="N844" s="3"/>
      <c r="O844" s="3"/>
      <c r="P844" s="3"/>
      <c r="Q844" s="3"/>
      <c r="R844" s="3"/>
      <c r="S844" s="3"/>
      <c r="T844" s="3"/>
      <c r="U844" s="3"/>
      <c r="V844" s="3"/>
      <c r="W844" s="3"/>
      <c r="X844" s="3"/>
      <c r="Y844" s="3"/>
      <c r="Z844" s="3"/>
      <c r="AA844" s="3"/>
    </row>
    <row r="845" ht="105.75" customHeight="1">
      <c r="A845" s="11"/>
      <c r="B845" s="12"/>
      <c r="C845" s="11"/>
      <c r="D845" s="13"/>
      <c r="E845" s="14"/>
      <c r="F845" s="14"/>
      <c r="G845" s="14"/>
      <c r="H845" s="15"/>
      <c r="I845" s="15"/>
      <c r="J845" s="3"/>
      <c r="K845" s="3"/>
      <c r="L845" s="3"/>
      <c r="M845" s="3"/>
      <c r="N845" s="3"/>
      <c r="O845" s="3"/>
      <c r="P845" s="3"/>
      <c r="Q845" s="3"/>
      <c r="R845" s="3"/>
      <c r="S845" s="3"/>
      <c r="T845" s="3"/>
      <c r="U845" s="3"/>
      <c r="V845" s="3"/>
      <c r="W845" s="3"/>
      <c r="X845" s="3"/>
      <c r="Y845" s="3"/>
      <c r="Z845" s="3"/>
      <c r="AA845" s="3"/>
    </row>
    <row r="846" ht="105.75" customHeight="1">
      <c r="A846" s="11"/>
      <c r="B846" s="12"/>
      <c r="C846" s="11"/>
      <c r="D846" s="13"/>
      <c r="E846" s="14"/>
      <c r="F846" s="14"/>
      <c r="G846" s="14"/>
      <c r="H846" s="15"/>
      <c r="I846" s="15"/>
      <c r="J846" s="3"/>
      <c r="K846" s="3"/>
      <c r="L846" s="3"/>
      <c r="M846" s="3"/>
      <c r="N846" s="3"/>
      <c r="O846" s="3"/>
      <c r="P846" s="3"/>
      <c r="Q846" s="3"/>
      <c r="R846" s="3"/>
      <c r="S846" s="3"/>
      <c r="T846" s="3"/>
      <c r="U846" s="3"/>
      <c r="V846" s="3"/>
      <c r="W846" s="3"/>
      <c r="X846" s="3"/>
      <c r="Y846" s="3"/>
      <c r="Z846" s="3"/>
      <c r="AA846" s="3"/>
    </row>
    <row r="847" ht="105.75" customHeight="1">
      <c r="A847" s="11"/>
      <c r="B847" s="12"/>
      <c r="C847" s="11"/>
      <c r="D847" s="13"/>
      <c r="E847" s="14"/>
      <c r="F847" s="14"/>
      <c r="G847" s="14"/>
      <c r="H847" s="15"/>
      <c r="I847" s="15"/>
      <c r="J847" s="3"/>
      <c r="K847" s="3"/>
      <c r="L847" s="3"/>
      <c r="M847" s="3"/>
      <c r="N847" s="3"/>
      <c r="O847" s="3"/>
      <c r="P847" s="3"/>
      <c r="Q847" s="3"/>
      <c r="R847" s="3"/>
      <c r="S847" s="3"/>
      <c r="T847" s="3"/>
      <c r="U847" s="3"/>
      <c r="V847" s="3"/>
      <c r="W847" s="3"/>
      <c r="X847" s="3"/>
      <c r="Y847" s="3"/>
      <c r="Z847" s="3"/>
      <c r="AA847" s="3"/>
    </row>
    <row r="848" ht="105.75" customHeight="1">
      <c r="A848" s="11"/>
      <c r="B848" s="12"/>
      <c r="C848" s="11"/>
      <c r="D848" s="13"/>
      <c r="E848" s="14"/>
      <c r="F848" s="14"/>
      <c r="G848" s="14"/>
      <c r="H848" s="15"/>
      <c r="I848" s="15"/>
      <c r="J848" s="3"/>
      <c r="K848" s="3"/>
      <c r="L848" s="3"/>
      <c r="M848" s="3"/>
      <c r="N848" s="3"/>
      <c r="O848" s="3"/>
      <c r="P848" s="3"/>
      <c r="Q848" s="3"/>
      <c r="R848" s="3"/>
      <c r="S848" s="3"/>
      <c r="T848" s="3"/>
      <c r="U848" s="3"/>
      <c r="V848" s="3"/>
      <c r="W848" s="3"/>
      <c r="X848" s="3"/>
      <c r="Y848" s="3"/>
      <c r="Z848" s="3"/>
      <c r="AA848" s="3"/>
    </row>
    <row r="849" ht="105.75" customHeight="1">
      <c r="A849" s="11"/>
      <c r="B849" s="12"/>
      <c r="C849" s="11"/>
      <c r="D849" s="13"/>
      <c r="E849" s="14"/>
      <c r="F849" s="14"/>
      <c r="G849" s="14"/>
      <c r="H849" s="15"/>
      <c r="I849" s="15"/>
      <c r="J849" s="3"/>
      <c r="K849" s="3"/>
      <c r="L849" s="3"/>
      <c r="M849" s="3"/>
      <c r="N849" s="3"/>
      <c r="O849" s="3"/>
      <c r="P849" s="3"/>
      <c r="Q849" s="3"/>
      <c r="R849" s="3"/>
      <c r="S849" s="3"/>
      <c r="T849" s="3"/>
      <c r="U849" s="3"/>
      <c r="V849" s="3"/>
      <c r="W849" s="3"/>
      <c r="X849" s="3"/>
      <c r="Y849" s="3"/>
      <c r="Z849" s="3"/>
      <c r="AA849" s="3"/>
    </row>
    <row r="850" ht="105.75" customHeight="1">
      <c r="A850" s="11"/>
      <c r="B850" s="12"/>
      <c r="C850" s="11"/>
      <c r="D850" s="13"/>
      <c r="E850" s="14"/>
      <c r="F850" s="14"/>
      <c r="G850" s="14"/>
      <c r="H850" s="15"/>
      <c r="I850" s="15"/>
      <c r="J850" s="3"/>
      <c r="K850" s="3"/>
      <c r="L850" s="3"/>
      <c r="M850" s="3"/>
      <c r="N850" s="3"/>
      <c r="O850" s="3"/>
      <c r="P850" s="3"/>
      <c r="Q850" s="3"/>
      <c r="R850" s="3"/>
      <c r="S850" s="3"/>
      <c r="T850" s="3"/>
      <c r="U850" s="3"/>
      <c r="V850" s="3"/>
      <c r="W850" s="3"/>
      <c r="X850" s="3"/>
      <c r="Y850" s="3"/>
      <c r="Z850" s="3"/>
      <c r="AA850" s="3"/>
    </row>
    <row r="851" ht="105.75" customHeight="1">
      <c r="A851" s="11"/>
      <c r="B851" s="12"/>
      <c r="C851" s="11"/>
      <c r="D851" s="13"/>
      <c r="E851" s="14"/>
      <c r="F851" s="14"/>
      <c r="G851" s="14"/>
      <c r="H851" s="15"/>
      <c r="I851" s="15"/>
      <c r="J851" s="3"/>
      <c r="K851" s="3"/>
      <c r="L851" s="3"/>
      <c r="M851" s="3"/>
      <c r="N851" s="3"/>
      <c r="O851" s="3"/>
      <c r="P851" s="3"/>
      <c r="Q851" s="3"/>
      <c r="R851" s="3"/>
      <c r="S851" s="3"/>
      <c r="T851" s="3"/>
      <c r="U851" s="3"/>
      <c r="V851" s="3"/>
      <c r="W851" s="3"/>
      <c r="X851" s="3"/>
      <c r="Y851" s="3"/>
      <c r="Z851" s="3"/>
      <c r="AA851" s="3"/>
    </row>
    <row r="852" ht="105.75" customHeight="1">
      <c r="A852" s="11"/>
      <c r="B852" s="12"/>
      <c r="C852" s="11"/>
      <c r="D852" s="13"/>
      <c r="E852" s="14"/>
      <c r="F852" s="14"/>
      <c r="G852" s="14"/>
      <c r="H852" s="15"/>
      <c r="I852" s="15"/>
      <c r="J852" s="3"/>
      <c r="K852" s="3"/>
      <c r="L852" s="3"/>
      <c r="M852" s="3"/>
      <c r="N852" s="3"/>
      <c r="O852" s="3"/>
      <c r="P852" s="3"/>
      <c r="Q852" s="3"/>
      <c r="R852" s="3"/>
      <c r="S852" s="3"/>
      <c r="T852" s="3"/>
      <c r="U852" s="3"/>
      <c r="V852" s="3"/>
      <c r="W852" s="3"/>
      <c r="X852" s="3"/>
      <c r="Y852" s="3"/>
      <c r="Z852" s="3"/>
      <c r="AA852" s="3"/>
    </row>
    <row r="853" ht="105.75" customHeight="1">
      <c r="A853" s="11"/>
      <c r="B853" s="12"/>
      <c r="C853" s="11"/>
      <c r="D853" s="13"/>
      <c r="E853" s="16"/>
      <c r="F853" s="16"/>
      <c r="G853" s="16"/>
      <c r="H853" s="15"/>
      <c r="I853" s="15"/>
      <c r="J853" s="3"/>
      <c r="K853" s="3"/>
      <c r="L853" s="3"/>
      <c r="M853" s="3"/>
      <c r="N853" s="3"/>
      <c r="O853" s="3"/>
      <c r="P853" s="3"/>
      <c r="Q853" s="3"/>
      <c r="R853" s="3"/>
      <c r="S853" s="3"/>
      <c r="T853" s="3"/>
      <c r="U853" s="3"/>
      <c r="V853" s="3"/>
      <c r="W853" s="3"/>
      <c r="X853" s="3"/>
      <c r="Y853" s="3"/>
      <c r="Z853" s="3"/>
      <c r="AA853" s="3"/>
    </row>
    <row r="854" ht="105.75" customHeight="1">
      <c r="A854" s="11"/>
      <c r="B854" s="12"/>
      <c r="C854" s="11"/>
      <c r="D854" s="13"/>
      <c r="E854" s="14"/>
      <c r="F854" s="14"/>
      <c r="G854" s="14"/>
      <c r="H854" s="15"/>
      <c r="I854" s="15"/>
      <c r="J854" s="3"/>
      <c r="K854" s="3"/>
      <c r="L854" s="3"/>
      <c r="M854" s="3"/>
      <c r="N854" s="3"/>
      <c r="O854" s="3"/>
      <c r="P854" s="3"/>
      <c r="Q854" s="3"/>
      <c r="R854" s="3"/>
      <c r="S854" s="3"/>
      <c r="T854" s="3"/>
      <c r="U854" s="3"/>
      <c r="V854" s="3"/>
      <c r="W854" s="3"/>
      <c r="X854" s="3"/>
      <c r="Y854" s="3"/>
      <c r="Z854" s="3"/>
      <c r="AA854" s="3"/>
    </row>
    <row r="855" ht="105.75" customHeight="1">
      <c r="A855" s="11"/>
      <c r="B855" s="12"/>
      <c r="C855" s="11"/>
      <c r="D855" s="13"/>
      <c r="E855" s="14"/>
      <c r="F855" s="14"/>
      <c r="G855" s="14"/>
      <c r="H855" s="15"/>
      <c r="I855" s="15"/>
      <c r="J855" s="3"/>
      <c r="K855" s="3"/>
      <c r="L855" s="3"/>
      <c r="M855" s="3"/>
      <c r="N855" s="3"/>
      <c r="O855" s="3"/>
      <c r="P855" s="3"/>
      <c r="Q855" s="3"/>
      <c r="R855" s="3"/>
      <c r="S855" s="3"/>
      <c r="T855" s="3"/>
      <c r="U855" s="3"/>
      <c r="V855" s="3"/>
      <c r="W855" s="3"/>
      <c r="X855" s="3"/>
      <c r="Y855" s="3"/>
      <c r="Z855" s="3"/>
      <c r="AA855" s="3"/>
    </row>
    <row r="856" ht="105.75" customHeight="1">
      <c r="A856" s="11"/>
      <c r="B856" s="12"/>
      <c r="C856" s="11"/>
      <c r="D856" s="13"/>
      <c r="E856" s="14"/>
      <c r="F856" s="14"/>
      <c r="G856" s="14"/>
      <c r="H856" s="15"/>
      <c r="I856" s="15"/>
      <c r="J856" s="3"/>
      <c r="K856" s="3"/>
      <c r="L856" s="3"/>
      <c r="M856" s="3"/>
      <c r="N856" s="3"/>
      <c r="O856" s="3"/>
      <c r="P856" s="3"/>
      <c r="Q856" s="3"/>
      <c r="R856" s="3"/>
      <c r="S856" s="3"/>
      <c r="T856" s="3"/>
      <c r="U856" s="3"/>
      <c r="V856" s="3"/>
      <c r="W856" s="3"/>
      <c r="X856" s="3"/>
      <c r="Y856" s="3"/>
      <c r="Z856" s="3"/>
      <c r="AA856" s="3"/>
    </row>
    <row r="857" ht="105.75" customHeight="1">
      <c r="A857" s="11"/>
      <c r="B857" s="12"/>
      <c r="C857" s="11"/>
      <c r="D857" s="13"/>
      <c r="E857" s="16"/>
      <c r="F857" s="16"/>
      <c r="G857" s="16"/>
      <c r="H857" s="15"/>
      <c r="I857" s="15"/>
      <c r="J857" s="3"/>
      <c r="K857" s="3"/>
      <c r="L857" s="3"/>
      <c r="M857" s="3"/>
      <c r="N857" s="3"/>
      <c r="O857" s="3"/>
      <c r="P857" s="3"/>
      <c r="Q857" s="3"/>
      <c r="R857" s="3"/>
      <c r="S857" s="3"/>
      <c r="T857" s="3"/>
      <c r="U857" s="3"/>
      <c r="V857" s="3"/>
      <c r="W857" s="3"/>
      <c r="X857" s="3"/>
      <c r="Y857" s="3"/>
      <c r="Z857" s="3"/>
      <c r="AA857" s="3"/>
    </row>
    <row r="858" ht="105.75" customHeight="1">
      <c r="A858" s="11"/>
      <c r="B858" s="12"/>
      <c r="C858" s="11"/>
      <c r="D858" s="13"/>
      <c r="E858" s="16"/>
      <c r="F858" s="16"/>
      <c r="G858" s="16"/>
      <c r="H858" s="15"/>
      <c r="I858" s="15"/>
      <c r="J858" s="3"/>
      <c r="K858" s="3"/>
      <c r="L858" s="3"/>
      <c r="M858" s="3"/>
      <c r="N858" s="3"/>
      <c r="O858" s="3"/>
      <c r="P858" s="3"/>
      <c r="Q858" s="3"/>
      <c r="R858" s="3"/>
      <c r="S858" s="3"/>
      <c r="T858" s="3"/>
      <c r="U858" s="3"/>
      <c r="V858" s="3"/>
      <c r="W858" s="3"/>
      <c r="X858" s="3"/>
      <c r="Y858" s="3"/>
      <c r="Z858" s="3"/>
      <c r="AA858" s="3"/>
    </row>
    <row r="859" ht="105.75" customHeight="1">
      <c r="A859" s="11"/>
      <c r="B859" s="12"/>
      <c r="C859" s="11"/>
      <c r="D859" s="13"/>
      <c r="E859" s="16"/>
      <c r="F859" s="16"/>
      <c r="G859" s="16"/>
      <c r="H859" s="15"/>
      <c r="I859" s="15"/>
      <c r="J859" s="3"/>
      <c r="K859" s="3"/>
      <c r="L859" s="3"/>
      <c r="M859" s="3"/>
      <c r="N859" s="3"/>
      <c r="O859" s="3"/>
      <c r="P859" s="3"/>
      <c r="Q859" s="3"/>
      <c r="R859" s="3"/>
      <c r="S859" s="3"/>
      <c r="T859" s="3"/>
      <c r="U859" s="3"/>
      <c r="V859" s="3"/>
      <c r="W859" s="3"/>
      <c r="X859" s="3"/>
      <c r="Y859" s="3"/>
      <c r="Z859" s="3"/>
      <c r="AA859" s="3"/>
    </row>
    <row r="860" ht="105.75" customHeight="1">
      <c r="A860" s="11"/>
      <c r="B860" s="12"/>
      <c r="C860" s="11"/>
      <c r="D860" s="13"/>
      <c r="E860" s="14"/>
      <c r="F860" s="14"/>
      <c r="G860" s="14"/>
      <c r="H860" s="15"/>
      <c r="I860" s="15"/>
      <c r="J860" s="3"/>
      <c r="K860" s="3"/>
      <c r="L860" s="3"/>
      <c r="M860" s="3"/>
      <c r="N860" s="3"/>
      <c r="O860" s="3"/>
      <c r="P860" s="3"/>
      <c r="Q860" s="3"/>
      <c r="R860" s="3"/>
      <c r="S860" s="3"/>
      <c r="T860" s="3"/>
      <c r="U860" s="3"/>
      <c r="V860" s="3"/>
      <c r="W860" s="3"/>
      <c r="X860" s="3"/>
      <c r="Y860" s="3"/>
      <c r="Z860" s="3"/>
      <c r="AA860" s="3"/>
    </row>
    <row r="861" ht="105.75" customHeight="1">
      <c r="A861" s="11"/>
      <c r="B861" s="12"/>
      <c r="C861" s="11"/>
      <c r="D861" s="13"/>
      <c r="E861" s="16"/>
      <c r="F861" s="16"/>
      <c r="G861" s="16"/>
      <c r="H861" s="15"/>
      <c r="I861" s="15"/>
      <c r="J861" s="3"/>
      <c r="K861" s="3"/>
      <c r="L861" s="3"/>
      <c r="M861" s="3"/>
      <c r="N861" s="3"/>
      <c r="O861" s="3"/>
      <c r="P861" s="3"/>
      <c r="Q861" s="3"/>
      <c r="R861" s="3"/>
      <c r="S861" s="3"/>
      <c r="T861" s="3"/>
      <c r="U861" s="3"/>
      <c r="V861" s="3"/>
      <c r="W861" s="3"/>
      <c r="X861" s="3"/>
      <c r="Y861" s="3"/>
      <c r="Z861" s="3"/>
      <c r="AA861" s="3"/>
    </row>
    <row r="862" ht="105.75" customHeight="1">
      <c r="A862" s="11"/>
      <c r="B862" s="12"/>
      <c r="C862" s="11"/>
      <c r="D862" s="13"/>
      <c r="E862" s="14"/>
      <c r="F862" s="14"/>
      <c r="G862" s="14"/>
      <c r="H862" s="15"/>
      <c r="I862" s="15"/>
      <c r="J862" s="3"/>
      <c r="K862" s="3"/>
      <c r="L862" s="3"/>
      <c r="M862" s="3"/>
      <c r="N862" s="3"/>
      <c r="O862" s="3"/>
      <c r="P862" s="3"/>
      <c r="Q862" s="3"/>
      <c r="R862" s="3"/>
      <c r="S862" s="3"/>
      <c r="T862" s="3"/>
      <c r="U862" s="3"/>
      <c r="V862" s="3"/>
      <c r="W862" s="3"/>
      <c r="X862" s="3"/>
      <c r="Y862" s="3"/>
      <c r="Z862" s="3"/>
      <c r="AA862" s="3"/>
    </row>
    <row r="863" ht="105.75" customHeight="1">
      <c r="A863" s="11"/>
      <c r="B863" s="12"/>
      <c r="C863" s="11"/>
      <c r="D863" s="13"/>
      <c r="E863" s="16"/>
      <c r="F863" s="16"/>
      <c r="G863" s="16"/>
      <c r="H863" s="15"/>
      <c r="I863" s="15"/>
      <c r="J863" s="3"/>
      <c r="K863" s="3"/>
      <c r="L863" s="3"/>
      <c r="M863" s="3"/>
      <c r="N863" s="3"/>
      <c r="O863" s="3"/>
      <c r="P863" s="3"/>
      <c r="Q863" s="3"/>
      <c r="R863" s="3"/>
      <c r="S863" s="3"/>
      <c r="T863" s="3"/>
      <c r="U863" s="3"/>
      <c r="V863" s="3"/>
      <c r="W863" s="3"/>
      <c r="X863" s="3"/>
      <c r="Y863" s="3"/>
      <c r="Z863" s="3"/>
      <c r="AA863" s="3"/>
    </row>
    <row r="864" ht="105.75" customHeight="1">
      <c r="A864" s="11"/>
      <c r="B864" s="12"/>
      <c r="C864" s="11"/>
      <c r="D864" s="13"/>
      <c r="E864" s="14"/>
      <c r="F864" s="14"/>
      <c r="G864" s="14"/>
      <c r="H864" s="15"/>
      <c r="I864" s="15"/>
      <c r="J864" s="3"/>
      <c r="K864" s="3"/>
      <c r="L864" s="3"/>
      <c r="M864" s="3"/>
      <c r="N864" s="3"/>
      <c r="O864" s="3"/>
      <c r="P864" s="3"/>
      <c r="Q864" s="3"/>
      <c r="R864" s="3"/>
      <c r="S864" s="3"/>
      <c r="T864" s="3"/>
      <c r="U864" s="3"/>
      <c r="V864" s="3"/>
      <c r="W864" s="3"/>
      <c r="X864" s="3"/>
      <c r="Y864" s="3"/>
      <c r="Z864" s="3"/>
      <c r="AA864" s="3"/>
    </row>
    <row r="865" ht="105.75" customHeight="1">
      <c r="A865" s="11"/>
      <c r="B865" s="12"/>
      <c r="C865" s="11"/>
      <c r="D865" s="13"/>
      <c r="E865" s="14"/>
      <c r="F865" s="14"/>
      <c r="G865" s="14"/>
      <c r="H865" s="15"/>
      <c r="I865" s="15"/>
      <c r="J865" s="3"/>
      <c r="K865" s="3"/>
      <c r="L865" s="3"/>
      <c r="M865" s="3"/>
      <c r="N865" s="3"/>
      <c r="O865" s="3"/>
      <c r="P865" s="3"/>
      <c r="Q865" s="3"/>
      <c r="R865" s="3"/>
      <c r="S865" s="3"/>
      <c r="T865" s="3"/>
      <c r="U865" s="3"/>
      <c r="V865" s="3"/>
      <c r="W865" s="3"/>
      <c r="X865" s="3"/>
      <c r="Y865" s="3"/>
      <c r="Z865" s="3"/>
      <c r="AA865" s="3"/>
    </row>
    <row r="866" ht="105.75" customHeight="1">
      <c r="A866" s="11"/>
      <c r="B866" s="12"/>
      <c r="C866" s="11"/>
      <c r="D866" s="13"/>
      <c r="E866" s="14"/>
      <c r="F866" s="14"/>
      <c r="G866" s="14"/>
      <c r="H866" s="15"/>
      <c r="I866" s="15"/>
      <c r="J866" s="3"/>
      <c r="K866" s="3"/>
      <c r="L866" s="3"/>
      <c r="M866" s="3"/>
      <c r="N866" s="3"/>
      <c r="O866" s="3"/>
      <c r="P866" s="3"/>
      <c r="Q866" s="3"/>
      <c r="R866" s="3"/>
      <c r="S866" s="3"/>
      <c r="T866" s="3"/>
      <c r="U866" s="3"/>
      <c r="V866" s="3"/>
      <c r="W866" s="3"/>
      <c r="X866" s="3"/>
      <c r="Y866" s="3"/>
      <c r="Z866" s="3"/>
      <c r="AA866" s="3"/>
    </row>
    <row r="867" ht="105.75" customHeight="1">
      <c r="A867" s="11"/>
      <c r="B867" s="12"/>
      <c r="C867" s="11"/>
      <c r="D867" s="13"/>
      <c r="E867" s="14"/>
      <c r="F867" s="14"/>
      <c r="G867" s="14"/>
      <c r="H867" s="15"/>
      <c r="I867" s="15"/>
      <c r="J867" s="3"/>
      <c r="K867" s="3"/>
      <c r="L867" s="3"/>
      <c r="M867" s="3"/>
      <c r="N867" s="3"/>
      <c r="O867" s="3"/>
      <c r="P867" s="3"/>
      <c r="Q867" s="3"/>
      <c r="R867" s="3"/>
      <c r="S867" s="3"/>
      <c r="T867" s="3"/>
      <c r="U867" s="3"/>
      <c r="V867" s="3"/>
      <c r="W867" s="3"/>
      <c r="X867" s="3"/>
      <c r="Y867" s="3"/>
      <c r="Z867" s="3"/>
      <c r="AA867" s="3"/>
    </row>
    <row r="868" ht="105.75" customHeight="1">
      <c r="A868" s="11"/>
      <c r="B868" s="12"/>
      <c r="C868" s="11"/>
      <c r="D868" s="13"/>
      <c r="E868" s="16"/>
      <c r="F868" s="16"/>
      <c r="G868" s="16"/>
      <c r="H868" s="15"/>
      <c r="I868" s="15"/>
      <c r="J868" s="3"/>
      <c r="K868" s="3"/>
      <c r="L868" s="3"/>
      <c r="M868" s="3"/>
      <c r="N868" s="3"/>
      <c r="O868" s="3"/>
      <c r="P868" s="3"/>
      <c r="Q868" s="3"/>
      <c r="R868" s="3"/>
      <c r="S868" s="3"/>
      <c r="T868" s="3"/>
      <c r="U868" s="3"/>
      <c r="V868" s="3"/>
      <c r="W868" s="3"/>
      <c r="X868" s="3"/>
      <c r="Y868" s="3"/>
      <c r="Z868" s="3"/>
      <c r="AA868" s="3"/>
    </row>
    <row r="869" ht="105.75" customHeight="1">
      <c r="A869" s="11"/>
      <c r="B869" s="12"/>
      <c r="C869" s="11"/>
      <c r="D869" s="13"/>
      <c r="E869" s="16"/>
      <c r="F869" s="16"/>
      <c r="G869" s="16"/>
      <c r="H869" s="15"/>
      <c r="I869" s="15"/>
      <c r="J869" s="3"/>
      <c r="K869" s="3"/>
      <c r="L869" s="3"/>
      <c r="M869" s="3"/>
      <c r="N869" s="3"/>
      <c r="O869" s="3"/>
      <c r="P869" s="3"/>
      <c r="Q869" s="3"/>
      <c r="R869" s="3"/>
      <c r="S869" s="3"/>
      <c r="T869" s="3"/>
      <c r="U869" s="3"/>
      <c r="V869" s="3"/>
      <c r="W869" s="3"/>
      <c r="X869" s="3"/>
      <c r="Y869" s="3"/>
      <c r="Z869" s="3"/>
      <c r="AA869" s="3"/>
    </row>
    <row r="870" ht="105.75" customHeight="1">
      <c r="A870" s="11"/>
      <c r="B870" s="12"/>
      <c r="C870" s="11"/>
      <c r="D870" s="13"/>
      <c r="E870" s="14"/>
      <c r="F870" s="14"/>
      <c r="G870" s="14"/>
      <c r="H870" s="15"/>
      <c r="I870" s="15"/>
      <c r="J870" s="3"/>
      <c r="K870" s="3"/>
      <c r="L870" s="3"/>
      <c r="M870" s="3"/>
      <c r="N870" s="3"/>
      <c r="O870" s="3"/>
      <c r="P870" s="3"/>
      <c r="Q870" s="3"/>
      <c r="R870" s="3"/>
      <c r="S870" s="3"/>
      <c r="T870" s="3"/>
      <c r="U870" s="3"/>
      <c r="V870" s="3"/>
      <c r="W870" s="3"/>
      <c r="X870" s="3"/>
      <c r="Y870" s="3"/>
      <c r="Z870" s="3"/>
      <c r="AA870" s="3"/>
    </row>
    <row r="871" ht="105.75" customHeight="1">
      <c r="A871" s="11"/>
      <c r="B871" s="12"/>
      <c r="C871" s="11"/>
      <c r="D871" s="13"/>
      <c r="E871" s="16"/>
      <c r="F871" s="16"/>
      <c r="G871" s="16"/>
      <c r="H871" s="15"/>
      <c r="I871" s="15"/>
      <c r="J871" s="3"/>
      <c r="K871" s="3"/>
      <c r="L871" s="3"/>
      <c r="M871" s="3"/>
      <c r="N871" s="3"/>
      <c r="O871" s="3"/>
      <c r="P871" s="3"/>
      <c r="Q871" s="3"/>
      <c r="R871" s="3"/>
      <c r="S871" s="3"/>
      <c r="T871" s="3"/>
      <c r="U871" s="3"/>
      <c r="V871" s="3"/>
      <c r="W871" s="3"/>
      <c r="X871" s="3"/>
      <c r="Y871" s="3"/>
      <c r="Z871" s="3"/>
      <c r="AA871" s="3"/>
    </row>
    <row r="872" ht="105.75" customHeight="1">
      <c r="A872" s="11"/>
      <c r="B872" s="12"/>
      <c r="C872" s="11"/>
      <c r="D872" s="13"/>
      <c r="E872" s="16"/>
      <c r="F872" s="16"/>
      <c r="G872" s="16"/>
      <c r="H872" s="15"/>
      <c r="I872" s="15"/>
      <c r="J872" s="3"/>
      <c r="K872" s="3"/>
      <c r="L872" s="3"/>
      <c r="M872" s="3"/>
      <c r="N872" s="3"/>
      <c r="O872" s="3"/>
      <c r="P872" s="3"/>
      <c r="Q872" s="3"/>
      <c r="R872" s="3"/>
      <c r="S872" s="3"/>
      <c r="T872" s="3"/>
      <c r="U872" s="3"/>
      <c r="V872" s="3"/>
      <c r="W872" s="3"/>
      <c r="X872" s="3"/>
      <c r="Y872" s="3"/>
      <c r="Z872" s="3"/>
      <c r="AA872" s="3"/>
    </row>
    <row r="873" ht="105.75" customHeight="1">
      <c r="A873" s="11"/>
      <c r="B873" s="12"/>
      <c r="C873" s="11"/>
      <c r="D873" s="13"/>
      <c r="E873" s="14"/>
      <c r="F873" s="14"/>
      <c r="G873" s="14"/>
      <c r="H873" s="15"/>
      <c r="I873" s="15"/>
      <c r="J873" s="3"/>
      <c r="K873" s="3"/>
      <c r="L873" s="3"/>
      <c r="M873" s="3"/>
      <c r="N873" s="3"/>
      <c r="O873" s="3"/>
      <c r="P873" s="3"/>
      <c r="Q873" s="3"/>
      <c r="R873" s="3"/>
      <c r="S873" s="3"/>
      <c r="T873" s="3"/>
      <c r="U873" s="3"/>
      <c r="V873" s="3"/>
      <c r="W873" s="3"/>
      <c r="X873" s="3"/>
      <c r="Y873" s="3"/>
      <c r="Z873" s="3"/>
      <c r="AA873" s="3"/>
    </row>
    <row r="874" ht="105.75" customHeight="1">
      <c r="A874" s="11"/>
      <c r="B874" s="12"/>
      <c r="C874" s="11"/>
      <c r="D874" s="13"/>
      <c r="E874" s="14"/>
      <c r="F874" s="14"/>
      <c r="G874" s="14"/>
      <c r="H874" s="15"/>
      <c r="I874" s="15"/>
      <c r="J874" s="3"/>
      <c r="K874" s="3"/>
      <c r="L874" s="3"/>
      <c r="M874" s="3"/>
      <c r="N874" s="3"/>
      <c r="O874" s="3"/>
      <c r="P874" s="3"/>
      <c r="Q874" s="3"/>
      <c r="R874" s="3"/>
      <c r="S874" s="3"/>
      <c r="T874" s="3"/>
      <c r="U874" s="3"/>
      <c r="V874" s="3"/>
      <c r="W874" s="3"/>
      <c r="X874" s="3"/>
      <c r="Y874" s="3"/>
      <c r="Z874" s="3"/>
      <c r="AA874" s="3"/>
    </row>
    <row r="875" ht="105.75" customHeight="1">
      <c r="A875" s="11"/>
      <c r="B875" s="12"/>
      <c r="C875" s="11"/>
      <c r="D875" s="13"/>
      <c r="E875" s="14"/>
      <c r="F875" s="14"/>
      <c r="G875" s="14"/>
      <c r="H875" s="15"/>
      <c r="I875" s="15"/>
      <c r="J875" s="3"/>
      <c r="K875" s="3"/>
      <c r="L875" s="3"/>
      <c r="M875" s="3"/>
      <c r="N875" s="3"/>
      <c r="O875" s="3"/>
      <c r="P875" s="3"/>
      <c r="Q875" s="3"/>
      <c r="R875" s="3"/>
      <c r="S875" s="3"/>
      <c r="T875" s="3"/>
      <c r="U875" s="3"/>
      <c r="V875" s="3"/>
      <c r="W875" s="3"/>
      <c r="X875" s="3"/>
      <c r="Y875" s="3"/>
      <c r="Z875" s="3"/>
      <c r="AA875" s="3"/>
    </row>
    <row r="876" ht="105.75" customHeight="1">
      <c r="A876" s="11"/>
      <c r="B876" s="12"/>
      <c r="C876" s="11"/>
      <c r="D876" s="13"/>
      <c r="E876" s="14"/>
      <c r="F876" s="14"/>
      <c r="G876" s="14"/>
      <c r="H876" s="15"/>
      <c r="I876" s="15"/>
      <c r="J876" s="3"/>
      <c r="K876" s="3"/>
      <c r="L876" s="3"/>
      <c r="M876" s="3"/>
      <c r="N876" s="3"/>
      <c r="O876" s="3"/>
      <c r="P876" s="3"/>
      <c r="Q876" s="3"/>
      <c r="R876" s="3"/>
      <c r="S876" s="3"/>
      <c r="T876" s="3"/>
      <c r="U876" s="3"/>
      <c r="V876" s="3"/>
      <c r="W876" s="3"/>
      <c r="X876" s="3"/>
      <c r="Y876" s="3"/>
      <c r="Z876" s="3"/>
      <c r="AA876" s="3"/>
    </row>
    <row r="877" ht="105.75" customHeight="1">
      <c r="A877" s="11"/>
      <c r="B877" s="12"/>
      <c r="C877" s="11"/>
      <c r="D877" s="13"/>
      <c r="E877" s="14"/>
      <c r="F877" s="14"/>
      <c r="G877" s="14"/>
      <c r="H877" s="15"/>
      <c r="I877" s="15"/>
      <c r="J877" s="3"/>
      <c r="K877" s="3"/>
      <c r="L877" s="3"/>
      <c r="M877" s="3"/>
      <c r="N877" s="3"/>
      <c r="O877" s="3"/>
      <c r="P877" s="3"/>
      <c r="Q877" s="3"/>
      <c r="R877" s="3"/>
      <c r="S877" s="3"/>
      <c r="T877" s="3"/>
      <c r="U877" s="3"/>
      <c r="V877" s="3"/>
      <c r="W877" s="3"/>
      <c r="X877" s="3"/>
      <c r="Y877" s="3"/>
      <c r="Z877" s="3"/>
      <c r="AA877" s="3"/>
    </row>
    <row r="878" ht="105.75" customHeight="1">
      <c r="A878" s="11"/>
      <c r="B878" s="12"/>
      <c r="C878" s="11"/>
      <c r="D878" s="13"/>
      <c r="E878" s="14"/>
      <c r="F878" s="14"/>
      <c r="G878" s="14"/>
      <c r="H878" s="15"/>
      <c r="I878" s="15"/>
      <c r="J878" s="3"/>
      <c r="K878" s="3"/>
      <c r="L878" s="3"/>
      <c r="M878" s="3"/>
      <c r="N878" s="3"/>
      <c r="O878" s="3"/>
      <c r="P878" s="3"/>
      <c r="Q878" s="3"/>
      <c r="R878" s="3"/>
      <c r="S878" s="3"/>
      <c r="T878" s="3"/>
      <c r="U878" s="3"/>
      <c r="V878" s="3"/>
      <c r="W878" s="3"/>
      <c r="X878" s="3"/>
      <c r="Y878" s="3"/>
      <c r="Z878" s="3"/>
      <c r="AA878" s="3"/>
    </row>
    <row r="879" ht="105.75" customHeight="1">
      <c r="A879" s="11"/>
      <c r="B879" s="12"/>
      <c r="C879" s="11"/>
      <c r="D879" s="13"/>
      <c r="E879" s="16"/>
      <c r="F879" s="16"/>
      <c r="G879" s="16"/>
      <c r="H879" s="15"/>
      <c r="I879" s="15"/>
      <c r="J879" s="3"/>
      <c r="K879" s="3"/>
      <c r="L879" s="3"/>
      <c r="M879" s="3"/>
      <c r="N879" s="3"/>
      <c r="O879" s="3"/>
      <c r="P879" s="3"/>
      <c r="Q879" s="3"/>
      <c r="R879" s="3"/>
      <c r="S879" s="3"/>
      <c r="T879" s="3"/>
      <c r="U879" s="3"/>
      <c r="V879" s="3"/>
      <c r="W879" s="3"/>
      <c r="X879" s="3"/>
      <c r="Y879" s="3"/>
      <c r="Z879" s="3"/>
      <c r="AA879" s="3"/>
    </row>
    <row r="880" ht="105.75" customHeight="1">
      <c r="A880" s="11"/>
      <c r="B880" s="12"/>
      <c r="C880" s="11"/>
      <c r="D880" s="13"/>
      <c r="E880" s="14"/>
      <c r="F880" s="14"/>
      <c r="G880" s="14"/>
      <c r="H880" s="15"/>
      <c r="I880" s="15"/>
      <c r="J880" s="3"/>
      <c r="K880" s="3"/>
      <c r="L880" s="3"/>
      <c r="M880" s="3"/>
      <c r="N880" s="3"/>
      <c r="O880" s="3"/>
      <c r="P880" s="3"/>
      <c r="Q880" s="3"/>
      <c r="R880" s="3"/>
      <c r="S880" s="3"/>
      <c r="T880" s="3"/>
      <c r="U880" s="3"/>
      <c r="V880" s="3"/>
      <c r="W880" s="3"/>
      <c r="X880" s="3"/>
      <c r="Y880" s="3"/>
      <c r="Z880" s="3"/>
      <c r="AA880" s="3"/>
    </row>
    <row r="881" ht="105.75" customHeight="1">
      <c r="A881" s="11"/>
      <c r="B881" s="12"/>
      <c r="C881" s="11"/>
      <c r="D881" s="13"/>
      <c r="E881" s="14"/>
      <c r="F881" s="14"/>
      <c r="G881" s="14"/>
      <c r="H881" s="15"/>
      <c r="I881" s="15"/>
      <c r="J881" s="3"/>
      <c r="K881" s="3"/>
      <c r="L881" s="3"/>
      <c r="M881" s="3"/>
      <c r="N881" s="3"/>
      <c r="O881" s="3"/>
      <c r="P881" s="3"/>
      <c r="Q881" s="3"/>
      <c r="R881" s="3"/>
      <c r="S881" s="3"/>
      <c r="T881" s="3"/>
      <c r="U881" s="3"/>
      <c r="V881" s="3"/>
      <c r="W881" s="3"/>
      <c r="X881" s="3"/>
      <c r="Y881" s="3"/>
      <c r="Z881" s="3"/>
      <c r="AA881" s="3"/>
    </row>
    <row r="882" ht="105.75" customHeight="1">
      <c r="A882" s="11"/>
      <c r="B882" s="12"/>
      <c r="C882" s="11"/>
      <c r="D882" s="13"/>
      <c r="E882" s="14"/>
      <c r="F882" s="14"/>
      <c r="G882" s="14"/>
      <c r="H882" s="15"/>
      <c r="I882" s="15"/>
      <c r="J882" s="3"/>
      <c r="K882" s="3"/>
      <c r="L882" s="3"/>
      <c r="M882" s="3"/>
      <c r="N882" s="3"/>
      <c r="O882" s="3"/>
      <c r="P882" s="3"/>
      <c r="Q882" s="3"/>
      <c r="R882" s="3"/>
      <c r="S882" s="3"/>
      <c r="T882" s="3"/>
      <c r="U882" s="3"/>
      <c r="V882" s="3"/>
      <c r="W882" s="3"/>
      <c r="X882" s="3"/>
      <c r="Y882" s="3"/>
      <c r="Z882" s="3"/>
      <c r="AA882" s="3"/>
    </row>
    <row r="883" ht="105.75" customHeight="1">
      <c r="A883" s="11"/>
      <c r="B883" s="12"/>
      <c r="C883" s="11"/>
      <c r="D883" s="13"/>
      <c r="E883" s="14"/>
      <c r="F883" s="14"/>
      <c r="G883" s="14"/>
      <c r="H883" s="15"/>
      <c r="I883" s="15"/>
      <c r="J883" s="3"/>
      <c r="K883" s="3"/>
      <c r="L883" s="3"/>
      <c r="M883" s="3"/>
      <c r="N883" s="3"/>
      <c r="O883" s="3"/>
      <c r="P883" s="3"/>
      <c r="Q883" s="3"/>
      <c r="R883" s="3"/>
      <c r="S883" s="3"/>
      <c r="T883" s="3"/>
      <c r="U883" s="3"/>
      <c r="V883" s="3"/>
      <c r="W883" s="3"/>
      <c r="X883" s="3"/>
      <c r="Y883" s="3"/>
      <c r="Z883" s="3"/>
      <c r="AA883" s="3"/>
    </row>
    <row r="884" ht="105.75" customHeight="1">
      <c r="A884" s="11"/>
      <c r="B884" s="12"/>
      <c r="C884" s="11"/>
      <c r="D884" s="13"/>
      <c r="E884" s="14"/>
      <c r="F884" s="14"/>
      <c r="G884" s="14"/>
      <c r="H884" s="15"/>
      <c r="I884" s="15"/>
      <c r="J884" s="3"/>
      <c r="K884" s="3"/>
      <c r="L884" s="3"/>
      <c r="M884" s="3"/>
      <c r="N884" s="3"/>
      <c r="O884" s="3"/>
      <c r="P884" s="3"/>
      <c r="Q884" s="3"/>
      <c r="R884" s="3"/>
      <c r="S884" s="3"/>
      <c r="T884" s="3"/>
      <c r="U884" s="3"/>
      <c r="V884" s="3"/>
      <c r="W884" s="3"/>
      <c r="X884" s="3"/>
      <c r="Y884" s="3"/>
      <c r="Z884" s="3"/>
      <c r="AA884" s="3"/>
    </row>
    <row r="885" ht="105.75" customHeight="1">
      <c r="A885" s="11"/>
      <c r="B885" s="12"/>
      <c r="C885" s="11"/>
      <c r="D885" s="13"/>
      <c r="E885" s="16"/>
      <c r="F885" s="16"/>
      <c r="G885" s="16"/>
      <c r="H885" s="15"/>
      <c r="I885" s="15"/>
      <c r="J885" s="3"/>
      <c r="K885" s="3"/>
      <c r="L885" s="3"/>
      <c r="M885" s="3"/>
      <c r="N885" s="3"/>
      <c r="O885" s="3"/>
      <c r="P885" s="3"/>
      <c r="Q885" s="3"/>
      <c r="R885" s="3"/>
      <c r="S885" s="3"/>
      <c r="T885" s="3"/>
      <c r="U885" s="3"/>
      <c r="V885" s="3"/>
      <c r="W885" s="3"/>
      <c r="X885" s="3"/>
      <c r="Y885" s="3"/>
      <c r="Z885" s="3"/>
      <c r="AA885" s="3"/>
    </row>
    <row r="886" ht="105.75" customHeight="1">
      <c r="A886" s="11"/>
      <c r="B886" s="12"/>
      <c r="C886" s="11"/>
      <c r="D886" s="13"/>
      <c r="E886" s="14"/>
      <c r="F886" s="14"/>
      <c r="G886" s="14"/>
      <c r="H886" s="15"/>
      <c r="I886" s="15"/>
      <c r="J886" s="3"/>
      <c r="K886" s="3"/>
      <c r="L886" s="3"/>
      <c r="M886" s="3"/>
      <c r="N886" s="3"/>
      <c r="O886" s="3"/>
      <c r="P886" s="3"/>
      <c r="Q886" s="3"/>
      <c r="R886" s="3"/>
      <c r="S886" s="3"/>
      <c r="T886" s="3"/>
      <c r="U886" s="3"/>
      <c r="V886" s="3"/>
      <c r="W886" s="3"/>
      <c r="X886" s="3"/>
      <c r="Y886" s="3"/>
      <c r="Z886" s="3"/>
      <c r="AA886" s="3"/>
    </row>
    <row r="887" ht="105.75" customHeight="1">
      <c r="A887" s="11"/>
      <c r="B887" s="12"/>
      <c r="C887" s="11"/>
      <c r="D887" s="13"/>
      <c r="E887" s="14"/>
      <c r="F887" s="14"/>
      <c r="G887" s="14"/>
      <c r="H887" s="15"/>
      <c r="I887" s="15"/>
      <c r="J887" s="3"/>
      <c r="K887" s="3"/>
      <c r="L887" s="3"/>
      <c r="M887" s="3"/>
      <c r="N887" s="3"/>
      <c r="O887" s="3"/>
      <c r="P887" s="3"/>
      <c r="Q887" s="3"/>
      <c r="R887" s="3"/>
      <c r="S887" s="3"/>
      <c r="T887" s="3"/>
      <c r="U887" s="3"/>
      <c r="V887" s="3"/>
      <c r="W887" s="3"/>
      <c r="X887" s="3"/>
      <c r="Y887" s="3"/>
      <c r="Z887" s="3"/>
      <c r="AA887" s="3"/>
    </row>
    <row r="888" ht="105.75" customHeight="1">
      <c r="A888" s="11"/>
      <c r="B888" s="12"/>
      <c r="C888" s="11"/>
      <c r="D888" s="13"/>
      <c r="E888" s="14"/>
      <c r="F888" s="14"/>
      <c r="G888" s="14"/>
      <c r="H888" s="15"/>
      <c r="I888" s="15"/>
      <c r="J888" s="3"/>
      <c r="K888" s="3"/>
      <c r="L888" s="3"/>
      <c r="M888" s="3"/>
      <c r="N888" s="3"/>
      <c r="O888" s="3"/>
      <c r="P888" s="3"/>
      <c r="Q888" s="3"/>
      <c r="R888" s="3"/>
      <c r="S888" s="3"/>
      <c r="T888" s="3"/>
      <c r="U888" s="3"/>
      <c r="V888" s="3"/>
      <c r="W888" s="3"/>
      <c r="X888" s="3"/>
      <c r="Y888" s="3"/>
      <c r="Z888" s="3"/>
      <c r="AA888" s="3"/>
    </row>
    <row r="889" ht="105.75" customHeight="1">
      <c r="A889" s="11"/>
      <c r="B889" s="12"/>
      <c r="C889" s="11"/>
      <c r="D889" s="13"/>
      <c r="E889" s="14"/>
      <c r="F889" s="14"/>
      <c r="G889" s="14"/>
      <c r="H889" s="15"/>
      <c r="I889" s="15"/>
      <c r="J889" s="3"/>
      <c r="K889" s="3"/>
      <c r="L889" s="3"/>
      <c r="M889" s="3"/>
      <c r="N889" s="3"/>
      <c r="O889" s="3"/>
      <c r="P889" s="3"/>
      <c r="Q889" s="3"/>
      <c r="R889" s="3"/>
      <c r="S889" s="3"/>
      <c r="T889" s="3"/>
      <c r="U889" s="3"/>
      <c r="V889" s="3"/>
      <c r="W889" s="3"/>
      <c r="X889" s="3"/>
      <c r="Y889" s="3"/>
      <c r="Z889" s="3"/>
      <c r="AA889" s="3"/>
    </row>
    <row r="890" ht="105.75" customHeight="1">
      <c r="A890" s="11"/>
      <c r="B890" s="12"/>
      <c r="C890" s="11"/>
      <c r="D890" s="13"/>
      <c r="E890" s="16"/>
      <c r="F890" s="16"/>
      <c r="G890" s="16"/>
      <c r="H890" s="15"/>
      <c r="I890" s="15"/>
      <c r="J890" s="3"/>
      <c r="K890" s="3"/>
      <c r="L890" s="3"/>
      <c r="M890" s="3"/>
      <c r="N890" s="3"/>
      <c r="O890" s="3"/>
      <c r="P890" s="3"/>
      <c r="Q890" s="3"/>
      <c r="R890" s="3"/>
      <c r="S890" s="3"/>
      <c r="T890" s="3"/>
      <c r="U890" s="3"/>
      <c r="V890" s="3"/>
      <c r="W890" s="3"/>
      <c r="X890" s="3"/>
      <c r="Y890" s="3"/>
      <c r="Z890" s="3"/>
      <c r="AA890" s="3"/>
    </row>
    <row r="891" ht="105.75" customHeight="1">
      <c r="A891" s="11"/>
      <c r="B891" s="12"/>
      <c r="C891" s="11"/>
      <c r="D891" s="13"/>
      <c r="E891" s="14"/>
      <c r="F891" s="14"/>
      <c r="G891" s="14"/>
      <c r="H891" s="15"/>
      <c r="I891" s="15"/>
      <c r="J891" s="3"/>
      <c r="K891" s="3"/>
      <c r="L891" s="3"/>
      <c r="M891" s="3"/>
      <c r="N891" s="3"/>
      <c r="O891" s="3"/>
      <c r="P891" s="3"/>
      <c r="Q891" s="3"/>
      <c r="R891" s="3"/>
      <c r="S891" s="3"/>
      <c r="T891" s="3"/>
      <c r="U891" s="3"/>
      <c r="V891" s="3"/>
      <c r="W891" s="3"/>
      <c r="X891" s="3"/>
      <c r="Y891" s="3"/>
      <c r="Z891" s="3"/>
      <c r="AA891" s="3"/>
    </row>
    <row r="892" ht="105.75" customHeight="1">
      <c r="A892" s="11"/>
      <c r="B892" s="12"/>
      <c r="C892" s="11"/>
      <c r="D892" s="13"/>
      <c r="E892" s="14"/>
      <c r="F892" s="14"/>
      <c r="G892" s="14"/>
      <c r="H892" s="15"/>
      <c r="I892" s="15"/>
      <c r="J892" s="3"/>
      <c r="K892" s="3"/>
      <c r="L892" s="3"/>
      <c r="M892" s="3"/>
      <c r="N892" s="3"/>
      <c r="O892" s="3"/>
      <c r="P892" s="3"/>
      <c r="Q892" s="3"/>
      <c r="R892" s="3"/>
      <c r="S892" s="3"/>
      <c r="T892" s="3"/>
      <c r="U892" s="3"/>
      <c r="V892" s="3"/>
      <c r="W892" s="3"/>
      <c r="X892" s="3"/>
      <c r="Y892" s="3"/>
      <c r="Z892" s="3"/>
      <c r="AA892" s="3"/>
    </row>
    <row r="893" ht="105.75" customHeight="1">
      <c r="A893" s="11"/>
      <c r="B893" s="12"/>
      <c r="C893" s="11"/>
      <c r="D893" s="13"/>
      <c r="E893" s="14"/>
      <c r="F893" s="14"/>
      <c r="G893" s="14"/>
      <c r="H893" s="15"/>
      <c r="I893" s="15"/>
      <c r="J893" s="3"/>
      <c r="K893" s="3"/>
      <c r="L893" s="3"/>
      <c r="M893" s="3"/>
      <c r="N893" s="3"/>
      <c r="O893" s="3"/>
      <c r="P893" s="3"/>
      <c r="Q893" s="3"/>
      <c r="R893" s="3"/>
      <c r="S893" s="3"/>
      <c r="T893" s="3"/>
      <c r="U893" s="3"/>
      <c r="V893" s="3"/>
      <c r="W893" s="3"/>
      <c r="X893" s="3"/>
      <c r="Y893" s="3"/>
      <c r="Z893" s="3"/>
      <c r="AA893" s="3"/>
    </row>
    <row r="894" ht="105.75" customHeight="1">
      <c r="A894" s="11"/>
      <c r="B894" s="12"/>
      <c r="C894" s="11"/>
      <c r="D894" s="13"/>
      <c r="E894" s="14"/>
      <c r="F894" s="14"/>
      <c r="G894" s="14"/>
      <c r="H894" s="15"/>
      <c r="I894" s="15"/>
      <c r="J894" s="3"/>
      <c r="K894" s="3"/>
      <c r="L894" s="3"/>
      <c r="M894" s="3"/>
      <c r="N894" s="3"/>
      <c r="O894" s="3"/>
      <c r="P894" s="3"/>
      <c r="Q894" s="3"/>
      <c r="R894" s="3"/>
      <c r="S894" s="3"/>
      <c r="T894" s="3"/>
      <c r="U894" s="3"/>
      <c r="V894" s="3"/>
      <c r="W894" s="3"/>
      <c r="X894" s="3"/>
      <c r="Y894" s="3"/>
      <c r="Z894" s="3"/>
      <c r="AA894" s="3"/>
    </row>
    <row r="895" ht="105.75" customHeight="1">
      <c r="A895" s="11"/>
      <c r="B895" s="12"/>
      <c r="C895" s="11"/>
      <c r="D895" s="13"/>
      <c r="E895" s="14"/>
      <c r="F895" s="14"/>
      <c r="G895" s="14"/>
      <c r="H895" s="15"/>
      <c r="I895" s="15"/>
      <c r="J895" s="3"/>
      <c r="K895" s="3"/>
      <c r="L895" s="3"/>
      <c r="M895" s="3"/>
      <c r="N895" s="3"/>
      <c r="O895" s="3"/>
      <c r="P895" s="3"/>
      <c r="Q895" s="3"/>
      <c r="R895" s="3"/>
      <c r="S895" s="3"/>
      <c r="T895" s="3"/>
      <c r="U895" s="3"/>
      <c r="V895" s="3"/>
      <c r="W895" s="3"/>
      <c r="X895" s="3"/>
      <c r="Y895" s="3"/>
      <c r="Z895" s="3"/>
      <c r="AA895" s="3"/>
    </row>
    <row r="896" ht="105.75" customHeight="1">
      <c r="A896" s="11"/>
      <c r="B896" s="12"/>
      <c r="C896" s="11"/>
      <c r="D896" s="13"/>
      <c r="E896" s="16"/>
      <c r="F896" s="16"/>
      <c r="G896" s="16"/>
      <c r="H896" s="15"/>
      <c r="I896" s="15"/>
      <c r="J896" s="3"/>
      <c r="K896" s="3"/>
      <c r="L896" s="3"/>
      <c r="M896" s="3"/>
      <c r="N896" s="3"/>
      <c r="O896" s="3"/>
      <c r="P896" s="3"/>
      <c r="Q896" s="3"/>
      <c r="R896" s="3"/>
      <c r="S896" s="3"/>
      <c r="T896" s="3"/>
      <c r="U896" s="3"/>
      <c r="V896" s="3"/>
      <c r="W896" s="3"/>
      <c r="X896" s="3"/>
      <c r="Y896" s="3"/>
      <c r="Z896" s="3"/>
      <c r="AA896" s="3"/>
    </row>
    <row r="897" ht="105.75" customHeight="1">
      <c r="A897" s="11"/>
      <c r="B897" s="12"/>
      <c r="C897" s="11"/>
      <c r="D897" s="13"/>
      <c r="E897" s="16"/>
      <c r="F897" s="16"/>
      <c r="G897" s="16"/>
      <c r="H897" s="15"/>
      <c r="I897" s="15"/>
      <c r="J897" s="3"/>
      <c r="K897" s="3"/>
      <c r="L897" s="3"/>
      <c r="M897" s="3"/>
      <c r="N897" s="3"/>
      <c r="O897" s="3"/>
      <c r="P897" s="3"/>
      <c r="Q897" s="3"/>
      <c r="R897" s="3"/>
      <c r="S897" s="3"/>
      <c r="T897" s="3"/>
      <c r="U897" s="3"/>
      <c r="V897" s="3"/>
      <c r="W897" s="3"/>
      <c r="X897" s="3"/>
      <c r="Y897" s="3"/>
      <c r="Z897" s="3"/>
      <c r="AA897" s="3"/>
    </row>
    <row r="898" ht="105.75" customHeight="1">
      <c r="A898" s="11"/>
      <c r="B898" s="12"/>
      <c r="C898" s="11"/>
      <c r="D898" s="13"/>
      <c r="E898" s="14"/>
      <c r="F898" s="14"/>
      <c r="G898" s="14"/>
      <c r="H898" s="15"/>
      <c r="I898" s="15"/>
      <c r="J898" s="3"/>
      <c r="K898" s="3"/>
      <c r="L898" s="3"/>
      <c r="M898" s="3"/>
      <c r="N898" s="3"/>
      <c r="O898" s="3"/>
      <c r="P898" s="3"/>
      <c r="Q898" s="3"/>
      <c r="R898" s="3"/>
      <c r="S898" s="3"/>
      <c r="T898" s="3"/>
      <c r="U898" s="3"/>
      <c r="V898" s="3"/>
      <c r="W898" s="3"/>
      <c r="X898" s="3"/>
      <c r="Y898" s="3"/>
      <c r="Z898" s="3"/>
      <c r="AA898" s="3"/>
    </row>
    <row r="899" ht="105.75" customHeight="1">
      <c r="A899" s="11"/>
      <c r="B899" s="12"/>
      <c r="C899" s="11"/>
      <c r="D899" s="13"/>
      <c r="E899" s="16"/>
      <c r="F899" s="16"/>
      <c r="G899" s="16"/>
      <c r="H899" s="15"/>
      <c r="I899" s="15"/>
      <c r="J899" s="3"/>
      <c r="K899" s="3"/>
      <c r="L899" s="3"/>
      <c r="M899" s="3"/>
      <c r="N899" s="3"/>
      <c r="O899" s="3"/>
      <c r="P899" s="3"/>
      <c r="Q899" s="3"/>
      <c r="R899" s="3"/>
      <c r="S899" s="3"/>
      <c r="T899" s="3"/>
      <c r="U899" s="3"/>
      <c r="V899" s="3"/>
      <c r="W899" s="3"/>
      <c r="X899" s="3"/>
      <c r="Y899" s="3"/>
      <c r="Z899" s="3"/>
      <c r="AA899" s="3"/>
    </row>
    <row r="900" ht="105.75" customHeight="1">
      <c r="A900" s="11"/>
      <c r="B900" s="12"/>
      <c r="C900" s="11"/>
      <c r="D900" s="13"/>
      <c r="E900" s="14"/>
      <c r="F900" s="14"/>
      <c r="G900" s="14"/>
      <c r="H900" s="15"/>
      <c r="I900" s="15"/>
      <c r="J900" s="3"/>
      <c r="K900" s="3"/>
      <c r="L900" s="3"/>
      <c r="M900" s="3"/>
      <c r="N900" s="3"/>
      <c r="O900" s="3"/>
      <c r="P900" s="3"/>
      <c r="Q900" s="3"/>
      <c r="R900" s="3"/>
      <c r="S900" s="3"/>
      <c r="T900" s="3"/>
      <c r="U900" s="3"/>
      <c r="V900" s="3"/>
      <c r="W900" s="3"/>
      <c r="X900" s="3"/>
      <c r="Y900" s="3"/>
      <c r="Z900" s="3"/>
      <c r="AA900" s="3"/>
    </row>
    <row r="901" ht="105.75" customHeight="1">
      <c r="A901" s="11"/>
      <c r="B901" s="12"/>
      <c r="C901" s="11"/>
      <c r="D901" s="13"/>
      <c r="E901" s="16"/>
      <c r="F901" s="16"/>
      <c r="G901" s="16"/>
      <c r="H901" s="15"/>
      <c r="I901" s="15"/>
      <c r="J901" s="3"/>
      <c r="K901" s="3"/>
      <c r="L901" s="3"/>
      <c r="M901" s="3"/>
      <c r="N901" s="3"/>
      <c r="O901" s="3"/>
      <c r="P901" s="3"/>
      <c r="Q901" s="3"/>
      <c r="R901" s="3"/>
      <c r="S901" s="3"/>
      <c r="T901" s="3"/>
      <c r="U901" s="3"/>
      <c r="V901" s="3"/>
      <c r="W901" s="3"/>
      <c r="X901" s="3"/>
      <c r="Y901" s="3"/>
      <c r="Z901" s="3"/>
      <c r="AA901" s="3"/>
    </row>
    <row r="902" ht="105.75" customHeight="1">
      <c r="A902" s="11"/>
      <c r="B902" s="12"/>
      <c r="C902" s="11"/>
      <c r="D902" s="13"/>
      <c r="E902" s="14"/>
      <c r="F902" s="14"/>
      <c r="G902" s="14"/>
      <c r="H902" s="15"/>
      <c r="I902" s="15"/>
      <c r="J902" s="3"/>
      <c r="K902" s="3"/>
      <c r="L902" s="3"/>
      <c r="M902" s="3"/>
      <c r="N902" s="3"/>
      <c r="O902" s="3"/>
      <c r="P902" s="3"/>
      <c r="Q902" s="3"/>
      <c r="R902" s="3"/>
      <c r="S902" s="3"/>
      <c r="T902" s="3"/>
      <c r="U902" s="3"/>
      <c r="V902" s="3"/>
      <c r="W902" s="3"/>
      <c r="X902" s="3"/>
      <c r="Y902" s="3"/>
      <c r="Z902" s="3"/>
      <c r="AA902" s="3"/>
    </row>
    <row r="903" ht="105.75" customHeight="1">
      <c r="A903" s="11"/>
      <c r="B903" s="12"/>
      <c r="C903" s="11"/>
      <c r="D903" s="13"/>
      <c r="E903" s="14"/>
      <c r="F903" s="14"/>
      <c r="G903" s="14"/>
      <c r="H903" s="15"/>
      <c r="I903" s="15"/>
      <c r="J903" s="3"/>
      <c r="K903" s="3"/>
      <c r="L903" s="3"/>
      <c r="M903" s="3"/>
      <c r="N903" s="3"/>
      <c r="O903" s="3"/>
      <c r="P903" s="3"/>
      <c r="Q903" s="3"/>
      <c r="R903" s="3"/>
      <c r="S903" s="3"/>
      <c r="T903" s="3"/>
      <c r="U903" s="3"/>
      <c r="V903" s="3"/>
      <c r="W903" s="3"/>
      <c r="X903" s="3"/>
      <c r="Y903" s="3"/>
      <c r="Z903" s="3"/>
      <c r="AA903" s="3"/>
    </row>
    <row r="904" ht="105.75" customHeight="1">
      <c r="A904" s="11"/>
      <c r="B904" s="12"/>
      <c r="C904" s="11"/>
      <c r="D904" s="13"/>
      <c r="E904" s="14"/>
      <c r="F904" s="14"/>
      <c r="G904" s="14"/>
      <c r="H904" s="15"/>
      <c r="I904" s="15"/>
      <c r="J904" s="3"/>
      <c r="K904" s="3"/>
      <c r="L904" s="3"/>
      <c r="M904" s="3"/>
      <c r="N904" s="3"/>
      <c r="O904" s="3"/>
      <c r="P904" s="3"/>
      <c r="Q904" s="3"/>
      <c r="R904" s="3"/>
      <c r="S904" s="3"/>
      <c r="T904" s="3"/>
      <c r="U904" s="3"/>
      <c r="V904" s="3"/>
      <c r="W904" s="3"/>
      <c r="X904" s="3"/>
      <c r="Y904" s="3"/>
      <c r="Z904" s="3"/>
      <c r="AA904" s="3"/>
    </row>
    <row r="905" ht="105.75" customHeight="1">
      <c r="A905" s="11"/>
      <c r="B905" s="12"/>
      <c r="C905" s="11"/>
      <c r="D905" s="13"/>
      <c r="E905" s="14"/>
      <c r="F905" s="14"/>
      <c r="G905" s="14"/>
      <c r="H905" s="15"/>
      <c r="I905" s="15"/>
      <c r="J905" s="3"/>
      <c r="K905" s="3"/>
      <c r="L905" s="3"/>
      <c r="M905" s="3"/>
      <c r="N905" s="3"/>
      <c r="O905" s="3"/>
      <c r="P905" s="3"/>
      <c r="Q905" s="3"/>
      <c r="R905" s="3"/>
      <c r="S905" s="3"/>
      <c r="T905" s="3"/>
      <c r="U905" s="3"/>
      <c r="V905" s="3"/>
      <c r="W905" s="3"/>
      <c r="X905" s="3"/>
      <c r="Y905" s="3"/>
      <c r="Z905" s="3"/>
      <c r="AA905" s="3"/>
    </row>
    <row r="906" ht="105.75" customHeight="1">
      <c r="A906" s="11"/>
      <c r="B906" s="12"/>
      <c r="C906" s="11"/>
      <c r="D906" s="13"/>
      <c r="E906" s="14"/>
      <c r="F906" s="14"/>
      <c r="G906" s="14"/>
      <c r="H906" s="15"/>
      <c r="I906" s="15"/>
      <c r="J906" s="3"/>
      <c r="K906" s="3"/>
      <c r="L906" s="3"/>
      <c r="M906" s="3"/>
      <c r="N906" s="3"/>
      <c r="O906" s="3"/>
      <c r="P906" s="3"/>
      <c r="Q906" s="3"/>
      <c r="R906" s="3"/>
      <c r="S906" s="3"/>
      <c r="T906" s="3"/>
      <c r="U906" s="3"/>
      <c r="V906" s="3"/>
      <c r="W906" s="3"/>
      <c r="X906" s="3"/>
      <c r="Y906" s="3"/>
      <c r="Z906" s="3"/>
      <c r="AA906" s="3"/>
    </row>
    <row r="907" ht="105.75" customHeight="1">
      <c r="A907" s="11"/>
      <c r="B907" s="12"/>
      <c r="C907" s="11"/>
      <c r="D907" s="13"/>
      <c r="E907" s="16"/>
      <c r="F907" s="16"/>
      <c r="G907" s="16"/>
      <c r="H907" s="15"/>
      <c r="I907" s="15"/>
      <c r="J907" s="3"/>
      <c r="K907" s="3"/>
      <c r="L907" s="3"/>
      <c r="M907" s="3"/>
      <c r="N907" s="3"/>
      <c r="O907" s="3"/>
      <c r="P907" s="3"/>
      <c r="Q907" s="3"/>
      <c r="R907" s="3"/>
      <c r="S907" s="3"/>
      <c r="T907" s="3"/>
      <c r="U907" s="3"/>
      <c r="V907" s="3"/>
      <c r="W907" s="3"/>
      <c r="X907" s="3"/>
      <c r="Y907" s="3"/>
      <c r="Z907" s="3"/>
      <c r="AA907" s="3"/>
    </row>
    <row r="908" ht="105.75" customHeight="1">
      <c r="A908" s="11"/>
      <c r="B908" s="12"/>
      <c r="C908" s="11"/>
      <c r="D908" s="13"/>
      <c r="E908" s="14"/>
      <c r="F908" s="14"/>
      <c r="G908" s="14"/>
      <c r="H908" s="15"/>
      <c r="I908" s="15"/>
      <c r="J908" s="3"/>
      <c r="K908" s="3"/>
      <c r="L908" s="3"/>
      <c r="M908" s="3"/>
      <c r="N908" s="3"/>
      <c r="O908" s="3"/>
      <c r="P908" s="3"/>
      <c r="Q908" s="3"/>
      <c r="R908" s="3"/>
      <c r="S908" s="3"/>
      <c r="T908" s="3"/>
      <c r="U908" s="3"/>
      <c r="V908" s="3"/>
      <c r="W908" s="3"/>
      <c r="X908" s="3"/>
      <c r="Y908" s="3"/>
      <c r="Z908" s="3"/>
      <c r="AA908" s="3"/>
    </row>
    <row r="909" ht="105.75" customHeight="1">
      <c r="A909" s="11"/>
      <c r="B909" s="12"/>
      <c r="C909" s="11"/>
      <c r="D909" s="13"/>
      <c r="E909" s="14"/>
      <c r="F909" s="14"/>
      <c r="G909" s="14"/>
      <c r="H909" s="15"/>
      <c r="I909" s="15"/>
      <c r="J909" s="3"/>
      <c r="K909" s="3"/>
      <c r="L909" s="3"/>
      <c r="M909" s="3"/>
      <c r="N909" s="3"/>
      <c r="O909" s="3"/>
      <c r="P909" s="3"/>
      <c r="Q909" s="3"/>
      <c r="R909" s="3"/>
      <c r="S909" s="3"/>
      <c r="T909" s="3"/>
      <c r="U909" s="3"/>
      <c r="V909" s="3"/>
      <c r="W909" s="3"/>
      <c r="X909" s="3"/>
      <c r="Y909" s="3"/>
      <c r="Z909" s="3"/>
      <c r="AA909" s="3"/>
    </row>
    <row r="910" ht="105.75" customHeight="1">
      <c r="A910" s="11"/>
      <c r="B910" s="12"/>
      <c r="C910" s="11"/>
      <c r="D910" s="13"/>
      <c r="E910" s="14"/>
      <c r="F910" s="14"/>
      <c r="G910" s="14"/>
      <c r="H910" s="15"/>
      <c r="I910" s="15"/>
      <c r="J910" s="3"/>
      <c r="K910" s="3"/>
      <c r="L910" s="3"/>
      <c r="M910" s="3"/>
      <c r="N910" s="3"/>
      <c r="O910" s="3"/>
      <c r="P910" s="3"/>
      <c r="Q910" s="3"/>
      <c r="R910" s="3"/>
      <c r="S910" s="3"/>
      <c r="T910" s="3"/>
      <c r="U910" s="3"/>
      <c r="V910" s="3"/>
      <c r="W910" s="3"/>
      <c r="X910" s="3"/>
      <c r="Y910" s="3"/>
      <c r="Z910" s="3"/>
      <c r="AA910" s="3"/>
    </row>
    <row r="911" ht="105.75" customHeight="1">
      <c r="A911" s="11"/>
      <c r="B911" s="12"/>
      <c r="C911" s="11"/>
      <c r="D911" s="13"/>
      <c r="E911" s="14"/>
      <c r="F911" s="14"/>
      <c r="G911" s="14"/>
      <c r="H911" s="15"/>
      <c r="I911" s="15"/>
      <c r="J911" s="3"/>
      <c r="K911" s="3"/>
      <c r="L911" s="3"/>
      <c r="M911" s="3"/>
      <c r="N911" s="3"/>
      <c r="O911" s="3"/>
      <c r="P911" s="3"/>
      <c r="Q911" s="3"/>
      <c r="R911" s="3"/>
      <c r="S911" s="3"/>
      <c r="T911" s="3"/>
      <c r="U911" s="3"/>
      <c r="V911" s="3"/>
      <c r="W911" s="3"/>
      <c r="X911" s="3"/>
      <c r="Y911" s="3"/>
      <c r="Z911" s="3"/>
      <c r="AA911" s="3"/>
    </row>
    <row r="912" ht="105.75" customHeight="1">
      <c r="A912" s="11"/>
      <c r="B912" s="12"/>
      <c r="C912" s="11"/>
      <c r="D912" s="13"/>
      <c r="E912" s="14"/>
      <c r="F912" s="14"/>
      <c r="G912" s="14"/>
      <c r="H912" s="15"/>
      <c r="I912" s="15"/>
      <c r="J912" s="3"/>
      <c r="K912" s="3"/>
      <c r="L912" s="3"/>
      <c r="M912" s="3"/>
      <c r="N912" s="3"/>
      <c r="O912" s="3"/>
      <c r="P912" s="3"/>
      <c r="Q912" s="3"/>
      <c r="R912" s="3"/>
      <c r="S912" s="3"/>
      <c r="T912" s="3"/>
      <c r="U912" s="3"/>
      <c r="V912" s="3"/>
      <c r="W912" s="3"/>
      <c r="X912" s="3"/>
      <c r="Y912" s="3"/>
      <c r="Z912" s="3"/>
      <c r="AA912" s="3"/>
    </row>
    <row r="913" ht="105.75" customHeight="1">
      <c r="A913" s="11"/>
      <c r="B913" s="12"/>
      <c r="C913" s="11"/>
      <c r="D913" s="13"/>
      <c r="E913" s="14"/>
      <c r="F913" s="14"/>
      <c r="G913" s="14"/>
      <c r="H913" s="15"/>
      <c r="I913" s="15"/>
      <c r="J913" s="3"/>
      <c r="K913" s="3"/>
      <c r="L913" s="3"/>
      <c r="M913" s="3"/>
      <c r="N913" s="3"/>
      <c r="O913" s="3"/>
      <c r="P913" s="3"/>
      <c r="Q913" s="3"/>
      <c r="R913" s="3"/>
      <c r="S913" s="3"/>
      <c r="T913" s="3"/>
      <c r="U913" s="3"/>
      <c r="V913" s="3"/>
      <c r="W913" s="3"/>
      <c r="X913" s="3"/>
      <c r="Y913" s="3"/>
      <c r="Z913" s="3"/>
      <c r="AA913" s="3"/>
    </row>
    <row r="914" ht="105.75" customHeight="1">
      <c r="A914" s="11"/>
      <c r="B914" s="12"/>
      <c r="C914" s="11"/>
      <c r="D914" s="13"/>
      <c r="E914" s="14"/>
      <c r="F914" s="14"/>
      <c r="G914" s="14"/>
      <c r="H914" s="15"/>
      <c r="I914" s="15"/>
      <c r="J914" s="3"/>
      <c r="K914" s="3"/>
      <c r="L914" s="3"/>
      <c r="M914" s="3"/>
      <c r="N914" s="3"/>
      <c r="O914" s="3"/>
      <c r="P914" s="3"/>
      <c r="Q914" s="3"/>
      <c r="R914" s="3"/>
      <c r="S914" s="3"/>
      <c r="T914" s="3"/>
      <c r="U914" s="3"/>
      <c r="V914" s="3"/>
      <c r="W914" s="3"/>
      <c r="X914" s="3"/>
      <c r="Y914" s="3"/>
      <c r="Z914" s="3"/>
      <c r="AA914" s="3"/>
    </row>
    <row r="915" ht="105.75" customHeight="1">
      <c r="A915" s="11"/>
      <c r="B915" s="12"/>
      <c r="C915" s="11"/>
      <c r="D915" s="13"/>
      <c r="E915" s="14"/>
      <c r="F915" s="14"/>
      <c r="G915" s="14"/>
      <c r="H915" s="15"/>
      <c r="I915" s="15"/>
      <c r="J915" s="3"/>
      <c r="K915" s="3"/>
      <c r="L915" s="3"/>
      <c r="M915" s="3"/>
      <c r="N915" s="3"/>
      <c r="O915" s="3"/>
      <c r="P915" s="3"/>
      <c r="Q915" s="3"/>
      <c r="R915" s="3"/>
      <c r="S915" s="3"/>
      <c r="T915" s="3"/>
      <c r="U915" s="3"/>
      <c r="V915" s="3"/>
      <c r="W915" s="3"/>
      <c r="X915" s="3"/>
      <c r="Y915" s="3"/>
      <c r="Z915" s="3"/>
      <c r="AA915" s="3"/>
    </row>
    <row r="916" ht="105.75" customHeight="1">
      <c r="A916" s="11"/>
      <c r="B916" s="12"/>
      <c r="C916" s="11"/>
      <c r="D916" s="13"/>
      <c r="E916" s="14"/>
      <c r="F916" s="14"/>
      <c r="G916" s="14"/>
      <c r="H916" s="15"/>
      <c r="I916" s="15"/>
      <c r="J916" s="3"/>
      <c r="K916" s="3"/>
      <c r="L916" s="3"/>
      <c r="M916" s="3"/>
      <c r="N916" s="3"/>
      <c r="O916" s="3"/>
      <c r="P916" s="3"/>
      <c r="Q916" s="3"/>
      <c r="R916" s="3"/>
      <c r="S916" s="3"/>
      <c r="T916" s="3"/>
      <c r="U916" s="3"/>
      <c r="V916" s="3"/>
      <c r="W916" s="3"/>
      <c r="X916" s="3"/>
      <c r="Y916" s="3"/>
      <c r="Z916" s="3"/>
      <c r="AA916" s="3"/>
    </row>
    <row r="917" ht="105.75" customHeight="1">
      <c r="A917" s="11"/>
      <c r="B917" s="12"/>
      <c r="C917" s="11"/>
      <c r="D917" s="13"/>
      <c r="E917" s="14"/>
      <c r="F917" s="14"/>
      <c r="G917" s="14"/>
      <c r="H917" s="15"/>
      <c r="I917" s="15"/>
      <c r="J917" s="3"/>
      <c r="K917" s="3"/>
      <c r="L917" s="3"/>
      <c r="M917" s="3"/>
      <c r="N917" s="3"/>
      <c r="O917" s="3"/>
      <c r="P917" s="3"/>
      <c r="Q917" s="3"/>
      <c r="R917" s="3"/>
      <c r="S917" s="3"/>
      <c r="T917" s="3"/>
      <c r="U917" s="3"/>
      <c r="V917" s="3"/>
      <c r="W917" s="3"/>
      <c r="X917" s="3"/>
      <c r="Y917" s="3"/>
      <c r="Z917" s="3"/>
      <c r="AA917" s="3"/>
    </row>
    <row r="918" ht="105.75" customHeight="1">
      <c r="A918" s="11"/>
      <c r="B918" s="12"/>
      <c r="C918" s="11"/>
      <c r="D918" s="13"/>
      <c r="E918" s="14"/>
      <c r="F918" s="14"/>
      <c r="G918" s="14"/>
      <c r="H918" s="15"/>
      <c r="I918" s="15"/>
      <c r="J918" s="3"/>
      <c r="K918" s="3"/>
      <c r="L918" s="3"/>
      <c r="M918" s="3"/>
      <c r="N918" s="3"/>
      <c r="O918" s="3"/>
      <c r="P918" s="3"/>
      <c r="Q918" s="3"/>
      <c r="R918" s="3"/>
      <c r="S918" s="3"/>
      <c r="T918" s="3"/>
      <c r="U918" s="3"/>
      <c r="V918" s="3"/>
      <c r="W918" s="3"/>
      <c r="X918" s="3"/>
      <c r="Y918" s="3"/>
      <c r="Z918" s="3"/>
      <c r="AA918" s="3"/>
    </row>
    <row r="919" ht="105.75" customHeight="1">
      <c r="A919" s="11"/>
      <c r="B919" s="12"/>
      <c r="C919" s="11"/>
      <c r="D919" s="13"/>
      <c r="E919" s="14"/>
      <c r="F919" s="14"/>
      <c r="G919" s="14"/>
      <c r="H919" s="15"/>
      <c r="I919" s="15"/>
      <c r="J919" s="3"/>
      <c r="K919" s="3"/>
      <c r="L919" s="3"/>
      <c r="M919" s="3"/>
      <c r="N919" s="3"/>
      <c r="O919" s="3"/>
      <c r="P919" s="3"/>
      <c r="Q919" s="3"/>
      <c r="R919" s="3"/>
      <c r="S919" s="3"/>
      <c r="T919" s="3"/>
      <c r="U919" s="3"/>
      <c r="V919" s="3"/>
      <c r="W919" s="3"/>
      <c r="X919" s="3"/>
      <c r="Y919" s="3"/>
      <c r="Z919" s="3"/>
      <c r="AA919" s="3"/>
    </row>
    <row r="920" ht="105.75" customHeight="1">
      <c r="A920" s="11"/>
      <c r="B920" s="12"/>
      <c r="C920" s="11"/>
      <c r="D920" s="13"/>
      <c r="E920" s="14"/>
      <c r="F920" s="14"/>
      <c r="G920" s="14"/>
      <c r="H920" s="15"/>
      <c r="I920" s="15"/>
      <c r="J920" s="3"/>
      <c r="K920" s="3"/>
      <c r="L920" s="3"/>
      <c r="M920" s="3"/>
      <c r="N920" s="3"/>
      <c r="O920" s="3"/>
      <c r="P920" s="3"/>
      <c r="Q920" s="3"/>
      <c r="R920" s="3"/>
      <c r="S920" s="3"/>
      <c r="T920" s="3"/>
      <c r="U920" s="3"/>
      <c r="V920" s="3"/>
      <c r="W920" s="3"/>
      <c r="X920" s="3"/>
      <c r="Y920" s="3"/>
      <c r="Z920" s="3"/>
      <c r="AA920" s="3"/>
    </row>
    <row r="921" ht="105.75" customHeight="1">
      <c r="A921" s="11"/>
      <c r="B921" s="12"/>
      <c r="C921" s="11"/>
      <c r="D921" s="13"/>
      <c r="E921" s="14"/>
      <c r="F921" s="14"/>
      <c r="G921" s="14"/>
      <c r="H921" s="15"/>
      <c r="I921" s="15"/>
      <c r="J921" s="3"/>
      <c r="K921" s="3"/>
      <c r="L921" s="3"/>
      <c r="M921" s="3"/>
      <c r="N921" s="3"/>
      <c r="O921" s="3"/>
      <c r="P921" s="3"/>
      <c r="Q921" s="3"/>
      <c r="R921" s="3"/>
      <c r="S921" s="3"/>
      <c r="T921" s="3"/>
      <c r="U921" s="3"/>
      <c r="V921" s="3"/>
      <c r="W921" s="3"/>
      <c r="X921" s="3"/>
      <c r="Y921" s="3"/>
      <c r="Z921" s="3"/>
      <c r="AA921" s="3"/>
    </row>
    <row r="922" ht="105.75" customHeight="1">
      <c r="A922" s="11"/>
      <c r="B922" s="12"/>
      <c r="C922" s="11"/>
      <c r="D922" s="13"/>
      <c r="E922" s="14"/>
      <c r="F922" s="14"/>
      <c r="G922" s="14"/>
      <c r="H922" s="15"/>
      <c r="I922" s="15"/>
      <c r="J922" s="3"/>
      <c r="K922" s="3"/>
      <c r="L922" s="3"/>
      <c r="M922" s="3"/>
      <c r="N922" s="3"/>
      <c r="O922" s="3"/>
      <c r="P922" s="3"/>
      <c r="Q922" s="3"/>
      <c r="R922" s="3"/>
      <c r="S922" s="3"/>
      <c r="T922" s="3"/>
      <c r="U922" s="3"/>
      <c r="V922" s="3"/>
      <c r="W922" s="3"/>
      <c r="X922" s="3"/>
      <c r="Y922" s="3"/>
      <c r="Z922" s="3"/>
      <c r="AA922" s="3"/>
    </row>
    <row r="923" ht="105.75" customHeight="1">
      <c r="A923" s="11"/>
      <c r="B923" s="12"/>
      <c r="C923" s="11"/>
      <c r="D923" s="13"/>
      <c r="E923" s="14"/>
      <c r="F923" s="14"/>
      <c r="G923" s="14"/>
      <c r="H923" s="15"/>
      <c r="I923" s="15"/>
      <c r="J923" s="3"/>
      <c r="K923" s="3"/>
      <c r="L923" s="3"/>
      <c r="M923" s="3"/>
      <c r="N923" s="3"/>
      <c r="O923" s="3"/>
      <c r="P923" s="3"/>
      <c r="Q923" s="3"/>
      <c r="R923" s="3"/>
      <c r="S923" s="3"/>
      <c r="T923" s="3"/>
      <c r="U923" s="3"/>
      <c r="V923" s="3"/>
      <c r="W923" s="3"/>
      <c r="X923" s="3"/>
      <c r="Y923" s="3"/>
      <c r="Z923" s="3"/>
      <c r="AA923" s="3"/>
    </row>
    <row r="924" ht="105.75" customHeight="1">
      <c r="A924" s="11"/>
      <c r="B924" s="12"/>
      <c r="C924" s="11"/>
      <c r="D924" s="13"/>
      <c r="E924" s="14"/>
      <c r="F924" s="14"/>
      <c r="G924" s="14"/>
      <c r="H924" s="15"/>
      <c r="I924" s="15"/>
      <c r="J924" s="3"/>
      <c r="K924" s="3"/>
      <c r="L924" s="3"/>
      <c r="M924" s="3"/>
      <c r="N924" s="3"/>
      <c r="O924" s="3"/>
      <c r="P924" s="3"/>
      <c r="Q924" s="3"/>
      <c r="R924" s="3"/>
      <c r="S924" s="3"/>
      <c r="T924" s="3"/>
      <c r="U924" s="3"/>
      <c r="V924" s="3"/>
      <c r="W924" s="3"/>
      <c r="X924" s="3"/>
      <c r="Y924" s="3"/>
      <c r="Z924" s="3"/>
      <c r="AA924" s="3"/>
    </row>
    <row r="925" ht="105.75" customHeight="1">
      <c r="A925" s="11"/>
      <c r="B925" s="12"/>
      <c r="C925" s="11"/>
      <c r="D925" s="13"/>
      <c r="E925" s="16"/>
      <c r="F925" s="16"/>
      <c r="G925" s="16"/>
      <c r="H925" s="15"/>
      <c r="I925" s="15"/>
      <c r="J925" s="3"/>
      <c r="K925" s="3"/>
      <c r="L925" s="3"/>
      <c r="M925" s="3"/>
      <c r="N925" s="3"/>
      <c r="O925" s="3"/>
      <c r="P925" s="3"/>
      <c r="Q925" s="3"/>
      <c r="R925" s="3"/>
      <c r="S925" s="3"/>
      <c r="T925" s="3"/>
      <c r="U925" s="3"/>
      <c r="V925" s="3"/>
      <c r="W925" s="3"/>
      <c r="X925" s="3"/>
      <c r="Y925" s="3"/>
      <c r="Z925" s="3"/>
      <c r="AA925" s="3"/>
    </row>
    <row r="926" ht="105.75" customHeight="1">
      <c r="A926" s="11"/>
      <c r="B926" s="12"/>
      <c r="C926" s="11"/>
      <c r="D926" s="13"/>
      <c r="E926" s="14"/>
      <c r="F926" s="14"/>
      <c r="G926" s="14"/>
      <c r="H926" s="15"/>
      <c r="I926" s="15"/>
      <c r="J926" s="3"/>
      <c r="K926" s="3"/>
      <c r="L926" s="3"/>
      <c r="M926" s="3"/>
      <c r="N926" s="3"/>
      <c r="O926" s="3"/>
      <c r="P926" s="3"/>
      <c r="Q926" s="3"/>
      <c r="R926" s="3"/>
      <c r="S926" s="3"/>
      <c r="T926" s="3"/>
      <c r="U926" s="3"/>
      <c r="V926" s="3"/>
      <c r="W926" s="3"/>
      <c r="X926" s="3"/>
      <c r="Y926" s="3"/>
      <c r="Z926" s="3"/>
      <c r="AA926" s="3"/>
    </row>
    <row r="927" ht="105.75" customHeight="1">
      <c r="A927" s="11"/>
      <c r="B927" s="12"/>
      <c r="C927" s="11"/>
      <c r="D927" s="13"/>
      <c r="E927" s="16"/>
      <c r="F927" s="16"/>
      <c r="G927" s="16"/>
      <c r="H927" s="15"/>
      <c r="I927" s="15"/>
      <c r="J927" s="3"/>
      <c r="K927" s="3"/>
      <c r="L927" s="3"/>
      <c r="M927" s="3"/>
      <c r="N927" s="3"/>
      <c r="O927" s="3"/>
      <c r="P927" s="3"/>
      <c r="Q927" s="3"/>
      <c r="R927" s="3"/>
      <c r="S927" s="3"/>
      <c r="T927" s="3"/>
      <c r="U927" s="3"/>
      <c r="V927" s="3"/>
      <c r="W927" s="3"/>
      <c r="X927" s="3"/>
      <c r="Y927" s="3"/>
      <c r="Z927" s="3"/>
      <c r="AA927" s="3"/>
    </row>
    <row r="928" ht="105.75" customHeight="1">
      <c r="A928" s="11"/>
      <c r="B928" s="12"/>
      <c r="C928" s="11"/>
      <c r="D928" s="13"/>
      <c r="E928" s="14"/>
      <c r="F928" s="14"/>
      <c r="G928" s="14"/>
      <c r="H928" s="15"/>
      <c r="I928" s="15"/>
      <c r="J928" s="3"/>
      <c r="K928" s="3"/>
      <c r="L928" s="3"/>
      <c r="M928" s="3"/>
      <c r="N928" s="3"/>
      <c r="O928" s="3"/>
      <c r="P928" s="3"/>
      <c r="Q928" s="3"/>
      <c r="R928" s="3"/>
      <c r="S928" s="3"/>
      <c r="T928" s="3"/>
      <c r="U928" s="3"/>
      <c r="V928" s="3"/>
      <c r="W928" s="3"/>
      <c r="X928" s="3"/>
      <c r="Y928" s="3"/>
      <c r="Z928" s="3"/>
      <c r="AA928" s="3"/>
    </row>
    <row r="929" ht="105.75" customHeight="1">
      <c r="A929" s="11"/>
      <c r="B929" s="12"/>
      <c r="C929" s="11"/>
      <c r="D929" s="13"/>
      <c r="E929" s="14"/>
      <c r="F929" s="14"/>
      <c r="G929" s="14"/>
      <c r="H929" s="15"/>
      <c r="I929" s="15"/>
      <c r="J929" s="3"/>
      <c r="K929" s="3"/>
      <c r="L929" s="3"/>
      <c r="M929" s="3"/>
      <c r="N929" s="3"/>
      <c r="O929" s="3"/>
      <c r="P929" s="3"/>
      <c r="Q929" s="3"/>
      <c r="R929" s="3"/>
      <c r="S929" s="3"/>
      <c r="T929" s="3"/>
      <c r="U929" s="3"/>
      <c r="V929" s="3"/>
      <c r="W929" s="3"/>
      <c r="X929" s="3"/>
      <c r="Y929" s="3"/>
      <c r="Z929" s="3"/>
      <c r="AA929" s="3"/>
    </row>
    <row r="930" ht="105.75" customHeight="1">
      <c r="A930" s="11"/>
      <c r="B930" s="12"/>
      <c r="C930" s="11"/>
      <c r="D930" s="13"/>
      <c r="E930" s="14"/>
      <c r="F930" s="14"/>
      <c r="G930" s="14"/>
      <c r="H930" s="15"/>
      <c r="I930" s="15"/>
      <c r="J930" s="3"/>
      <c r="K930" s="3"/>
      <c r="L930" s="3"/>
      <c r="M930" s="3"/>
      <c r="N930" s="3"/>
      <c r="O930" s="3"/>
      <c r="P930" s="3"/>
      <c r="Q930" s="3"/>
      <c r="R930" s="3"/>
      <c r="S930" s="3"/>
      <c r="T930" s="3"/>
      <c r="U930" s="3"/>
      <c r="V930" s="3"/>
      <c r="W930" s="3"/>
      <c r="X930" s="3"/>
      <c r="Y930" s="3"/>
      <c r="Z930" s="3"/>
      <c r="AA930" s="3"/>
    </row>
    <row r="931" ht="105.75" customHeight="1">
      <c r="A931" s="11"/>
      <c r="B931" s="12"/>
      <c r="C931" s="11"/>
      <c r="D931" s="13"/>
      <c r="E931" s="14"/>
      <c r="F931" s="14"/>
      <c r="G931" s="14"/>
      <c r="H931" s="15"/>
      <c r="I931" s="15"/>
      <c r="J931" s="3"/>
      <c r="K931" s="3"/>
      <c r="L931" s="3"/>
      <c r="M931" s="3"/>
      <c r="N931" s="3"/>
      <c r="O931" s="3"/>
      <c r="P931" s="3"/>
      <c r="Q931" s="3"/>
      <c r="R931" s="3"/>
      <c r="S931" s="3"/>
      <c r="T931" s="3"/>
      <c r="U931" s="3"/>
      <c r="V931" s="3"/>
      <c r="W931" s="3"/>
      <c r="X931" s="3"/>
      <c r="Y931" s="3"/>
      <c r="Z931" s="3"/>
      <c r="AA931" s="3"/>
    </row>
    <row r="932" ht="105.75" customHeight="1">
      <c r="A932" s="11"/>
      <c r="B932" s="12"/>
      <c r="C932" s="11"/>
      <c r="D932" s="13"/>
      <c r="E932" s="14"/>
      <c r="F932" s="14"/>
      <c r="G932" s="14"/>
      <c r="H932" s="15"/>
      <c r="I932" s="15"/>
      <c r="J932" s="3"/>
      <c r="K932" s="3"/>
      <c r="L932" s="3"/>
      <c r="M932" s="3"/>
      <c r="N932" s="3"/>
      <c r="O932" s="3"/>
      <c r="P932" s="3"/>
      <c r="Q932" s="3"/>
      <c r="R932" s="3"/>
      <c r="S932" s="3"/>
      <c r="T932" s="3"/>
      <c r="U932" s="3"/>
      <c r="V932" s="3"/>
      <c r="W932" s="3"/>
      <c r="X932" s="3"/>
      <c r="Y932" s="3"/>
      <c r="Z932" s="3"/>
      <c r="AA932" s="3"/>
    </row>
    <row r="933" ht="105.75" customHeight="1">
      <c r="A933" s="11"/>
      <c r="B933" s="12"/>
      <c r="C933" s="11"/>
      <c r="D933" s="13"/>
      <c r="E933" s="14"/>
      <c r="F933" s="14"/>
      <c r="G933" s="14"/>
      <c r="H933" s="15"/>
      <c r="I933" s="15"/>
      <c r="J933" s="3"/>
      <c r="K933" s="3"/>
      <c r="L933" s="3"/>
      <c r="M933" s="3"/>
      <c r="N933" s="3"/>
      <c r="O933" s="3"/>
      <c r="P933" s="3"/>
      <c r="Q933" s="3"/>
      <c r="R933" s="3"/>
      <c r="S933" s="3"/>
      <c r="T933" s="3"/>
      <c r="U933" s="3"/>
      <c r="V933" s="3"/>
      <c r="W933" s="3"/>
      <c r="X933" s="3"/>
      <c r="Y933" s="3"/>
      <c r="Z933" s="3"/>
      <c r="AA933" s="3"/>
    </row>
    <row r="934" ht="105.75" customHeight="1">
      <c r="A934" s="11"/>
      <c r="B934" s="12"/>
      <c r="C934" s="11"/>
      <c r="D934" s="13"/>
      <c r="E934" s="14"/>
      <c r="F934" s="14"/>
      <c r="G934" s="14"/>
      <c r="H934" s="15"/>
      <c r="I934" s="15"/>
      <c r="J934" s="3"/>
      <c r="K934" s="3"/>
      <c r="L934" s="3"/>
      <c r="M934" s="3"/>
      <c r="N934" s="3"/>
      <c r="O934" s="3"/>
      <c r="P934" s="3"/>
      <c r="Q934" s="3"/>
      <c r="R934" s="3"/>
      <c r="S934" s="3"/>
      <c r="T934" s="3"/>
      <c r="U934" s="3"/>
      <c r="V934" s="3"/>
      <c r="W934" s="3"/>
      <c r="X934" s="3"/>
      <c r="Y934" s="3"/>
      <c r="Z934" s="3"/>
      <c r="AA934" s="3"/>
    </row>
    <row r="935" ht="105.75" customHeight="1">
      <c r="A935" s="11"/>
      <c r="B935" s="12"/>
      <c r="C935" s="11"/>
      <c r="D935" s="13"/>
      <c r="E935" s="16"/>
      <c r="F935" s="16"/>
      <c r="G935" s="16"/>
      <c r="H935" s="15"/>
      <c r="I935" s="15"/>
      <c r="J935" s="3"/>
      <c r="K935" s="3"/>
      <c r="L935" s="3"/>
      <c r="M935" s="3"/>
      <c r="N935" s="3"/>
      <c r="O935" s="3"/>
      <c r="P935" s="3"/>
      <c r="Q935" s="3"/>
      <c r="R935" s="3"/>
      <c r="S935" s="3"/>
      <c r="T935" s="3"/>
      <c r="U935" s="3"/>
      <c r="V935" s="3"/>
      <c r="W935" s="3"/>
      <c r="X935" s="3"/>
      <c r="Y935" s="3"/>
      <c r="Z935" s="3"/>
      <c r="AA935" s="3"/>
    </row>
    <row r="936" ht="105.75" customHeight="1">
      <c r="A936" s="11"/>
      <c r="B936" s="12"/>
      <c r="C936" s="11"/>
      <c r="D936" s="13"/>
      <c r="E936" s="14"/>
      <c r="F936" s="14"/>
      <c r="G936" s="14"/>
      <c r="H936" s="15"/>
      <c r="I936" s="15"/>
      <c r="J936" s="3"/>
      <c r="K936" s="3"/>
      <c r="L936" s="3"/>
      <c r="M936" s="3"/>
      <c r="N936" s="3"/>
      <c r="O936" s="3"/>
      <c r="P936" s="3"/>
      <c r="Q936" s="3"/>
      <c r="R936" s="3"/>
      <c r="S936" s="3"/>
      <c r="T936" s="3"/>
      <c r="U936" s="3"/>
      <c r="V936" s="3"/>
      <c r="W936" s="3"/>
      <c r="X936" s="3"/>
      <c r="Y936" s="3"/>
      <c r="Z936" s="3"/>
      <c r="AA936" s="3"/>
    </row>
    <row r="937" ht="105.75" customHeight="1">
      <c r="A937" s="11"/>
      <c r="B937" s="12"/>
      <c r="C937" s="11"/>
      <c r="D937" s="13"/>
      <c r="E937" s="14"/>
      <c r="F937" s="14"/>
      <c r="G937" s="14"/>
      <c r="H937" s="15"/>
      <c r="I937" s="15"/>
      <c r="J937" s="3"/>
      <c r="K937" s="3"/>
      <c r="L937" s="3"/>
      <c r="M937" s="3"/>
      <c r="N937" s="3"/>
      <c r="O937" s="3"/>
      <c r="P937" s="3"/>
      <c r="Q937" s="3"/>
      <c r="R937" s="3"/>
      <c r="S937" s="3"/>
      <c r="T937" s="3"/>
      <c r="U937" s="3"/>
      <c r="V937" s="3"/>
      <c r="W937" s="3"/>
      <c r="X937" s="3"/>
      <c r="Y937" s="3"/>
      <c r="Z937" s="3"/>
      <c r="AA937" s="3"/>
    </row>
    <row r="938" ht="105.75" customHeight="1">
      <c r="A938" s="11"/>
      <c r="B938" s="12"/>
      <c r="C938" s="11"/>
      <c r="D938" s="13"/>
      <c r="E938" s="14"/>
      <c r="F938" s="14"/>
      <c r="G938" s="14"/>
      <c r="H938" s="15"/>
      <c r="I938" s="15"/>
      <c r="J938" s="3"/>
      <c r="K938" s="3"/>
      <c r="L938" s="3"/>
      <c r="M938" s="3"/>
      <c r="N938" s="3"/>
      <c r="O938" s="3"/>
      <c r="P938" s="3"/>
      <c r="Q938" s="3"/>
      <c r="R938" s="3"/>
      <c r="S938" s="3"/>
      <c r="T938" s="3"/>
      <c r="U938" s="3"/>
      <c r="V938" s="3"/>
      <c r="W938" s="3"/>
      <c r="X938" s="3"/>
      <c r="Y938" s="3"/>
      <c r="Z938" s="3"/>
      <c r="AA938" s="3"/>
    </row>
    <row r="939" ht="105.75" customHeight="1">
      <c r="A939" s="11"/>
      <c r="B939" s="12"/>
      <c r="C939" s="11"/>
      <c r="D939" s="13"/>
      <c r="E939" s="16"/>
      <c r="F939" s="16"/>
      <c r="G939" s="16"/>
      <c r="H939" s="15"/>
      <c r="I939" s="15"/>
      <c r="J939" s="3"/>
      <c r="K939" s="3"/>
      <c r="L939" s="3"/>
      <c r="M939" s="3"/>
      <c r="N939" s="3"/>
      <c r="O939" s="3"/>
      <c r="P939" s="3"/>
      <c r="Q939" s="3"/>
      <c r="R939" s="3"/>
      <c r="S939" s="3"/>
      <c r="T939" s="3"/>
      <c r="U939" s="3"/>
      <c r="V939" s="3"/>
      <c r="W939" s="3"/>
      <c r="X939" s="3"/>
      <c r="Y939" s="3"/>
      <c r="Z939" s="3"/>
      <c r="AA939" s="3"/>
    </row>
    <row r="940" ht="105.75" customHeight="1">
      <c r="A940" s="11"/>
      <c r="B940" s="12"/>
      <c r="C940" s="11"/>
      <c r="D940" s="13"/>
      <c r="E940" s="14"/>
      <c r="F940" s="14"/>
      <c r="G940" s="14"/>
      <c r="H940" s="15"/>
      <c r="I940" s="15"/>
      <c r="J940" s="3"/>
      <c r="K940" s="3"/>
      <c r="L940" s="3"/>
      <c r="M940" s="3"/>
      <c r="N940" s="3"/>
      <c r="O940" s="3"/>
      <c r="P940" s="3"/>
      <c r="Q940" s="3"/>
      <c r="R940" s="3"/>
      <c r="S940" s="3"/>
      <c r="T940" s="3"/>
      <c r="U940" s="3"/>
      <c r="V940" s="3"/>
      <c r="W940" s="3"/>
      <c r="X940" s="3"/>
      <c r="Y940" s="3"/>
      <c r="Z940" s="3"/>
      <c r="AA940" s="3"/>
    </row>
    <row r="941" ht="105.75" customHeight="1">
      <c r="A941" s="11"/>
      <c r="B941" s="12"/>
      <c r="C941" s="11"/>
      <c r="D941" s="13"/>
      <c r="E941" s="16"/>
      <c r="F941" s="16"/>
      <c r="G941" s="16"/>
      <c r="H941" s="15"/>
      <c r="I941" s="15"/>
      <c r="J941" s="3"/>
      <c r="K941" s="3"/>
      <c r="L941" s="3"/>
      <c r="M941" s="3"/>
      <c r="N941" s="3"/>
      <c r="O941" s="3"/>
      <c r="P941" s="3"/>
      <c r="Q941" s="3"/>
      <c r="R941" s="3"/>
      <c r="S941" s="3"/>
      <c r="T941" s="3"/>
      <c r="U941" s="3"/>
      <c r="V941" s="3"/>
      <c r="W941" s="3"/>
      <c r="X941" s="3"/>
      <c r="Y941" s="3"/>
      <c r="Z941" s="3"/>
      <c r="AA941" s="3"/>
    </row>
    <row r="942" ht="105.75" customHeight="1">
      <c r="A942" s="11"/>
      <c r="B942" s="12"/>
      <c r="C942" s="11"/>
      <c r="D942" s="13"/>
      <c r="E942" s="16"/>
      <c r="F942" s="16"/>
      <c r="G942" s="16"/>
      <c r="H942" s="15"/>
      <c r="I942" s="15"/>
      <c r="J942" s="3"/>
      <c r="K942" s="3"/>
      <c r="L942" s="3"/>
      <c r="M942" s="3"/>
      <c r="N942" s="3"/>
      <c r="O942" s="3"/>
      <c r="P942" s="3"/>
      <c r="Q942" s="3"/>
      <c r="R942" s="3"/>
      <c r="S942" s="3"/>
      <c r="T942" s="3"/>
      <c r="U942" s="3"/>
      <c r="V942" s="3"/>
      <c r="W942" s="3"/>
      <c r="X942" s="3"/>
      <c r="Y942" s="3"/>
      <c r="Z942" s="3"/>
      <c r="AA942" s="3"/>
    </row>
    <row r="943" ht="105.75" customHeight="1">
      <c r="A943" s="11"/>
      <c r="B943" s="12"/>
      <c r="C943" s="11"/>
      <c r="D943" s="13"/>
      <c r="E943" s="14"/>
      <c r="F943" s="14"/>
      <c r="G943" s="14"/>
      <c r="H943" s="15"/>
      <c r="I943" s="15"/>
      <c r="J943" s="3"/>
      <c r="K943" s="3"/>
      <c r="L943" s="3"/>
      <c r="M943" s="3"/>
      <c r="N943" s="3"/>
      <c r="O943" s="3"/>
      <c r="P943" s="3"/>
      <c r="Q943" s="3"/>
      <c r="R943" s="3"/>
      <c r="S943" s="3"/>
      <c r="T943" s="3"/>
      <c r="U943" s="3"/>
      <c r="V943" s="3"/>
      <c r="W943" s="3"/>
      <c r="X943" s="3"/>
      <c r="Y943" s="3"/>
      <c r="Z943" s="3"/>
      <c r="AA943" s="3"/>
    </row>
    <row r="944" ht="105.75" customHeight="1">
      <c r="A944" s="11"/>
      <c r="B944" s="12"/>
      <c r="C944" s="11"/>
      <c r="D944" s="13"/>
      <c r="E944" s="14"/>
      <c r="F944" s="14"/>
      <c r="G944" s="14"/>
      <c r="H944" s="15"/>
      <c r="I944" s="15"/>
      <c r="J944" s="3"/>
      <c r="K944" s="3"/>
      <c r="L944" s="3"/>
      <c r="M944" s="3"/>
      <c r="N944" s="3"/>
      <c r="O944" s="3"/>
      <c r="P944" s="3"/>
      <c r="Q944" s="3"/>
      <c r="R944" s="3"/>
      <c r="S944" s="3"/>
      <c r="T944" s="3"/>
      <c r="U944" s="3"/>
      <c r="V944" s="3"/>
      <c r="W944" s="3"/>
      <c r="X944" s="3"/>
      <c r="Y944" s="3"/>
      <c r="Z944" s="3"/>
      <c r="AA944" s="3"/>
    </row>
    <row r="945" ht="105.75" customHeight="1">
      <c r="A945" s="11"/>
      <c r="B945" s="12"/>
      <c r="C945" s="11"/>
      <c r="D945" s="13"/>
      <c r="E945" s="14"/>
      <c r="F945" s="14"/>
      <c r="G945" s="14"/>
      <c r="H945" s="15"/>
      <c r="I945" s="15"/>
      <c r="J945" s="3"/>
      <c r="K945" s="3"/>
      <c r="L945" s="3"/>
      <c r="M945" s="3"/>
      <c r="N945" s="3"/>
      <c r="O945" s="3"/>
      <c r="P945" s="3"/>
      <c r="Q945" s="3"/>
      <c r="R945" s="3"/>
      <c r="S945" s="3"/>
      <c r="T945" s="3"/>
      <c r="U945" s="3"/>
      <c r="V945" s="3"/>
      <c r="W945" s="3"/>
      <c r="X945" s="3"/>
      <c r="Y945" s="3"/>
      <c r="Z945" s="3"/>
      <c r="AA945" s="3"/>
    </row>
    <row r="946" ht="105.75" customHeight="1">
      <c r="A946" s="11"/>
      <c r="B946" s="12"/>
      <c r="C946" s="11"/>
      <c r="D946" s="13"/>
      <c r="E946" s="14"/>
      <c r="F946" s="14"/>
      <c r="G946" s="14"/>
      <c r="H946" s="15"/>
      <c r="I946" s="15"/>
      <c r="J946" s="3"/>
      <c r="K946" s="3"/>
      <c r="L946" s="3"/>
      <c r="M946" s="3"/>
      <c r="N946" s="3"/>
      <c r="O946" s="3"/>
      <c r="P946" s="3"/>
      <c r="Q946" s="3"/>
      <c r="R946" s="3"/>
      <c r="S946" s="3"/>
      <c r="T946" s="3"/>
      <c r="U946" s="3"/>
      <c r="V946" s="3"/>
      <c r="W946" s="3"/>
      <c r="X946" s="3"/>
      <c r="Y946" s="3"/>
      <c r="Z946" s="3"/>
      <c r="AA946" s="3"/>
    </row>
    <row r="947" ht="105.75" customHeight="1">
      <c r="A947" s="11"/>
      <c r="B947" s="12"/>
      <c r="C947" s="11"/>
      <c r="D947" s="13"/>
      <c r="E947" s="16"/>
      <c r="F947" s="16"/>
      <c r="G947" s="16"/>
      <c r="H947" s="15"/>
      <c r="I947" s="15"/>
      <c r="J947" s="3"/>
      <c r="K947" s="3"/>
      <c r="L947" s="3"/>
      <c r="M947" s="3"/>
      <c r="N947" s="3"/>
      <c r="O947" s="3"/>
      <c r="P947" s="3"/>
      <c r="Q947" s="3"/>
      <c r="R947" s="3"/>
      <c r="S947" s="3"/>
      <c r="T947" s="3"/>
      <c r="U947" s="3"/>
      <c r="V947" s="3"/>
      <c r="W947" s="3"/>
      <c r="X947" s="3"/>
      <c r="Y947" s="3"/>
      <c r="Z947" s="3"/>
      <c r="AA947" s="3"/>
    </row>
    <row r="948" ht="105.75" customHeight="1">
      <c r="A948" s="11"/>
      <c r="B948" s="12"/>
      <c r="C948" s="11"/>
      <c r="D948" s="13"/>
      <c r="E948" s="14"/>
      <c r="F948" s="14"/>
      <c r="G948" s="14"/>
      <c r="H948" s="15"/>
      <c r="I948" s="15"/>
      <c r="J948" s="3"/>
      <c r="K948" s="3"/>
      <c r="L948" s="3"/>
      <c r="M948" s="3"/>
      <c r="N948" s="3"/>
      <c r="O948" s="3"/>
      <c r="P948" s="3"/>
      <c r="Q948" s="3"/>
      <c r="R948" s="3"/>
      <c r="S948" s="3"/>
      <c r="T948" s="3"/>
      <c r="U948" s="3"/>
      <c r="V948" s="3"/>
      <c r="W948" s="3"/>
      <c r="X948" s="3"/>
      <c r="Y948" s="3"/>
      <c r="Z948" s="3"/>
      <c r="AA948" s="3"/>
    </row>
    <row r="949" ht="105.75" customHeight="1">
      <c r="A949" s="11"/>
      <c r="B949" s="12"/>
      <c r="C949" s="11"/>
      <c r="D949" s="13"/>
      <c r="E949" s="14"/>
      <c r="F949" s="14"/>
      <c r="G949" s="14"/>
      <c r="H949" s="15"/>
      <c r="I949" s="15"/>
      <c r="J949" s="3"/>
      <c r="K949" s="3"/>
      <c r="L949" s="3"/>
      <c r="M949" s="3"/>
      <c r="N949" s="3"/>
      <c r="O949" s="3"/>
      <c r="P949" s="3"/>
      <c r="Q949" s="3"/>
      <c r="R949" s="3"/>
      <c r="S949" s="3"/>
      <c r="T949" s="3"/>
      <c r="U949" s="3"/>
      <c r="V949" s="3"/>
      <c r="W949" s="3"/>
      <c r="X949" s="3"/>
      <c r="Y949" s="3"/>
      <c r="Z949" s="3"/>
      <c r="AA949" s="3"/>
    </row>
    <row r="950" ht="105.75" customHeight="1">
      <c r="A950" s="11"/>
      <c r="B950" s="12"/>
      <c r="C950" s="11"/>
      <c r="D950" s="13"/>
      <c r="E950" s="14"/>
      <c r="F950" s="14"/>
      <c r="G950" s="14"/>
      <c r="H950" s="15"/>
      <c r="I950" s="15"/>
      <c r="J950" s="3"/>
      <c r="K950" s="3"/>
      <c r="L950" s="3"/>
      <c r="M950" s="3"/>
      <c r="N950" s="3"/>
      <c r="O950" s="3"/>
      <c r="P950" s="3"/>
      <c r="Q950" s="3"/>
      <c r="R950" s="3"/>
      <c r="S950" s="3"/>
      <c r="T950" s="3"/>
      <c r="U950" s="3"/>
      <c r="V950" s="3"/>
      <c r="W950" s="3"/>
      <c r="X950" s="3"/>
      <c r="Y950" s="3"/>
      <c r="Z950" s="3"/>
      <c r="AA950" s="3"/>
    </row>
    <row r="951" ht="105.75" customHeight="1">
      <c r="A951" s="11"/>
      <c r="B951" s="12"/>
      <c r="C951" s="11"/>
      <c r="D951" s="13"/>
      <c r="E951" s="14"/>
      <c r="F951" s="14"/>
      <c r="G951" s="14"/>
      <c r="H951" s="15"/>
      <c r="I951" s="15"/>
      <c r="J951" s="3"/>
      <c r="K951" s="3"/>
      <c r="L951" s="3"/>
      <c r="M951" s="3"/>
      <c r="N951" s="3"/>
      <c r="O951" s="3"/>
      <c r="P951" s="3"/>
      <c r="Q951" s="3"/>
      <c r="R951" s="3"/>
      <c r="S951" s="3"/>
      <c r="T951" s="3"/>
      <c r="U951" s="3"/>
      <c r="V951" s="3"/>
      <c r="W951" s="3"/>
      <c r="X951" s="3"/>
      <c r="Y951" s="3"/>
      <c r="Z951" s="3"/>
      <c r="AA951" s="3"/>
    </row>
    <row r="952" ht="105.75" customHeight="1">
      <c r="A952" s="11"/>
      <c r="B952" s="12"/>
      <c r="C952" s="11"/>
      <c r="D952" s="13"/>
      <c r="E952" s="16"/>
      <c r="F952" s="16"/>
      <c r="G952" s="16"/>
      <c r="H952" s="15"/>
      <c r="I952" s="15"/>
      <c r="J952" s="3"/>
      <c r="K952" s="3"/>
      <c r="L952" s="3"/>
      <c r="M952" s="3"/>
      <c r="N952" s="3"/>
      <c r="O952" s="3"/>
      <c r="P952" s="3"/>
      <c r="Q952" s="3"/>
      <c r="R952" s="3"/>
      <c r="S952" s="3"/>
      <c r="T952" s="3"/>
      <c r="U952" s="3"/>
      <c r="V952" s="3"/>
      <c r="W952" s="3"/>
      <c r="X952" s="3"/>
      <c r="Y952" s="3"/>
      <c r="Z952" s="3"/>
      <c r="AA952" s="3"/>
    </row>
    <row r="953" ht="105.75" customHeight="1">
      <c r="A953" s="11"/>
      <c r="B953" s="12"/>
      <c r="C953" s="11"/>
      <c r="D953" s="13"/>
      <c r="E953" s="16"/>
      <c r="F953" s="16"/>
      <c r="G953" s="16"/>
      <c r="H953" s="15"/>
      <c r="I953" s="15"/>
      <c r="J953" s="3"/>
      <c r="K953" s="3"/>
      <c r="L953" s="3"/>
      <c r="M953" s="3"/>
      <c r="N953" s="3"/>
      <c r="O953" s="3"/>
      <c r="P953" s="3"/>
      <c r="Q953" s="3"/>
      <c r="R953" s="3"/>
      <c r="S953" s="3"/>
      <c r="T953" s="3"/>
      <c r="U953" s="3"/>
      <c r="V953" s="3"/>
      <c r="W953" s="3"/>
      <c r="X953" s="3"/>
      <c r="Y953" s="3"/>
      <c r="Z953" s="3"/>
      <c r="AA953" s="3"/>
    </row>
    <row r="954" ht="105.75" customHeight="1">
      <c r="A954" s="11"/>
      <c r="B954" s="12"/>
      <c r="C954" s="11"/>
      <c r="D954" s="13"/>
      <c r="E954" s="14"/>
      <c r="F954" s="14"/>
      <c r="G954" s="14"/>
      <c r="H954" s="15"/>
      <c r="I954" s="15"/>
      <c r="J954" s="3"/>
      <c r="K954" s="3"/>
      <c r="L954" s="3"/>
      <c r="M954" s="3"/>
      <c r="N954" s="3"/>
      <c r="O954" s="3"/>
      <c r="P954" s="3"/>
      <c r="Q954" s="3"/>
      <c r="R954" s="3"/>
      <c r="S954" s="3"/>
      <c r="T954" s="3"/>
      <c r="U954" s="3"/>
      <c r="V954" s="3"/>
      <c r="W954" s="3"/>
      <c r="X954" s="3"/>
      <c r="Y954" s="3"/>
      <c r="Z954" s="3"/>
      <c r="AA954" s="3"/>
    </row>
    <row r="955" ht="105.75" customHeight="1">
      <c r="A955" s="11"/>
      <c r="B955" s="12"/>
      <c r="C955" s="11"/>
      <c r="D955" s="13"/>
      <c r="E955" s="14"/>
      <c r="F955" s="14"/>
      <c r="G955" s="14"/>
      <c r="H955" s="15"/>
      <c r="I955" s="15"/>
      <c r="J955" s="3"/>
      <c r="K955" s="3"/>
      <c r="L955" s="3"/>
      <c r="M955" s="3"/>
      <c r="N955" s="3"/>
      <c r="O955" s="3"/>
      <c r="P955" s="3"/>
      <c r="Q955" s="3"/>
      <c r="R955" s="3"/>
      <c r="S955" s="3"/>
      <c r="T955" s="3"/>
      <c r="U955" s="3"/>
      <c r="V955" s="3"/>
      <c r="W955" s="3"/>
      <c r="X955" s="3"/>
      <c r="Y955" s="3"/>
      <c r="Z955" s="3"/>
      <c r="AA955" s="3"/>
    </row>
    <row r="956" ht="105.75" customHeight="1">
      <c r="A956" s="11"/>
      <c r="B956" s="12"/>
      <c r="C956" s="11"/>
      <c r="D956" s="13"/>
      <c r="E956" s="16"/>
      <c r="F956" s="16"/>
      <c r="G956" s="16"/>
      <c r="H956" s="15"/>
      <c r="I956" s="15"/>
      <c r="J956" s="3"/>
      <c r="K956" s="3"/>
      <c r="L956" s="3"/>
      <c r="M956" s="3"/>
      <c r="N956" s="3"/>
      <c r="O956" s="3"/>
      <c r="P956" s="3"/>
      <c r="Q956" s="3"/>
      <c r="R956" s="3"/>
      <c r="S956" s="3"/>
      <c r="T956" s="3"/>
      <c r="U956" s="3"/>
      <c r="V956" s="3"/>
      <c r="W956" s="3"/>
      <c r="X956" s="3"/>
      <c r="Y956" s="3"/>
      <c r="Z956" s="3"/>
      <c r="AA956" s="3"/>
    </row>
    <row r="957" ht="105.75" customHeight="1">
      <c r="A957" s="11"/>
      <c r="B957" s="12"/>
      <c r="C957" s="11"/>
      <c r="D957" s="13"/>
      <c r="E957" s="16"/>
      <c r="F957" s="16"/>
      <c r="G957" s="16"/>
      <c r="H957" s="15"/>
      <c r="I957" s="15"/>
      <c r="J957" s="3"/>
      <c r="K957" s="3"/>
      <c r="L957" s="3"/>
      <c r="M957" s="3"/>
      <c r="N957" s="3"/>
      <c r="O957" s="3"/>
      <c r="P957" s="3"/>
      <c r="Q957" s="3"/>
      <c r="R957" s="3"/>
      <c r="S957" s="3"/>
      <c r="T957" s="3"/>
      <c r="U957" s="3"/>
      <c r="V957" s="3"/>
      <c r="W957" s="3"/>
      <c r="X957" s="3"/>
      <c r="Y957" s="3"/>
      <c r="Z957" s="3"/>
      <c r="AA957" s="3"/>
    </row>
    <row r="958" ht="105.75" customHeight="1">
      <c r="A958" s="11"/>
      <c r="B958" s="12"/>
      <c r="C958" s="11"/>
      <c r="D958" s="13"/>
      <c r="E958" s="14"/>
      <c r="F958" s="14"/>
      <c r="G958" s="14"/>
      <c r="H958" s="15"/>
      <c r="I958" s="15"/>
      <c r="J958" s="3"/>
      <c r="K958" s="3"/>
      <c r="L958" s="3"/>
      <c r="M958" s="3"/>
      <c r="N958" s="3"/>
      <c r="O958" s="3"/>
      <c r="P958" s="3"/>
      <c r="Q958" s="3"/>
      <c r="R958" s="3"/>
      <c r="S958" s="3"/>
      <c r="T958" s="3"/>
      <c r="U958" s="3"/>
      <c r="V958" s="3"/>
      <c r="W958" s="3"/>
      <c r="X958" s="3"/>
      <c r="Y958" s="3"/>
      <c r="Z958" s="3"/>
      <c r="AA958" s="3"/>
    </row>
    <row r="959" ht="105.75" customHeight="1">
      <c r="A959" s="11"/>
      <c r="B959" s="12"/>
      <c r="C959" s="11"/>
      <c r="D959" s="13"/>
      <c r="E959" s="14"/>
      <c r="F959" s="14"/>
      <c r="G959" s="14"/>
      <c r="H959" s="15"/>
      <c r="I959" s="15"/>
      <c r="J959" s="3"/>
      <c r="K959" s="3"/>
      <c r="L959" s="3"/>
      <c r="M959" s="3"/>
      <c r="N959" s="3"/>
      <c r="O959" s="3"/>
      <c r="P959" s="3"/>
      <c r="Q959" s="3"/>
      <c r="R959" s="3"/>
      <c r="S959" s="3"/>
      <c r="T959" s="3"/>
      <c r="U959" s="3"/>
      <c r="V959" s="3"/>
      <c r="W959" s="3"/>
      <c r="X959" s="3"/>
      <c r="Y959" s="3"/>
      <c r="Z959" s="3"/>
      <c r="AA959" s="3"/>
    </row>
    <row r="960" ht="105.75" customHeight="1">
      <c r="A960" s="11"/>
      <c r="B960" s="12"/>
      <c r="C960" s="11"/>
      <c r="D960" s="13"/>
      <c r="E960" s="14"/>
      <c r="F960" s="14"/>
      <c r="G960" s="14"/>
      <c r="H960" s="15"/>
      <c r="I960" s="15"/>
      <c r="J960" s="3"/>
      <c r="K960" s="3"/>
      <c r="L960" s="3"/>
      <c r="M960" s="3"/>
      <c r="N960" s="3"/>
      <c r="O960" s="3"/>
      <c r="P960" s="3"/>
      <c r="Q960" s="3"/>
      <c r="R960" s="3"/>
      <c r="S960" s="3"/>
      <c r="T960" s="3"/>
      <c r="U960" s="3"/>
      <c r="V960" s="3"/>
      <c r="W960" s="3"/>
      <c r="X960" s="3"/>
      <c r="Y960" s="3"/>
      <c r="Z960" s="3"/>
      <c r="AA960" s="3"/>
    </row>
    <row r="961" ht="105.75" customHeight="1">
      <c r="A961" s="11"/>
      <c r="B961" s="12"/>
      <c r="C961" s="11"/>
      <c r="D961" s="13"/>
      <c r="E961" s="14"/>
      <c r="F961" s="14"/>
      <c r="G961" s="14"/>
      <c r="H961" s="15"/>
      <c r="I961" s="15"/>
      <c r="J961" s="3"/>
      <c r="K961" s="3"/>
      <c r="L961" s="3"/>
      <c r="M961" s="3"/>
      <c r="N961" s="3"/>
      <c r="O961" s="3"/>
      <c r="P961" s="3"/>
      <c r="Q961" s="3"/>
      <c r="R961" s="3"/>
      <c r="S961" s="3"/>
      <c r="T961" s="3"/>
      <c r="U961" s="3"/>
      <c r="V961" s="3"/>
      <c r="W961" s="3"/>
      <c r="X961" s="3"/>
      <c r="Y961" s="3"/>
      <c r="Z961" s="3"/>
      <c r="AA961" s="3"/>
    </row>
    <row r="962" ht="105.75" customHeight="1">
      <c r="A962" s="11"/>
      <c r="B962" s="12"/>
      <c r="C962" s="11"/>
      <c r="D962" s="13"/>
      <c r="E962" s="16"/>
      <c r="F962" s="16"/>
      <c r="G962" s="16"/>
      <c r="H962" s="15"/>
      <c r="I962" s="15"/>
      <c r="J962" s="3"/>
      <c r="K962" s="3"/>
      <c r="L962" s="3"/>
      <c r="M962" s="3"/>
      <c r="N962" s="3"/>
      <c r="O962" s="3"/>
      <c r="P962" s="3"/>
      <c r="Q962" s="3"/>
      <c r="R962" s="3"/>
      <c r="S962" s="3"/>
      <c r="T962" s="3"/>
      <c r="U962" s="3"/>
      <c r="V962" s="3"/>
      <c r="W962" s="3"/>
      <c r="X962" s="3"/>
      <c r="Y962" s="3"/>
      <c r="Z962" s="3"/>
      <c r="AA962" s="3"/>
    </row>
    <row r="963" ht="105.75" customHeight="1">
      <c r="A963" s="11"/>
      <c r="B963" s="12"/>
      <c r="C963" s="11"/>
      <c r="D963" s="13"/>
      <c r="E963" s="14"/>
      <c r="F963" s="14"/>
      <c r="G963" s="14"/>
      <c r="H963" s="15"/>
      <c r="I963" s="15"/>
      <c r="J963" s="3"/>
      <c r="K963" s="3"/>
      <c r="L963" s="3"/>
      <c r="M963" s="3"/>
      <c r="N963" s="3"/>
      <c r="O963" s="3"/>
      <c r="P963" s="3"/>
      <c r="Q963" s="3"/>
      <c r="R963" s="3"/>
      <c r="S963" s="3"/>
      <c r="T963" s="3"/>
      <c r="U963" s="3"/>
      <c r="V963" s="3"/>
      <c r="W963" s="3"/>
      <c r="X963" s="3"/>
      <c r="Y963" s="3"/>
      <c r="Z963" s="3"/>
      <c r="AA963" s="3"/>
    </row>
    <row r="964" ht="105.75" customHeight="1">
      <c r="A964" s="11"/>
      <c r="B964" s="12"/>
      <c r="C964" s="11"/>
      <c r="D964" s="13"/>
      <c r="E964" s="14"/>
      <c r="F964" s="14"/>
      <c r="G964" s="14"/>
      <c r="H964" s="15"/>
      <c r="I964" s="15"/>
      <c r="J964" s="3"/>
      <c r="K964" s="3"/>
      <c r="L964" s="3"/>
      <c r="M964" s="3"/>
      <c r="N964" s="3"/>
      <c r="O964" s="3"/>
      <c r="P964" s="3"/>
      <c r="Q964" s="3"/>
      <c r="R964" s="3"/>
      <c r="S964" s="3"/>
      <c r="T964" s="3"/>
      <c r="U964" s="3"/>
      <c r="V964" s="3"/>
      <c r="W964" s="3"/>
      <c r="X964" s="3"/>
      <c r="Y964" s="3"/>
      <c r="Z964" s="3"/>
      <c r="AA964" s="3"/>
    </row>
    <row r="965" ht="105.75" customHeight="1">
      <c r="A965" s="11"/>
      <c r="B965" s="12"/>
      <c r="C965" s="11"/>
      <c r="D965" s="13"/>
      <c r="E965" s="16"/>
      <c r="F965" s="16"/>
      <c r="G965" s="16"/>
      <c r="H965" s="15"/>
      <c r="I965" s="15"/>
      <c r="J965" s="3"/>
      <c r="K965" s="3"/>
      <c r="L965" s="3"/>
      <c r="M965" s="3"/>
      <c r="N965" s="3"/>
      <c r="O965" s="3"/>
      <c r="P965" s="3"/>
      <c r="Q965" s="3"/>
      <c r="R965" s="3"/>
      <c r="S965" s="3"/>
      <c r="T965" s="3"/>
      <c r="U965" s="3"/>
      <c r="V965" s="3"/>
      <c r="W965" s="3"/>
      <c r="X965" s="3"/>
      <c r="Y965" s="3"/>
      <c r="Z965" s="3"/>
      <c r="AA965" s="3"/>
    </row>
    <row r="966" ht="105.75" customHeight="1">
      <c r="A966" s="11"/>
      <c r="B966" s="12"/>
      <c r="C966" s="11"/>
      <c r="D966" s="13"/>
      <c r="E966" s="14"/>
      <c r="F966" s="14"/>
      <c r="G966" s="14"/>
      <c r="H966" s="15"/>
      <c r="I966" s="15"/>
      <c r="J966" s="3"/>
      <c r="K966" s="3"/>
      <c r="L966" s="3"/>
      <c r="M966" s="3"/>
      <c r="N966" s="3"/>
      <c r="O966" s="3"/>
      <c r="P966" s="3"/>
      <c r="Q966" s="3"/>
      <c r="R966" s="3"/>
      <c r="S966" s="3"/>
      <c r="T966" s="3"/>
      <c r="U966" s="3"/>
      <c r="V966" s="3"/>
      <c r="W966" s="3"/>
      <c r="X966" s="3"/>
      <c r="Y966" s="3"/>
      <c r="Z966" s="3"/>
      <c r="AA966" s="3"/>
    </row>
    <row r="967" ht="105.75" customHeight="1">
      <c r="A967" s="11"/>
      <c r="B967" s="12"/>
      <c r="C967" s="11"/>
      <c r="D967" s="13"/>
      <c r="E967" s="16"/>
      <c r="F967" s="16"/>
      <c r="G967" s="16"/>
      <c r="H967" s="15"/>
      <c r="I967" s="15"/>
      <c r="J967" s="3"/>
      <c r="K967" s="3"/>
      <c r="L967" s="3"/>
      <c r="M967" s="3"/>
      <c r="N967" s="3"/>
      <c r="O967" s="3"/>
      <c r="P967" s="3"/>
      <c r="Q967" s="3"/>
      <c r="R967" s="3"/>
      <c r="S967" s="3"/>
      <c r="T967" s="3"/>
      <c r="U967" s="3"/>
      <c r="V967" s="3"/>
      <c r="W967" s="3"/>
      <c r="X967" s="3"/>
      <c r="Y967" s="3"/>
      <c r="Z967" s="3"/>
      <c r="AA967" s="3"/>
    </row>
    <row r="968" ht="105.75" customHeight="1">
      <c r="A968" s="11"/>
      <c r="B968" s="12"/>
      <c r="C968" s="11"/>
      <c r="D968" s="13"/>
      <c r="E968" s="16"/>
      <c r="F968" s="16"/>
      <c r="G968" s="16"/>
      <c r="H968" s="15"/>
      <c r="I968" s="15"/>
      <c r="J968" s="3"/>
      <c r="K968" s="3"/>
      <c r="L968" s="3"/>
      <c r="M968" s="3"/>
      <c r="N968" s="3"/>
      <c r="O968" s="3"/>
      <c r="P968" s="3"/>
      <c r="Q968" s="3"/>
      <c r="R968" s="3"/>
      <c r="S968" s="3"/>
      <c r="T968" s="3"/>
      <c r="U968" s="3"/>
      <c r="V968" s="3"/>
      <c r="W968" s="3"/>
      <c r="X968" s="3"/>
      <c r="Y968" s="3"/>
      <c r="Z968" s="3"/>
      <c r="AA968" s="3"/>
    </row>
    <row r="969" ht="105.75" customHeight="1">
      <c r="A969" s="11"/>
      <c r="B969" s="12"/>
      <c r="C969" s="11"/>
      <c r="D969" s="13"/>
      <c r="E969" s="16"/>
      <c r="F969" s="16"/>
      <c r="G969" s="16"/>
      <c r="H969" s="15"/>
      <c r="I969" s="15"/>
      <c r="J969" s="3"/>
      <c r="K969" s="3"/>
      <c r="L969" s="3"/>
      <c r="M969" s="3"/>
      <c r="N969" s="3"/>
      <c r="O969" s="3"/>
      <c r="P969" s="3"/>
      <c r="Q969" s="3"/>
      <c r="R969" s="3"/>
      <c r="S969" s="3"/>
      <c r="T969" s="3"/>
      <c r="U969" s="3"/>
      <c r="V969" s="3"/>
      <c r="W969" s="3"/>
      <c r="X969" s="3"/>
      <c r="Y969" s="3"/>
      <c r="Z969" s="3"/>
      <c r="AA969" s="3"/>
    </row>
    <row r="970" ht="105.75" customHeight="1">
      <c r="A970" s="11"/>
      <c r="B970" s="12"/>
      <c r="C970" s="11"/>
      <c r="D970" s="13"/>
      <c r="E970" s="14"/>
      <c r="F970" s="14"/>
      <c r="G970" s="14"/>
      <c r="H970" s="15"/>
      <c r="I970" s="15"/>
      <c r="J970" s="3"/>
      <c r="K970" s="3"/>
      <c r="L970" s="3"/>
      <c r="M970" s="3"/>
      <c r="N970" s="3"/>
      <c r="O970" s="3"/>
      <c r="P970" s="3"/>
      <c r="Q970" s="3"/>
      <c r="R970" s="3"/>
      <c r="S970" s="3"/>
      <c r="T970" s="3"/>
      <c r="U970" s="3"/>
      <c r="V970" s="3"/>
      <c r="W970" s="3"/>
      <c r="X970" s="3"/>
      <c r="Y970" s="3"/>
      <c r="Z970" s="3"/>
      <c r="AA970" s="3"/>
    </row>
    <row r="971" ht="105.75" customHeight="1">
      <c r="A971" s="11"/>
      <c r="B971" s="12"/>
      <c r="C971" s="11"/>
      <c r="D971" s="13"/>
      <c r="E971" s="14"/>
      <c r="F971" s="14"/>
      <c r="G971" s="14"/>
      <c r="H971" s="15"/>
      <c r="I971" s="15"/>
      <c r="J971" s="3"/>
      <c r="K971" s="3"/>
      <c r="L971" s="3"/>
      <c r="M971" s="3"/>
      <c r="N971" s="3"/>
      <c r="O971" s="3"/>
      <c r="P971" s="3"/>
      <c r="Q971" s="3"/>
      <c r="R971" s="3"/>
      <c r="S971" s="3"/>
      <c r="T971" s="3"/>
      <c r="U971" s="3"/>
      <c r="V971" s="3"/>
      <c r="W971" s="3"/>
      <c r="X971" s="3"/>
      <c r="Y971" s="3"/>
      <c r="Z971" s="3"/>
      <c r="AA971" s="3"/>
    </row>
    <row r="972" ht="105.75" customHeight="1">
      <c r="A972" s="11"/>
      <c r="B972" s="12"/>
      <c r="C972" s="11"/>
      <c r="D972" s="13"/>
      <c r="E972" s="14"/>
      <c r="F972" s="14"/>
      <c r="G972" s="14"/>
      <c r="H972" s="15"/>
      <c r="I972" s="15"/>
      <c r="J972" s="3"/>
      <c r="K972" s="3"/>
      <c r="L972" s="3"/>
      <c r="M972" s="3"/>
      <c r="N972" s="3"/>
      <c r="O972" s="3"/>
      <c r="P972" s="3"/>
      <c r="Q972" s="3"/>
      <c r="R972" s="3"/>
      <c r="S972" s="3"/>
      <c r="T972" s="3"/>
      <c r="U972" s="3"/>
      <c r="V972" s="3"/>
      <c r="W972" s="3"/>
      <c r="X972" s="3"/>
      <c r="Y972" s="3"/>
      <c r="Z972" s="3"/>
      <c r="AA972" s="3"/>
    </row>
    <row r="973" ht="105.75" customHeight="1">
      <c r="A973" s="11"/>
      <c r="B973" s="12"/>
      <c r="C973" s="11"/>
      <c r="D973" s="13"/>
      <c r="E973" s="14"/>
      <c r="F973" s="14"/>
      <c r="G973" s="14"/>
      <c r="H973" s="15"/>
      <c r="I973" s="15"/>
      <c r="J973" s="3"/>
      <c r="K973" s="3"/>
      <c r="L973" s="3"/>
      <c r="M973" s="3"/>
      <c r="N973" s="3"/>
      <c r="O973" s="3"/>
      <c r="P973" s="3"/>
      <c r="Q973" s="3"/>
      <c r="R973" s="3"/>
      <c r="S973" s="3"/>
      <c r="T973" s="3"/>
      <c r="U973" s="3"/>
      <c r="V973" s="3"/>
      <c r="W973" s="3"/>
      <c r="X973" s="3"/>
      <c r="Y973" s="3"/>
      <c r="Z973" s="3"/>
      <c r="AA973" s="3"/>
    </row>
    <row r="974" ht="105.75" customHeight="1">
      <c r="A974" s="11"/>
      <c r="B974" s="12"/>
      <c r="C974" s="11"/>
      <c r="D974" s="13"/>
      <c r="E974" s="14"/>
      <c r="F974" s="14"/>
      <c r="G974" s="14"/>
      <c r="H974" s="15"/>
      <c r="I974" s="15"/>
      <c r="J974" s="3"/>
      <c r="K974" s="3"/>
      <c r="L974" s="3"/>
      <c r="M974" s="3"/>
      <c r="N974" s="3"/>
      <c r="O974" s="3"/>
      <c r="P974" s="3"/>
      <c r="Q974" s="3"/>
      <c r="R974" s="3"/>
      <c r="S974" s="3"/>
      <c r="T974" s="3"/>
      <c r="U974" s="3"/>
      <c r="V974" s="3"/>
      <c r="W974" s="3"/>
      <c r="X974" s="3"/>
      <c r="Y974" s="3"/>
      <c r="Z974" s="3"/>
      <c r="AA974" s="3"/>
    </row>
    <row r="975" ht="105.75" customHeight="1">
      <c r="A975" s="11"/>
      <c r="B975" s="12"/>
      <c r="C975" s="11"/>
      <c r="D975" s="13"/>
      <c r="E975" s="14"/>
      <c r="F975" s="14"/>
      <c r="G975" s="14"/>
      <c r="H975" s="15"/>
      <c r="I975" s="15"/>
      <c r="J975" s="3"/>
      <c r="K975" s="3"/>
      <c r="L975" s="3"/>
      <c r="M975" s="3"/>
      <c r="N975" s="3"/>
      <c r="O975" s="3"/>
      <c r="P975" s="3"/>
      <c r="Q975" s="3"/>
      <c r="R975" s="3"/>
      <c r="S975" s="3"/>
      <c r="T975" s="3"/>
      <c r="U975" s="3"/>
      <c r="V975" s="3"/>
      <c r="W975" s="3"/>
      <c r="X975" s="3"/>
      <c r="Y975" s="3"/>
      <c r="Z975" s="3"/>
      <c r="AA975" s="3"/>
    </row>
    <row r="976" ht="105.75" customHeight="1">
      <c r="A976" s="11"/>
      <c r="B976" s="12"/>
      <c r="C976" s="11"/>
      <c r="D976" s="13"/>
      <c r="E976" s="14"/>
      <c r="F976" s="14"/>
      <c r="G976" s="14"/>
      <c r="H976" s="15"/>
      <c r="I976" s="15"/>
      <c r="J976" s="3"/>
      <c r="K976" s="3"/>
      <c r="L976" s="3"/>
      <c r="M976" s="3"/>
      <c r="N976" s="3"/>
      <c r="O976" s="3"/>
      <c r="P976" s="3"/>
      <c r="Q976" s="3"/>
      <c r="R976" s="3"/>
      <c r="S976" s="3"/>
      <c r="T976" s="3"/>
      <c r="U976" s="3"/>
      <c r="V976" s="3"/>
      <c r="W976" s="3"/>
      <c r="X976" s="3"/>
      <c r="Y976" s="3"/>
      <c r="Z976" s="3"/>
      <c r="AA976" s="3"/>
    </row>
    <row r="977" ht="105.75" customHeight="1">
      <c r="A977" s="11"/>
      <c r="B977" s="12"/>
      <c r="C977" s="11"/>
      <c r="D977" s="13"/>
      <c r="E977" s="16"/>
      <c r="F977" s="16"/>
      <c r="G977" s="16"/>
      <c r="H977" s="15"/>
      <c r="I977" s="15"/>
      <c r="J977" s="3"/>
      <c r="K977" s="3"/>
      <c r="L977" s="3"/>
      <c r="M977" s="3"/>
      <c r="N977" s="3"/>
      <c r="O977" s="3"/>
      <c r="P977" s="3"/>
      <c r="Q977" s="3"/>
      <c r="R977" s="3"/>
      <c r="S977" s="3"/>
      <c r="T977" s="3"/>
      <c r="U977" s="3"/>
      <c r="V977" s="3"/>
      <c r="W977" s="3"/>
      <c r="X977" s="3"/>
      <c r="Y977" s="3"/>
      <c r="Z977" s="3"/>
      <c r="AA977" s="3"/>
    </row>
    <row r="978" ht="105.75" customHeight="1">
      <c r="A978" s="11"/>
      <c r="B978" s="12"/>
      <c r="C978" s="11"/>
      <c r="D978" s="13"/>
      <c r="E978" s="14"/>
      <c r="F978" s="14"/>
      <c r="G978" s="14"/>
      <c r="H978" s="15"/>
      <c r="I978" s="15"/>
      <c r="J978" s="3"/>
      <c r="K978" s="3"/>
      <c r="L978" s="3"/>
      <c r="M978" s="3"/>
      <c r="N978" s="3"/>
      <c r="O978" s="3"/>
      <c r="P978" s="3"/>
      <c r="Q978" s="3"/>
      <c r="R978" s="3"/>
      <c r="S978" s="3"/>
      <c r="T978" s="3"/>
      <c r="U978" s="3"/>
      <c r="V978" s="3"/>
      <c r="W978" s="3"/>
      <c r="X978" s="3"/>
      <c r="Y978" s="3"/>
      <c r="Z978" s="3"/>
      <c r="AA978" s="3"/>
    </row>
    <row r="979" ht="105.75" customHeight="1">
      <c r="A979" s="11"/>
      <c r="B979" s="12"/>
      <c r="C979" s="11"/>
      <c r="D979" s="13"/>
      <c r="E979" s="14"/>
      <c r="F979" s="14"/>
      <c r="G979" s="14"/>
      <c r="H979" s="15"/>
      <c r="I979" s="15"/>
      <c r="J979" s="3"/>
      <c r="K979" s="3"/>
      <c r="L979" s="3"/>
      <c r="M979" s="3"/>
      <c r="N979" s="3"/>
      <c r="O979" s="3"/>
      <c r="P979" s="3"/>
      <c r="Q979" s="3"/>
      <c r="R979" s="3"/>
      <c r="S979" s="3"/>
      <c r="T979" s="3"/>
      <c r="U979" s="3"/>
      <c r="V979" s="3"/>
      <c r="W979" s="3"/>
      <c r="X979" s="3"/>
      <c r="Y979" s="3"/>
      <c r="Z979" s="3"/>
      <c r="AA979" s="3"/>
    </row>
    <row r="980" ht="105.75" customHeight="1">
      <c r="A980" s="11"/>
      <c r="B980" s="12"/>
      <c r="C980" s="11"/>
      <c r="D980" s="13"/>
      <c r="E980" s="14"/>
      <c r="F980" s="14"/>
      <c r="G980" s="14"/>
      <c r="H980" s="15"/>
      <c r="I980" s="15"/>
      <c r="J980" s="3"/>
      <c r="K980" s="3"/>
      <c r="L980" s="3"/>
      <c r="M980" s="3"/>
      <c r="N980" s="3"/>
      <c r="O980" s="3"/>
      <c r="P980" s="3"/>
      <c r="Q980" s="3"/>
      <c r="R980" s="3"/>
      <c r="S980" s="3"/>
      <c r="T980" s="3"/>
      <c r="U980" s="3"/>
      <c r="V980" s="3"/>
      <c r="W980" s="3"/>
      <c r="X980" s="3"/>
      <c r="Y980" s="3"/>
      <c r="Z980" s="3"/>
      <c r="AA980" s="3"/>
    </row>
    <row r="981" ht="105.75" customHeight="1">
      <c r="A981" s="11"/>
      <c r="B981" s="12"/>
      <c r="C981" s="11"/>
      <c r="D981" s="13"/>
      <c r="E981" s="14"/>
      <c r="F981" s="14"/>
      <c r="G981" s="14"/>
      <c r="H981" s="15"/>
      <c r="I981" s="15"/>
      <c r="J981" s="3"/>
      <c r="K981" s="3"/>
      <c r="L981" s="3"/>
      <c r="M981" s="3"/>
      <c r="N981" s="3"/>
      <c r="O981" s="3"/>
      <c r="P981" s="3"/>
      <c r="Q981" s="3"/>
      <c r="R981" s="3"/>
      <c r="S981" s="3"/>
      <c r="T981" s="3"/>
      <c r="U981" s="3"/>
      <c r="V981" s="3"/>
      <c r="W981" s="3"/>
      <c r="X981" s="3"/>
      <c r="Y981" s="3"/>
      <c r="Z981" s="3"/>
      <c r="AA981" s="3"/>
    </row>
    <row r="982" ht="105.75" customHeight="1">
      <c r="A982" s="11"/>
      <c r="B982" s="12"/>
      <c r="C982" s="11"/>
      <c r="D982" s="13"/>
      <c r="E982" s="14"/>
      <c r="F982" s="14"/>
      <c r="G982" s="14"/>
      <c r="H982" s="15"/>
      <c r="I982" s="15"/>
      <c r="J982" s="3"/>
      <c r="K982" s="3"/>
      <c r="L982" s="3"/>
      <c r="M982" s="3"/>
      <c r="N982" s="3"/>
      <c r="O982" s="3"/>
      <c r="P982" s="3"/>
      <c r="Q982" s="3"/>
      <c r="R982" s="3"/>
      <c r="S982" s="3"/>
      <c r="T982" s="3"/>
      <c r="U982" s="3"/>
      <c r="V982" s="3"/>
      <c r="W982" s="3"/>
      <c r="X982" s="3"/>
      <c r="Y982" s="3"/>
      <c r="Z982" s="3"/>
      <c r="AA982" s="3"/>
    </row>
    <row r="983" ht="105.75" customHeight="1">
      <c r="A983" s="11"/>
      <c r="B983" s="12"/>
      <c r="C983" s="11"/>
      <c r="D983" s="13"/>
      <c r="E983" s="16"/>
      <c r="F983" s="16"/>
      <c r="G983" s="16"/>
      <c r="H983" s="15"/>
      <c r="I983" s="15"/>
      <c r="J983" s="3"/>
      <c r="K983" s="3"/>
      <c r="L983" s="3"/>
      <c r="M983" s="3"/>
      <c r="N983" s="3"/>
      <c r="O983" s="3"/>
      <c r="P983" s="3"/>
      <c r="Q983" s="3"/>
      <c r="R983" s="3"/>
      <c r="S983" s="3"/>
      <c r="T983" s="3"/>
      <c r="U983" s="3"/>
      <c r="V983" s="3"/>
      <c r="W983" s="3"/>
      <c r="X983" s="3"/>
      <c r="Y983" s="3"/>
      <c r="Z983" s="3"/>
      <c r="AA983" s="3"/>
    </row>
    <row r="984" ht="105.75" customHeight="1">
      <c r="A984" s="11"/>
      <c r="B984" s="12"/>
      <c r="C984" s="11"/>
      <c r="D984" s="13"/>
      <c r="E984" s="14"/>
      <c r="F984" s="14"/>
      <c r="G984" s="14"/>
      <c r="H984" s="15"/>
      <c r="I984" s="15"/>
      <c r="J984" s="3"/>
      <c r="K984" s="3"/>
      <c r="L984" s="3"/>
      <c r="M984" s="3"/>
      <c r="N984" s="3"/>
      <c r="O984" s="3"/>
      <c r="P984" s="3"/>
      <c r="Q984" s="3"/>
      <c r="R984" s="3"/>
      <c r="S984" s="3"/>
      <c r="T984" s="3"/>
      <c r="U984" s="3"/>
      <c r="V984" s="3"/>
      <c r="W984" s="3"/>
      <c r="X984" s="3"/>
      <c r="Y984" s="3"/>
      <c r="Z984" s="3"/>
      <c r="AA984" s="3"/>
    </row>
    <row r="985" ht="105.75" customHeight="1">
      <c r="A985" s="11"/>
      <c r="B985" s="12"/>
      <c r="C985" s="11"/>
      <c r="D985" s="13"/>
      <c r="E985" s="16"/>
      <c r="F985" s="16"/>
      <c r="G985" s="16"/>
      <c r="H985" s="15"/>
      <c r="I985" s="15"/>
      <c r="J985" s="3"/>
      <c r="K985" s="3"/>
      <c r="L985" s="3"/>
      <c r="M985" s="3"/>
      <c r="N985" s="3"/>
      <c r="O985" s="3"/>
      <c r="P985" s="3"/>
      <c r="Q985" s="3"/>
      <c r="R985" s="3"/>
      <c r="S985" s="3"/>
      <c r="T985" s="3"/>
      <c r="U985" s="3"/>
      <c r="V985" s="3"/>
      <c r="W985" s="3"/>
      <c r="X985" s="3"/>
      <c r="Y985" s="3"/>
      <c r="Z985" s="3"/>
      <c r="AA985" s="3"/>
    </row>
    <row r="986" ht="105.75" customHeight="1">
      <c r="A986" s="11"/>
      <c r="B986" s="12"/>
      <c r="C986" s="11"/>
      <c r="D986" s="13"/>
      <c r="E986" s="14"/>
      <c r="F986" s="14"/>
      <c r="G986" s="14"/>
      <c r="H986" s="15"/>
      <c r="I986" s="15"/>
      <c r="J986" s="3"/>
      <c r="K986" s="3"/>
      <c r="L986" s="3"/>
      <c r="M986" s="3"/>
      <c r="N986" s="3"/>
      <c r="O986" s="3"/>
      <c r="P986" s="3"/>
      <c r="Q986" s="3"/>
      <c r="R986" s="3"/>
      <c r="S986" s="3"/>
      <c r="T986" s="3"/>
      <c r="U986" s="3"/>
      <c r="V986" s="3"/>
      <c r="W986" s="3"/>
      <c r="X986" s="3"/>
      <c r="Y986" s="3"/>
      <c r="Z986" s="3"/>
      <c r="AA986" s="3"/>
    </row>
    <row r="987" ht="105.75" customHeight="1">
      <c r="A987" s="11"/>
      <c r="B987" s="12"/>
      <c r="C987" s="11"/>
      <c r="D987" s="13"/>
      <c r="E987" s="16"/>
      <c r="F987" s="16"/>
      <c r="G987" s="16"/>
      <c r="H987" s="15"/>
      <c r="I987" s="15"/>
      <c r="J987" s="3"/>
      <c r="K987" s="3"/>
      <c r="L987" s="3"/>
      <c r="M987" s="3"/>
      <c r="N987" s="3"/>
      <c r="O987" s="3"/>
      <c r="P987" s="3"/>
      <c r="Q987" s="3"/>
      <c r="R987" s="3"/>
      <c r="S987" s="3"/>
      <c r="T987" s="3"/>
      <c r="U987" s="3"/>
      <c r="V987" s="3"/>
      <c r="W987" s="3"/>
      <c r="X987" s="3"/>
      <c r="Y987" s="3"/>
      <c r="Z987" s="3"/>
      <c r="AA987" s="3"/>
    </row>
    <row r="988" ht="105.75" customHeight="1">
      <c r="A988" s="11"/>
      <c r="B988" s="12"/>
      <c r="C988" s="11"/>
      <c r="D988" s="13"/>
      <c r="E988" s="14"/>
      <c r="F988" s="14"/>
      <c r="G988" s="14"/>
      <c r="H988" s="15"/>
      <c r="I988" s="15"/>
      <c r="J988" s="3"/>
      <c r="K988" s="3"/>
      <c r="L988" s="3"/>
      <c r="M988" s="3"/>
      <c r="N988" s="3"/>
      <c r="O988" s="3"/>
      <c r="P988" s="3"/>
      <c r="Q988" s="3"/>
      <c r="R988" s="3"/>
      <c r="S988" s="3"/>
      <c r="T988" s="3"/>
      <c r="U988" s="3"/>
      <c r="V988" s="3"/>
      <c r="W988" s="3"/>
      <c r="X988" s="3"/>
      <c r="Y988" s="3"/>
      <c r="Z988" s="3"/>
      <c r="AA988" s="3"/>
    </row>
    <row r="989" ht="105.75" customHeight="1">
      <c r="A989" s="11"/>
      <c r="B989" s="12"/>
      <c r="C989" s="11"/>
      <c r="D989" s="13"/>
      <c r="E989" s="16"/>
      <c r="F989" s="16"/>
      <c r="G989" s="16"/>
      <c r="H989" s="15"/>
      <c r="I989" s="15"/>
      <c r="J989" s="3"/>
      <c r="K989" s="3"/>
      <c r="L989" s="3"/>
      <c r="M989" s="3"/>
      <c r="N989" s="3"/>
      <c r="O989" s="3"/>
      <c r="P989" s="3"/>
      <c r="Q989" s="3"/>
      <c r="R989" s="3"/>
      <c r="S989" s="3"/>
      <c r="T989" s="3"/>
      <c r="U989" s="3"/>
      <c r="V989" s="3"/>
      <c r="W989" s="3"/>
      <c r="X989" s="3"/>
      <c r="Y989" s="3"/>
      <c r="Z989" s="3"/>
      <c r="AA989" s="3"/>
    </row>
    <row r="990" ht="105.75" customHeight="1">
      <c r="A990" s="11"/>
      <c r="B990" s="12"/>
      <c r="C990" s="11"/>
      <c r="D990" s="13"/>
      <c r="E990" s="16"/>
      <c r="F990" s="16"/>
      <c r="G990" s="16"/>
      <c r="H990" s="15"/>
      <c r="I990" s="15"/>
      <c r="J990" s="3"/>
      <c r="K990" s="3"/>
      <c r="L990" s="3"/>
      <c r="M990" s="3"/>
      <c r="N990" s="3"/>
      <c r="O990" s="3"/>
      <c r="P990" s="3"/>
      <c r="Q990" s="3"/>
      <c r="R990" s="3"/>
      <c r="S990" s="3"/>
      <c r="T990" s="3"/>
      <c r="U990" s="3"/>
      <c r="V990" s="3"/>
      <c r="W990" s="3"/>
      <c r="X990" s="3"/>
      <c r="Y990" s="3"/>
      <c r="Z990" s="3"/>
      <c r="AA990" s="3"/>
    </row>
    <row r="991" ht="105.75" customHeight="1">
      <c r="A991" s="11"/>
      <c r="B991" s="12"/>
      <c r="C991" s="11"/>
      <c r="D991" s="13"/>
      <c r="E991" s="16"/>
      <c r="F991" s="16"/>
      <c r="G991" s="16"/>
      <c r="H991" s="15"/>
      <c r="I991" s="15"/>
      <c r="J991" s="3"/>
      <c r="K991" s="3"/>
      <c r="L991" s="3"/>
      <c r="M991" s="3"/>
      <c r="N991" s="3"/>
      <c r="O991" s="3"/>
      <c r="P991" s="3"/>
      <c r="Q991" s="3"/>
      <c r="R991" s="3"/>
      <c r="S991" s="3"/>
      <c r="T991" s="3"/>
      <c r="U991" s="3"/>
      <c r="V991" s="3"/>
      <c r="W991" s="3"/>
      <c r="X991" s="3"/>
      <c r="Y991" s="3"/>
      <c r="Z991" s="3"/>
      <c r="AA991" s="3"/>
    </row>
    <row r="992" ht="105.75" customHeight="1">
      <c r="A992" s="11"/>
      <c r="B992" s="12"/>
      <c r="C992" s="11"/>
      <c r="D992" s="13"/>
      <c r="E992" s="14"/>
      <c r="F992" s="14"/>
      <c r="G992" s="14"/>
      <c r="H992" s="15"/>
      <c r="I992" s="15"/>
      <c r="J992" s="3"/>
      <c r="K992" s="3"/>
      <c r="L992" s="3"/>
      <c r="M992" s="3"/>
      <c r="N992" s="3"/>
      <c r="O992" s="3"/>
      <c r="P992" s="3"/>
      <c r="Q992" s="3"/>
      <c r="R992" s="3"/>
      <c r="S992" s="3"/>
      <c r="T992" s="3"/>
      <c r="U992" s="3"/>
      <c r="V992" s="3"/>
      <c r="W992" s="3"/>
      <c r="X992" s="3"/>
      <c r="Y992" s="3"/>
      <c r="Z992" s="3"/>
      <c r="AA992" s="3"/>
    </row>
    <row r="993" ht="105.75" customHeight="1">
      <c r="A993" s="11"/>
      <c r="B993" s="12"/>
      <c r="C993" s="11"/>
      <c r="D993" s="13"/>
      <c r="E993" s="16"/>
      <c r="F993" s="16"/>
      <c r="G993" s="16"/>
      <c r="H993" s="15"/>
      <c r="I993" s="15"/>
      <c r="J993" s="3"/>
      <c r="K993" s="3"/>
      <c r="L993" s="3"/>
      <c r="M993" s="3"/>
      <c r="N993" s="3"/>
      <c r="O993" s="3"/>
      <c r="P993" s="3"/>
      <c r="Q993" s="3"/>
      <c r="R993" s="3"/>
      <c r="S993" s="3"/>
      <c r="T993" s="3"/>
      <c r="U993" s="3"/>
      <c r="V993" s="3"/>
      <c r="W993" s="3"/>
      <c r="X993" s="3"/>
      <c r="Y993" s="3"/>
      <c r="Z993" s="3"/>
      <c r="AA993" s="3"/>
    </row>
    <row r="994" ht="105.75" customHeight="1">
      <c r="A994" s="11"/>
      <c r="B994" s="12"/>
      <c r="C994" s="11"/>
      <c r="D994" s="13"/>
      <c r="E994" s="14"/>
      <c r="F994" s="14"/>
      <c r="G994" s="14"/>
      <c r="H994" s="15"/>
      <c r="I994" s="15"/>
      <c r="J994" s="3"/>
      <c r="K994" s="3"/>
      <c r="L994" s="3"/>
      <c r="M994" s="3"/>
      <c r="N994" s="3"/>
      <c r="O994" s="3"/>
      <c r="P994" s="3"/>
      <c r="Q994" s="3"/>
      <c r="R994" s="3"/>
      <c r="S994" s="3"/>
      <c r="T994" s="3"/>
      <c r="U994" s="3"/>
      <c r="V994" s="3"/>
      <c r="W994" s="3"/>
      <c r="X994" s="3"/>
      <c r="Y994" s="3"/>
      <c r="Z994" s="3"/>
      <c r="AA994" s="3"/>
    </row>
    <row r="995" ht="105.75" customHeight="1">
      <c r="A995" s="11"/>
      <c r="B995" s="12"/>
      <c r="C995" s="11"/>
      <c r="D995" s="13"/>
      <c r="E995" s="14"/>
      <c r="F995" s="14"/>
      <c r="G995" s="14"/>
      <c r="H995" s="15"/>
      <c r="I995" s="15"/>
      <c r="J995" s="3"/>
      <c r="K995" s="3"/>
      <c r="L995" s="3"/>
      <c r="M995" s="3"/>
      <c r="N995" s="3"/>
      <c r="O995" s="3"/>
      <c r="P995" s="3"/>
      <c r="Q995" s="3"/>
      <c r="R995" s="3"/>
      <c r="S995" s="3"/>
      <c r="T995" s="3"/>
      <c r="U995" s="3"/>
      <c r="V995" s="3"/>
      <c r="W995" s="3"/>
      <c r="X995" s="3"/>
      <c r="Y995" s="3"/>
      <c r="Z995" s="3"/>
      <c r="AA995" s="3"/>
    </row>
    <row r="996" ht="105.75" customHeight="1">
      <c r="A996" s="11"/>
      <c r="B996" s="12"/>
      <c r="C996" s="11"/>
      <c r="D996" s="13"/>
      <c r="E996" s="14"/>
      <c r="F996" s="14"/>
      <c r="G996" s="14"/>
      <c r="H996" s="15"/>
      <c r="I996" s="15"/>
      <c r="J996" s="3"/>
      <c r="K996" s="3"/>
      <c r="L996" s="3"/>
      <c r="M996" s="3"/>
      <c r="N996" s="3"/>
      <c r="O996" s="3"/>
      <c r="P996" s="3"/>
      <c r="Q996" s="3"/>
      <c r="R996" s="3"/>
      <c r="S996" s="3"/>
      <c r="T996" s="3"/>
      <c r="U996" s="3"/>
      <c r="V996" s="3"/>
      <c r="W996" s="3"/>
      <c r="X996" s="3"/>
      <c r="Y996" s="3"/>
      <c r="Z996" s="3"/>
      <c r="AA996" s="3"/>
    </row>
    <row r="997" ht="105.75" customHeight="1">
      <c r="A997" s="11"/>
      <c r="B997" s="12"/>
      <c r="C997" s="11"/>
      <c r="D997" s="13"/>
      <c r="E997" s="14"/>
      <c r="F997" s="14"/>
      <c r="G997" s="14"/>
      <c r="H997" s="15"/>
      <c r="I997" s="15"/>
      <c r="J997" s="3"/>
      <c r="K997" s="3"/>
      <c r="L997" s="3"/>
      <c r="M997" s="3"/>
      <c r="N997" s="3"/>
      <c r="O997" s="3"/>
      <c r="P997" s="3"/>
      <c r="Q997" s="3"/>
      <c r="R997" s="3"/>
      <c r="S997" s="3"/>
      <c r="T997" s="3"/>
      <c r="U997" s="3"/>
      <c r="V997" s="3"/>
      <c r="W997" s="3"/>
      <c r="X997" s="3"/>
      <c r="Y997" s="3"/>
      <c r="Z997" s="3"/>
      <c r="AA997" s="3"/>
    </row>
    <row r="998" ht="105.75" customHeight="1">
      <c r="A998" s="11"/>
      <c r="B998" s="12"/>
      <c r="C998" s="11"/>
      <c r="D998" s="13"/>
      <c r="E998" s="14"/>
      <c r="F998" s="14"/>
      <c r="G998" s="14"/>
      <c r="H998" s="15"/>
      <c r="I998" s="15"/>
      <c r="J998" s="3"/>
      <c r="K998" s="3"/>
      <c r="L998" s="3"/>
      <c r="M998" s="3"/>
      <c r="N998" s="3"/>
      <c r="O998" s="3"/>
      <c r="P998" s="3"/>
      <c r="Q998" s="3"/>
      <c r="R998" s="3"/>
      <c r="S998" s="3"/>
      <c r="T998" s="3"/>
      <c r="U998" s="3"/>
      <c r="V998" s="3"/>
      <c r="W998" s="3"/>
      <c r="X998" s="3"/>
      <c r="Y998" s="3"/>
      <c r="Z998" s="3"/>
      <c r="AA998" s="3"/>
    </row>
    <row r="999" ht="105.75" customHeight="1">
      <c r="A999" s="11"/>
      <c r="B999" s="12"/>
      <c r="C999" s="11"/>
      <c r="D999" s="13"/>
      <c r="E999" s="14"/>
      <c r="F999" s="14"/>
      <c r="G999" s="14"/>
      <c r="H999" s="15"/>
      <c r="I999" s="15"/>
      <c r="J999" s="3"/>
      <c r="K999" s="3"/>
      <c r="L999" s="3"/>
      <c r="M999" s="3"/>
      <c r="N999" s="3"/>
      <c r="O999" s="3"/>
      <c r="P999" s="3"/>
      <c r="Q999" s="3"/>
      <c r="R999" s="3"/>
      <c r="S999" s="3"/>
      <c r="T999" s="3"/>
      <c r="U999" s="3"/>
      <c r="V999" s="3"/>
      <c r="W999" s="3"/>
      <c r="X999" s="3"/>
      <c r="Y999" s="3"/>
      <c r="Z999" s="3"/>
      <c r="AA999" s="3"/>
    </row>
    <row r="1000" ht="105.75" customHeight="1">
      <c r="A1000" s="11"/>
      <c r="B1000" s="12"/>
      <c r="C1000" s="11"/>
      <c r="D1000" s="13"/>
      <c r="E1000" s="14"/>
      <c r="F1000" s="14"/>
      <c r="G1000" s="14"/>
      <c r="H1000" s="15"/>
      <c r="I1000" s="15"/>
      <c r="J1000" s="3"/>
      <c r="K1000" s="3"/>
      <c r="L1000" s="3"/>
      <c r="M1000" s="3"/>
      <c r="N1000" s="3"/>
      <c r="O1000" s="3"/>
      <c r="P1000" s="3"/>
      <c r="Q1000" s="3"/>
      <c r="R1000" s="3"/>
      <c r="S1000" s="3"/>
      <c r="T1000" s="3"/>
      <c r="U1000" s="3"/>
      <c r="V1000" s="3"/>
      <c r="W1000" s="3"/>
      <c r="X1000" s="3"/>
      <c r="Y1000" s="3"/>
      <c r="Z1000" s="3"/>
      <c r="AA1000" s="3"/>
    </row>
    <row r="1001" ht="105.75" customHeight="1">
      <c r="A1001" s="11"/>
      <c r="B1001" s="12"/>
      <c r="C1001" s="11"/>
      <c r="D1001" s="13"/>
      <c r="E1001" s="16"/>
      <c r="F1001" s="16"/>
      <c r="G1001" s="16"/>
      <c r="H1001" s="15"/>
      <c r="I1001" s="15"/>
      <c r="J1001" s="3"/>
      <c r="K1001" s="3"/>
      <c r="L1001" s="3"/>
      <c r="M1001" s="3"/>
      <c r="N1001" s="3"/>
      <c r="O1001" s="3"/>
      <c r="P1001" s="3"/>
      <c r="Q1001" s="3"/>
      <c r="R1001" s="3"/>
      <c r="S1001" s="3"/>
      <c r="T1001" s="3"/>
      <c r="U1001" s="3"/>
      <c r="V1001" s="3"/>
      <c r="W1001" s="3"/>
      <c r="X1001" s="3"/>
      <c r="Y1001" s="3"/>
      <c r="Z1001" s="3"/>
      <c r="AA1001" s="3"/>
    </row>
    <row r="1002" ht="105.75" customHeight="1">
      <c r="A1002" s="11"/>
      <c r="B1002" s="12"/>
      <c r="C1002" s="11"/>
      <c r="D1002" s="13"/>
      <c r="E1002" s="14"/>
      <c r="F1002" s="14"/>
      <c r="G1002" s="14"/>
      <c r="H1002" s="15"/>
      <c r="I1002" s="15"/>
      <c r="J1002" s="3"/>
      <c r="K1002" s="3"/>
      <c r="L1002" s="3"/>
      <c r="M1002" s="3"/>
      <c r="N1002" s="3"/>
      <c r="O1002" s="3"/>
      <c r="P1002" s="3"/>
      <c r="Q1002" s="3"/>
      <c r="R1002" s="3"/>
      <c r="S1002" s="3"/>
      <c r="T1002" s="3"/>
      <c r="U1002" s="3"/>
      <c r="V1002" s="3"/>
      <c r="W1002" s="3"/>
      <c r="X1002" s="3"/>
      <c r="Y1002" s="3"/>
      <c r="Z1002" s="3"/>
      <c r="AA1002" s="3"/>
    </row>
    <row r="1003" ht="105.75" customHeight="1">
      <c r="A1003" s="11"/>
      <c r="B1003" s="12"/>
      <c r="C1003" s="11"/>
      <c r="D1003" s="13"/>
      <c r="E1003" s="14"/>
      <c r="F1003" s="14"/>
      <c r="G1003" s="14"/>
      <c r="H1003" s="15"/>
      <c r="I1003" s="15"/>
      <c r="J1003" s="3"/>
      <c r="K1003" s="3"/>
      <c r="L1003" s="3"/>
      <c r="M1003" s="3"/>
      <c r="N1003" s="3"/>
      <c r="O1003" s="3"/>
      <c r="P1003" s="3"/>
      <c r="Q1003" s="3"/>
      <c r="R1003" s="3"/>
      <c r="S1003" s="3"/>
      <c r="T1003" s="3"/>
      <c r="U1003" s="3"/>
      <c r="V1003" s="3"/>
      <c r="W1003" s="3"/>
      <c r="X1003" s="3"/>
      <c r="Y1003" s="3"/>
      <c r="Z1003" s="3"/>
      <c r="AA1003" s="3"/>
    </row>
    <row r="1004" ht="105.75" customHeight="1">
      <c r="A1004" s="11"/>
      <c r="B1004" s="12"/>
      <c r="C1004" s="11"/>
      <c r="D1004" s="13"/>
      <c r="E1004" s="14"/>
      <c r="F1004" s="14"/>
      <c r="G1004" s="14"/>
      <c r="H1004" s="15"/>
      <c r="I1004" s="15"/>
      <c r="J1004" s="3"/>
      <c r="K1004" s="3"/>
      <c r="L1004" s="3"/>
      <c r="M1004" s="3"/>
      <c r="N1004" s="3"/>
      <c r="O1004" s="3"/>
      <c r="P1004" s="3"/>
      <c r="Q1004" s="3"/>
      <c r="R1004" s="3"/>
      <c r="S1004" s="3"/>
      <c r="T1004" s="3"/>
      <c r="U1004" s="3"/>
      <c r="V1004" s="3"/>
      <c r="W1004" s="3"/>
      <c r="X1004" s="3"/>
      <c r="Y1004" s="3"/>
      <c r="Z1004" s="3"/>
      <c r="AA1004" s="3"/>
    </row>
    <row r="1005" ht="105.75" customHeight="1">
      <c r="A1005" s="11"/>
      <c r="B1005" s="12"/>
      <c r="C1005" s="11"/>
      <c r="D1005" s="13"/>
      <c r="E1005" s="14"/>
      <c r="F1005" s="14"/>
      <c r="G1005" s="14"/>
      <c r="H1005" s="15"/>
      <c r="I1005" s="15"/>
      <c r="J1005" s="3"/>
      <c r="K1005" s="3"/>
      <c r="L1005" s="3"/>
      <c r="M1005" s="3"/>
      <c r="N1005" s="3"/>
      <c r="O1005" s="3"/>
      <c r="P1005" s="3"/>
      <c r="Q1005" s="3"/>
      <c r="R1005" s="3"/>
      <c r="S1005" s="3"/>
      <c r="T1005" s="3"/>
      <c r="U1005" s="3"/>
      <c r="V1005" s="3"/>
      <c r="W1005" s="3"/>
      <c r="X1005" s="3"/>
      <c r="Y1005" s="3"/>
      <c r="Z1005" s="3"/>
      <c r="AA1005" s="3"/>
    </row>
    <row r="1006" ht="105.75" customHeight="1">
      <c r="A1006" s="11"/>
      <c r="B1006" s="12"/>
      <c r="C1006" s="11"/>
      <c r="D1006" s="13"/>
      <c r="E1006" s="14"/>
      <c r="F1006" s="14"/>
      <c r="G1006" s="14"/>
      <c r="H1006" s="15"/>
      <c r="I1006" s="15"/>
      <c r="J1006" s="3"/>
      <c r="K1006" s="3"/>
      <c r="L1006" s="3"/>
      <c r="M1006" s="3"/>
      <c r="N1006" s="3"/>
      <c r="O1006" s="3"/>
      <c r="P1006" s="3"/>
      <c r="Q1006" s="3"/>
      <c r="R1006" s="3"/>
      <c r="S1006" s="3"/>
      <c r="T1006" s="3"/>
      <c r="U1006" s="3"/>
      <c r="V1006" s="3"/>
      <c r="W1006" s="3"/>
      <c r="X1006" s="3"/>
      <c r="Y1006" s="3"/>
      <c r="Z1006" s="3"/>
      <c r="AA1006" s="3"/>
    </row>
    <row r="1007" ht="105.75" customHeight="1">
      <c r="A1007" s="11"/>
      <c r="B1007" s="12"/>
      <c r="C1007" s="11"/>
      <c r="D1007" s="13"/>
      <c r="E1007" s="16"/>
      <c r="F1007" s="16"/>
      <c r="G1007" s="16"/>
      <c r="H1007" s="15"/>
      <c r="I1007" s="15"/>
      <c r="J1007" s="3"/>
      <c r="K1007" s="3"/>
      <c r="L1007" s="3"/>
      <c r="M1007" s="3"/>
      <c r="N1007" s="3"/>
      <c r="O1007" s="3"/>
      <c r="P1007" s="3"/>
      <c r="Q1007" s="3"/>
      <c r="R1007" s="3"/>
      <c r="S1007" s="3"/>
      <c r="T1007" s="3"/>
      <c r="U1007" s="3"/>
      <c r="V1007" s="3"/>
      <c r="W1007" s="3"/>
      <c r="X1007" s="3"/>
      <c r="Y1007" s="3"/>
      <c r="Z1007" s="3"/>
      <c r="AA1007" s="3"/>
    </row>
    <row r="1008" ht="105.75" customHeight="1">
      <c r="A1008" s="11"/>
      <c r="B1008" s="12"/>
      <c r="C1008" s="11"/>
      <c r="D1008" s="13"/>
      <c r="E1008" s="14"/>
      <c r="F1008" s="14"/>
      <c r="G1008" s="14"/>
      <c r="H1008" s="15"/>
      <c r="I1008" s="15"/>
      <c r="J1008" s="3"/>
      <c r="K1008" s="3"/>
      <c r="L1008" s="3"/>
      <c r="M1008" s="3"/>
      <c r="N1008" s="3"/>
      <c r="O1008" s="3"/>
      <c r="P1008" s="3"/>
      <c r="Q1008" s="3"/>
      <c r="R1008" s="3"/>
      <c r="S1008" s="3"/>
      <c r="T1008" s="3"/>
      <c r="U1008" s="3"/>
      <c r="V1008" s="3"/>
      <c r="W1008" s="3"/>
      <c r="X1008" s="3"/>
      <c r="Y1008" s="3"/>
      <c r="Z1008" s="3"/>
      <c r="AA1008" s="3"/>
    </row>
    <row r="1009" ht="105.75" customHeight="1">
      <c r="A1009" s="11"/>
      <c r="B1009" s="12"/>
      <c r="C1009" s="11"/>
      <c r="D1009" s="13"/>
      <c r="E1009" s="14"/>
      <c r="F1009" s="14"/>
      <c r="G1009" s="14"/>
      <c r="H1009" s="15"/>
      <c r="I1009" s="15"/>
      <c r="J1009" s="3"/>
      <c r="K1009" s="3"/>
      <c r="L1009" s="3"/>
      <c r="M1009" s="3"/>
      <c r="N1009" s="3"/>
      <c r="O1009" s="3"/>
      <c r="P1009" s="3"/>
      <c r="Q1009" s="3"/>
      <c r="R1009" s="3"/>
      <c r="S1009" s="3"/>
      <c r="T1009" s="3"/>
      <c r="U1009" s="3"/>
      <c r="V1009" s="3"/>
      <c r="W1009" s="3"/>
      <c r="X1009" s="3"/>
      <c r="Y1009" s="3"/>
      <c r="Z1009" s="3"/>
      <c r="AA1009" s="3"/>
    </row>
    <row r="1010" ht="105.75" customHeight="1">
      <c r="A1010" s="11"/>
      <c r="B1010" s="12"/>
      <c r="C1010" s="11"/>
      <c r="D1010" s="13"/>
      <c r="E1010" s="16"/>
      <c r="F1010" s="16"/>
      <c r="G1010" s="16"/>
      <c r="H1010" s="15"/>
      <c r="I1010" s="15"/>
      <c r="J1010" s="3"/>
      <c r="K1010" s="3"/>
      <c r="L1010" s="3"/>
      <c r="M1010" s="3"/>
      <c r="N1010" s="3"/>
      <c r="O1010" s="3"/>
      <c r="P1010" s="3"/>
      <c r="Q1010" s="3"/>
      <c r="R1010" s="3"/>
      <c r="S1010" s="3"/>
      <c r="T1010" s="3"/>
      <c r="U1010" s="3"/>
      <c r="V1010" s="3"/>
      <c r="W1010" s="3"/>
      <c r="X1010" s="3"/>
      <c r="Y1010" s="3"/>
      <c r="Z1010" s="3"/>
      <c r="AA1010" s="3"/>
    </row>
    <row r="1011" ht="105.75" customHeight="1">
      <c r="A1011" s="11"/>
      <c r="B1011" s="12"/>
      <c r="C1011" s="11"/>
      <c r="D1011" s="13"/>
      <c r="E1011" s="14"/>
      <c r="F1011" s="14"/>
      <c r="G1011" s="14"/>
      <c r="H1011" s="15"/>
      <c r="I1011" s="15"/>
      <c r="J1011" s="3"/>
      <c r="K1011" s="3"/>
      <c r="L1011" s="3"/>
      <c r="M1011" s="3"/>
      <c r="N1011" s="3"/>
      <c r="O1011" s="3"/>
      <c r="P1011" s="3"/>
      <c r="Q1011" s="3"/>
      <c r="R1011" s="3"/>
      <c r="S1011" s="3"/>
      <c r="T1011" s="3"/>
      <c r="U1011" s="3"/>
      <c r="V1011" s="3"/>
      <c r="W1011" s="3"/>
      <c r="X1011" s="3"/>
      <c r="Y1011" s="3"/>
      <c r="Z1011" s="3"/>
      <c r="AA1011" s="3"/>
    </row>
    <row r="1012" ht="105.75" customHeight="1">
      <c r="A1012" s="11"/>
      <c r="B1012" s="12"/>
      <c r="C1012" s="11"/>
      <c r="D1012" s="13"/>
      <c r="E1012" s="16"/>
      <c r="F1012" s="16"/>
      <c r="G1012" s="16"/>
      <c r="H1012" s="15"/>
      <c r="I1012" s="15"/>
      <c r="J1012" s="3"/>
      <c r="K1012" s="3"/>
      <c r="L1012" s="3"/>
      <c r="M1012" s="3"/>
      <c r="N1012" s="3"/>
      <c r="O1012" s="3"/>
      <c r="P1012" s="3"/>
      <c r="Q1012" s="3"/>
      <c r="R1012" s="3"/>
      <c r="S1012" s="3"/>
      <c r="T1012" s="3"/>
      <c r="U1012" s="3"/>
      <c r="V1012" s="3"/>
      <c r="W1012" s="3"/>
      <c r="X1012" s="3"/>
      <c r="Y1012" s="3"/>
      <c r="Z1012" s="3"/>
      <c r="AA1012" s="3"/>
    </row>
    <row r="1013" ht="105.75" customHeight="1">
      <c r="A1013" s="11"/>
      <c r="B1013" s="12"/>
      <c r="C1013" s="11"/>
      <c r="D1013" s="13"/>
      <c r="E1013" s="14"/>
      <c r="F1013" s="14"/>
      <c r="G1013" s="14"/>
      <c r="H1013" s="15"/>
      <c r="I1013" s="15"/>
      <c r="J1013" s="3"/>
      <c r="K1013" s="3"/>
      <c r="L1013" s="3"/>
      <c r="M1013" s="3"/>
      <c r="N1013" s="3"/>
      <c r="O1013" s="3"/>
      <c r="P1013" s="3"/>
      <c r="Q1013" s="3"/>
      <c r="R1013" s="3"/>
      <c r="S1013" s="3"/>
      <c r="T1013" s="3"/>
      <c r="U1013" s="3"/>
      <c r="V1013" s="3"/>
      <c r="W1013" s="3"/>
      <c r="X1013" s="3"/>
      <c r="Y1013" s="3"/>
      <c r="Z1013" s="3"/>
      <c r="AA1013" s="3"/>
    </row>
    <row r="1014" ht="105.75" customHeight="1">
      <c r="A1014" s="11"/>
      <c r="B1014" s="12"/>
      <c r="C1014" s="11"/>
      <c r="D1014" s="13"/>
      <c r="E1014" s="14"/>
      <c r="F1014" s="14"/>
      <c r="G1014" s="14"/>
      <c r="H1014" s="15"/>
      <c r="I1014" s="15"/>
      <c r="J1014" s="3"/>
      <c r="K1014" s="3"/>
      <c r="L1014" s="3"/>
      <c r="M1014" s="3"/>
      <c r="N1014" s="3"/>
      <c r="O1014" s="3"/>
      <c r="P1014" s="3"/>
      <c r="Q1014" s="3"/>
      <c r="R1014" s="3"/>
      <c r="S1014" s="3"/>
      <c r="T1014" s="3"/>
      <c r="U1014" s="3"/>
      <c r="V1014" s="3"/>
      <c r="W1014" s="3"/>
      <c r="X1014" s="3"/>
      <c r="Y1014" s="3"/>
      <c r="Z1014" s="3"/>
      <c r="AA1014" s="3"/>
    </row>
    <row r="1015" ht="105.75" customHeight="1">
      <c r="A1015" s="11"/>
      <c r="B1015" s="12"/>
      <c r="C1015" s="11"/>
      <c r="D1015" s="13"/>
      <c r="E1015" s="14"/>
      <c r="F1015" s="14"/>
      <c r="G1015" s="14"/>
      <c r="H1015" s="15"/>
      <c r="I1015" s="15"/>
      <c r="J1015" s="3"/>
      <c r="K1015" s="3"/>
      <c r="L1015" s="3"/>
      <c r="M1015" s="3"/>
      <c r="N1015" s="3"/>
      <c r="O1015" s="3"/>
      <c r="P1015" s="3"/>
      <c r="Q1015" s="3"/>
      <c r="R1015" s="3"/>
      <c r="S1015" s="3"/>
      <c r="T1015" s="3"/>
      <c r="U1015" s="3"/>
      <c r="V1015" s="3"/>
      <c r="W1015" s="3"/>
      <c r="X1015" s="3"/>
      <c r="Y1015" s="3"/>
      <c r="Z1015" s="3"/>
      <c r="AA1015" s="3"/>
    </row>
    <row r="1016" ht="105.75" customHeight="1">
      <c r="A1016" s="11"/>
      <c r="B1016" s="12"/>
      <c r="C1016" s="11"/>
      <c r="D1016" s="13"/>
      <c r="E1016" s="14"/>
      <c r="F1016" s="14"/>
      <c r="G1016" s="14"/>
      <c r="H1016" s="15"/>
      <c r="I1016" s="15"/>
      <c r="J1016" s="3"/>
      <c r="K1016" s="3"/>
      <c r="L1016" s="3"/>
      <c r="M1016" s="3"/>
      <c r="N1016" s="3"/>
      <c r="O1016" s="3"/>
      <c r="P1016" s="3"/>
      <c r="Q1016" s="3"/>
      <c r="R1016" s="3"/>
      <c r="S1016" s="3"/>
      <c r="T1016" s="3"/>
      <c r="U1016" s="3"/>
      <c r="V1016" s="3"/>
      <c r="W1016" s="3"/>
      <c r="X1016" s="3"/>
      <c r="Y1016" s="3"/>
      <c r="Z1016" s="3"/>
      <c r="AA1016" s="3"/>
    </row>
    <row r="1017" ht="105.75" customHeight="1">
      <c r="A1017" s="11"/>
      <c r="B1017" s="12"/>
      <c r="C1017" s="11"/>
      <c r="D1017" s="13"/>
      <c r="E1017" s="14"/>
      <c r="F1017" s="14"/>
      <c r="G1017" s="14"/>
      <c r="H1017" s="15"/>
      <c r="I1017" s="15"/>
      <c r="J1017" s="3"/>
      <c r="K1017" s="3"/>
      <c r="L1017" s="3"/>
      <c r="M1017" s="3"/>
      <c r="N1017" s="3"/>
      <c r="O1017" s="3"/>
      <c r="P1017" s="3"/>
      <c r="Q1017" s="3"/>
      <c r="R1017" s="3"/>
      <c r="S1017" s="3"/>
      <c r="T1017" s="3"/>
      <c r="U1017" s="3"/>
      <c r="V1017" s="3"/>
      <c r="W1017" s="3"/>
      <c r="X1017" s="3"/>
      <c r="Y1017" s="3"/>
      <c r="Z1017" s="3"/>
      <c r="AA1017" s="3"/>
    </row>
    <row r="1018" ht="105.75" customHeight="1">
      <c r="A1018" s="11"/>
      <c r="B1018" s="12"/>
      <c r="C1018" s="11"/>
      <c r="D1018" s="13"/>
      <c r="E1018" s="14"/>
      <c r="F1018" s="14"/>
      <c r="G1018" s="14"/>
      <c r="H1018" s="15"/>
      <c r="I1018" s="15"/>
      <c r="J1018" s="3"/>
      <c r="K1018" s="3"/>
      <c r="L1018" s="3"/>
      <c r="M1018" s="3"/>
      <c r="N1018" s="3"/>
      <c r="O1018" s="3"/>
      <c r="P1018" s="3"/>
      <c r="Q1018" s="3"/>
      <c r="R1018" s="3"/>
      <c r="S1018" s="3"/>
      <c r="T1018" s="3"/>
      <c r="U1018" s="3"/>
      <c r="V1018" s="3"/>
      <c r="W1018" s="3"/>
      <c r="X1018" s="3"/>
      <c r="Y1018" s="3"/>
      <c r="Z1018" s="3"/>
      <c r="AA1018" s="3"/>
    </row>
    <row r="1019" ht="105.75" customHeight="1">
      <c r="A1019" s="11"/>
      <c r="B1019" s="12"/>
      <c r="C1019" s="11"/>
      <c r="D1019" s="13"/>
      <c r="E1019" s="14"/>
      <c r="F1019" s="14"/>
      <c r="G1019" s="14"/>
      <c r="H1019" s="15"/>
      <c r="I1019" s="15"/>
      <c r="J1019" s="3"/>
      <c r="K1019" s="3"/>
      <c r="L1019" s="3"/>
      <c r="M1019" s="3"/>
      <c r="N1019" s="3"/>
      <c r="O1019" s="3"/>
      <c r="P1019" s="3"/>
      <c r="Q1019" s="3"/>
      <c r="R1019" s="3"/>
      <c r="S1019" s="3"/>
      <c r="T1019" s="3"/>
      <c r="U1019" s="3"/>
      <c r="V1019" s="3"/>
      <c r="W1019" s="3"/>
      <c r="X1019" s="3"/>
      <c r="Y1019" s="3"/>
      <c r="Z1019" s="3"/>
      <c r="AA1019" s="3"/>
    </row>
    <row r="1020" ht="105.75" customHeight="1">
      <c r="A1020" s="11"/>
      <c r="B1020" s="12"/>
      <c r="C1020" s="11"/>
      <c r="D1020" s="13"/>
      <c r="E1020" s="14"/>
      <c r="F1020" s="14"/>
      <c r="G1020" s="14"/>
      <c r="H1020" s="15"/>
      <c r="I1020" s="15"/>
      <c r="J1020" s="3"/>
      <c r="K1020" s="3"/>
      <c r="L1020" s="3"/>
      <c r="M1020" s="3"/>
      <c r="N1020" s="3"/>
      <c r="O1020" s="3"/>
      <c r="P1020" s="3"/>
      <c r="Q1020" s="3"/>
      <c r="R1020" s="3"/>
      <c r="S1020" s="3"/>
      <c r="T1020" s="3"/>
      <c r="U1020" s="3"/>
      <c r="V1020" s="3"/>
      <c r="W1020" s="3"/>
      <c r="X1020" s="3"/>
      <c r="Y1020" s="3"/>
      <c r="Z1020" s="3"/>
      <c r="AA1020" s="3"/>
    </row>
    <row r="1021" ht="105.75" customHeight="1">
      <c r="A1021" s="11"/>
      <c r="B1021" s="12"/>
      <c r="C1021" s="11"/>
      <c r="D1021" s="13"/>
      <c r="E1021" s="16"/>
      <c r="F1021" s="16"/>
      <c r="G1021" s="16"/>
      <c r="H1021" s="15"/>
      <c r="I1021" s="15"/>
      <c r="J1021" s="3"/>
      <c r="K1021" s="3"/>
      <c r="L1021" s="3"/>
      <c r="M1021" s="3"/>
      <c r="N1021" s="3"/>
      <c r="O1021" s="3"/>
      <c r="P1021" s="3"/>
      <c r="Q1021" s="3"/>
      <c r="R1021" s="3"/>
      <c r="S1021" s="3"/>
      <c r="T1021" s="3"/>
      <c r="U1021" s="3"/>
      <c r="V1021" s="3"/>
      <c r="W1021" s="3"/>
      <c r="X1021" s="3"/>
      <c r="Y1021" s="3"/>
      <c r="Z1021" s="3"/>
      <c r="AA1021" s="3"/>
    </row>
    <row r="1022" ht="105.75" customHeight="1">
      <c r="A1022" s="11"/>
      <c r="B1022" s="12"/>
      <c r="C1022" s="11"/>
      <c r="D1022" s="13"/>
      <c r="E1022" s="14"/>
      <c r="F1022" s="14"/>
      <c r="G1022" s="14"/>
      <c r="H1022" s="15"/>
      <c r="I1022" s="15"/>
      <c r="J1022" s="3"/>
      <c r="K1022" s="3"/>
      <c r="L1022" s="3"/>
      <c r="M1022" s="3"/>
      <c r="N1022" s="3"/>
      <c r="O1022" s="3"/>
      <c r="P1022" s="3"/>
      <c r="Q1022" s="3"/>
      <c r="R1022" s="3"/>
      <c r="S1022" s="3"/>
      <c r="T1022" s="3"/>
      <c r="U1022" s="3"/>
      <c r="V1022" s="3"/>
      <c r="W1022" s="3"/>
      <c r="X1022" s="3"/>
      <c r="Y1022" s="3"/>
      <c r="Z1022" s="3"/>
      <c r="AA1022" s="3"/>
    </row>
    <row r="1023" ht="105.75" customHeight="1">
      <c r="A1023" s="11"/>
      <c r="B1023" s="12"/>
      <c r="C1023" s="11"/>
      <c r="D1023" s="13"/>
      <c r="E1023" s="14"/>
      <c r="F1023" s="14"/>
      <c r="G1023" s="14"/>
      <c r="H1023" s="15"/>
      <c r="I1023" s="15"/>
      <c r="J1023" s="3"/>
      <c r="K1023" s="3"/>
      <c r="L1023" s="3"/>
      <c r="M1023" s="3"/>
      <c r="N1023" s="3"/>
      <c r="O1023" s="3"/>
      <c r="P1023" s="3"/>
      <c r="Q1023" s="3"/>
      <c r="R1023" s="3"/>
      <c r="S1023" s="3"/>
      <c r="T1023" s="3"/>
      <c r="U1023" s="3"/>
      <c r="V1023" s="3"/>
      <c r="W1023" s="3"/>
      <c r="X1023" s="3"/>
      <c r="Y1023" s="3"/>
      <c r="Z1023" s="3"/>
      <c r="AA1023" s="3"/>
    </row>
    <row r="1024" ht="105.75" customHeight="1">
      <c r="A1024" s="11"/>
      <c r="B1024" s="12"/>
      <c r="C1024" s="11"/>
      <c r="D1024" s="13"/>
      <c r="E1024" s="14"/>
      <c r="F1024" s="14"/>
      <c r="G1024" s="14"/>
      <c r="H1024" s="15"/>
      <c r="I1024" s="15"/>
      <c r="J1024" s="3"/>
      <c r="K1024" s="3"/>
      <c r="L1024" s="3"/>
      <c r="M1024" s="3"/>
      <c r="N1024" s="3"/>
      <c r="O1024" s="3"/>
      <c r="P1024" s="3"/>
      <c r="Q1024" s="3"/>
      <c r="R1024" s="3"/>
      <c r="S1024" s="3"/>
      <c r="T1024" s="3"/>
      <c r="U1024" s="3"/>
      <c r="V1024" s="3"/>
      <c r="W1024" s="3"/>
      <c r="X1024" s="3"/>
      <c r="Y1024" s="3"/>
      <c r="Z1024" s="3"/>
      <c r="AA1024" s="3"/>
    </row>
    <row r="1025" ht="105.75" customHeight="1">
      <c r="A1025" s="11"/>
      <c r="B1025" s="12"/>
      <c r="C1025" s="11"/>
      <c r="D1025" s="13"/>
      <c r="E1025" s="14"/>
      <c r="F1025" s="14"/>
      <c r="G1025" s="14"/>
      <c r="H1025" s="15"/>
      <c r="I1025" s="15"/>
      <c r="J1025" s="3"/>
      <c r="K1025" s="3"/>
      <c r="L1025" s="3"/>
      <c r="M1025" s="3"/>
      <c r="N1025" s="3"/>
      <c r="O1025" s="3"/>
      <c r="P1025" s="3"/>
      <c r="Q1025" s="3"/>
      <c r="R1025" s="3"/>
      <c r="S1025" s="3"/>
      <c r="T1025" s="3"/>
      <c r="U1025" s="3"/>
      <c r="V1025" s="3"/>
      <c r="W1025" s="3"/>
      <c r="X1025" s="3"/>
      <c r="Y1025" s="3"/>
      <c r="Z1025" s="3"/>
      <c r="AA1025" s="3"/>
    </row>
    <row r="1026" ht="105.75" customHeight="1">
      <c r="A1026" s="11"/>
      <c r="B1026" s="12"/>
      <c r="C1026" s="11"/>
      <c r="D1026" s="13"/>
      <c r="E1026" s="14"/>
      <c r="F1026" s="14"/>
      <c r="G1026" s="14"/>
      <c r="H1026" s="15"/>
      <c r="I1026" s="15"/>
      <c r="J1026" s="3"/>
      <c r="K1026" s="3"/>
      <c r="L1026" s="3"/>
      <c r="M1026" s="3"/>
      <c r="N1026" s="3"/>
      <c r="O1026" s="3"/>
      <c r="P1026" s="3"/>
      <c r="Q1026" s="3"/>
      <c r="R1026" s="3"/>
      <c r="S1026" s="3"/>
      <c r="T1026" s="3"/>
      <c r="U1026" s="3"/>
      <c r="V1026" s="3"/>
      <c r="W1026" s="3"/>
      <c r="X1026" s="3"/>
      <c r="Y1026" s="3"/>
      <c r="Z1026" s="3"/>
      <c r="AA1026" s="3"/>
    </row>
    <row r="1027" ht="105.75" customHeight="1">
      <c r="A1027" s="11"/>
      <c r="B1027" s="12"/>
      <c r="C1027" s="11"/>
      <c r="D1027" s="13"/>
      <c r="E1027" s="14"/>
      <c r="F1027" s="14"/>
      <c r="G1027" s="14"/>
      <c r="H1027" s="15"/>
      <c r="I1027" s="15"/>
      <c r="J1027" s="3"/>
      <c r="K1027" s="3"/>
      <c r="L1027" s="3"/>
      <c r="M1027" s="3"/>
      <c r="N1027" s="3"/>
      <c r="O1027" s="3"/>
      <c r="P1027" s="3"/>
      <c r="Q1027" s="3"/>
      <c r="R1027" s="3"/>
      <c r="S1027" s="3"/>
      <c r="T1027" s="3"/>
      <c r="U1027" s="3"/>
      <c r="V1027" s="3"/>
      <c r="W1027" s="3"/>
      <c r="X1027" s="3"/>
      <c r="Y1027" s="3"/>
      <c r="Z1027" s="3"/>
      <c r="AA1027" s="3"/>
    </row>
    <row r="1028" ht="105.75" customHeight="1">
      <c r="A1028" s="11"/>
      <c r="B1028" s="12"/>
      <c r="C1028" s="11"/>
      <c r="D1028" s="13"/>
      <c r="E1028" s="14"/>
      <c r="F1028" s="14"/>
      <c r="G1028" s="14"/>
      <c r="H1028" s="15"/>
      <c r="I1028" s="15"/>
      <c r="J1028" s="3"/>
      <c r="K1028" s="3"/>
      <c r="L1028" s="3"/>
      <c r="M1028" s="3"/>
      <c r="N1028" s="3"/>
      <c r="O1028" s="3"/>
      <c r="P1028" s="3"/>
      <c r="Q1028" s="3"/>
      <c r="R1028" s="3"/>
      <c r="S1028" s="3"/>
      <c r="T1028" s="3"/>
      <c r="U1028" s="3"/>
      <c r="V1028" s="3"/>
      <c r="W1028" s="3"/>
      <c r="X1028" s="3"/>
      <c r="Y1028" s="3"/>
      <c r="Z1028" s="3"/>
      <c r="AA1028" s="3"/>
    </row>
    <row r="1029" ht="105.75" customHeight="1">
      <c r="A1029" s="11"/>
      <c r="B1029" s="12"/>
      <c r="C1029" s="11"/>
      <c r="D1029" s="13"/>
      <c r="E1029" s="14"/>
      <c r="F1029" s="14"/>
      <c r="G1029" s="14"/>
      <c r="H1029" s="15"/>
      <c r="I1029" s="15"/>
      <c r="J1029" s="3"/>
      <c r="K1029" s="3"/>
      <c r="L1029" s="3"/>
      <c r="M1029" s="3"/>
      <c r="N1029" s="3"/>
      <c r="O1029" s="3"/>
      <c r="P1029" s="3"/>
      <c r="Q1029" s="3"/>
      <c r="R1029" s="3"/>
      <c r="S1029" s="3"/>
      <c r="T1029" s="3"/>
      <c r="U1029" s="3"/>
      <c r="V1029" s="3"/>
      <c r="W1029" s="3"/>
      <c r="X1029" s="3"/>
      <c r="Y1029" s="3"/>
      <c r="Z1029" s="3"/>
      <c r="AA1029" s="3"/>
    </row>
    <row r="1030" ht="105.75" customHeight="1">
      <c r="A1030" s="11"/>
      <c r="B1030" s="12"/>
      <c r="C1030" s="11"/>
      <c r="D1030" s="13"/>
      <c r="E1030" s="16"/>
      <c r="F1030" s="16"/>
      <c r="G1030" s="16"/>
      <c r="H1030" s="15"/>
      <c r="I1030" s="15"/>
      <c r="J1030" s="3"/>
      <c r="K1030" s="3"/>
      <c r="L1030" s="3"/>
      <c r="M1030" s="3"/>
      <c r="N1030" s="3"/>
      <c r="O1030" s="3"/>
      <c r="P1030" s="3"/>
      <c r="Q1030" s="3"/>
      <c r="R1030" s="3"/>
      <c r="S1030" s="3"/>
      <c r="T1030" s="3"/>
      <c r="U1030" s="3"/>
      <c r="V1030" s="3"/>
      <c r="W1030" s="3"/>
      <c r="X1030" s="3"/>
      <c r="Y1030" s="3"/>
      <c r="Z1030" s="3"/>
      <c r="AA1030" s="3"/>
    </row>
    <row r="1031" ht="105.75" customHeight="1">
      <c r="A1031" s="11"/>
      <c r="B1031" s="12"/>
      <c r="C1031" s="11"/>
      <c r="D1031" s="13"/>
      <c r="E1031" s="14"/>
      <c r="F1031" s="14"/>
      <c r="G1031" s="14"/>
      <c r="H1031" s="15"/>
      <c r="I1031" s="15"/>
      <c r="J1031" s="3"/>
      <c r="K1031" s="3"/>
      <c r="L1031" s="3"/>
      <c r="M1031" s="3"/>
      <c r="N1031" s="3"/>
      <c r="O1031" s="3"/>
      <c r="P1031" s="3"/>
      <c r="Q1031" s="3"/>
      <c r="R1031" s="3"/>
      <c r="S1031" s="3"/>
      <c r="T1031" s="3"/>
      <c r="U1031" s="3"/>
      <c r="V1031" s="3"/>
      <c r="W1031" s="3"/>
      <c r="X1031" s="3"/>
      <c r="Y1031" s="3"/>
      <c r="Z1031" s="3"/>
      <c r="AA1031" s="3"/>
    </row>
    <row r="1032" ht="105.75" customHeight="1">
      <c r="A1032" s="11"/>
      <c r="B1032" s="12"/>
      <c r="C1032" s="11"/>
      <c r="D1032" s="13"/>
      <c r="E1032" s="14"/>
      <c r="F1032" s="14"/>
      <c r="G1032" s="14"/>
      <c r="H1032" s="15"/>
      <c r="I1032" s="15"/>
      <c r="J1032" s="3"/>
      <c r="K1032" s="3"/>
      <c r="L1032" s="3"/>
      <c r="M1032" s="3"/>
      <c r="N1032" s="3"/>
      <c r="O1032" s="3"/>
      <c r="P1032" s="3"/>
      <c r="Q1032" s="3"/>
      <c r="R1032" s="3"/>
      <c r="S1032" s="3"/>
      <c r="T1032" s="3"/>
      <c r="U1032" s="3"/>
      <c r="V1032" s="3"/>
      <c r="W1032" s="3"/>
      <c r="X1032" s="3"/>
      <c r="Y1032" s="3"/>
      <c r="Z1032" s="3"/>
      <c r="AA1032" s="3"/>
    </row>
    <row r="1033" ht="105.75" customHeight="1">
      <c r="A1033" s="11"/>
      <c r="B1033" s="12"/>
      <c r="C1033" s="11"/>
      <c r="D1033" s="13"/>
      <c r="E1033" s="16"/>
      <c r="F1033" s="16"/>
      <c r="G1033" s="16"/>
      <c r="H1033" s="15"/>
      <c r="I1033" s="15"/>
      <c r="J1033" s="3"/>
      <c r="K1033" s="3"/>
      <c r="L1033" s="3"/>
      <c r="M1033" s="3"/>
      <c r="N1033" s="3"/>
      <c r="O1033" s="3"/>
      <c r="P1033" s="3"/>
      <c r="Q1033" s="3"/>
      <c r="R1033" s="3"/>
      <c r="S1033" s="3"/>
      <c r="T1033" s="3"/>
      <c r="U1033" s="3"/>
      <c r="V1033" s="3"/>
      <c r="W1033" s="3"/>
      <c r="X1033" s="3"/>
      <c r="Y1033" s="3"/>
      <c r="Z1033" s="3"/>
      <c r="AA1033" s="3"/>
    </row>
    <row r="1034" ht="105.75" customHeight="1">
      <c r="A1034" s="11"/>
      <c r="B1034" s="12"/>
      <c r="C1034" s="11"/>
      <c r="D1034" s="13"/>
      <c r="E1034" s="14"/>
      <c r="F1034" s="14"/>
      <c r="G1034" s="14"/>
      <c r="H1034" s="15"/>
      <c r="I1034" s="15"/>
      <c r="J1034" s="3"/>
      <c r="K1034" s="3"/>
      <c r="L1034" s="3"/>
      <c r="M1034" s="3"/>
      <c r="N1034" s="3"/>
      <c r="O1034" s="3"/>
      <c r="P1034" s="3"/>
      <c r="Q1034" s="3"/>
      <c r="R1034" s="3"/>
      <c r="S1034" s="3"/>
      <c r="T1034" s="3"/>
      <c r="U1034" s="3"/>
      <c r="V1034" s="3"/>
      <c r="W1034" s="3"/>
      <c r="X1034" s="3"/>
      <c r="Y1034" s="3"/>
      <c r="Z1034" s="3"/>
      <c r="AA1034" s="3"/>
    </row>
    <row r="1035" ht="105.75" customHeight="1">
      <c r="A1035" s="11"/>
      <c r="B1035" s="12"/>
      <c r="C1035" s="11"/>
      <c r="D1035" s="13"/>
      <c r="E1035" s="14"/>
      <c r="F1035" s="14"/>
      <c r="G1035" s="14"/>
      <c r="H1035" s="15"/>
      <c r="I1035" s="15"/>
      <c r="J1035" s="3"/>
      <c r="K1035" s="3"/>
      <c r="L1035" s="3"/>
      <c r="M1035" s="3"/>
      <c r="N1035" s="3"/>
      <c r="O1035" s="3"/>
      <c r="P1035" s="3"/>
      <c r="Q1035" s="3"/>
      <c r="R1035" s="3"/>
      <c r="S1035" s="3"/>
      <c r="T1035" s="3"/>
      <c r="U1035" s="3"/>
      <c r="V1035" s="3"/>
      <c r="W1035" s="3"/>
      <c r="X1035" s="3"/>
      <c r="Y1035" s="3"/>
      <c r="Z1035" s="3"/>
      <c r="AA1035" s="3"/>
    </row>
    <row r="1036" ht="105.75" customHeight="1">
      <c r="A1036" s="11"/>
      <c r="B1036" s="12"/>
      <c r="C1036" s="11"/>
      <c r="D1036" s="13"/>
      <c r="E1036" s="14"/>
      <c r="F1036" s="14"/>
      <c r="G1036" s="14"/>
      <c r="H1036" s="15"/>
      <c r="I1036" s="15"/>
      <c r="J1036" s="3"/>
      <c r="K1036" s="3"/>
      <c r="L1036" s="3"/>
      <c r="M1036" s="3"/>
      <c r="N1036" s="3"/>
      <c r="O1036" s="3"/>
      <c r="P1036" s="3"/>
      <c r="Q1036" s="3"/>
      <c r="R1036" s="3"/>
      <c r="S1036" s="3"/>
      <c r="T1036" s="3"/>
      <c r="U1036" s="3"/>
      <c r="V1036" s="3"/>
      <c r="W1036" s="3"/>
      <c r="X1036" s="3"/>
      <c r="Y1036" s="3"/>
      <c r="Z1036" s="3"/>
      <c r="AA1036" s="3"/>
    </row>
    <row r="1037" ht="105.75" customHeight="1">
      <c r="A1037" s="11"/>
      <c r="B1037" s="12"/>
      <c r="C1037" s="11"/>
      <c r="D1037" s="13"/>
      <c r="E1037" s="14"/>
      <c r="F1037" s="14"/>
      <c r="G1037" s="14"/>
      <c r="H1037" s="15"/>
      <c r="I1037" s="15"/>
      <c r="J1037" s="3"/>
      <c r="K1037" s="3"/>
      <c r="L1037" s="3"/>
      <c r="M1037" s="3"/>
      <c r="N1037" s="3"/>
      <c r="O1037" s="3"/>
      <c r="P1037" s="3"/>
      <c r="Q1037" s="3"/>
      <c r="R1037" s="3"/>
      <c r="S1037" s="3"/>
      <c r="T1037" s="3"/>
      <c r="U1037" s="3"/>
      <c r="V1037" s="3"/>
      <c r="W1037" s="3"/>
      <c r="X1037" s="3"/>
      <c r="Y1037" s="3"/>
      <c r="Z1037" s="3"/>
      <c r="AA1037" s="3"/>
    </row>
    <row r="1038" ht="105.75" customHeight="1">
      <c r="A1038" s="11"/>
      <c r="B1038" s="12"/>
      <c r="C1038" s="11"/>
      <c r="D1038" s="13"/>
      <c r="E1038" s="16"/>
      <c r="F1038" s="16"/>
      <c r="G1038" s="16"/>
      <c r="H1038" s="15"/>
      <c r="I1038" s="15"/>
      <c r="J1038" s="3"/>
      <c r="K1038" s="3"/>
      <c r="L1038" s="3"/>
      <c r="M1038" s="3"/>
      <c r="N1038" s="3"/>
      <c r="O1038" s="3"/>
      <c r="P1038" s="3"/>
      <c r="Q1038" s="3"/>
      <c r="R1038" s="3"/>
      <c r="S1038" s="3"/>
      <c r="T1038" s="3"/>
      <c r="U1038" s="3"/>
      <c r="V1038" s="3"/>
      <c r="W1038" s="3"/>
      <c r="X1038" s="3"/>
      <c r="Y1038" s="3"/>
      <c r="Z1038" s="3"/>
      <c r="AA1038" s="3"/>
    </row>
    <row r="1039" ht="105.75" customHeight="1">
      <c r="A1039" s="11"/>
      <c r="B1039" s="12"/>
      <c r="C1039" s="11"/>
      <c r="D1039" s="13"/>
      <c r="E1039" s="14"/>
      <c r="F1039" s="14"/>
      <c r="G1039" s="14"/>
      <c r="H1039" s="15"/>
      <c r="I1039" s="15"/>
      <c r="J1039" s="3"/>
      <c r="K1039" s="3"/>
      <c r="L1039" s="3"/>
      <c r="M1039" s="3"/>
      <c r="N1039" s="3"/>
      <c r="O1039" s="3"/>
      <c r="P1039" s="3"/>
      <c r="Q1039" s="3"/>
      <c r="R1039" s="3"/>
      <c r="S1039" s="3"/>
      <c r="T1039" s="3"/>
      <c r="U1039" s="3"/>
      <c r="V1039" s="3"/>
      <c r="W1039" s="3"/>
      <c r="X1039" s="3"/>
      <c r="Y1039" s="3"/>
      <c r="Z1039" s="3"/>
      <c r="AA1039" s="3"/>
    </row>
    <row r="1040" ht="105.75" customHeight="1">
      <c r="A1040" s="11"/>
      <c r="B1040" s="12"/>
      <c r="C1040" s="11"/>
      <c r="D1040" s="13"/>
      <c r="E1040" s="16"/>
      <c r="F1040" s="16"/>
      <c r="G1040" s="16"/>
      <c r="H1040" s="15"/>
      <c r="I1040" s="15"/>
      <c r="J1040" s="3"/>
      <c r="K1040" s="3"/>
      <c r="L1040" s="3"/>
      <c r="M1040" s="3"/>
      <c r="N1040" s="3"/>
      <c r="O1040" s="3"/>
      <c r="P1040" s="3"/>
      <c r="Q1040" s="3"/>
      <c r="R1040" s="3"/>
      <c r="S1040" s="3"/>
      <c r="T1040" s="3"/>
      <c r="U1040" s="3"/>
      <c r="V1040" s="3"/>
      <c r="W1040" s="3"/>
      <c r="X1040" s="3"/>
      <c r="Y1040" s="3"/>
      <c r="Z1040" s="3"/>
      <c r="AA1040" s="3"/>
    </row>
    <row r="1041" ht="105.75" customHeight="1">
      <c r="A1041" s="11"/>
      <c r="B1041" s="12"/>
      <c r="C1041" s="11"/>
      <c r="D1041" s="13"/>
      <c r="E1041" s="14"/>
      <c r="F1041" s="14"/>
      <c r="G1041" s="14"/>
      <c r="H1041" s="15"/>
      <c r="I1041" s="15"/>
      <c r="J1041" s="3"/>
      <c r="K1041" s="3"/>
      <c r="L1041" s="3"/>
      <c r="M1041" s="3"/>
      <c r="N1041" s="3"/>
      <c r="O1041" s="3"/>
      <c r="P1041" s="3"/>
      <c r="Q1041" s="3"/>
      <c r="R1041" s="3"/>
      <c r="S1041" s="3"/>
      <c r="T1041" s="3"/>
      <c r="U1041" s="3"/>
      <c r="V1041" s="3"/>
      <c r="W1041" s="3"/>
      <c r="X1041" s="3"/>
      <c r="Y1041" s="3"/>
      <c r="Z1041" s="3"/>
      <c r="AA1041" s="3"/>
    </row>
    <row r="1042" ht="105.75" customHeight="1">
      <c r="A1042" s="11"/>
      <c r="B1042" s="12"/>
      <c r="C1042" s="11"/>
      <c r="D1042" s="13"/>
      <c r="E1042" s="16"/>
      <c r="F1042" s="16"/>
      <c r="G1042" s="16"/>
      <c r="H1042" s="15"/>
      <c r="I1042" s="15"/>
      <c r="J1042" s="3"/>
      <c r="K1042" s="3"/>
      <c r="L1042" s="3"/>
      <c r="M1042" s="3"/>
      <c r="N1042" s="3"/>
      <c r="O1042" s="3"/>
      <c r="P1042" s="3"/>
      <c r="Q1042" s="3"/>
      <c r="R1042" s="3"/>
      <c r="S1042" s="3"/>
      <c r="T1042" s="3"/>
      <c r="U1042" s="3"/>
      <c r="V1042" s="3"/>
      <c r="W1042" s="3"/>
      <c r="X1042" s="3"/>
      <c r="Y1042" s="3"/>
      <c r="Z1042" s="3"/>
      <c r="AA1042" s="3"/>
    </row>
    <row r="1043" ht="105.75" customHeight="1">
      <c r="A1043" s="11"/>
      <c r="B1043" s="12"/>
      <c r="C1043" s="11"/>
      <c r="D1043" s="13"/>
      <c r="E1043" s="14"/>
      <c r="F1043" s="14"/>
      <c r="G1043" s="14"/>
      <c r="H1043" s="15"/>
      <c r="I1043" s="15"/>
      <c r="J1043" s="3"/>
      <c r="K1043" s="3"/>
      <c r="L1043" s="3"/>
      <c r="M1043" s="3"/>
      <c r="N1043" s="3"/>
      <c r="O1043" s="3"/>
      <c r="P1043" s="3"/>
      <c r="Q1043" s="3"/>
      <c r="R1043" s="3"/>
      <c r="S1043" s="3"/>
      <c r="T1043" s="3"/>
      <c r="U1043" s="3"/>
      <c r="V1043" s="3"/>
      <c r="W1043" s="3"/>
      <c r="X1043" s="3"/>
      <c r="Y1043" s="3"/>
      <c r="Z1043" s="3"/>
      <c r="AA1043" s="3"/>
    </row>
    <row r="1044" ht="105.75" customHeight="1">
      <c r="A1044" s="11"/>
      <c r="B1044" s="12"/>
      <c r="C1044" s="11"/>
      <c r="D1044" s="13"/>
      <c r="E1044" s="16"/>
      <c r="F1044" s="16"/>
      <c r="G1044" s="16"/>
      <c r="H1044" s="15"/>
      <c r="I1044" s="15"/>
      <c r="J1044" s="3"/>
      <c r="K1044" s="3"/>
      <c r="L1044" s="3"/>
      <c r="M1044" s="3"/>
      <c r="N1044" s="3"/>
      <c r="O1044" s="3"/>
      <c r="P1044" s="3"/>
      <c r="Q1044" s="3"/>
      <c r="R1044" s="3"/>
      <c r="S1044" s="3"/>
      <c r="T1044" s="3"/>
      <c r="U1044" s="3"/>
      <c r="V1044" s="3"/>
      <c r="W1044" s="3"/>
      <c r="X1044" s="3"/>
      <c r="Y1044" s="3"/>
      <c r="Z1044" s="3"/>
      <c r="AA1044" s="3"/>
    </row>
    <row r="1045" ht="105.75" customHeight="1">
      <c r="A1045" s="11"/>
      <c r="B1045" s="12"/>
      <c r="C1045" s="11"/>
      <c r="D1045" s="13"/>
      <c r="E1045" s="16"/>
      <c r="F1045" s="16"/>
      <c r="G1045" s="16"/>
      <c r="H1045" s="15"/>
      <c r="I1045" s="15"/>
      <c r="J1045" s="3"/>
      <c r="K1045" s="3"/>
      <c r="L1045" s="3"/>
      <c r="M1045" s="3"/>
      <c r="N1045" s="3"/>
      <c r="O1045" s="3"/>
      <c r="P1045" s="3"/>
      <c r="Q1045" s="3"/>
      <c r="R1045" s="3"/>
      <c r="S1045" s="3"/>
      <c r="T1045" s="3"/>
      <c r="U1045" s="3"/>
      <c r="V1045" s="3"/>
      <c r="W1045" s="3"/>
      <c r="X1045" s="3"/>
      <c r="Y1045" s="3"/>
      <c r="Z1045" s="3"/>
      <c r="AA1045" s="3"/>
    </row>
    <row r="1046" ht="105.75" customHeight="1">
      <c r="A1046" s="11"/>
      <c r="B1046" s="12"/>
      <c r="C1046" s="11"/>
      <c r="D1046" s="13"/>
      <c r="E1046" s="14"/>
      <c r="F1046" s="14"/>
      <c r="G1046" s="14"/>
      <c r="H1046" s="15"/>
      <c r="I1046" s="15"/>
      <c r="J1046" s="3"/>
      <c r="K1046" s="3"/>
      <c r="L1046" s="3"/>
      <c r="M1046" s="3"/>
      <c r="N1046" s="3"/>
      <c r="O1046" s="3"/>
      <c r="P1046" s="3"/>
      <c r="Q1046" s="3"/>
      <c r="R1046" s="3"/>
      <c r="S1046" s="3"/>
      <c r="T1046" s="3"/>
      <c r="U1046" s="3"/>
      <c r="V1046" s="3"/>
      <c r="W1046" s="3"/>
      <c r="X1046" s="3"/>
      <c r="Y1046" s="3"/>
      <c r="Z1046" s="3"/>
      <c r="AA1046" s="3"/>
    </row>
    <row r="1047" ht="105.75" customHeight="1">
      <c r="A1047" s="11"/>
      <c r="B1047" s="12"/>
      <c r="C1047" s="11"/>
      <c r="D1047" s="13"/>
      <c r="E1047" s="14"/>
      <c r="F1047" s="14"/>
      <c r="G1047" s="14"/>
      <c r="H1047" s="15"/>
      <c r="I1047" s="15"/>
      <c r="J1047" s="3"/>
      <c r="K1047" s="3"/>
      <c r="L1047" s="3"/>
      <c r="M1047" s="3"/>
      <c r="N1047" s="3"/>
      <c r="O1047" s="3"/>
      <c r="P1047" s="3"/>
      <c r="Q1047" s="3"/>
      <c r="R1047" s="3"/>
      <c r="S1047" s="3"/>
      <c r="T1047" s="3"/>
      <c r="U1047" s="3"/>
      <c r="V1047" s="3"/>
      <c r="W1047" s="3"/>
      <c r="X1047" s="3"/>
      <c r="Y1047" s="3"/>
      <c r="Z1047" s="3"/>
      <c r="AA1047" s="3"/>
    </row>
    <row r="1048" ht="105.75" customHeight="1">
      <c r="A1048" s="11"/>
      <c r="B1048" s="12"/>
      <c r="C1048" s="11"/>
      <c r="D1048" s="13"/>
      <c r="E1048" s="14"/>
      <c r="F1048" s="14"/>
      <c r="G1048" s="14"/>
      <c r="H1048" s="15"/>
      <c r="I1048" s="15"/>
      <c r="J1048" s="3"/>
      <c r="K1048" s="3"/>
      <c r="L1048" s="3"/>
      <c r="M1048" s="3"/>
      <c r="N1048" s="3"/>
      <c r="O1048" s="3"/>
      <c r="P1048" s="3"/>
      <c r="Q1048" s="3"/>
      <c r="R1048" s="3"/>
      <c r="S1048" s="3"/>
      <c r="T1048" s="3"/>
      <c r="U1048" s="3"/>
      <c r="V1048" s="3"/>
      <c r="W1048" s="3"/>
      <c r="X1048" s="3"/>
      <c r="Y1048" s="3"/>
      <c r="Z1048" s="3"/>
      <c r="AA1048" s="3"/>
    </row>
    <row r="1049" ht="105.75" customHeight="1">
      <c r="A1049" s="11"/>
      <c r="B1049" s="12"/>
      <c r="C1049" s="11"/>
      <c r="D1049" s="13"/>
      <c r="E1049" s="16"/>
      <c r="F1049" s="16"/>
      <c r="G1049" s="16"/>
      <c r="H1049" s="15"/>
      <c r="I1049" s="15"/>
      <c r="J1049" s="3"/>
      <c r="K1049" s="3"/>
      <c r="L1049" s="3"/>
      <c r="M1049" s="3"/>
      <c r="N1049" s="3"/>
      <c r="O1049" s="3"/>
      <c r="P1049" s="3"/>
      <c r="Q1049" s="3"/>
      <c r="R1049" s="3"/>
      <c r="S1049" s="3"/>
      <c r="T1049" s="3"/>
      <c r="U1049" s="3"/>
      <c r="V1049" s="3"/>
      <c r="W1049" s="3"/>
      <c r="X1049" s="3"/>
      <c r="Y1049" s="3"/>
      <c r="Z1049" s="3"/>
      <c r="AA1049" s="3"/>
    </row>
    <row r="1050" ht="105.75" customHeight="1">
      <c r="A1050" s="11"/>
      <c r="B1050" s="12"/>
      <c r="C1050" s="11"/>
      <c r="D1050" s="13"/>
      <c r="E1050" s="14"/>
      <c r="F1050" s="14"/>
      <c r="G1050" s="14"/>
      <c r="H1050" s="15"/>
      <c r="I1050" s="15"/>
      <c r="J1050" s="3"/>
      <c r="K1050" s="3"/>
      <c r="L1050" s="3"/>
      <c r="M1050" s="3"/>
      <c r="N1050" s="3"/>
      <c r="O1050" s="3"/>
      <c r="P1050" s="3"/>
      <c r="Q1050" s="3"/>
      <c r="R1050" s="3"/>
      <c r="S1050" s="3"/>
      <c r="T1050" s="3"/>
      <c r="U1050" s="3"/>
      <c r="V1050" s="3"/>
      <c r="W1050" s="3"/>
      <c r="X1050" s="3"/>
      <c r="Y1050" s="3"/>
      <c r="Z1050" s="3"/>
      <c r="AA1050" s="3"/>
    </row>
    <row r="1051" ht="105.75" customHeight="1">
      <c r="A1051" s="11"/>
      <c r="B1051" s="12"/>
      <c r="C1051" s="11"/>
      <c r="D1051" s="13"/>
      <c r="E1051" s="14"/>
      <c r="F1051" s="14"/>
      <c r="G1051" s="14"/>
      <c r="H1051" s="15"/>
      <c r="I1051" s="15"/>
      <c r="J1051" s="3"/>
      <c r="K1051" s="3"/>
      <c r="L1051" s="3"/>
      <c r="M1051" s="3"/>
      <c r="N1051" s="3"/>
      <c r="O1051" s="3"/>
      <c r="P1051" s="3"/>
      <c r="Q1051" s="3"/>
      <c r="R1051" s="3"/>
      <c r="S1051" s="3"/>
      <c r="T1051" s="3"/>
      <c r="U1051" s="3"/>
      <c r="V1051" s="3"/>
      <c r="W1051" s="3"/>
      <c r="X1051" s="3"/>
      <c r="Y1051" s="3"/>
      <c r="Z1051" s="3"/>
      <c r="AA1051" s="3"/>
    </row>
    <row r="1052" ht="105.75" customHeight="1">
      <c r="A1052" s="11"/>
      <c r="B1052" s="12"/>
      <c r="C1052" s="11"/>
      <c r="D1052" s="13"/>
      <c r="E1052" s="14"/>
      <c r="F1052" s="14"/>
      <c r="G1052" s="14"/>
      <c r="H1052" s="15"/>
      <c r="I1052" s="15"/>
      <c r="J1052" s="3"/>
      <c r="K1052" s="3"/>
      <c r="L1052" s="3"/>
      <c r="M1052" s="3"/>
      <c r="N1052" s="3"/>
      <c r="O1052" s="3"/>
      <c r="P1052" s="3"/>
      <c r="Q1052" s="3"/>
      <c r="R1052" s="3"/>
      <c r="S1052" s="3"/>
      <c r="T1052" s="3"/>
      <c r="U1052" s="3"/>
      <c r="V1052" s="3"/>
      <c r="W1052" s="3"/>
      <c r="X1052" s="3"/>
      <c r="Y1052" s="3"/>
      <c r="Z1052" s="3"/>
      <c r="AA1052" s="3"/>
    </row>
    <row r="1053" ht="105.75" customHeight="1">
      <c r="A1053" s="11"/>
      <c r="B1053" s="12"/>
      <c r="C1053" s="11"/>
      <c r="D1053" s="13"/>
      <c r="E1053" s="14"/>
      <c r="F1053" s="14"/>
      <c r="G1053" s="14"/>
      <c r="H1053" s="15"/>
      <c r="I1053" s="15"/>
      <c r="J1053" s="3"/>
      <c r="K1053" s="3"/>
      <c r="L1053" s="3"/>
      <c r="M1053" s="3"/>
      <c r="N1053" s="3"/>
      <c r="O1053" s="3"/>
      <c r="P1053" s="3"/>
      <c r="Q1053" s="3"/>
      <c r="R1053" s="3"/>
      <c r="S1053" s="3"/>
      <c r="T1053" s="3"/>
      <c r="U1053" s="3"/>
      <c r="V1053" s="3"/>
      <c r="W1053" s="3"/>
      <c r="X1053" s="3"/>
      <c r="Y1053" s="3"/>
      <c r="Z1053" s="3"/>
      <c r="AA1053" s="3"/>
    </row>
    <row r="1054" ht="105.75" customHeight="1">
      <c r="A1054" s="11"/>
      <c r="B1054" s="12"/>
      <c r="C1054" s="11"/>
      <c r="D1054" s="13"/>
      <c r="E1054" s="14"/>
      <c r="F1054" s="14"/>
      <c r="G1054" s="14"/>
      <c r="H1054" s="15"/>
      <c r="I1054" s="15"/>
      <c r="J1054" s="3"/>
      <c r="K1054" s="3"/>
      <c r="L1054" s="3"/>
      <c r="M1054" s="3"/>
      <c r="N1054" s="3"/>
      <c r="O1054" s="3"/>
      <c r="P1054" s="3"/>
      <c r="Q1054" s="3"/>
      <c r="R1054" s="3"/>
      <c r="S1054" s="3"/>
      <c r="T1054" s="3"/>
      <c r="U1054" s="3"/>
      <c r="V1054" s="3"/>
      <c r="W1054" s="3"/>
      <c r="X1054" s="3"/>
      <c r="Y1054" s="3"/>
      <c r="Z1054" s="3"/>
      <c r="AA1054" s="3"/>
    </row>
    <row r="1055" ht="105.75" customHeight="1">
      <c r="A1055" s="11"/>
      <c r="B1055" s="12"/>
      <c r="C1055" s="11"/>
      <c r="D1055" s="13"/>
      <c r="E1055" s="14"/>
      <c r="F1055" s="14"/>
      <c r="G1055" s="14"/>
      <c r="H1055" s="15"/>
      <c r="I1055" s="15"/>
      <c r="J1055" s="3"/>
      <c r="K1055" s="3"/>
      <c r="L1055" s="3"/>
      <c r="M1055" s="3"/>
      <c r="N1055" s="3"/>
      <c r="O1055" s="3"/>
      <c r="P1055" s="3"/>
      <c r="Q1055" s="3"/>
      <c r="R1055" s="3"/>
      <c r="S1055" s="3"/>
      <c r="T1055" s="3"/>
      <c r="U1055" s="3"/>
      <c r="V1055" s="3"/>
      <c r="W1055" s="3"/>
      <c r="X1055" s="3"/>
      <c r="Y1055" s="3"/>
      <c r="Z1055" s="3"/>
      <c r="AA1055" s="3"/>
    </row>
    <row r="1056" ht="105.75" customHeight="1">
      <c r="A1056" s="11"/>
      <c r="B1056" s="12"/>
      <c r="C1056" s="11"/>
      <c r="D1056" s="13"/>
      <c r="E1056" s="16"/>
      <c r="F1056" s="16"/>
      <c r="G1056" s="16"/>
      <c r="H1056" s="15"/>
      <c r="I1056" s="15"/>
      <c r="J1056" s="3"/>
      <c r="K1056" s="3"/>
      <c r="L1056" s="3"/>
      <c r="M1056" s="3"/>
      <c r="N1056" s="3"/>
      <c r="O1056" s="3"/>
      <c r="P1056" s="3"/>
      <c r="Q1056" s="3"/>
      <c r="R1056" s="3"/>
      <c r="S1056" s="3"/>
      <c r="T1056" s="3"/>
      <c r="U1056" s="3"/>
      <c r="V1056" s="3"/>
      <c r="W1056" s="3"/>
      <c r="X1056" s="3"/>
      <c r="Y1056" s="3"/>
      <c r="Z1056" s="3"/>
      <c r="AA1056" s="3"/>
    </row>
    <row r="1057" ht="105.75" customHeight="1">
      <c r="A1057" s="11"/>
      <c r="B1057" s="12"/>
      <c r="C1057" s="11"/>
      <c r="D1057" s="13"/>
      <c r="E1057" s="16"/>
      <c r="F1057" s="16"/>
      <c r="G1057" s="16"/>
      <c r="H1057" s="15"/>
      <c r="I1057" s="15"/>
      <c r="J1057" s="3"/>
      <c r="K1057" s="3"/>
      <c r="L1057" s="3"/>
      <c r="M1057" s="3"/>
      <c r="N1057" s="3"/>
      <c r="O1057" s="3"/>
      <c r="P1057" s="3"/>
      <c r="Q1057" s="3"/>
      <c r="R1057" s="3"/>
      <c r="S1057" s="3"/>
      <c r="T1057" s="3"/>
      <c r="U1057" s="3"/>
      <c r="V1057" s="3"/>
      <c r="W1057" s="3"/>
      <c r="X1057" s="3"/>
      <c r="Y1057" s="3"/>
      <c r="Z1057" s="3"/>
      <c r="AA1057" s="3"/>
    </row>
    <row r="1058" ht="105.75" customHeight="1">
      <c r="A1058" s="11"/>
      <c r="B1058" s="12"/>
      <c r="C1058" s="11"/>
      <c r="D1058" s="13"/>
      <c r="E1058" s="16"/>
      <c r="F1058" s="16"/>
      <c r="G1058" s="16"/>
      <c r="H1058" s="15"/>
      <c r="I1058" s="15"/>
      <c r="J1058" s="3"/>
      <c r="K1058" s="3"/>
      <c r="L1058" s="3"/>
      <c r="M1058" s="3"/>
      <c r="N1058" s="3"/>
      <c r="O1058" s="3"/>
      <c r="P1058" s="3"/>
      <c r="Q1058" s="3"/>
      <c r="R1058" s="3"/>
      <c r="S1058" s="3"/>
      <c r="T1058" s="3"/>
      <c r="U1058" s="3"/>
      <c r="V1058" s="3"/>
      <c r="W1058" s="3"/>
      <c r="X1058" s="3"/>
      <c r="Y1058" s="3"/>
      <c r="Z1058" s="3"/>
      <c r="AA1058" s="3"/>
    </row>
    <row r="1059" ht="105.75" customHeight="1">
      <c r="A1059" s="11"/>
      <c r="B1059" s="12"/>
      <c r="C1059" s="11"/>
      <c r="D1059" s="13"/>
      <c r="E1059" s="14"/>
      <c r="F1059" s="14"/>
      <c r="G1059" s="14"/>
      <c r="H1059" s="15"/>
      <c r="I1059" s="15"/>
      <c r="J1059" s="3"/>
      <c r="K1059" s="3"/>
      <c r="L1059" s="3"/>
      <c r="M1059" s="3"/>
      <c r="N1059" s="3"/>
      <c r="O1059" s="3"/>
      <c r="P1059" s="3"/>
      <c r="Q1059" s="3"/>
      <c r="R1059" s="3"/>
      <c r="S1059" s="3"/>
      <c r="T1059" s="3"/>
      <c r="U1059" s="3"/>
      <c r="V1059" s="3"/>
      <c r="W1059" s="3"/>
      <c r="X1059" s="3"/>
      <c r="Y1059" s="3"/>
      <c r="Z1059" s="3"/>
      <c r="AA1059" s="3"/>
    </row>
    <row r="1060" ht="105.75" customHeight="1">
      <c r="A1060" s="11"/>
      <c r="B1060" s="12"/>
      <c r="C1060" s="11"/>
      <c r="D1060" s="13"/>
      <c r="E1060" s="14"/>
      <c r="F1060" s="14"/>
      <c r="G1060" s="14"/>
      <c r="H1060" s="15"/>
      <c r="I1060" s="15"/>
      <c r="J1060" s="3"/>
      <c r="K1060" s="3"/>
      <c r="L1060" s="3"/>
      <c r="M1060" s="3"/>
      <c r="N1060" s="3"/>
      <c r="O1060" s="3"/>
      <c r="P1060" s="3"/>
      <c r="Q1060" s="3"/>
      <c r="R1060" s="3"/>
      <c r="S1060" s="3"/>
      <c r="T1060" s="3"/>
      <c r="U1060" s="3"/>
      <c r="V1060" s="3"/>
      <c r="W1060" s="3"/>
      <c r="X1060" s="3"/>
      <c r="Y1060" s="3"/>
      <c r="Z1060" s="3"/>
      <c r="AA1060" s="3"/>
    </row>
    <row r="1061" ht="105.75" customHeight="1">
      <c r="A1061" s="11"/>
      <c r="B1061" s="12"/>
      <c r="C1061" s="11"/>
      <c r="D1061" s="13"/>
      <c r="E1061" s="16"/>
      <c r="F1061" s="16"/>
      <c r="G1061" s="16"/>
      <c r="H1061" s="15"/>
      <c r="I1061" s="15"/>
      <c r="J1061" s="3"/>
      <c r="K1061" s="3"/>
      <c r="L1061" s="3"/>
      <c r="M1061" s="3"/>
      <c r="N1061" s="3"/>
      <c r="O1061" s="3"/>
      <c r="P1061" s="3"/>
      <c r="Q1061" s="3"/>
      <c r="R1061" s="3"/>
      <c r="S1061" s="3"/>
      <c r="T1061" s="3"/>
      <c r="U1061" s="3"/>
      <c r="V1061" s="3"/>
      <c r="W1061" s="3"/>
      <c r="X1061" s="3"/>
      <c r="Y1061" s="3"/>
      <c r="Z1061" s="3"/>
      <c r="AA1061" s="3"/>
    </row>
    <row r="1062" ht="105.75" customHeight="1">
      <c r="A1062" s="11"/>
      <c r="B1062" s="12"/>
      <c r="C1062" s="11"/>
      <c r="D1062" s="13"/>
      <c r="E1062" s="16"/>
      <c r="F1062" s="16"/>
      <c r="G1062" s="16"/>
      <c r="H1062" s="15"/>
      <c r="I1062" s="15"/>
      <c r="J1062" s="3"/>
      <c r="K1062" s="3"/>
      <c r="L1062" s="3"/>
      <c r="M1062" s="3"/>
      <c r="N1062" s="3"/>
      <c r="O1062" s="3"/>
      <c r="P1062" s="3"/>
      <c r="Q1062" s="3"/>
      <c r="R1062" s="3"/>
      <c r="S1062" s="3"/>
      <c r="T1062" s="3"/>
      <c r="U1062" s="3"/>
      <c r="V1062" s="3"/>
      <c r="W1062" s="3"/>
      <c r="X1062" s="3"/>
      <c r="Y1062" s="3"/>
      <c r="Z1062" s="3"/>
      <c r="AA1062" s="3"/>
    </row>
    <row r="1063" ht="105.75" customHeight="1">
      <c r="A1063" s="11"/>
      <c r="B1063" s="12"/>
      <c r="C1063" s="11"/>
      <c r="D1063" s="13"/>
      <c r="E1063" s="14"/>
      <c r="F1063" s="14"/>
      <c r="G1063" s="14"/>
      <c r="H1063" s="15"/>
      <c r="I1063" s="15"/>
      <c r="J1063" s="3"/>
      <c r="K1063" s="3"/>
      <c r="L1063" s="3"/>
      <c r="M1063" s="3"/>
      <c r="N1063" s="3"/>
      <c r="O1063" s="3"/>
      <c r="P1063" s="3"/>
      <c r="Q1063" s="3"/>
      <c r="R1063" s="3"/>
      <c r="S1063" s="3"/>
      <c r="T1063" s="3"/>
      <c r="U1063" s="3"/>
      <c r="V1063" s="3"/>
      <c r="W1063" s="3"/>
      <c r="X1063" s="3"/>
      <c r="Y1063" s="3"/>
      <c r="Z1063" s="3"/>
      <c r="AA1063" s="3"/>
    </row>
    <row r="1064" ht="105.75" customHeight="1">
      <c r="A1064" s="11"/>
      <c r="B1064" s="12"/>
      <c r="C1064" s="11"/>
      <c r="D1064" s="13"/>
      <c r="E1064" s="16"/>
      <c r="F1064" s="16"/>
      <c r="G1064" s="16"/>
      <c r="H1064" s="15"/>
      <c r="I1064" s="15"/>
      <c r="J1064" s="3"/>
      <c r="K1064" s="3"/>
      <c r="L1064" s="3"/>
      <c r="M1064" s="3"/>
      <c r="N1064" s="3"/>
      <c r="O1064" s="3"/>
      <c r="P1064" s="3"/>
      <c r="Q1064" s="3"/>
      <c r="R1064" s="3"/>
      <c r="S1064" s="3"/>
      <c r="T1064" s="3"/>
      <c r="U1064" s="3"/>
      <c r="V1064" s="3"/>
      <c r="W1064" s="3"/>
      <c r="X1064" s="3"/>
      <c r="Y1064" s="3"/>
      <c r="Z1064" s="3"/>
      <c r="AA1064" s="3"/>
    </row>
    <row r="1065" ht="105.75" customHeight="1">
      <c r="A1065" s="11"/>
      <c r="B1065" s="12"/>
      <c r="C1065" s="11"/>
      <c r="D1065" s="13"/>
      <c r="E1065" s="14"/>
      <c r="F1065" s="14"/>
      <c r="G1065" s="14"/>
      <c r="H1065" s="15"/>
      <c r="I1065" s="15"/>
      <c r="J1065" s="3"/>
      <c r="K1065" s="3"/>
      <c r="L1065" s="3"/>
      <c r="M1065" s="3"/>
      <c r="N1065" s="3"/>
      <c r="O1065" s="3"/>
      <c r="P1065" s="3"/>
      <c r="Q1065" s="3"/>
      <c r="R1065" s="3"/>
      <c r="S1065" s="3"/>
      <c r="T1065" s="3"/>
      <c r="U1065" s="3"/>
      <c r="V1065" s="3"/>
      <c r="W1065" s="3"/>
      <c r="X1065" s="3"/>
      <c r="Y1065" s="3"/>
      <c r="Z1065" s="3"/>
      <c r="AA1065" s="3"/>
    </row>
    <row r="1066" ht="105.75" customHeight="1">
      <c r="A1066" s="11"/>
      <c r="B1066" s="12"/>
      <c r="C1066" s="11"/>
      <c r="D1066" s="13"/>
      <c r="E1066" s="14"/>
      <c r="F1066" s="14"/>
      <c r="G1066" s="14"/>
      <c r="H1066" s="15"/>
      <c r="I1066" s="15"/>
      <c r="J1066" s="3"/>
      <c r="K1066" s="3"/>
      <c r="L1066" s="3"/>
      <c r="M1066" s="3"/>
      <c r="N1066" s="3"/>
      <c r="O1066" s="3"/>
      <c r="P1066" s="3"/>
      <c r="Q1066" s="3"/>
      <c r="R1066" s="3"/>
      <c r="S1066" s="3"/>
      <c r="T1066" s="3"/>
      <c r="U1066" s="3"/>
      <c r="V1066" s="3"/>
      <c r="W1066" s="3"/>
      <c r="X1066" s="3"/>
      <c r="Y1066" s="3"/>
      <c r="Z1066" s="3"/>
      <c r="AA1066" s="3"/>
    </row>
    <row r="1067" ht="105.75" customHeight="1">
      <c r="A1067" s="11"/>
      <c r="B1067" s="12"/>
      <c r="C1067" s="11"/>
      <c r="D1067" s="13"/>
      <c r="E1067" s="16"/>
      <c r="F1067" s="16"/>
      <c r="G1067" s="16"/>
      <c r="H1067" s="15"/>
      <c r="I1067" s="15"/>
      <c r="J1067" s="3"/>
      <c r="K1067" s="3"/>
      <c r="L1067" s="3"/>
      <c r="M1067" s="3"/>
      <c r="N1067" s="3"/>
      <c r="O1067" s="3"/>
      <c r="P1067" s="3"/>
      <c r="Q1067" s="3"/>
      <c r="R1067" s="3"/>
      <c r="S1067" s="3"/>
      <c r="T1067" s="3"/>
      <c r="U1067" s="3"/>
      <c r="V1067" s="3"/>
      <c r="W1067" s="3"/>
      <c r="X1067" s="3"/>
      <c r="Y1067" s="3"/>
      <c r="Z1067" s="3"/>
      <c r="AA1067" s="3"/>
    </row>
    <row r="1068" ht="105.75" customHeight="1">
      <c r="A1068" s="11"/>
      <c r="B1068" s="12"/>
      <c r="C1068" s="11"/>
      <c r="D1068" s="13"/>
      <c r="E1068" s="16"/>
      <c r="F1068" s="16"/>
      <c r="G1068" s="16"/>
      <c r="H1068" s="15"/>
      <c r="I1068" s="15"/>
      <c r="J1068" s="3"/>
      <c r="K1068" s="3"/>
      <c r="L1068" s="3"/>
      <c r="M1068" s="3"/>
      <c r="N1068" s="3"/>
      <c r="O1068" s="3"/>
      <c r="P1068" s="3"/>
      <c r="Q1068" s="3"/>
      <c r="R1068" s="3"/>
      <c r="S1068" s="3"/>
      <c r="T1068" s="3"/>
      <c r="U1068" s="3"/>
      <c r="V1068" s="3"/>
      <c r="W1068" s="3"/>
      <c r="X1068" s="3"/>
      <c r="Y1068" s="3"/>
      <c r="Z1068" s="3"/>
      <c r="AA1068" s="3"/>
    </row>
    <row r="1069" ht="105.75" customHeight="1">
      <c r="A1069" s="11"/>
      <c r="B1069" s="12"/>
      <c r="C1069" s="11"/>
      <c r="D1069" s="13"/>
      <c r="E1069" s="14"/>
      <c r="F1069" s="14"/>
      <c r="G1069" s="14"/>
      <c r="H1069" s="15"/>
      <c r="I1069" s="15"/>
      <c r="J1069" s="3"/>
      <c r="K1069" s="3"/>
      <c r="L1069" s="3"/>
      <c r="M1069" s="3"/>
      <c r="N1069" s="3"/>
      <c r="O1069" s="3"/>
      <c r="P1069" s="3"/>
      <c r="Q1069" s="3"/>
      <c r="R1069" s="3"/>
      <c r="S1069" s="3"/>
      <c r="T1069" s="3"/>
      <c r="U1069" s="3"/>
      <c r="V1069" s="3"/>
      <c r="W1069" s="3"/>
      <c r="X1069" s="3"/>
      <c r="Y1069" s="3"/>
      <c r="Z1069" s="3"/>
      <c r="AA1069" s="3"/>
    </row>
    <row r="1070" ht="105.75" customHeight="1">
      <c r="A1070" s="11"/>
      <c r="B1070" s="12"/>
      <c r="C1070" s="11"/>
      <c r="D1070" s="13"/>
      <c r="E1070" s="14"/>
      <c r="F1070" s="14"/>
      <c r="G1070" s="14"/>
      <c r="H1070" s="15"/>
      <c r="I1070" s="15"/>
      <c r="J1070" s="3"/>
      <c r="K1070" s="3"/>
      <c r="L1070" s="3"/>
      <c r="M1070" s="3"/>
      <c r="N1070" s="3"/>
      <c r="O1070" s="3"/>
      <c r="P1070" s="3"/>
      <c r="Q1070" s="3"/>
      <c r="R1070" s="3"/>
      <c r="S1070" s="3"/>
      <c r="T1070" s="3"/>
      <c r="U1070" s="3"/>
      <c r="V1070" s="3"/>
      <c r="W1070" s="3"/>
      <c r="X1070" s="3"/>
      <c r="Y1070" s="3"/>
      <c r="Z1070" s="3"/>
      <c r="AA1070" s="3"/>
    </row>
    <row r="1071" ht="105.75" customHeight="1">
      <c r="A1071" s="11"/>
      <c r="B1071" s="12"/>
      <c r="C1071" s="11"/>
      <c r="D1071" s="13"/>
      <c r="E1071" s="14"/>
      <c r="F1071" s="14"/>
      <c r="G1071" s="14"/>
      <c r="H1071" s="15"/>
      <c r="I1071" s="15"/>
      <c r="J1071" s="3"/>
      <c r="K1071" s="3"/>
      <c r="L1071" s="3"/>
      <c r="M1071" s="3"/>
      <c r="N1071" s="3"/>
      <c r="O1071" s="3"/>
      <c r="P1071" s="3"/>
      <c r="Q1071" s="3"/>
      <c r="R1071" s="3"/>
      <c r="S1071" s="3"/>
      <c r="T1071" s="3"/>
      <c r="U1071" s="3"/>
      <c r="V1071" s="3"/>
      <c r="W1071" s="3"/>
      <c r="X1071" s="3"/>
      <c r="Y1071" s="3"/>
      <c r="Z1071" s="3"/>
      <c r="AA1071" s="3"/>
    </row>
    <row r="1072" ht="105.75" customHeight="1">
      <c r="A1072" s="11"/>
      <c r="B1072" s="12"/>
      <c r="C1072" s="11"/>
      <c r="D1072" s="13"/>
      <c r="E1072" s="14"/>
      <c r="F1072" s="14"/>
      <c r="G1072" s="14"/>
      <c r="H1072" s="15"/>
      <c r="I1072" s="15"/>
      <c r="J1072" s="3"/>
      <c r="K1072" s="3"/>
      <c r="L1072" s="3"/>
      <c r="M1072" s="3"/>
      <c r="N1072" s="3"/>
      <c r="O1072" s="3"/>
      <c r="P1072" s="3"/>
      <c r="Q1072" s="3"/>
      <c r="R1072" s="3"/>
      <c r="S1072" s="3"/>
      <c r="T1072" s="3"/>
      <c r="U1072" s="3"/>
      <c r="V1072" s="3"/>
      <c r="W1072" s="3"/>
      <c r="X1072" s="3"/>
      <c r="Y1072" s="3"/>
      <c r="Z1072" s="3"/>
      <c r="AA1072" s="3"/>
    </row>
    <row r="1073" ht="105.75" customHeight="1">
      <c r="A1073" s="11"/>
      <c r="B1073" s="12"/>
      <c r="C1073" s="11"/>
      <c r="D1073" s="13"/>
      <c r="E1073" s="16"/>
      <c r="F1073" s="16"/>
      <c r="G1073" s="16"/>
      <c r="H1073" s="15"/>
      <c r="I1073" s="15"/>
      <c r="J1073" s="3"/>
      <c r="K1073" s="3"/>
      <c r="L1073" s="3"/>
      <c r="M1073" s="3"/>
      <c r="N1073" s="3"/>
      <c r="O1073" s="3"/>
      <c r="P1073" s="3"/>
      <c r="Q1073" s="3"/>
      <c r="R1073" s="3"/>
      <c r="S1073" s="3"/>
      <c r="T1073" s="3"/>
      <c r="U1073" s="3"/>
      <c r="V1073" s="3"/>
      <c r="W1073" s="3"/>
      <c r="X1073" s="3"/>
      <c r="Y1073" s="3"/>
      <c r="Z1073" s="3"/>
      <c r="AA1073" s="3"/>
    </row>
    <row r="1074" ht="105.75" customHeight="1">
      <c r="A1074" s="11"/>
      <c r="B1074" s="12"/>
      <c r="C1074" s="11"/>
      <c r="D1074" s="13"/>
      <c r="E1074" s="14"/>
      <c r="F1074" s="14"/>
      <c r="G1074" s="14"/>
      <c r="H1074" s="15"/>
      <c r="I1074" s="15"/>
      <c r="J1074" s="3"/>
      <c r="K1074" s="3"/>
      <c r="L1074" s="3"/>
      <c r="M1074" s="3"/>
      <c r="N1074" s="3"/>
      <c r="O1074" s="3"/>
      <c r="P1074" s="3"/>
      <c r="Q1074" s="3"/>
      <c r="R1074" s="3"/>
      <c r="S1074" s="3"/>
      <c r="T1074" s="3"/>
      <c r="U1074" s="3"/>
      <c r="V1074" s="3"/>
      <c r="W1074" s="3"/>
      <c r="X1074" s="3"/>
      <c r="Y1074" s="3"/>
      <c r="Z1074" s="3"/>
      <c r="AA1074" s="3"/>
    </row>
    <row r="1075" ht="105.75" customHeight="1">
      <c r="A1075" s="11"/>
      <c r="B1075" s="12"/>
      <c r="C1075" s="11"/>
      <c r="D1075" s="13"/>
      <c r="E1075" s="14"/>
      <c r="F1075" s="14"/>
      <c r="G1075" s="14"/>
      <c r="H1075" s="15"/>
      <c r="I1075" s="15"/>
      <c r="J1075" s="3"/>
      <c r="K1075" s="3"/>
      <c r="L1075" s="3"/>
      <c r="M1075" s="3"/>
      <c r="N1075" s="3"/>
      <c r="O1075" s="3"/>
      <c r="P1075" s="3"/>
      <c r="Q1075" s="3"/>
      <c r="R1075" s="3"/>
      <c r="S1075" s="3"/>
      <c r="T1075" s="3"/>
      <c r="U1075" s="3"/>
      <c r="V1075" s="3"/>
      <c r="W1075" s="3"/>
      <c r="X1075" s="3"/>
      <c r="Y1075" s="3"/>
      <c r="Z1075" s="3"/>
      <c r="AA1075" s="3"/>
    </row>
    <row r="1076" ht="105.75" customHeight="1">
      <c r="A1076" s="11"/>
      <c r="B1076" s="12"/>
      <c r="C1076" s="11"/>
      <c r="D1076" s="13"/>
      <c r="E1076" s="14"/>
      <c r="F1076" s="14"/>
      <c r="G1076" s="14"/>
      <c r="H1076" s="15"/>
      <c r="I1076" s="15"/>
      <c r="J1076" s="3"/>
      <c r="K1076" s="3"/>
      <c r="L1076" s="3"/>
      <c r="M1076" s="3"/>
      <c r="N1076" s="3"/>
      <c r="O1076" s="3"/>
      <c r="P1076" s="3"/>
      <c r="Q1076" s="3"/>
      <c r="R1076" s="3"/>
      <c r="S1076" s="3"/>
      <c r="T1076" s="3"/>
      <c r="U1076" s="3"/>
      <c r="V1076" s="3"/>
      <c r="W1076" s="3"/>
      <c r="X1076" s="3"/>
      <c r="Y1076" s="3"/>
      <c r="Z1076" s="3"/>
      <c r="AA1076" s="3"/>
    </row>
    <row r="1077" ht="105.75" customHeight="1">
      <c r="A1077" s="11"/>
      <c r="B1077" s="12"/>
      <c r="C1077" s="11"/>
      <c r="D1077" s="13"/>
      <c r="E1077" s="16"/>
      <c r="F1077" s="16"/>
      <c r="G1077" s="16"/>
      <c r="H1077" s="15"/>
      <c r="I1077" s="15"/>
      <c r="J1077" s="3"/>
      <c r="K1077" s="3"/>
      <c r="L1077" s="3"/>
      <c r="M1077" s="3"/>
      <c r="N1077" s="3"/>
      <c r="O1077" s="3"/>
      <c r="P1077" s="3"/>
      <c r="Q1077" s="3"/>
      <c r="R1077" s="3"/>
      <c r="S1077" s="3"/>
      <c r="T1077" s="3"/>
      <c r="U1077" s="3"/>
      <c r="V1077" s="3"/>
      <c r="W1077" s="3"/>
      <c r="X1077" s="3"/>
      <c r="Y1077" s="3"/>
      <c r="Z1077" s="3"/>
      <c r="AA1077" s="3"/>
    </row>
    <row r="1078" ht="105.75" customHeight="1">
      <c r="A1078" s="11"/>
      <c r="B1078" s="12"/>
      <c r="C1078" s="11"/>
      <c r="D1078" s="13"/>
      <c r="E1078" s="14"/>
      <c r="F1078" s="14"/>
      <c r="G1078" s="14"/>
      <c r="H1078" s="15"/>
      <c r="I1078" s="15"/>
      <c r="J1078" s="3"/>
      <c r="K1078" s="3"/>
      <c r="L1078" s="3"/>
      <c r="M1078" s="3"/>
      <c r="N1078" s="3"/>
      <c r="O1078" s="3"/>
      <c r="P1078" s="3"/>
      <c r="Q1078" s="3"/>
      <c r="R1078" s="3"/>
      <c r="S1078" s="3"/>
      <c r="T1078" s="3"/>
      <c r="U1078" s="3"/>
      <c r="V1078" s="3"/>
      <c r="W1078" s="3"/>
      <c r="X1078" s="3"/>
      <c r="Y1078" s="3"/>
      <c r="Z1078" s="3"/>
      <c r="AA1078" s="3"/>
    </row>
    <row r="1079" ht="105.75" customHeight="1">
      <c r="A1079" s="11"/>
      <c r="B1079" s="12"/>
      <c r="C1079" s="11"/>
      <c r="D1079" s="13"/>
      <c r="E1079" s="14"/>
      <c r="F1079" s="14"/>
      <c r="G1079" s="14"/>
      <c r="H1079" s="15"/>
      <c r="I1079" s="15"/>
      <c r="J1079" s="3"/>
      <c r="K1079" s="3"/>
      <c r="L1079" s="3"/>
      <c r="M1079" s="3"/>
      <c r="N1079" s="3"/>
      <c r="O1079" s="3"/>
      <c r="P1079" s="3"/>
      <c r="Q1079" s="3"/>
      <c r="R1079" s="3"/>
      <c r="S1079" s="3"/>
      <c r="T1079" s="3"/>
      <c r="U1079" s="3"/>
      <c r="V1079" s="3"/>
      <c r="W1079" s="3"/>
      <c r="X1079" s="3"/>
      <c r="Y1079" s="3"/>
      <c r="Z1079" s="3"/>
      <c r="AA1079" s="3"/>
    </row>
    <row r="1080" ht="105.75" customHeight="1">
      <c r="A1080" s="11"/>
      <c r="B1080" s="12"/>
      <c r="C1080" s="11"/>
      <c r="D1080" s="13"/>
      <c r="E1080" s="14"/>
      <c r="F1080" s="14"/>
      <c r="G1080" s="14"/>
      <c r="H1080" s="15"/>
      <c r="I1080" s="15"/>
      <c r="J1080" s="3"/>
      <c r="K1080" s="3"/>
      <c r="L1080" s="3"/>
      <c r="M1080" s="3"/>
      <c r="N1080" s="3"/>
      <c r="O1080" s="3"/>
      <c r="P1080" s="3"/>
      <c r="Q1080" s="3"/>
      <c r="R1080" s="3"/>
      <c r="S1080" s="3"/>
      <c r="T1080" s="3"/>
      <c r="U1080" s="3"/>
      <c r="V1080" s="3"/>
      <c r="W1080" s="3"/>
      <c r="X1080" s="3"/>
      <c r="Y1080" s="3"/>
      <c r="Z1080" s="3"/>
      <c r="AA1080" s="3"/>
    </row>
    <row r="1081" ht="105.75" customHeight="1">
      <c r="A1081" s="11"/>
      <c r="B1081" s="12"/>
      <c r="C1081" s="11"/>
      <c r="D1081" s="13"/>
      <c r="E1081" s="14"/>
      <c r="F1081" s="14"/>
      <c r="G1081" s="14"/>
      <c r="H1081" s="15"/>
      <c r="I1081" s="15"/>
      <c r="J1081" s="3"/>
      <c r="K1081" s="3"/>
      <c r="L1081" s="3"/>
      <c r="M1081" s="3"/>
      <c r="N1081" s="3"/>
      <c r="O1081" s="3"/>
      <c r="P1081" s="3"/>
      <c r="Q1081" s="3"/>
      <c r="R1081" s="3"/>
      <c r="S1081" s="3"/>
      <c r="T1081" s="3"/>
      <c r="U1081" s="3"/>
      <c r="V1081" s="3"/>
      <c r="W1081" s="3"/>
      <c r="X1081" s="3"/>
      <c r="Y1081" s="3"/>
      <c r="Z1081" s="3"/>
      <c r="AA1081" s="3"/>
    </row>
    <row r="1082" ht="105.75" customHeight="1">
      <c r="A1082" s="11"/>
      <c r="B1082" s="12"/>
      <c r="C1082" s="11"/>
      <c r="D1082" s="13"/>
      <c r="E1082" s="14"/>
      <c r="F1082" s="14"/>
      <c r="G1082" s="14"/>
      <c r="H1082" s="15"/>
      <c r="I1082" s="15"/>
      <c r="J1082" s="3"/>
      <c r="K1082" s="3"/>
      <c r="L1082" s="3"/>
      <c r="M1082" s="3"/>
      <c r="N1082" s="3"/>
      <c r="O1082" s="3"/>
      <c r="P1082" s="3"/>
      <c r="Q1082" s="3"/>
      <c r="R1082" s="3"/>
      <c r="S1082" s="3"/>
      <c r="T1082" s="3"/>
      <c r="U1082" s="3"/>
      <c r="V1082" s="3"/>
      <c r="W1082" s="3"/>
      <c r="X1082" s="3"/>
      <c r="Y1082" s="3"/>
      <c r="Z1082" s="3"/>
      <c r="AA1082" s="3"/>
    </row>
    <row r="1083" ht="105.75" customHeight="1">
      <c r="A1083" s="11"/>
      <c r="B1083" s="12"/>
      <c r="C1083" s="11"/>
      <c r="D1083" s="13"/>
      <c r="E1083" s="14"/>
      <c r="F1083" s="14"/>
      <c r="G1083" s="14"/>
      <c r="H1083" s="15"/>
      <c r="I1083" s="15"/>
      <c r="J1083" s="3"/>
      <c r="K1083" s="3"/>
      <c r="L1083" s="3"/>
      <c r="M1083" s="3"/>
      <c r="N1083" s="3"/>
      <c r="O1083" s="3"/>
      <c r="P1083" s="3"/>
      <c r="Q1083" s="3"/>
      <c r="R1083" s="3"/>
      <c r="S1083" s="3"/>
      <c r="T1083" s="3"/>
      <c r="U1083" s="3"/>
      <c r="V1083" s="3"/>
      <c r="W1083" s="3"/>
      <c r="X1083" s="3"/>
      <c r="Y1083" s="3"/>
      <c r="Z1083" s="3"/>
      <c r="AA1083" s="3"/>
    </row>
    <row r="1084" ht="105.75" customHeight="1">
      <c r="A1084" s="11"/>
      <c r="B1084" s="12"/>
      <c r="C1084" s="11"/>
      <c r="D1084" s="13"/>
      <c r="E1084" s="14"/>
      <c r="F1084" s="14"/>
      <c r="G1084" s="14"/>
      <c r="H1084" s="15"/>
      <c r="I1084" s="15"/>
      <c r="J1084" s="3"/>
      <c r="K1084" s="3"/>
      <c r="L1084" s="3"/>
      <c r="M1084" s="3"/>
      <c r="N1084" s="3"/>
      <c r="O1084" s="3"/>
      <c r="P1084" s="3"/>
      <c r="Q1084" s="3"/>
      <c r="R1084" s="3"/>
      <c r="S1084" s="3"/>
      <c r="T1084" s="3"/>
      <c r="U1084" s="3"/>
      <c r="V1084" s="3"/>
      <c r="W1084" s="3"/>
      <c r="X1084" s="3"/>
      <c r="Y1084" s="3"/>
      <c r="Z1084" s="3"/>
      <c r="AA1084" s="3"/>
    </row>
    <row r="1085" ht="105.75" customHeight="1">
      <c r="A1085" s="11"/>
      <c r="B1085" s="12"/>
      <c r="C1085" s="11"/>
      <c r="D1085" s="13"/>
      <c r="E1085" s="14"/>
      <c r="F1085" s="14"/>
      <c r="G1085" s="14"/>
      <c r="H1085" s="15"/>
      <c r="I1085" s="15"/>
      <c r="J1085" s="3"/>
      <c r="K1085" s="3"/>
      <c r="L1085" s="3"/>
      <c r="M1085" s="3"/>
      <c r="N1085" s="3"/>
      <c r="O1085" s="3"/>
      <c r="P1085" s="3"/>
      <c r="Q1085" s="3"/>
      <c r="R1085" s="3"/>
      <c r="S1085" s="3"/>
      <c r="T1085" s="3"/>
      <c r="U1085" s="3"/>
      <c r="V1085" s="3"/>
      <c r="W1085" s="3"/>
      <c r="X1085" s="3"/>
      <c r="Y1085" s="3"/>
      <c r="Z1085" s="3"/>
      <c r="AA1085" s="3"/>
    </row>
    <row r="1086" ht="105.75" customHeight="1">
      <c r="A1086" s="11"/>
      <c r="B1086" s="12"/>
      <c r="C1086" s="11"/>
      <c r="D1086" s="13"/>
      <c r="E1086" s="14"/>
      <c r="F1086" s="14"/>
      <c r="G1086" s="14"/>
      <c r="H1086" s="15"/>
      <c r="I1086" s="15"/>
      <c r="J1086" s="3"/>
      <c r="K1086" s="3"/>
      <c r="L1086" s="3"/>
      <c r="M1086" s="3"/>
      <c r="N1086" s="3"/>
      <c r="O1086" s="3"/>
      <c r="P1086" s="3"/>
      <c r="Q1086" s="3"/>
      <c r="R1086" s="3"/>
      <c r="S1086" s="3"/>
      <c r="T1086" s="3"/>
      <c r="U1086" s="3"/>
      <c r="V1086" s="3"/>
      <c r="W1086" s="3"/>
      <c r="X1086" s="3"/>
      <c r="Y1086" s="3"/>
      <c r="Z1086" s="3"/>
      <c r="AA1086" s="3"/>
    </row>
    <row r="1087" ht="105.75" customHeight="1">
      <c r="A1087" s="11"/>
      <c r="B1087" s="12"/>
      <c r="C1087" s="11"/>
      <c r="D1087" s="13"/>
      <c r="E1087" s="14"/>
      <c r="F1087" s="14"/>
      <c r="G1087" s="14"/>
      <c r="H1087" s="15"/>
      <c r="I1087" s="15"/>
      <c r="J1087" s="3"/>
      <c r="K1087" s="3"/>
      <c r="L1087" s="3"/>
      <c r="M1087" s="3"/>
      <c r="N1087" s="3"/>
      <c r="O1087" s="3"/>
      <c r="P1087" s="3"/>
      <c r="Q1087" s="3"/>
      <c r="R1087" s="3"/>
      <c r="S1087" s="3"/>
      <c r="T1087" s="3"/>
      <c r="U1087" s="3"/>
      <c r="V1087" s="3"/>
      <c r="W1087" s="3"/>
      <c r="X1087" s="3"/>
      <c r="Y1087" s="3"/>
      <c r="Z1087" s="3"/>
      <c r="AA1087" s="3"/>
    </row>
    <row r="1088" ht="105.75" customHeight="1">
      <c r="A1088" s="11"/>
      <c r="B1088" s="12"/>
      <c r="C1088" s="11"/>
      <c r="D1088" s="13"/>
      <c r="E1088" s="16"/>
      <c r="F1088" s="16"/>
      <c r="G1088" s="16"/>
      <c r="H1088" s="15"/>
      <c r="I1088" s="15"/>
      <c r="J1088" s="3"/>
      <c r="K1088" s="3"/>
      <c r="L1088" s="3"/>
      <c r="M1088" s="3"/>
      <c r="N1088" s="3"/>
      <c r="O1088" s="3"/>
      <c r="P1088" s="3"/>
      <c r="Q1088" s="3"/>
      <c r="R1088" s="3"/>
      <c r="S1088" s="3"/>
      <c r="T1088" s="3"/>
      <c r="U1088" s="3"/>
      <c r="V1088" s="3"/>
      <c r="W1088" s="3"/>
      <c r="X1088" s="3"/>
      <c r="Y1088" s="3"/>
      <c r="Z1088" s="3"/>
      <c r="AA1088" s="3"/>
    </row>
    <row r="1089" ht="105.75" customHeight="1">
      <c r="A1089" s="11"/>
      <c r="B1089" s="12"/>
      <c r="C1089" s="11"/>
      <c r="D1089" s="13"/>
      <c r="E1089" s="14"/>
      <c r="F1089" s="14"/>
      <c r="G1089" s="14"/>
      <c r="H1089" s="15"/>
      <c r="I1089" s="15"/>
      <c r="J1089" s="3"/>
      <c r="K1089" s="3"/>
      <c r="L1089" s="3"/>
      <c r="M1089" s="3"/>
      <c r="N1089" s="3"/>
      <c r="O1089" s="3"/>
      <c r="P1089" s="3"/>
      <c r="Q1089" s="3"/>
      <c r="R1089" s="3"/>
      <c r="S1089" s="3"/>
      <c r="T1089" s="3"/>
      <c r="U1089" s="3"/>
      <c r="V1089" s="3"/>
      <c r="W1089" s="3"/>
      <c r="X1089" s="3"/>
      <c r="Y1089" s="3"/>
      <c r="Z1089" s="3"/>
      <c r="AA1089" s="3"/>
    </row>
    <row r="1090" ht="105.75" customHeight="1">
      <c r="A1090" s="11"/>
      <c r="B1090" s="12"/>
      <c r="C1090" s="11"/>
      <c r="D1090" s="13"/>
      <c r="E1090" s="14"/>
      <c r="F1090" s="14"/>
      <c r="G1090" s="14"/>
      <c r="H1090" s="15"/>
      <c r="I1090" s="15"/>
      <c r="J1090" s="3"/>
      <c r="K1090" s="3"/>
      <c r="L1090" s="3"/>
      <c r="M1090" s="3"/>
      <c r="N1090" s="3"/>
      <c r="O1090" s="3"/>
      <c r="P1090" s="3"/>
      <c r="Q1090" s="3"/>
      <c r="R1090" s="3"/>
      <c r="S1090" s="3"/>
      <c r="T1090" s="3"/>
      <c r="U1090" s="3"/>
      <c r="V1090" s="3"/>
      <c r="W1090" s="3"/>
      <c r="X1090" s="3"/>
      <c r="Y1090" s="3"/>
      <c r="Z1090" s="3"/>
      <c r="AA1090" s="3"/>
    </row>
    <row r="1091" ht="105.75" customHeight="1">
      <c r="A1091" s="11"/>
      <c r="B1091" s="12"/>
      <c r="C1091" s="11"/>
      <c r="D1091" s="13"/>
      <c r="E1091" s="14"/>
      <c r="F1091" s="14"/>
      <c r="G1091" s="14"/>
      <c r="H1091" s="15"/>
      <c r="I1091" s="15"/>
      <c r="J1091" s="3"/>
      <c r="K1091" s="3"/>
      <c r="L1091" s="3"/>
      <c r="M1091" s="3"/>
      <c r="N1091" s="3"/>
      <c r="O1091" s="3"/>
      <c r="P1091" s="3"/>
      <c r="Q1091" s="3"/>
      <c r="R1091" s="3"/>
      <c r="S1091" s="3"/>
      <c r="T1091" s="3"/>
      <c r="U1091" s="3"/>
      <c r="V1091" s="3"/>
      <c r="W1091" s="3"/>
      <c r="X1091" s="3"/>
      <c r="Y1091" s="3"/>
      <c r="Z1091" s="3"/>
      <c r="AA1091" s="3"/>
    </row>
    <row r="1092" ht="105.75" customHeight="1">
      <c r="A1092" s="11"/>
      <c r="B1092" s="12"/>
      <c r="C1092" s="11"/>
      <c r="D1092" s="13"/>
      <c r="E1092" s="14"/>
      <c r="F1092" s="14"/>
      <c r="G1092" s="14"/>
      <c r="H1092" s="15"/>
      <c r="I1092" s="15"/>
      <c r="J1092" s="3"/>
      <c r="K1092" s="3"/>
      <c r="L1092" s="3"/>
      <c r="M1092" s="3"/>
      <c r="N1092" s="3"/>
      <c r="O1092" s="3"/>
      <c r="P1092" s="3"/>
      <c r="Q1092" s="3"/>
      <c r="R1092" s="3"/>
      <c r="S1092" s="3"/>
      <c r="T1092" s="3"/>
      <c r="U1092" s="3"/>
      <c r="V1092" s="3"/>
      <c r="W1092" s="3"/>
      <c r="X1092" s="3"/>
      <c r="Y1092" s="3"/>
      <c r="Z1092" s="3"/>
      <c r="AA1092" s="3"/>
    </row>
    <row r="1093" ht="105.75" customHeight="1">
      <c r="A1093" s="11"/>
      <c r="B1093" s="12"/>
      <c r="C1093" s="11"/>
      <c r="D1093" s="13"/>
      <c r="E1093" s="14"/>
      <c r="F1093" s="14"/>
      <c r="G1093" s="14"/>
      <c r="H1093" s="15"/>
      <c r="I1093" s="15"/>
      <c r="J1093" s="3"/>
      <c r="K1093" s="3"/>
      <c r="L1093" s="3"/>
      <c r="M1093" s="3"/>
      <c r="N1093" s="3"/>
      <c r="O1093" s="3"/>
      <c r="P1093" s="3"/>
      <c r="Q1093" s="3"/>
      <c r="R1093" s="3"/>
      <c r="S1093" s="3"/>
      <c r="T1093" s="3"/>
      <c r="U1093" s="3"/>
      <c r="V1093" s="3"/>
      <c r="W1093" s="3"/>
      <c r="X1093" s="3"/>
      <c r="Y1093" s="3"/>
      <c r="Z1093" s="3"/>
      <c r="AA1093" s="3"/>
    </row>
    <row r="1094" ht="105.75" customHeight="1">
      <c r="A1094" s="11"/>
      <c r="B1094" s="12"/>
      <c r="C1094" s="11"/>
      <c r="D1094" s="13"/>
      <c r="E1094" s="14"/>
      <c r="F1094" s="14"/>
      <c r="G1094" s="14"/>
      <c r="H1094" s="15"/>
      <c r="I1094" s="15"/>
      <c r="J1094" s="3"/>
      <c r="K1094" s="3"/>
      <c r="L1094" s="3"/>
      <c r="M1094" s="3"/>
      <c r="N1094" s="3"/>
      <c r="O1094" s="3"/>
      <c r="P1094" s="3"/>
      <c r="Q1094" s="3"/>
      <c r="R1094" s="3"/>
      <c r="S1094" s="3"/>
      <c r="T1094" s="3"/>
      <c r="U1094" s="3"/>
      <c r="V1094" s="3"/>
      <c r="W1094" s="3"/>
      <c r="X1094" s="3"/>
      <c r="Y1094" s="3"/>
      <c r="Z1094" s="3"/>
      <c r="AA1094" s="3"/>
    </row>
    <row r="1095" ht="105.75" customHeight="1">
      <c r="A1095" s="11"/>
      <c r="B1095" s="12"/>
      <c r="C1095" s="11"/>
      <c r="D1095" s="13"/>
      <c r="E1095" s="14"/>
      <c r="F1095" s="14"/>
      <c r="G1095" s="14"/>
      <c r="H1095" s="15"/>
      <c r="I1095" s="15"/>
      <c r="J1095" s="3"/>
      <c r="K1095" s="3"/>
      <c r="L1095" s="3"/>
      <c r="M1095" s="3"/>
      <c r="N1095" s="3"/>
      <c r="O1095" s="3"/>
      <c r="P1095" s="3"/>
      <c r="Q1095" s="3"/>
      <c r="R1095" s="3"/>
      <c r="S1095" s="3"/>
      <c r="T1095" s="3"/>
      <c r="U1095" s="3"/>
      <c r="V1095" s="3"/>
      <c r="W1095" s="3"/>
      <c r="X1095" s="3"/>
      <c r="Y1095" s="3"/>
      <c r="Z1095" s="3"/>
      <c r="AA1095" s="3"/>
    </row>
    <row r="1096" ht="105.75" customHeight="1">
      <c r="A1096" s="11"/>
      <c r="B1096" s="12"/>
      <c r="C1096" s="11"/>
      <c r="D1096" s="13"/>
      <c r="E1096" s="14"/>
      <c r="F1096" s="14"/>
      <c r="G1096" s="14"/>
      <c r="H1096" s="15"/>
      <c r="I1096" s="15"/>
      <c r="J1096" s="3"/>
      <c r="K1096" s="3"/>
      <c r="L1096" s="3"/>
      <c r="M1096" s="3"/>
      <c r="N1096" s="3"/>
      <c r="O1096" s="3"/>
      <c r="P1096" s="3"/>
      <c r="Q1096" s="3"/>
      <c r="R1096" s="3"/>
      <c r="S1096" s="3"/>
      <c r="T1096" s="3"/>
      <c r="U1096" s="3"/>
      <c r="V1096" s="3"/>
      <c r="W1096" s="3"/>
      <c r="X1096" s="3"/>
      <c r="Y1096" s="3"/>
      <c r="Z1096" s="3"/>
      <c r="AA1096" s="3"/>
    </row>
    <row r="1097" ht="105.75" customHeight="1">
      <c r="A1097" s="11"/>
      <c r="B1097" s="12"/>
      <c r="C1097" s="11"/>
      <c r="D1097" s="13"/>
      <c r="E1097" s="16"/>
      <c r="F1097" s="16"/>
      <c r="G1097" s="16"/>
      <c r="H1097" s="15"/>
      <c r="I1097" s="15"/>
      <c r="J1097" s="3"/>
      <c r="K1097" s="3"/>
      <c r="L1097" s="3"/>
      <c r="M1097" s="3"/>
      <c r="N1097" s="3"/>
      <c r="O1097" s="3"/>
      <c r="P1097" s="3"/>
      <c r="Q1097" s="3"/>
      <c r="R1097" s="3"/>
      <c r="S1097" s="3"/>
      <c r="T1097" s="3"/>
      <c r="U1097" s="3"/>
      <c r="V1097" s="3"/>
      <c r="W1097" s="3"/>
      <c r="X1097" s="3"/>
      <c r="Y1097" s="3"/>
      <c r="Z1097" s="3"/>
      <c r="AA1097" s="3"/>
    </row>
    <row r="1098" ht="105.75" customHeight="1">
      <c r="A1098" s="11"/>
      <c r="B1098" s="12"/>
      <c r="C1098" s="11"/>
      <c r="D1098" s="13"/>
      <c r="E1098" s="14"/>
      <c r="F1098" s="14"/>
      <c r="G1098" s="14"/>
      <c r="H1098" s="15"/>
      <c r="I1098" s="15"/>
      <c r="J1098" s="3"/>
      <c r="K1098" s="3"/>
      <c r="L1098" s="3"/>
      <c r="M1098" s="3"/>
      <c r="N1098" s="3"/>
      <c r="O1098" s="3"/>
      <c r="P1098" s="3"/>
      <c r="Q1098" s="3"/>
      <c r="R1098" s="3"/>
      <c r="S1098" s="3"/>
      <c r="T1098" s="3"/>
      <c r="U1098" s="3"/>
      <c r="V1098" s="3"/>
      <c r="W1098" s="3"/>
      <c r="X1098" s="3"/>
      <c r="Y1098" s="3"/>
      <c r="Z1098" s="3"/>
      <c r="AA1098" s="3"/>
    </row>
    <row r="1099" ht="105.75" customHeight="1">
      <c r="A1099" s="11"/>
      <c r="B1099" s="12"/>
      <c r="C1099" s="11"/>
      <c r="D1099" s="13"/>
      <c r="E1099" s="14"/>
      <c r="F1099" s="14"/>
      <c r="G1099" s="14"/>
      <c r="H1099" s="15"/>
      <c r="I1099" s="15"/>
      <c r="J1099" s="3"/>
      <c r="K1099" s="3"/>
      <c r="L1099" s="3"/>
      <c r="M1099" s="3"/>
      <c r="N1099" s="3"/>
      <c r="O1099" s="3"/>
      <c r="P1099" s="3"/>
      <c r="Q1099" s="3"/>
      <c r="R1099" s="3"/>
      <c r="S1099" s="3"/>
      <c r="T1099" s="3"/>
      <c r="U1099" s="3"/>
      <c r="V1099" s="3"/>
      <c r="W1099" s="3"/>
      <c r="X1099" s="3"/>
      <c r="Y1099" s="3"/>
      <c r="Z1099" s="3"/>
      <c r="AA1099" s="3"/>
    </row>
    <row r="1100" ht="105.75" customHeight="1">
      <c r="A1100" s="11"/>
      <c r="B1100" s="12"/>
      <c r="C1100" s="11"/>
      <c r="D1100" s="13"/>
      <c r="E1100" s="14"/>
      <c r="F1100" s="14"/>
      <c r="G1100" s="14"/>
      <c r="H1100" s="15"/>
      <c r="I1100" s="15"/>
      <c r="J1100" s="3"/>
      <c r="K1100" s="3"/>
      <c r="L1100" s="3"/>
      <c r="M1100" s="3"/>
      <c r="N1100" s="3"/>
      <c r="O1100" s="3"/>
      <c r="P1100" s="3"/>
      <c r="Q1100" s="3"/>
      <c r="R1100" s="3"/>
      <c r="S1100" s="3"/>
      <c r="T1100" s="3"/>
      <c r="U1100" s="3"/>
      <c r="V1100" s="3"/>
      <c r="W1100" s="3"/>
      <c r="X1100" s="3"/>
      <c r="Y1100" s="3"/>
      <c r="Z1100" s="3"/>
      <c r="AA1100" s="3"/>
    </row>
    <row r="1101" ht="105.75" customHeight="1">
      <c r="A1101" s="11"/>
      <c r="B1101" s="12"/>
      <c r="C1101" s="11"/>
      <c r="D1101" s="13"/>
      <c r="E1101" s="14"/>
      <c r="F1101" s="14"/>
      <c r="G1101" s="14"/>
      <c r="H1101" s="15"/>
      <c r="I1101" s="15"/>
      <c r="J1101" s="3"/>
      <c r="K1101" s="3"/>
      <c r="L1101" s="3"/>
      <c r="M1101" s="3"/>
      <c r="N1101" s="3"/>
      <c r="O1101" s="3"/>
      <c r="P1101" s="3"/>
      <c r="Q1101" s="3"/>
      <c r="R1101" s="3"/>
      <c r="S1101" s="3"/>
      <c r="T1101" s="3"/>
      <c r="U1101" s="3"/>
      <c r="V1101" s="3"/>
      <c r="W1101" s="3"/>
      <c r="X1101" s="3"/>
      <c r="Y1101" s="3"/>
      <c r="Z1101" s="3"/>
      <c r="AA1101" s="3"/>
    </row>
    <row r="1102" ht="105.75" customHeight="1">
      <c r="A1102" s="11"/>
      <c r="B1102" s="12"/>
      <c r="C1102" s="11"/>
      <c r="D1102" s="13"/>
      <c r="E1102" s="14"/>
      <c r="F1102" s="14"/>
      <c r="G1102" s="14"/>
      <c r="H1102" s="15"/>
      <c r="I1102" s="15"/>
      <c r="J1102" s="3"/>
      <c r="K1102" s="3"/>
      <c r="L1102" s="3"/>
      <c r="M1102" s="3"/>
      <c r="N1102" s="3"/>
      <c r="O1102" s="3"/>
      <c r="P1102" s="3"/>
      <c r="Q1102" s="3"/>
      <c r="R1102" s="3"/>
      <c r="S1102" s="3"/>
      <c r="T1102" s="3"/>
      <c r="U1102" s="3"/>
      <c r="V1102" s="3"/>
      <c r="W1102" s="3"/>
      <c r="X1102" s="3"/>
      <c r="Y1102" s="3"/>
      <c r="Z1102" s="3"/>
      <c r="AA1102" s="3"/>
    </row>
    <row r="1103" ht="105.75" customHeight="1">
      <c r="A1103" s="11"/>
      <c r="B1103" s="12"/>
      <c r="C1103" s="11"/>
      <c r="D1103" s="13"/>
      <c r="E1103" s="14"/>
      <c r="F1103" s="14"/>
      <c r="G1103" s="14"/>
      <c r="H1103" s="15"/>
      <c r="I1103" s="15"/>
      <c r="J1103" s="3"/>
      <c r="K1103" s="3"/>
      <c r="L1103" s="3"/>
      <c r="M1103" s="3"/>
      <c r="N1103" s="3"/>
      <c r="O1103" s="3"/>
      <c r="P1103" s="3"/>
      <c r="Q1103" s="3"/>
      <c r="R1103" s="3"/>
      <c r="S1103" s="3"/>
      <c r="T1103" s="3"/>
      <c r="U1103" s="3"/>
      <c r="V1103" s="3"/>
      <c r="W1103" s="3"/>
      <c r="X1103" s="3"/>
      <c r="Y1103" s="3"/>
      <c r="Z1103" s="3"/>
      <c r="AA1103" s="3"/>
    </row>
    <row r="1104" ht="105.75" customHeight="1">
      <c r="A1104" s="11"/>
      <c r="B1104" s="12"/>
      <c r="C1104" s="11"/>
      <c r="D1104" s="13"/>
      <c r="E1104" s="14"/>
      <c r="F1104" s="14"/>
      <c r="G1104" s="14"/>
      <c r="H1104" s="15"/>
      <c r="I1104" s="15"/>
      <c r="J1104" s="3"/>
      <c r="K1104" s="3"/>
      <c r="L1104" s="3"/>
      <c r="M1104" s="3"/>
      <c r="N1104" s="3"/>
      <c r="O1104" s="3"/>
      <c r="P1104" s="3"/>
      <c r="Q1104" s="3"/>
      <c r="R1104" s="3"/>
      <c r="S1104" s="3"/>
      <c r="T1104" s="3"/>
      <c r="U1104" s="3"/>
      <c r="V1104" s="3"/>
      <c r="W1104" s="3"/>
      <c r="X1104" s="3"/>
      <c r="Y1104" s="3"/>
      <c r="Z1104" s="3"/>
      <c r="AA1104" s="3"/>
    </row>
    <row r="1105" ht="105.75" customHeight="1">
      <c r="A1105" s="11"/>
      <c r="B1105" s="12"/>
      <c r="C1105" s="11"/>
      <c r="D1105" s="13"/>
      <c r="E1105" s="14"/>
      <c r="F1105" s="14"/>
      <c r="G1105" s="14"/>
      <c r="H1105" s="15"/>
      <c r="I1105" s="15"/>
      <c r="J1105" s="3"/>
      <c r="K1105" s="3"/>
      <c r="L1105" s="3"/>
      <c r="M1105" s="3"/>
      <c r="N1105" s="3"/>
      <c r="O1105" s="3"/>
      <c r="P1105" s="3"/>
      <c r="Q1105" s="3"/>
      <c r="R1105" s="3"/>
      <c r="S1105" s="3"/>
      <c r="T1105" s="3"/>
      <c r="U1105" s="3"/>
      <c r="V1105" s="3"/>
      <c r="W1105" s="3"/>
      <c r="X1105" s="3"/>
      <c r="Y1105" s="3"/>
      <c r="Z1105" s="3"/>
      <c r="AA1105" s="3"/>
    </row>
    <row r="1106" ht="105.75" customHeight="1">
      <c r="A1106" s="11"/>
      <c r="B1106" s="12"/>
      <c r="C1106" s="11"/>
      <c r="D1106" s="13"/>
      <c r="E1106" s="14"/>
      <c r="F1106" s="14"/>
      <c r="G1106" s="14"/>
      <c r="H1106" s="15"/>
      <c r="I1106" s="15"/>
      <c r="J1106" s="3"/>
      <c r="K1106" s="3"/>
      <c r="L1106" s="3"/>
      <c r="M1106" s="3"/>
      <c r="N1106" s="3"/>
      <c r="O1106" s="3"/>
      <c r="P1106" s="3"/>
      <c r="Q1106" s="3"/>
      <c r="R1106" s="3"/>
      <c r="S1106" s="3"/>
      <c r="T1106" s="3"/>
      <c r="U1106" s="3"/>
      <c r="V1106" s="3"/>
      <c r="W1106" s="3"/>
      <c r="X1106" s="3"/>
      <c r="Y1106" s="3"/>
      <c r="Z1106" s="3"/>
      <c r="AA1106" s="3"/>
    </row>
    <row r="1107" ht="105.75" customHeight="1">
      <c r="A1107" s="11"/>
      <c r="B1107" s="12"/>
      <c r="C1107" s="11"/>
      <c r="D1107" s="13"/>
      <c r="E1107" s="14"/>
      <c r="F1107" s="14"/>
      <c r="G1107" s="14"/>
      <c r="H1107" s="15"/>
      <c r="I1107" s="15"/>
      <c r="J1107" s="3"/>
      <c r="K1107" s="3"/>
      <c r="L1107" s="3"/>
      <c r="M1107" s="3"/>
      <c r="N1107" s="3"/>
      <c r="O1107" s="3"/>
      <c r="P1107" s="3"/>
      <c r="Q1107" s="3"/>
      <c r="R1107" s="3"/>
      <c r="S1107" s="3"/>
      <c r="T1107" s="3"/>
      <c r="U1107" s="3"/>
      <c r="V1107" s="3"/>
      <c r="W1107" s="3"/>
      <c r="X1107" s="3"/>
      <c r="Y1107" s="3"/>
      <c r="Z1107" s="3"/>
      <c r="AA1107" s="3"/>
    </row>
    <row r="1108" ht="105.75" customHeight="1">
      <c r="A1108" s="11"/>
      <c r="B1108" s="12"/>
      <c r="C1108" s="11"/>
      <c r="D1108" s="13"/>
      <c r="E1108" s="14"/>
      <c r="F1108" s="14"/>
      <c r="G1108" s="14"/>
      <c r="H1108" s="15"/>
      <c r="I1108" s="15"/>
      <c r="J1108" s="3"/>
      <c r="K1108" s="3"/>
      <c r="L1108" s="3"/>
      <c r="M1108" s="3"/>
      <c r="N1108" s="3"/>
      <c r="O1108" s="3"/>
      <c r="P1108" s="3"/>
      <c r="Q1108" s="3"/>
      <c r="R1108" s="3"/>
      <c r="S1108" s="3"/>
      <c r="T1108" s="3"/>
      <c r="U1108" s="3"/>
      <c r="V1108" s="3"/>
      <c r="W1108" s="3"/>
      <c r="X1108" s="3"/>
      <c r="Y1108" s="3"/>
      <c r="Z1108" s="3"/>
      <c r="AA1108" s="3"/>
    </row>
    <row r="1109" ht="105.75" customHeight="1">
      <c r="A1109" s="11"/>
      <c r="B1109" s="12"/>
      <c r="C1109" s="11"/>
      <c r="D1109" s="13"/>
      <c r="E1109" s="14"/>
      <c r="F1109" s="14"/>
      <c r="G1109" s="14"/>
      <c r="H1109" s="15"/>
      <c r="I1109" s="15"/>
      <c r="J1109" s="3"/>
      <c r="K1109" s="3"/>
      <c r="L1109" s="3"/>
      <c r="M1109" s="3"/>
      <c r="N1109" s="3"/>
      <c r="O1109" s="3"/>
      <c r="P1109" s="3"/>
      <c r="Q1109" s="3"/>
      <c r="R1109" s="3"/>
      <c r="S1109" s="3"/>
      <c r="T1109" s="3"/>
      <c r="U1109" s="3"/>
      <c r="V1109" s="3"/>
      <c r="W1109" s="3"/>
      <c r="X1109" s="3"/>
      <c r="Y1109" s="3"/>
      <c r="Z1109" s="3"/>
      <c r="AA1109" s="3"/>
    </row>
    <row r="1110" ht="105.75" customHeight="1">
      <c r="A1110" s="11"/>
      <c r="B1110" s="12"/>
      <c r="C1110" s="11"/>
      <c r="D1110" s="13"/>
      <c r="E1110" s="14"/>
      <c r="F1110" s="14"/>
      <c r="G1110" s="14"/>
      <c r="H1110" s="15"/>
      <c r="I1110" s="15"/>
      <c r="J1110" s="3"/>
      <c r="K1110" s="3"/>
      <c r="L1110" s="3"/>
      <c r="M1110" s="3"/>
      <c r="N1110" s="3"/>
      <c r="O1110" s="3"/>
      <c r="P1110" s="3"/>
      <c r="Q1110" s="3"/>
      <c r="R1110" s="3"/>
      <c r="S1110" s="3"/>
      <c r="T1110" s="3"/>
      <c r="U1110" s="3"/>
      <c r="V1110" s="3"/>
      <c r="W1110" s="3"/>
      <c r="X1110" s="3"/>
      <c r="Y1110" s="3"/>
      <c r="Z1110" s="3"/>
      <c r="AA1110" s="3"/>
    </row>
    <row r="1111" ht="105.75" customHeight="1">
      <c r="A1111" s="11"/>
      <c r="B1111" s="12"/>
      <c r="C1111" s="11"/>
      <c r="D1111" s="13"/>
      <c r="E1111" s="14"/>
      <c r="F1111" s="14"/>
      <c r="G1111" s="14"/>
      <c r="H1111" s="15"/>
      <c r="I1111" s="15"/>
      <c r="J1111" s="3"/>
      <c r="K1111" s="3"/>
      <c r="L1111" s="3"/>
      <c r="M1111" s="3"/>
      <c r="N1111" s="3"/>
      <c r="O1111" s="3"/>
      <c r="P1111" s="3"/>
      <c r="Q1111" s="3"/>
      <c r="R1111" s="3"/>
      <c r="S1111" s="3"/>
      <c r="T1111" s="3"/>
      <c r="U1111" s="3"/>
      <c r="V1111" s="3"/>
      <c r="W1111" s="3"/>
      <c r="X1111" s="3"/>
      <c r="Y1111" s="3"/>
      <c r="Z1111" s="3"/>
      <c r="AA1111" s="3"/>
    </row>
    <row r="1112" ht="105.75" customHeight="1">
      <c r="A1112" s="11"/>
      <c r="B1112" s="12"/>
      <c r="C1112" s="11"/>
      <c r="D1112" s="13"/>
      <c r="E1112" s="16"/>
      <c r="F1112" s="16"/>
      <c r="G1112" s="16"/>
      <c r="H1112" s="15"/>
      <c r="I1112" s="15"/>
      <c r="J1112" s="3"/>
      <c r="K1112" s="3"/>
      <c r="L1112" s="3"/>
      <c r="M1112" s="3"/>
      <c r="N1112" s="3"/>
      <c r="O1112" s="3"/>
      <c r="P1112" s="3"/>
      <c r="Q1112" s="3"/>
      <c r="R1112" s="3"/>
      <c r="S1112" s="3"/>
      <c r="T1112" s="3"/>
      <c r="U1112" s="3"/>
      <c r="V1112" s="3"/>
      <c r="W1112" s="3"/>
      <c r="X1112" s="3"/>
      <c r="Y1112" s="3"/>
      <c r="Z1112" s="3"/>
      <c r="AA1112" s="3"/>
    </row>
    <row r="1113" ht="105.75" customHeight="1">
      <c r="A1113" s="11"/>
      <c r="B1113" s="12"/>
      <c r="C1113" s="11"/>
      <c r="D1113" s="13"/>
      <c r="E1113" s="14"/>
      <c r="F1113" s="14"/>
      <c r="G1113" s="14"/>
      <c r="H1113" s="15"/>
      <c r="I1113" s="15"/>
      <c r="J1113" s="3"/>
      <c r="K1113" s="3"/>
      <c r="L1113" s="3"/>
      <c r="M1113" s="3"/>
      <c r="N1113" s="3"/>
      <c r="O1113" s="3"/>
      <c r="P1113" s="3"/>
      <c r="Q1113" s="3"/>
      <c r="R1113" s="3"/>
      <c r="S1113" s="3"/>
      <c r="T1113" s="3"/>
      <c r="U1113" s="3"/>
      <c r="V1113" s="3"/>
      <c r="W1113" s="3"/>
      <c r="X1113" s="3"/>
      <c r="Y1113" s="3"/>
      <c r="Z1113" s="3"/>
      <c r="AA1113" s="3"/>
    </row>
    <row r="1114" ht="105.75" customHeight="1">
      <c r="A1114" s="11"/>
      <c r="B1114" s="12"/>
      <c r="C1114" s="11"/>
      <c r="D1114" s="13"/>
      <c r="E1114" s="14"/>
      <c r="F1114" s="14"/>
      <c r="G1114" s="14"/>
      <c r="H1114" s="15"/>
      <c r="I1114" s="15"/>
      <c r="J1114" s="3"/>
      <c r="K1114" s="3"/>
      <c r="L1114" s="3"/>
      <c r="M1114" s="3"/>
      <c r="N1114" s="3"/>
      <c r="O1114" s="3"/>
      <c r="P1114" s="3"/>
      <c r="Q1114" s="3"/>
      <c r="R1114" s="3"/>
      <c r="S1114" s="3"/>
      <c r="T1114" s="3"/>
      <c r="U1114" s="3"/>
      <c r="V1114" s="3"/>
      <c r="W1114" s="3"/>
      <c r="X1114" s="3"/>
      <c r="Y1114" s="3"/>
      <c r="Z1114" s="3"/>
      <c r="AA1114" s="3"/>
    </row>
    <row r="1115" ht="105.75" customHeight="1">
      <c r="A1115" s="11"/>
      <c r="B1115" s="12"/>
      <c r="C1115" s="11"/>
      <c r="D1115" s="13"/>
      <c r="E1115" s="14"/>
      <c r="F1115" s="14"/>
      <c r="G1115" s="14"/>
      <c r="H1115" s="15"/>
      <c r="I1115" s="15"/>
      <c r="J1115" s="3"/>
      <c r="K1115" s="3"/>
      <c r="L1115" s="3"/>
      <c r="M1115" s="3"/>
      <c r="N1115" s="3"/>
      <c r="O1115" s="3"/>
      <c r="P1115" s="3"/>
      <c r="Q1115" s="3"/>
      <c r="R1115" s="3"/>
      <c r="S1115" s="3"/>
      <c r="T1115" s="3"/>
      <c r="U1115" s="3"/>
      <c r="V1115" s="3"/>
      <c r="W1115" s="3"/>
      <c r="X1115" s="3"/>
      <c r="Y1115" s="3"/>
      <c r="Z1115" s="3"/>
      <c r="AA1115" s="3"/>
    </row>
    <row r="1116" ht="105.75" customHeight="1">
      <c r="A1116" s="11"/>
      <c r="B1116" s="12"/>
      <c r="C1116" s="11"/>
      <c r="D1116" s="13"/>
      <c r="E1116" s="14"/>
      <c r="F1116" s="14"/>
      <c r="G1116" s="14"/>
      <c r="H1116" s="15"/>
      <c r="I1116" s="15"/>
      <c r="J1116" s="3"/>
      <c r="K1116" s="3"/>
      <c r="L1116" s="3"/>
      <c r="M1116" s="3"/>
      <c r="N1116" s="3"/>
      <c r="O1116" s="3"/>
      <c r="P1116" s="3"/>
      <c r="Q1116" s="3"/>
      <c r="R1116" s="3"/>
      <c r="S1116" s="3"/>
      <c r="T1116" s="3"/>
      <c r="U1116" s="3"/>
      <c r="V1116" s="3"/>
      <c r="W1116" s="3"/>
      <c r="X1116" s="3"/>
      <c r="Y1116" s="3"/>
      <c r="Z1116" s="3"/>
      <c r="AA1116" s="3"/>
    </row>
    <row r="1117" ht="105.75" customHeight="1">
      <c r="A1117" s="11"/>
      <c r="B1117" s="12"/>
      <c r="C1117" s="11"/>
      <c r="D1117" s="13"/>
      <c r="E1117" s="14"/>
      <c r="F1117" s="14"/>
      <c r="G1117" s="14"/>
      <c r="H1117" s="15"/>
      <c r="I1117" s="15"/>
      <c r="J1117" s="3"/>
      <c r="K1117" s="3"/>
      <c r="L1117" s="3"/>
      <c r="M1117" s="3"/>
      <c r="N1117" s="3"/>
      <c r="O1117" s="3"/>
      <c r="P1117" s="3"/>
      <c r="Q1117" s="3"/>
      <c r="R1117" s="3"/>
      <c r="S1117" s="3"/>
      <c r="T1117" s="3"/>
      <c r="U1117" s="3"/>
      <c r="V1117" s="3"/>
      <c r="W1117" s="3"/>
      <c r="X1117" s="3"/>
      <c r="Y1117" s="3"/>
      <c r="Z1117" s="3"/>
      <c r="AA1117" s="3"/>
    </row>
    <row r="1118" ht="105.75" customHeight="1">
      <c r="A1118" s="11"/>
      <c r="B1118" s="12"/>
      <c r="C1118" s="11"/>
      <c r="D1118" s="13"/>
      <c r="E1118" s="14"/>
      <c r="F1118" s="14"/>
      <c r="G1118" s="14"/>
      <c r="H1118" s="15"/>
      <c r="I1118" s="15"/>
      <c r="J1118" s="3"/>
      <c r="K1118" s="3"/>
      <c r="L1118" s="3"/>
      <c r="M1118" s="3"/>
      <c r="N1118" s="3"/>
      <c r="O1118" s="3"/>
      <c r="P1118" s="3"/>
      <c r="Q1118" s="3"/>
      <c r="R1118" s="3"/>
      <c r="S1118" s="3"/>
      <c r="T1118" s="3"/>
      <c r="U1118" s="3"/>
      <c r="V1118" s="3"/>
      <c r="W1118" s="3"/>
      <c r="X1118" s="3"/>
      <c r="Y1118" s="3"/>
      <c r="Z1118" s="3"/>
      <c r="AA1118" s="3"/>
    </row>
    <row r="1119" ht="105.75" customHeight="1">
      <c r="A1119" s="11"/>
      <c r="B1119" s="12"/>
      <c r="C1119" s="11"/>
      <c r="D1119" s="13"/>
      <c r="E1119" s="16"/>
      <c r="F1119" s="16"/>
      <c r="G1119" s="16"/>
      <c r="H1119" s="15"/>
      <c r="I1119" s="15"/>
      <c r="J1119" s="3"/>
      <c r="K1119" s="3"/>
      <c r="L1119" s="3"/>
      <c r="M1119" s="3"/>
      <c r="N1119" s="3"/>
      <c r="O1119" s="3"/>
      <c r="P1119" s="3"/>
      <c r="Q1119" s="3"/>
      <c r="R1119" s="3"/>
      <c r="S1119" s="3"/>
      <c r="T1119" s="3"/>
      <c r="U1119" s="3"/>
      <c r="V1119" s="3"/>
      <c r="W1119" s="3"/>
      <c r="X1119" s="3"/>
      <c r="Y1119" s="3"/>
      <c r="Z1119" s="3"/>
      <c r="AA1119" s="3"/>
    </row>
    <row r="1120" ht="105.75" customHeight="1">
      <c r="A1120" s="11"/>
      <c r="B1120" s="12"/>
      <c r="C1120" s="11"/>
      <c r="D1120" s="13"/>
      <c r="E1120" s="14"/>
      <c r="F1120" s="14"/>
      <c r="G1120" s="14"/>
      <c r="H1120" s="15"/>
      <c r="I1120" s="15"/>
      <c r="J1120" s="3"/>
      <c r="K1120" s="3"/>
      <c r="L1120" s="3"/>
      <c r="M1120" s="3"/>
      <c r="N1120" s="3"/>
      <c r="O1120" s="3"/>
      <c r="P1120" s="3"/>
      <c r="Q1120" s="3"/>
      <c r="R1120" s="3"/>
      <c r="S1120" s="3"/>
      <c r="T1120" s="3"/>
      <c r="U1120" s="3"/>
      <c r="V1120" s="3"/>
      <c r="W1120" s="3"/>
      <c r="X1120" s="3"/>
      <c r="Y1120" s="3"/>
      <c r="Z1120" s="3"/>
      <c r="AA1120" s="3"/>
    </row>
    <row r="1121" ht="105.75" customHeight="1">
      <c r="A1121" s="11"/>
      <c r="B1121" s="12"/>
      <c r="C1121" s="11"/>
      <c r="D1121" s="13"/>
      <c r="E1121" s="14"/>
      <c r="F1121" s="14"/>
      <c r="G1121" s="14"/>
      <c r="H1121" s="15"/>
      <c r="I1121" s="15"/>
      <c r="J1121" s="3"/>
      <c r="K1121" s="3"/>
      <c r="L1121" s="3"/>
      <c r="M1121" s="3"/>
      <c r="N1121" s="3"/>
      <c r="O1121" s="3"/>
      <c r="P1121" s="3"/>
      <c r="Q1121" s="3"/>
      <c r="R1121" s="3"/>
      <c r="S1121" s="3"/>
      <c r="T1121" s="3"/>
      <c r="U1121" s="3"/>
      <c r="V1121" s="3"/>
      <c r="W1121" s="3"/>
      <c r="X1121" s="3"/>
      <c r="Y1121" s="3"/>
      <c r="Z1121" s="3"/>
      <c r="AA1121" s="3"/>
    </row>
    <row r="1122" ht="105.75" customHeight="1">
      <c r="A1122" s="11"/>
      <c r="B1122" s="12"/>
      <c r="C1122" s="11"/>
      <c r="D1122" s="13"/>
      <c r="E1122" s="14"/>
      <c r="F1122" s="14"/>
      <c r="G1122" s="14"/>
      <c r="H1122" s="15"/>
      <c r="I1122" s="15"/>
      <c r="J1122" s="3"/>
      <c r="K1122" s="3"/>
      <c r="L1122" s="3"/>
      <c r="M1122" s="3"/>
      <c r="N1122" s="3"/>
      <c r="O1122" s="3"/>
      <c r="P1122" s="3"/>
      <c r="Q1122" s="3"/>
      <c r="R1122" s="3"/>
      <c r="S1122" s="3"/>
      <c r="T1122" s="3"/>
      <c r="U1122" s="3"/>
      <c r="V1122" s="3"/>
      <c r="W1122" s="3"/>
      <c r="X1122" s="3"/>
      <c r="Y1122" s="3"/>
      <c r="Z1122" s="3"/>
      <c r="AA1122" s="3"/>
    </row>
    <row r="1123" ht="105.75" customHeight="1">
      <c r="A1123" s="11"/>
      <c r="B1123" s="12"/>
      <c r="C1123" s="11"/>
      <c r="D1123" s="13"/>
      <c r="E1123" s="14"/>
      <c r="F1123" s="14"/>
      <c r="G1123" s="14"/>
      <c r="H1123" s="15"/>
      <c r="I1123" s="15"/>
      <c r="J1123" s="3"/>
      <c r="K1123" s="3"/>
      <c r="L1123" s="3"/>
      <c r="M1123" s="3"/>
      <c r="N1123" s="3"/>
      <c r="O1123" s="3"/>
      <c r="P1123" s="3"/>
      <c r="Q1123" s="3"/>
      <c r="R1123" s="3"/>
      <c r="S1123" s="3"/>
      <c r="T1123" s="3"/>
      <c r="U1123" s="3"/>
      <c r="V1123" s="3"/>
      <c r="W1123" s="3"/>
      <c r="X1123" s="3"/>
      <c r="Y1123" s="3"/>
      <c r="Z1123" s="3"/>
      <c r="AA1123" s="3"/>
    </row>
    <row r="1124" ht="105.75" customHeight="1">
      <c r="A1124" s="11"/>
      <c r="B1124" s="12"/>
      <c r="C1124" s="11"/>
      <c r="D1124" s="13"/>
      <c r="E1124" s="16"/>
      <c r="F1124" s="16"/>
      <c r="G1124" s="16"/>
      <c r="H1124" s="15"/>
      <c r="I1124" s="15"/>
      <c r="J1124" s="3"/>
      <c r="K1124" s="3"/>
      <c r="L1124" s="3"/>
      <c r="M1124" s="3"/>
      <c r="N1124" s="3"/>
      <c r="O1124" s="3"/>
      <c r="P1124" s="3"/>
      <c r="Q1124" s="3"/>
      <c r="R1124" s="3"/>
      <c r="S1124" s="3"/>
      <c r="T1124" s="3"/>
      <c r="U1124" s="3"/>
      <c r="V1124" s="3"/>
      <c r="W1124" s="3"/>
      <c r="X1124" s="3"/>
      <c r="Y1124" s="3"/>
      <c r="Z1124" s="3"/>
      <c r="AA1124" s="3"/>
    </row>
    <row r="1125" ht="105.75" customHeight="1">
      <c r="A1125" s="11"/>
      <c r="B1125" s="12"/>
      <c r="C1125" s="11"/>
      <c r="D1125" s="13"/>
      <c r="E1125" s="14"/>
      <c r="F1125" s="14"/>
      <c r="G1125" s="14"/>
      <c r="H1125" s="15"/>
      <c r="I1125" s="15"/>
      <c r="J1125" s="3"/>
      <c r="K1125" s="3"/>
      <c r="L1125" s="3"/>
      <c r="M1125" s="3"/>
      <c r="N1125" s="3"/>
      <c r="O1125" s="3"/>
      <c r="P1125" s="3"/>
      <c r="Q1125" s="3"/>
      <c r="R1125" s="3"/>
      <c r="S1125" s="3"/>
      <c r="T1125" s="3"/>
      <c r="U1125" s="3"/>
      <c r="V1125" s="3"/>
      <c r="W1125" s="3"/>
      <c r="X1125" s="3"/>
      <c r="Y1125" s="3"/>
      <c r="Z1125" s="3"/>
      <c r="AA1125" s="3"/>
    </row>
    <row r="1126" ht="105.75" customHeight="1">
      <c r="A1126" s="11"/>
      <c r="B1126" s="12"/>
      <c r="C1126" s="11"/>
      <c r="D1126" s="13"/>
      <c r="E1126" s="14"/>
      <c r="F1126" s="14"/>
      <c r="G1126" s="14"/>
      <c r="H1126" s="15"/>
      <c r="I1126" s="15"/>
      <c r="J1126" s="3"/>
      <c r="K1126" s="3"/>
      <c r="L1126" s="3"/>
      <c r="M1126" s="3"/>
      <c r="N1126" s="3"/>
      <c r="O1126" s="3"/>
      <c r="P1126" s="3"/>
      <c r="Q1126" s="3"/>
      <c r="R1126" s="3"/>
      <c r="S1126" s="3"/>
      <c r="T1126" s="3"/>
      <c r="U1126" s="3"/>
      <c r="V1126" s="3"/>
      <c r="W1126" s="3"/>
      <c r="X1126" s="3"/>
      <c r="Y1126" s="3"/>
      <c r="Z1126" s="3"/>
      <c r="AA1126" s="3"/>
    </row>
    <row r="1127" ht="105.75" customHeight="1">
      <c r="A1127" s="11"/>
      <c r="B1127" s="12"/>
      <c r="C1127" s="11"/>
      <c r="D1127" s="13"/>
      <c r="E1127" s="16"/>
      <c r="F1127" s="16"/>
      <c r="G1127" s="16"/>
      <c r="H1127" s="15"/>
      <c r="I1127" s="15"/>
      <c r="J1127" s="3"/>
      <c r="K1127" s="3"/>
      <c r="L1127" s="3"/>
      <c r="M1127" s="3"/>
      <c r="N1127" s="3"/>
      <c r="O1127" s="3"/>
      <c r="P1127" s="3"/>
      <c r="Q1127" s="3"/>
      <c r="R1127" s="3"/>
      <c r="S1127" s="3"/>
      <c r="T1127" s="3"/>
      <c r="U1127" s="3"/>
      <c r="V1127" s="3"/>
      <c r="W1127" s="3"/>
      <c r="X1127" s="3"/>
      <c r="Y1127" s="3"/>
      <c r="Z1127" s="3"/>
      <c r="AA1127" s="3"/>
    </row>
    <row r="1128" ht="105.75" customHeight="1">
      <c r="A1128" s="11"/>
      <c r="B1128" s="12"/>
      <c r="C1128" s="11"/>
      <c r="D1128" s="13"/>
      <c r="E1128" s="14"/>
      <c r="F1128" s="14"/>
      <c r="G1128" s="14"/>
      <c r="H1128" s="15"/>
      <c r="I1128" s="15"/>
      <c r="J1128" s="3"/>
      <c r="K1128" s="3"/>
      <c r="L1128" s="3"/>
      <c r="M1128" s="3"/>
      <c r="N1128" s="3"/>
      <c r="O1128" s="3"/>
      <c r="P1128" s="3"/>
      <c r="Q1128" s="3"/>
      <c r="R1128" s="3"/>
      <c r="S1128" s="3"/>
      <c r="T1128" s="3"/>
      <c r="U1128" s="3"/>
      <c r="V1128" s="3"/>
      <c r="W1128" s="3"/>
      <c r="X1128" s="3"/>
      <c r="Y1128" s="3"/>
      <c r="Z1128" s="3"/>
      <c r="AA1128" s="3"/>
    </row>
    <row r="1129" ht="105.75" customHeight="1">
      <c r="A1129" s="11"/>
      <c r="B1129" s="12"/>
      <c r="C1129" s="11"/>
      <c r="D1129" s="13"/>
      <c r="E1129" s="14"/>
      <c r="F1129" s="14"/>
      <c r="G1129" s="14"/>
      <c r="H1129" s="15"/>
      <c r="I1129" s="15"/>
      <c r="J1129" s="3"/>
      <c r="K1129" s="3"/>
      <c r="L1129" s="3"/>
      <c r="M1129" s="3"/>
      <c r="N1129" s="3"/>
      <c r="O1129" s="3"/>
      <c r="P1129" s="3"/>
      <c r="Q1129" s="3"/>
      <c r="R1129" s="3"/>
      <c r="S1129" s="3"/>
      <c r="T1129" s="3"/>
      <c r="U1129" s="3"/>
      <c r="V1129" s="3"/>
      <c r="W1129" s="3"/>
      <c r="X1129" s="3"/>
      <c r="Y1129" s="3"/>
      <c r="Z1129" s="3"/>
      <c r="AA1129" s="3"/>
    </row>
    <row r="1130" ht="105.75" customHeight="1">
      <c r="A1130" s="11"/>
      <c r="B1130" s="12"/>
      <c r="C1130" s="11"/>
      <c r="D1130" s="13"/>
      <c r="E1130" s="14"/>
      <c r="F1130" s="14"/>
      <c r="G1130" s="14"/>
      <c r="H1130" s="15"/>
      <c r="I1130" s="15"/>
      <c r="J1130" s="3"/>
      <c r="K1130" s="3"/>
      <c r="L1130" s="3"/>
      <c r="M1130" s="3"/>
      <c r="N1130" s="3"/>
      <c r="O1130" s="3"/>
      <c r="P1130" s="3"/>
      <c r="Q1130" s="3"/>
      <c r="R1130" s="3"/>
      <c r="S1130" s="3"/>
      <c r="T1130" s="3"/>
      <c r="U1130" s="3"/>
      <c r="V1130" s="3"/>
      <c r="W1130" s="3"/>
      <c r="X1130" s="3"/>
      <c r="Y1130" s="3"/>
      <c r="Z1130" s="3"/>
      <c r="AA1130" s="3"/>
    </row>
    <row r="1131" ht="105.75" customHeight="1">
      <c r="A1131" s="11"/>
      <c r="B1131" s="12"/>
      <c r="C1131" s="11"/>
      <c r="D1131" s="13"/>
      <c r="E1131" s="14"/>
      <c r="F1131" s="14"/>
      <c r="G1131" s="14"/>
      <c r="H1131" s="15"/>
      <c r="I1131" s="15"/>
      <c r="J1131" s="3"/>
      <c r="K1131" s="3"/>
      <c r="L1131" s="3"/>
      <c r="M1131" s="3"/>
      <c r="N1131" s="3"/>
      <c r="O1131" s="3"/>
      <c r="P1131" s="3"/>
      <c r="Q1131" s="3"/>
      <c r="R1131" s="3"/>
      <c r="S1131" s="3"/>
      <c r="T1131" s="3"/>
      <c r="U1131" s="3"/>
      <c r="V1131" s="3"/>
      <c r="W1131" s="3"/>
      <c r="X1131" s="3"/>
      <c r="Y1131" s="3"/>
      <c r="Z1131" s="3"/>
      <c r="AA1131" s="3"/>
    </row>
    <row r="1132" ht="105.75" customHeight="1">
      <c r="A1132" s="11"/>
      <c r="B1132" s="12"/>
      <c r="C1132" s="11"/>
      <c r="D1132" s="13"/>
      <c r="E1132" s="16"/>
      <c r="F1132" s="16"/>
      <c r="G1132" s="16"/>
      <c r="H1132" s="15"/>
      <c r="I1132" s="15"/>
      <c r="J1132" s="3"/>
      <c r="K1132" s="3"/>
      <c r="L1132" s="3"/>
      <c r="M1132" s="3"/>
      <c r="N1132" s="3"/>
      <c r="O1132" s="3"/>
      <c r="P1132" s="3"/>
      <c r="Q1132" s="3"/>
      <c r="R1132" s="3"/>
      <c r="S1132" s="3"/>
      <c r="T1132" s="3"/>
      <c r="U1132" s="3"/>
      <c r="V1132" s="3"/>
      <c r="W1132" s="3"/>
      <c r="X1132" s="3"/>
      <c r="Y1132" s="3"/>
      <c r="Z1132" s="3"/>
      <c r="AA1132" s="3"/>
    </row>
    <row r="1133" ht="105.75" customHeight="1">
      <c r="A1133" s="11"/>
      <c r="B1133" s="12"/>
      <c r="C1133" s="11"/>
      <c r="D1133" s="13"/>
      <c r="E1133" s="14"/>
      <c r="F1133" s="14"/>
      <c r="G1133" s="14"/>
      <c r="H1133" s="15"/>
      <c r="I1133" s="15"/>
      <c r="J1133" s="3"/>
      <c r="K1133" s="3"/>
      <c r="L1133" s="3"/>
      <c r="M1133" s="3"/>
      <c r="N1133" s="3"/>
      <c r="O1133" s="3"/>
      <c r="P1133" s="3"/>
      <c r="Q1133" s="3"/>
      <c r="R1133" s="3"/>
      <c r="S1133" s="3"/>
      <c r="T1133" s="3"/>
      <c r="U1133" s="3"/>
      <c r="V1133" s="3"/>
      <c r="W1133" s="3"/>
      <c r="X1133" s="3"/>
      <c r="Y1133" s="3"/>
      <c r="Z1133" s="3"/>
      <c r="AA1133" s="3"/>
    </row>
    <row r="1134" ht="105.75" customHeight="1">
      <c r="A1134" s="11"/>
      <c r="B1134" s="12"/>
      <c r="C1134" s="11"/>
      <c r="D1134" s="13"/>
      <c r="E1134" s="16"/>
      <c r="F1134" s="16"/>
      <c r="G1134" s="16"/>
      <c r="H1134" s="15"/>
      <c r="I1134" s="15"/>
      <c r="J1134" s="3"/>
      <c r="K1134" s="3"/>
      <c r="L1134" s="3"/>
      <c r="M1134" s="3"/>
      <c r="N1134" s="3"/>
      <c r="O1134" s="3"/>
      <c r="P1134" s="3"/>
      <c r="Q1134" s="3"/>
      <c r="R1134" s="3"/>
      <c r="S1134" s="3"/>
      <c r="T1134" s="3"/>
      <c r="U1134" s="3"/>
      <c r="V1134" s="3"/>
      <c r="W1134" s="3"/>
      <c r="X1134" s="3"/>
      <c r="Y1134" s="3"/>
      <c r="Z1134" s="3"/>
      <c r="AA1134" s="3"/>
    </row>
    <row r="1135" ht="105.75" customHeight="1">
      <c r="A1135" s="11"/>
      <c r="B1135" s="12"/>
      <c r="C1135" s="11"/>
      <c r="D1135" s="13"/>
      <c r="E1135" s="14"/>
      <c r="F1135" s="14"/>
      <c r="G1135" s="14"/>
      <c r="H1135" s="15"/>
      <c r="I1135" s="15"/>
      <c r="J1135" s="3"/>
      <c r="K1135" s="3"/>
      <c r="L1135" s="3"/>
      <c r="M1135" s="3"/>
      <c r="N1135" s="3"/>
      <c r="O1135" s="3"/>
      <c r="P1135" s="3"/>
      <c r="Q1135" s="3"/>
      <c r="R1135" s="3"/>
      <c r="S1135" s="3"/>
      <c r="T1135" s="3"/>
      <c r="U1135" s="3"/>
      <c r="V1135" s="3"/>
      <c r="W1135" s="3"/>
      <c r="X1135" s="3"/>
      <c r="Y1135" s="3"/>
      <c r="Z1135" s="3"/>
      <c r="AA1135" s="3"/>
    </row>
    <row r="1136" ht="105.75" customHeight="1">
      <c r="A1136" s="11"/>
      <c r="B1136" s="12"/>
      <c r="C1136" s="11"/>
      <c r="D1136" s="13"/>
      <c r="E1136" s="16"/>
      <c r="F1136" s="16"/>
      <c r="G1136" s="16"/>
      <c r="H1136" s="15"/>
      <c r="I1136" s="15"/>
      <c r="J1136" s="3"/>
      <c r="K1136" s="3"/>
      <c r="L1136" s="3"/>
      <c r="M1136" s="3"/>
      <c r="N1136" s="3"/>
      <c r="O1136" s="3"/>
      <c r="P1136" s="3"/>
      <c r="Q1136" s="3"/>
      <c r="R1136" s="3"/>
      <c r="S1136" s="3"/>
      <c r="T1136" s="3"/>
      <c r="U1136" s="3"/>
      <c r="V1136" s="3"/>
      <c r="W1136" s="3"/>
      <c r="X1136" s="3"/>
      <c r="Y1136" s="3"/>
      <c r="Z1136" s="3"/>
      <c r="AA1136" s="3"/>
    </row>
    <row r="1137" ht="105.75" customHeight="1">
      <c r="A1137" s="11"/>
      <c r="B1137" s="12"/>
      <c r="C1137" s="11"/>
      <c r="D1137" s="13"/>
      <c r="E1137" s="14"/>
      <c r="F1137" s="14"/>
      <c r="G1137" s="14"/>
      <c r="H1137" s="15"/>
      <c r="I1137" s="15"/>
      <c r="J1137" s="3"/>
      <c r="K1137" s="3"/>
      <c r="L1137" s="3"/>
      <c r="M1137" s="3"/>
      <c r="N1137" s="3"/>
      <c r="O1137" s="3"/>
      <c r="P1137" s="3"/>
      <c r="Q1137" s="3"/>
      <c r="R1137" s="3"/>
      <c r="S1137" s="3"/>
      <c r="T1137" s="3"/>
      <c r="U1137" s="3"/>
      <c r="V1137" s="3"/>
      <c r="W1137" s="3"/>
      <c r="X1137" s="3"/>
      <c r="Y1137" s="3"/>
      <c r="Z1137" s="3"/>
      <c r="AA1137" s="3"/>
    </row>
    <row r="1138" ht="105.75" customHeight="1">
      <c r="A1138" s="11"/>
      <c r="B1138" s="12"/>
      <c r="C1138" s="11"/>
      <c r="D1138" s="13"/>
      <c r="E1138" s="14"/>
      <c r="F1138" s="14"/>
      <c r="G1138" s="14"/>
      <c r="H1138" s="15"/>
      <c r="I1138" s="15"/>
      <c r="J1138" s="3"/>
      <c r="K1138" s="3"/>
      <c r="L1138" s="3"/>
      <c r="M1138" s="3"/>
      <c r="N1138" s="3"/>
      <c r="O1138" s="3"/>
      <c r="P1138" s="3"/>
      <c r="Q1138" s="3"/>
      <c r="R1138" s="3"/>
      <c r="S1138" s="3"/>
      <c r="T1138" s="3"/>
      <c r="U1138" s="3"/>
      <c r="V1138" s="3"/>
      <c r="W1138" s="3"/>
      <c r="X1138" s="3"/>
      <c r="Y1138" s="3"/>
      <c r="Z1138" s="3"/>
      <c r="AA1138" s="3"/>
    </row>
    <row r="1139" ht="105.75" customHeight="1">
      <c r="A1139" s="11"/>
      <c r="B1139" s="12"/>
      <c r="C1139" s="11"/>
      <c r="D1139" s="13"/>
      <c r="E1139" s="14"/>
      <c r="F1139" s="14"/>
      <c r="G1139" s="14"/>
      <c r="H1139" s="15"/>
      <c r="I1139" s="15"/>
      <c r="J1139" s="3"/>
      <c r="K1139" s="3"/>
      <c r="L1139" s="3"/>
      <c r="M1139" s="3"/>
      <c r="N1139" s="3"/>
      <c r="O1139" s="3"/>
      <c r="P1139" s="3"/>
      <c r="Q1139" s="3"/>
      <c r="R1139" s="3"/>
      <c r="S1139" s="3"/>
      <c r="T1139" s="3"/>
      <c r="U1139" s="3"/>
      <c r="V1139" s="3"/>
      <c r="W1139" s="3"/>
      <c r="X1139" s="3"/>
      <c r="Y1139" s="3"/>
      <c r="Z1139" s="3"/>
      <c r="AA1139" s="3"/>
    </row>
    <row r="1140" ht="105.75" customHeight="1">
      <c r="A1140" s="11"/>
      <c r="B1140" s="12"/>
      <c r="C1140" s="11"/>
      <c r="D1140" s="13"/>
      <c r="E1140" s="14"/>
      <c r="F1140" s="14"/>
      <c r="G1140" s="14"/>
      <c r="H1140" s="15"/>
      <c r="I1140" s="15"/>
      <c r="J1140" s="3"/>
      <c r="K1140" s="3"/>
      <c r="L1140" s="3"/>
      <c r="M1140" s="3"/>
      <c r="N1140" s="3"/>
      <c r="O1140" s="3"/>
      <c r="P1140" s="3"/>
      <c r="Q1140" s="3"/>
      <c r="R1140" s="3"/>
      <c r="S1140" s="3"/>
      <c r="T1140" s="3"/>
      <c r="U1140" s="3"/>
      <c r="V1140" s="3"/>
      <c r="W1140" s="3"/>
      <c r="X1140" s="3"/>
      <c r="Y1140" s="3"/>
      <c r="Z1140" s="3"/>
      <c r="AA1140" s="3"/>
    </row>
    <row r="1141" ht="105.75" customHeight="1">
      <c r="A1141" s="11"/>
      <c r="B1141" s="12"/>
      <c r="C1141" s="11"/>
      <c r="D1141" s="13"/>
      <c r="E1141" s="14"/>
      <c r="F1141" s="14"/>
      <c r="G1141" s="14"/>
      <c r="H1141" s="15"/>
      <c r="I1141" s="15"/>
      <c r="J1141" s="3"/>
      <c r="K1141" s="3"/>
      <c r="L1141" s="3"/>
      <c r="M1141" s="3"/>
      <c r="N1141" s="3"/>
      <c r="O1141" s="3"/>
      <c r="P1141" s="3"/>
      <c r="Q1141" s="3"/>
      <c r="R1141" s="3"/>
      <c r="S1141" s="3"/>
      <c r="T1141" s="3"/>
      <c r="U1141" s="3"/>
      <c r="V1141" s="3"/>
      <c r="W1141" s="3"/>
      <c r="X1141" s="3"/>
      <c r="Y1141" s="3"/>
      <c r="Z1141" s="3"/>
      <c r="AA1141" s="3"/>
    </row>
    <row r="1142" ht="105.75" customHeight="1">
      <c r="A1142" s="11"/>
      <c r="B1142" s="12"/>
      <c r="C1142" s="11"/>
      <c r="D1142" s="13"/>
      <c r="E1142" s="14"/>
      <c r="F1142" s="14"/>
      <c r="G1142" s="14"/>
      <c r="H1142" s="15"/>
      <c r="I1142" s="15"/>
      <c r="J1142" s="3"/>
      <c r="K1142" s="3"/>
      <c r="L1142" s="3"/>
      <c r="M1142" s="3"/>
      <c r="N1142" s="3"/>
      <c r="O1142" s="3"/>
      <c r="P1142" s="3"/>
      <c r="Q1142" s="3"/>
      <c r="R1142" s="3"/>
      <c r="S1142" s="3"/>
      <c r="T1142" s="3"/>
      <c r="U1142" s="3"/>
      <c r="V1142" s="3"/>
      <c r="W1142" s="3"/>
      <c r="X1142" s="3"/>
      <c r="Y1142" s="3"/>
      <c r="Z1142" s="3"/>
      <c r="AA1142" s="3"/>
    </row>
    <row r="1143" ht="105.75" customHeight="1">
      <c r="A1143" s="11"/>
      <c r="B1143" s="12"/>
      <c r="C1143" s="11"/>
      <c r="D1143" s="13"/>
      <c r="E1143" s="14"/>
      <c r="F1143" s="14"/>
      <c r="G1143" s="14"/>
      <c r="H1143" s="15"/>
      <c r="I1143" s="15"/>
      <c r="J1143" s="3"/>
      <c r="K1143" s="3"/>
      <c r="L1143" s="3"/>
      <c r="M1143" s="3"/>
      <c r="N1143" s="3"/>
      <c r="O1143" s="3"/>
      <c r="P1143" s="3"/>
      <c r="Q1143" s="3"/>
      <c r="R1143" s="3"/>
      <c r="S1143" s="3"/>
      <c r="T1143" s="3"/>
      <c r="U1143" s="3"/>
      <c r="V1143" s="3"/>
      <c r="W1143" s="3"/>
      <c r="X1143" s="3"/>
      <c r="Y1143" s="3"/>
      <c r="Z1143" s="3"/>
      <c r="AA1143" s="3"/>
    </row>
    <row r="1144" ht="105.75" customHeight="1">
      <c r="A1144" s="11"/>
      <c r="B1144" s="12"/>
      <c r="C1144" s="11"/>
      <c r="D1144" s="13"/>
      <c r="E1144" s="14"/>
      <c r="F1144" s="14"/>
      <c r="G1144" s="14"/>
      <c r="H1144" s="15"/>
      <c r="I1144" s="15"/>
      <c r="J1144" s="3"/>
      <c r="K1144" s="3"/>
      <c r="L1144" s="3"/>
      <c r="M1144" s="3"/>
      <c r="N1144" s="3"/>
      <c r="O1144" s="3"/>
      <c r="P1144" s="3"/>
      <c r="Q1144" s="3"/>
      <c r="R1144" s="3"/>
      <c r="S1144" s="3"/>
      <c r="T1144" s="3"/>
      <c r="U1144" s="3"/>
      <c r="V1144" s="3"/>
      <c r="W1144" s="3"/>
      <c r="X1144" s="3"/>
      <c r="Y1144" s="3"/>
      <c r="Z1144" s="3"/>
      <c r="AA1144" s="3"/>
    </row>
    <row r="1145" ht="105.75" customHeight="1">
      <c r="A1145" s="11"/>
      <c r="B1145" s="12"/>
      <c r="C1145" s="11"/>
      <c r="D1145" s="13"/>
      <c r="E1145" s="14"/>
      <c r="F1145" s="14"/>
      <c r="G1145" s="14"/>
      <c r="H1145" s="15"/>
      <c r="I1145" s="15"/>
      <c r="J1145" s="3"/>
      <c r="K1145" s="3"/>
      <c r="L1145" s="3"/>
      <c r="M1145" s="3"/>
      <c r="N1145" s="3"/>
      <c r="O1145" s="3"/>
      <c r="P1145" s="3"/>
      <c r="Q1145" s="3"/>
      <c r="R1145" s="3"/>
      <c r="S1145" s="3"/>
      <c r="T1145" s="3"/>
      <c r="U1145" s="3"/>
      <c r="V1145" s="3"/>
      <c r="W1145" s="3"/>
      <c r="X1145" s="3"/>
      <c r="Y1145" s="3"/>
      <c r="Z1145" s="3"/>
      <c r="AA1145" s="3"/>
    </row>
    <row r="1146" ht="105.75" customHeight="1">
      <c r="A1146" s="11"/>
      <c r="B1146" s="12"/>
      <c r="C1146" s="11"/>
      <c r="D1146" s="13"/>
      <c r="E1146" s="14"/>
      <c r="F1146" s="14"/>
      <c r="G1146" s="14"/>
      <c r="H1146" s="15"/>
      <c r="I1146" s="15"/>
      <c r="J1146" s="3"/>
      <c r="K1146" s="3"/>
      <c r="L1146" s="3"/>
      <c r="M1146" s="3"/>
      <c r="N1146" s="3"/>
      <c r="O1146" s="3"/>
      <c r="P1146" s="3"/>
      <c r="Q1146" s="3"/>
      <c r="R1146" s="3"/>
      <c r="S1146" s="3"/>
      <c r="T1146" s="3"/>
      <c r="U1146" s="3"/>
      <c r="V1146" s="3"/>
      <c r="W1146" s="3"/>
      <c r="X1146" s="3"/>
      <c r="Y1146" s="3"/>
      <c r="Z1146" s="3"/>
      <c r="AA1146" s="3"/>
    </row>
    <row r="1147" ht="105.75" customHeight="1">
      <c r="A1147" s="11"/>
      <c r="B1147" s="12"/>
      <c r="C1147" s="11"/>
      <c r="D1147" s="13"/>
      <c r="E1147" s="14"/>
      <c r="F1147" s="14"/>
      <c r="G1147" s="14"/>
      <c r="H1147" s="15"/>
      <c r="I1147" s="15"/>
      <c r="J1147" s="3"/>
      <c r="K1147" s="3"/>
      <c r="L1147" s="3"/>
      <c r="M1147" s="3"/>
      <c r="N1147" s="3"/>
      <c r="O1147" s="3"/>
      <c r="P1147" s="3"/>
      <c r="Q1147" s="3"/>
      <c r="R1147" s="3"/>
      <c r="S1147" s="3"/>
      <c r="T1147" s="3"/>
      <c r="U1147" s="3"/>
      <c r="V1147" s="3"/>
      <c r="W1147" s="3"/>
      <c r="X1147" s="3"/>
      <c r="Y1147" s="3"/>
      <c r="Z1147" s="3"/>
      <c r="AA1147" s="3"/>
    </row>
    <row r="1148" ht="105.75" customHeight="1">
      <c r="A1148" s="11"/>
      <c r="B1148" s="12"/>
      <c r="C1148" s="11"/>
      <c r="D1148" s="13"/>
      <c r="E1148" s="14"/>
      <c r="F1148" s="14"/>
      <c r="G1148" s="14"/>
      <c r="H1148" s="15"/>
      <c r="I1148" s="15"/>
      <c r="J1148" s="3"/>
      <c r="K1148" s="3"/>
      <c r="L1148" s="3"/>
      <c r="M1148" s="3"/>
      <c r="N1148" s="3"/>
      <c r="O1148" s="3"/>
      <c r="P1148" s="3"/>
      <c r="Q1148" s="3"/>
      <c r="R1148" s="3"/>
      <c r="S1148" s="3"/>
      <c r="T1148" s="3"/>
      <c r="U1148" s="3"/>
      <c r="V1148" s="3"/>
      <c r="W1148" s="3"/>
      <c r="X1148" s="3"/>
      <c r="Y1148" s="3"/>
      <c r="Z1148" s="3"/>
      <c r="AA1148" s="3"/>
    </row>
    <row r="1149" ht="105.75" customHeight="1">
      <c r="A1149" s="11"/>
      <c r="B1149" s="12"/>
      <c r="C1149" s="11"/>
      <c r="D1149" s="13"/>
      <c r="E1149" s="14"/>
      <c r="F1149" s="14"/>
      <c r="G1149" s="14"/>
      <c r="H1149" s="15"/>
      <c r="I1149" s="15"/>
      <c r="J1149" s="3"/>
      <c r="K1149" s="3"/>
      <c r="L1149" s="3"/>
      <c r="M1149" s="3"/>
      <c r="N1149" s="3"/>
      <c r="O1149" s="3"/>
      <c r="P1149" s="3"/>
      <c r="Q1149" s="3"/>
      <c r="R1149" s="3"/>
      <c r="S1149" s="3"/>
      <c r="T1149" s="3"/>
      <c r="U1149" s="3"/>
      <c r="V1149" s="3"/>
      <c r="W1149" s="3"/>
      <c r="X1149" s="3"/>
      <c r="Y1149" s="3"/>
      <c r="Z1149" s="3"/>
      <c r="AA1149" s="3"/>
    </row>
    <row r="1150" ht="105.75" customHeight="1">
      <c r="A1150" s="11"/>
      <c r="B1150" s="12"/>
      <c r="C1150" s="11"/>
      <c r="D1150" s="13"/>
      <c r="E1150" s="16"/>
      <c r="F1150" s="16"/>
      <c r="G1150" s="16"/>
      <c r="H1150" s="15"/>
      <c r="I1150" s="15"/>
      <c r="J1150" s="3"/>
      <c r="K1150" s="3"/>
      <c r="L1150" s="3"/>
      <c r="M1150" s="3"/>
      <c r="N1150" s="3"/>
      <c r="O1150" s="3"/>
      <c r="P1150" s="3"/>
      <c r="Q1150" s="3"/>
      <c r="R1150" s="3"/>
      <c r="S1150" s="3"/>
      <c r="T1150" s="3"/>
      <c r="U1150" s="3"/>
      <c r="V1150" s="3"/>
      <c r="W1150" s="3"/>
      <c r="X1150" s="3"/>
      <c r="Y1150" s="3"/>
      <c r="Z1150" s="3"/>
      <c r="AA1150" s="3"/>
    </row>
    <row r="1151" ht="105.75" customHeight="1">
      <c r="A1151" s="11"/>
      <c r="B1151" s="12"/>
      <c r="C1151" s="11"/>
      <c r="D1151" s="13"/>
      <c r="E1151" s="14"/>
      <c r="F1151" s="14"/>
      <c r="G1151" s="14"/>
      <c r="H1151" s="15"/>
      <c r="I1151" s="15"/>
      <c r="J1151" s="3"/>
      <c r="K1151" s="3"/>
      <c r="L1151" s="3"/>
      <c r="M1151" s="3"/>
      <c r="N1151" s="3"/>
      <c r="O1151" s="3"/>
      <c r="P1151" s="3"/>
      <c r="Q1151" s="3"/>
      <c r="R1151" s="3"/>
      <c r="S1151" s="3"/>
      <c r="T1151" s="3"/>
      <c r="U1151" s="3"/>
      <c r="V1151" s="3"/>
      <c r="W1151" s="3"/>
      <c r="X1151" s="3"/>
      <c r="Y1151" s="3"/>
      <c r="Z1151" s="3"/>
      <c r="AA1151" s="3"/>
    </row>
    <row r="1152" ht="105.75" customHeight="1">
      <c r="A1152" s="11"/>
      <c r="B1152" s="12"/>
      <c r="C1152" s="11"/>
      <c r="D1152" s="13"/>
      <c r="E1152" s="14"/>
      <c r="F1152" s="14"/>
      <c r="G1152" s="14"/>
      <c r="H1152" s="15"/>
      <c r="I1152" s="15"/>
      <c r="J1152" s="3"/>
      <c r="K1152" s="3"/>
      <c r="L1152" s="3"/>
      <c r="M1152" s="3"/>
      <c r="N1152" s="3"/>
      <c r="O1152" s="3"/>
      <c r="P1152" s="3"/>
      <c r="Q1152" s="3"/>
      <c r="R1152" s="3"/>
      <c r="S1152" s="3"/>
      <c r="T1152" s="3"/>
      <c r="U1152" s="3"/>
      <c r="V1152" s="3"/>
      <c r="W1152" s="3"/>
      <c r="X1152" s="3"/>
      <c r="Y1152" s="3"/>
      <c r="Z1152" s="3"/>
      <c r="AA1152" s="3"/>
    </row>
    <row r="1153" ht="105.75" customHeight="1">
      <c r="A1153" s="11"/>
      <c r="B1153" s="12"/>
      <c r="C1153" s="11"/>
      <c r="D1153" s="13"/>
      <c r="E1153" s="14"/>
      <c r="F1153" s="14"/>
      <c r="G1153" s="14"/>
      <c r="H1153" s="15"/>
      <c r="I1153" s="15"/>
      <c r="J1153" s="3"/>
      <c r="K1153" s="3"/>
      <c r="L1153" s="3"/>
      <c r="M1153" s="3"/>
      <c r="N1153" s="3"/>
      <c r="O1153" s="3"/>
      <c r="P1153" s="3"/>
      <c r="Q1153" s="3"/>
      <c r="R1153" s="3"/>
      <c r="S1153" s="3"/>
      <c r="T1153" s="3"/>
      <c r="U1153" s="3"/>
      <c r="V1153" s="3"/>
      <c r="W1153" s="3"/>
      <c r="X1153" s="3"/>
      <c r="Y1153" s="3"/>
      <c r="Z1153" s="3"/>
      <c r="AA1153" s="3"/>
    </row>
    <row r="1154" ht="105.75" customHeight="1">
      <c r="A1154" s="11"/>
      <c r="B1154" s="12"/>
      <c r="C1154" s="11"/>
      <c r="D1154" s="13"/>
      <c r="E1154" s="14"/>
      <c r="F1154" s="14"/>
      <c r="G1154" s="14"/>
      <c r="H1154" s="15"/>
      <c r="I1154" s="15"/>
      <c r="J1154" s="3"/>
      <c r="K1154" s="3"/>
      <c r="L1154" s="3"/>
      <c r="M1154" s="3"/>
      <c r="N1154" s="3"/>
      <c r="O1154" s="3"/>
      <c r="P1154" s="3"/>
      <c r="Q1154" s="3"/>
      <c r="R1154" s="3"/>
      <c r="S1154" s="3"/>
      <c r="T1154" s="3"/>
      <c r="U1154" s="3"/>
      <c r="V1154" s="3"/>
      <c r="W1154" s="3"/>
      <c r="X1154" s="3"/>
      <c r="Y1154" s="3"/>
      <c r="Z1154" s="3"/>
      <c r="AA1154" s="3"/>
    </row>
    <row r="1155" ht="105.75" customHeight="1">
      <c r="A1155" s="11"/>
      <c r="B1155" s="12"/>
      <c r="C1155" s="11"/>
      <c r="D1155" s="13"/>
      <c r="E1155" s="14"/>
      <c r="F1155" s="14"/>
      <c r="G1155" s="14"/>
      <c r="H1155" s="15"/>
      <c r="I1155" s="15"/>
      <c r="J1155" s="3"/>
      <c r="K1155" s="3"/>
      <c r="L1155" s="3"/>
      <c r="M1155" s="3"/>
      <c r="N1155" s="3"/>
      <c r="O1155" s="3"/>
      <c r="P1155" s="3"/>
      <c r="Q1155" s="3"/>
      <c r="R1155" s="3"/>
      <c r="S1155" s="3"/>
      <c r="T1155" s="3"/>
      <c r="U1155" s="3"/>
      <c r="V1155" s="3"/>
      <c r="W1155" s="3"/>
      <c r="X1155" s="3"/>
      <c r="Y1155" s="3"/>
      <c r="Z1155" s="3"/>
      <c r="AA1155" s="3"/>
    </row>
    <row r="1156" ht="105.75" customHeight="1">
      <c r="A1156" s="11"/>
      <c r="B1156" s="12"/>
      <c r="C1156" s="11"/>
      <c r="D1156" s="13"/>
      <c r="E1156" s="14"/>
      <c r="F1156" s="14"/>
      <c r="G1156" s="14"/>
      <c r="H1156" s="15"/>
      <c r="I1156" s="15"/>
      <c r="J1156" s="3"/>
      <c r="K1156" s="3"/>
      <c r="L1156" s="3"/>
      <c r="M1156" s="3"/>
      <c r="N1156" s="3"/>
      <c r="O1156" s="3"/>
      <c r="P1156" s="3"/>
      <c r="Q1156" s="3"/>
      <c r="R1156" s="3"/>
      <c r="S1156" s="3"/>
      <c r="T1156" s="3"/>
      <c r="U1156" s="3"/>
      <c r="V1156" s="3"/>
      <c r="W1156" s="3"/>
      <c r="X1156" s="3"/>
      <c r="Y1156" s="3"/>
      <c r="Z1156" s="3"/>
      <c r="AA1156" s="3"/>
    </row>
    <row r="1157" ht="105.75" customHeight="1">
      <c r="A1157" s="11"/>
      <c r="B1157" s="12"/>
      <c r="C1157" s="11"/>
      <c r="D1157" s="13"/>
      <c r="E1157" s="14"/>
      <c r="F1157" s="14"/>
      <c r="G1157" s="14"/>
      <c r="H1157" s="15"/>
      <c r="I1157" s="15"/>
      <c r="J1157" s="3"/>
      <c r="K1157" s="3"/>
      <c r="L1157" s="3"/>
      <c r="M1157" s="3"/>
      <c r="N1157" s="3"/>
      <c r="O1157" s="3"/>
      <c r="P1157" s="3"/>
      <c r="Q1157" s="3"/>
      <c r="R1157" s="3"/>
      <c r="S1157" s="3"/>
      <c r="T1157" s="3"/>
      <c r="U1157" s="3"/>
      <c r="V1157" s="3"/>
      <c r="W1157" s="3"/>
      <c r="X1157" s="3"/>
      <c r="Y1157" s="3"/>
      <c r="Z1157" s="3"/>
      <c r="AA1157" s="3"/>
    </row>
    <row r="1158" ht="105.75" customHeight="1">
      <c r="A1158" s="11"/>
      <c r="B1158" s="12"/>
      <c r="C1158" s="11"/>
      <c r="D1158" s="13"/>
      <c r="E1158" s="14"/>
      <c r="F1158" s="14"/>
      <c r="G1158" s="14"/>
      <c r="H1158" s="15"/>
      <c r="I1158" s="15"/>
      <c r="J1158" s="3"/>
      <c r="K1158" s="3"/>
      <c r="L1158" s="3"/>
      <c r="M1158" s="3"/>
      <c r="N1158" s="3"/>
      <c r="O1158" s="3"/>
      <c r="P1158" s="3"/>
      <c r="Q1158" s="3"/>
      <c r="R1158" s="3"/>
      <c r="S1158" s="3"/>
      <c r="T1158" s="3"/>
      <c r="U1158" s="3"/>
      <c r="V1158" s="3"/>
      <c r="W1158" s="3"/>
      <c r="X1158" s="3"/>
      <c r="Y1158" s="3"/>
      <c r="Z1158" s="3"/>
      <c r="AA1158" s="3"/>
    </row>
    <row r="1159" ht="105.75" customHeight="1">
      <c r="A1159" s="11"/>
      <c r="B1159" s="12"/>
      <c r="C1159" s="11"/>
      <c r="D1159" s="13"/>
      <c r="E1159" s="16"/>
      <c r="F1159" s="16"/>
      <c r="G1159" s="16"/>
      <c r="H1159" s="15"/>
      <c r="I1159" s="15"/>
      <c r="J1159" s="3"/>
      <c r="K1159" s="3"/>
      <c r="L1159" s="3"/>
      <c r="M1159" s="3"/>
      <c r="N1159" s="3"/>
      <c r="O1159" s="3"/>
      <c r="P1159" s="3"/>
      <c r="Q1159" s="3"/>
      <c r="R1159" s="3"/>
      <c r="S1159" s="3"/>
      <c r="T1159" s="3"/>
      <c r="U1159" s="3"/>
      <c r="V1159" s="3"/>
      <c r="W1159" s="3"/>
      <c r="X1159" s="3"/>
      <c r="Y1159" s="3"/>
      <c r="Z1159" s="3"/>
      <c r="AA1159" s="3"/>
    </row>
    <row r="1160" ht="105.75" customHeight="1">
      <c r="A1160" s="11"/>
      <c r="B1160" s="12"/>
      <c r="C1160" s="11"/>
      <c r="D1160" s="13"/>
      <c r="E1160" s="14"/>
      <c r="F1160" s="14"/>
      <c r="G1160" s="14"/>
      <c r="H1160" s="15"/>
      <c r="I1160" s="15"/>
      <c r="J1160" s="3"/>
      <c r="K1160" s="3"/>
      <c r="L1160" s="3"/>
      <c r="M1160" s="3"/>
      <c r="N1160" s="3"/>
      <c r="O1160" s="3"/>
      <c r="P1160" s="3"/>
      <c r="Q1160" s="3"/>
      <c r="R1160" s="3"/>
      <c r="S1160" s="3"/>
      <c r="T1160" s="3"/>
      <c r="U1160" s="3"/>
      <c r="V1160" s="3"/>
      <c r="W1160" s="3"/>
      <c r="X1160" s="3"/>
      <c r="Y1160" s="3"/>
      <c r="Z1160" s="3"/>
      <c r="AA1160" s="3"/>
    </row>
    <row r="1161" ht="105.75" customHeight="1">
      <c r="A1161" s="11"/>
      <c r="B1161" s="12"/>
      <c r="C1161" s="11"/>
      <c r="D1161" s="13"/>
      <c r="E1161" s="14"/>
      <c r="F1161" s="14"/>
      <c r="G1161" s="14"/>
      <c r="H1161" s="15"/>
      <c r="I1161" s="15"/>
      <c r="J1161" s="3"/>
      <c r="K1161" s="3"/>
      <c r="L1161" s="3"/>
      <c r="M1161" s="3"/>
      <c r="N1161" s="3"/>
      <c r="O1161" s="3"/>
      <c r="P1161" s="3"/>
      <c r="Q1161" s="3"/>
      <c r="R1161" s="3"/>
      <c r="S1161" s="3"/>
      <c r="T1161" s="3"/>
      <c r="U1161" s="3"/>
      <c r="V1161" s="3"/>
      <c r="W1161" s="3"/>
      <c r="X1161" s="3"/>
      <c r="Y1161" s="3"/>
      <c r="Z1161" s="3"/>
      <c r="AA1161" s="3"/>
    </row>
    <row r="1162" ht="105.75" customHeight="1">
      <c r="A1162" s="11"/>
      <c r="B1162" s="12"/>
      <c r="C1162" s="11"/>
      <c r="D1162" s="13"/>
      <c r="E1162" s="16"/>
      <c r="F1162" s="16"/>
      <c r="G1162" s="16"/>
      <c r="H1162" s="15"/>
      <c r="I1162" s="15"/>
      <c r="J1162" s="3"/>
      <c r="K1162" s="3"/>
      <c r="L1162" s="3"/>
      <c r="M1162" s="3"/>
      <c r="N1162" s="3"/>
      <c r="O1162" s="3"/>
      <c r="P1162" s="3"/>
      <c r="Q1162" s="3"/>
      <c r="R1162" s="3"/>
      <c r="S1162" s="3"/>
      <c r="T1162" s="3"/>
      <c r="U1162" s="3"/>
      <c r="V1162" s="3"/>
      <c r="W1162" s="3"/>
      <c r="X1162" s="3"/>
      <c r="Y1162" s="3"/>
      <c r="Z1162" s="3"/>
      <c r="AA1162" s="3"/>
    </row>
    <row r="1163" ht="105.75" customHeight="1">
      <c r="A1163" s="11"/>
      <c r="B1163" s="12"/>
      <c r="C1163" s="11"/>
      <c r="D1163" s="13"/>
      <c r="E1163" s="14"/>
      <c r="F1163" s="14"/>
      <c r="G1163" s="14"/>
      <c r="H1163" s="15"/>
      <c r="I1163" s="15"/>
      <c r="J1163" s="3"/>
      <c r="K1163" s="3"/>
      <c r="L1163" s="3"/>
      <c r="M1163" s="3"/>
      <c r="N1163" s="3"/>
      <c r="O1163" s="3"/>
      <c r="P1163" s="3"/>
      <c r="Q1163" s="3"/>
      <c r="R1163" s="3"/>
      <c r="S1163" s="3"/>
      <c r="T1163" s="3"/>
      <c r="U1163" s="3"/>
      <c r="V1163" s="3"/>
      <c r="W1163" s="3"/>
      <c r="X1163" s="3"/>
      <c r="Y1163" s="3"/>
      <c r="Z1163" s="3"/>
      <c r="AA1163" s="3"/>
    </row>
    <row r="1164" ht="105.75" customHeight="1">
      <c r="A1164" s="11"/>
      <c r="B1164" s="12"/>
      <c r="C1164" s="11"/>
      <c r="D1164" s="13"/>
      <c r="E1164" s="14"/>
      <c r="F1164" s="14"/>
      <c r="G1164" s="14"/>
      <c r="H1164" s="15"/>
      <c r="I1164" s="15"/>
      <c r="J1164" s="3"/>
      <c r="K1164" s="3"/>
      <c r="L1164" s="3"/>
      <c r="M1164" s="3"/>
      <c r="N1164" s="3"/>
      <c r="O1164" s="3"/>
      <c r="P1164" s="3"/>
      <c r="Q1164" s="3"/>
      <c r="R1164" s="3"/>
      <c r="S1164" s="3"/>
      <c r="T1164" s="3"/>
      <c r="U1164" s="3"/>
      <c r="V1164" s="3"/>
      <c r="W1164" s="3"/>
      <c r="X1164" s="3"/>
      <c r="Y1164" s="3"/>
      <c r="Z1164" s="3"/>
      <c r="AA1164" s="3"/>
    </row>
    <row r="1165" ht="105.75" customHeight="1">
      <c r="A1165" s="11"/>
      <c r="B1165" s="12"/>
      <c r="C1165" s="11"/>
      <c r="D1165" s="13"/>
      <c r="E1165" s="16"/>
      <c r="F1165" s="16"/>
      <c r="G1165" s="16"/>
      <c r="H1165" s="15"/>
      <c r="I1165" s="15"/>
      <c r="J1165" s="3"/>
      <c r="K1165" s="3"/>
      <c r="L1165" s="3"/>
      <c r="M1165" s="3"/>
      <c r="N1165" s="3"/>
      <c r="O1165" s="3"/>
      <c r="P1165" s="3"/>
      <c r="Q1165" s="3"/>
      <c r="R1165" s="3"/>
      <c r="S1165" s="3"/>
      <c r="T1165" s="3"/>
      <c r="U1165" s="3"/>
      <c r="V1165" s="3"/>
      <c r="W1165" s="3"/>
      <c r="X1165" s="3"/>
      <c r="Y1165" s="3"/>
      <c r="Z1165" s="3"/>
      <c r="AA1165" s="3"/>
    </row>
    <row r="1166" ht="105.75" customHeight="1">
      <c r="A1166" s="11"/>
      <c r="B1166" s="12"/>
      <c r="C1166" s="11"/>
      <c r="D1166" s="13"/>
      <c r="E1166" s="14"/>
      <c r="F1166" s="14"/>
      <c r="G1166" s="14"/>
      <c r="H1166" s="15"/>
      <c r="I1166" s="15"/>
      <c r="J1166" s="3"/>
      <c r="K1166" s="3"/>
      <c r="L1166" s="3"/>
      <c r="M1166" s="3"/>
      <c r="N1166" s="3"/>
      <c r="O1166" s="3"/>
      <c r="P1166" s="3"/>
      <c r="Q1166" s="3"/>
      <c r="R1166" s="3"/>
      <c r="S1166" s="3"/>
      <c r="T1166" s="3"/>
      <c r="U1166" s="3"/>
      <c r="V1166" s="3"/>
      <c r="W1166" s="3"/>
      <c r="X1166" s="3"/>
      <c r="Y1166" s="3"/>
      <c r="Z1166" s="3"/>
      <c r="AA1166" s="3"/>
    </row>
    <row r="1167" ht="105.75" customHeight="1">
      <c r="A1167" s="11"/>
      <c r="B1167" s="12"/>
      <c r="C1167" s="11"/>
      <c r="D1167" s="13"/>
      <c r="E1167" s="14"/>
      <c r="F1167" s="14"/>
      <c r="G1167" s="14"/>
      <c r="H1167" s="15"/>
      <c r="I1167" s="15"/>
      <c r="J1167" s="3"/>
      <c r="K1167" s="3"/>
      <c r="L1167" s="3"/>
      <c r="M1167" s="3"/>
      <c r="N1167" s="3"/>
      <c r="O1167" s="3"/>
      <c r="P1167" s="3"/>
      <c r="Q1167" s="3"/>
      <c r="R1167" s="3"/>
      <c r="S1167" s="3"/>
      <c r="T1167" s="3"/>
      <c r="U1167" s="3"/>
      <c r="V1167" s="3"/>
      <c r="W1167" s="3"/>
      <c r="X1167" s="3"/>
      <c r="Y1167" s="3"/>
      <c r="Z1167" s="3"/>
      <c r="AA1167" s="3"/>
    </row>
    <row r="1168" ht="105.75" customHeight="1">
      <c r="A1168" s="11"/>
      <c r="B1168" s="12"/>
      <c r="C1168" s="11"/>
      <c r="D1168" s="13"/>
      <c r="E1168" s="14"/>
      <c r="F1168" s="14"/>
      <c r="G1168" s="14"/>
      <c r="H1168" s="15"/>
      <c r="I1168" s="15"/>
      <c r="J1168" s="3"/>
      <c r="K1168" s="3"/>
      <c r="L1168" s="3"/>
      <c r="M1168" s="3"/>
      <c r="N1168" s="3"/>
      <c r="O1168" s="3"/>
      <c r="P1168" s="3"/>
      <c r="Q1168" s="3"/>
      <c r="R1168" s="3"/>
      <c r="S1168" s="3"/>
      <c r="T1168" s="3"/>
      <c r="U1168" s="3"/>
      <c r="V1168" s="3"/>
      <c r="W1168" s="3"/>
      <c r="X1168" s="3"/>
      <c r="Y1168" s="3"/>
      <c r="Z1168" s="3"/>
      <c r="AA1168" s="3"/>
    </row>
    <row r="1169" ht="105.75" customHeight="1">
      <c r="A1169" s="11"/>
      <c r="B1169" s="12"/>
      <c r="C1169" s="11"/>
      <c r="D1169" s="13"/>
      <c r="E1169" s="14"/>
      <c r="F1169" s="14"/>
      <c r="G1169" s="14"/>
      <c r="H1169" s="15"/>
      <c r="I1169" s="15"/>
      <c r="J1169" s="3"/>
      <c r="K1169" s="3"/>
      <c r="L1169" s="3"/>
      <c r="M1169" s="3"/>
      <c r="N1169" s="3"/>
      <c r="O1169" s="3"/>
      <c r="P1169" s="3"/>
      <c r="Q1169" s="3"/>
      <c r="R1169" s="3"/>
      <c r="S1169" s="3"/>
      <c r="T1169" s="3"/>
      <c r="U1169" s="3"/>
      <c r="V1169" s="3"/>
      <c r="W1169" s="3"/>
      <c r="X1169" s="3"/>
      <c r="Y1169" s="3"/>
      <c r="Z1169" s="3"/>
      <c r="AA1169" s="3"/>
    </row>
    <row r="1170" ht="105.75" customHeight="1">
      <c r="A1170" s="11"/>
      <c r="B1170" s="12"/>
      <c r="C1170" s="11"/>
      <c r="D1170" s="13"/>
      <c r="E1170" s="14"/>
      <c r="F1170" s="14"/>
      <c r="G1170" s="14"/>
      <c r="H1170" s="15"/>
      <c r="I1170" s="15"/>
      <c r="J1170" s="3"/>
      <c r="K1170" s="3"/>
      <c r="L1170" s="3"/>
      <c r="M1170" s="3"/>
      <c r="N1170" s="3"/>
      <c r="O1170" s="3"/>
      <c r="P1170" s="3"/>
      <c r="Q1170" s="3"/>
      <c r="R1170" s="3"/>
      <c r="S1170" s="3"/>
      <c r="T1170" s="3"/>
      <c r="U1170" s="3"/>
      <c r="V1170" s="3"/>
      <c r="W1170" s="3"/>
      <c r="X1170" s="3"/>
      <c r="Y1170" s="3"/>
      <c r="Z1170" s="3"/>
      <c r="AA1170" s="3"/>
    </row>
    <row r="1171" ht="105.75" customHeight="1">
      <c r="A1171" s="11"/>
      <c r="B1171" s="12"/>
      <c r="C1171" s="11"/>
      <c r="D1171" s="13"/>
      <c r="E1171" s="14"/>
      <c r="F1171" s="14"/>
      <c r="G1171" s="14"/>
      <c r="H1171" s="15"/>
      <c r="I1171" s="15"/>
      <c r="J1171" s="3"/>
      <c r="K1171" s="3"/>
      <c r="L1171" s="3"/>
      <c r="M1171" s="3"/>
      <c r="N1171" s="3"/>
      <c r="O1171" s="3"/>
      <c r="P1171" s="3"/>
      <c r="Q1171" s="3"/>
      <c r="R1171" s="3"/>
      <c r="S1171" s="3"/>
      <c r="T1171" s="3"/>
      <c r="U1171" s="3"/>
      <c r="V1171" s="3"/>
      <c r="W1171" s="3"/>
      <c r="X1171" s="3"/>
      <c r="Y1171" s="3"/>
      <c r="Z1171" s="3"/>
      <c r="AA1171" s="3"/>
    </row>
    <row r="1172" ht="105.75" customHeight="1">
      <c r="A1172" s="11"/>
      <c r="B1172" s="12"/>
      <c r="C1172" s="11"/>
      <c r="D1172" s="13"/>
      <c r="E1172" s="14"/>
      <c r="F1172" s="14"/>
      <c r="G1172" s="14"/>
      <c r="H1172" s="15"/>
      <c r="I1172" s="15"/>
      <c r="J1172" s="3"/>
      <c r="K1172" s="3"/>
      <c r="L1172" s="3"/>
      <c r="M1172" s="3"/>
      <c r="N1172" s="3"/>
      <c r="O1172" s="3"/>
      <c r="P1172" s="3"/>
      <c r="Q1172" s="3"/>
      <c r="R1172" s="3"/>
      <c r="S1172" s="3"/>
      <c r="T1172" s="3"/>
      <c r="U1172" s="3"/>
      <c r="V1172" s="3"/>
      <c r="W1172" s="3"/>
      <c r="X1172" s="3"/>
      <c r="Y1172" s="3"/>
      <c r="Z1172" s="3"/>
      <c r="AA1172" s="3"/>
    </row>
    <row r="1173" ht="105.75" customHeight="1">
      <c r="A1173" s="11"/>
      <c r="B1173" s="12"/>
      <c r="C1173" s="11"/>
      <c r="D1173" s="13"/>
      <c r="E1173" s="14"/>
      <c r="F1173" s="14"/>
      <c r="G1173" s="14"/>
      <c r="H1173" s="15"/>
      <c r="I1173" s="15"/>
      <c r="J1173" s="3"/>
      <c r="K1173" s="3"/>
      <c r="L1173" s="3"/>
      <c r="M1173" s="3"/>
      <c r="N1173" s="3"/>
      <c r="O1173" s="3"/>
      <c r="P1173" s="3"/>
      <c r="Q1173" s="3"/>
      <c r="R1173" s="3"/>
      <c r="S1173" s="3"/>
      <c r="T1173" s="3"/>
      <c r="U1173" s="3"/>
      <c r="V1173" s="3"/>
      <c r="W1173" s="3"/>
      <c r="X1173" s="3"/>
      <c r="Y1173" s="3"/>
      <c r="Z1173" s="3"/>
      <c r="AA1173" s="3"/>
    </row>
    <row r="1174" ht="105.75" customHeight="1">
      <c r="A1174" s="11"/>
      <c r="B1174" s="12"/>
      <c r="C1174" s="11"/>
      <c r="D1174" s="13"/>
      <c r="E1174" s="14"/>
      <c r="F1174" s="14"/>
      <c r="G1174" s="14"/>
      <c r="H1174" s="15"/>
      <c r="I1174" s="15"/>
      <c r="J1174" s="3"/>
      <c r="K1174" s="3"/>
      <c r="L1174" s="3"/>
      <c r="M1174" s="3"/>
      <c r="N1174" s="3"/>
      <c r="O1174" s="3"/>
      <c r="P1174" s="3"/>
      <c r="Q1174" s="3"/>
      <c r="R1174" s="3"/>
      <c r="S1174" s="3"/>
      <c r="T1174" s="3"/>
      <c r="U1174" s="3"/>
      <c r="V1174" s="3"/>
      <c r="W1174" s="3"/>
      <c r="X1174" s="3"/>
      <c r="Y1174" s="3"/>
      <c r="Z1174" s="3"/>
      <c r="AA1174" s="3"/>
    </row>
    <row r="1175" ht="105.75" customHeight="1">
      <c r="A1175" s="11"/>
      <c r="B1175" s="12"/>
      <c r="C1175" s="11"/>
      <c r="D1175" s="13"/>
      <c r="E1175" s="14"/>
      <c r="F1175" s="14"/>
      <c r="G1175" s="14"/>
      <c r="H1175" s="15"/>
      <c r="I1175" s="15"/>
      <c r="J1175" s="3"/>
      <c r="K1175" s="3"/>
      <c r="L1175" s="3"/>
      <c r="M1175" s="3"/>
      <c r="N1175" s="3"/>
      <c r="O1175" s="3"/>
      <c r="P1175" s="3"/>
      <c r="Q1175" s="3"/>
      <c r="R1175" s="3"/>
      <c r="S1175" s="3"/>
      <c r="T1175" s="3"/>
      <c r="U1175" s="3"/>
      <c r="V1175" s="3"/>
      <c r="W1175" s="3"/>
      <c r="X1175" s="3"/>
      <c r="Y1175" s="3"/>
      <c r="Z1175" s="3"/>
      <c r="AA1175" s="3"/>
    </row>
    <row r="1176" ht="105.75" customHeight="1">
      <c r="A1176" s="11"/>
      <c r="B1176" s="12"/>
      <c r="C1176" s="11"/>
      <c r="D1176" s="13"/>
      <c r="E1176" s="14"/>
      <c r="F1176" s="14"/>
      <c r="G1176" s="14"/>
      <c r="H1176" s="15"/>
      <c r="I1176" s="15"/>
      <c r="J1176" s="3"/>
      <c r="K1176" s="3"/>
      <c r="L1176" s="3"/>
      <c r="M1176" s="3"/>
      <c r="N1176" s="3"/>
      <c r="O1176" s="3"/>
      <c r="P1176" s="3"/>
      <c r="Q1176" s="3"/>
      <c r="R1176" s="3"/>
      <c r="S1176" s="3"/>
      <c r="T1176" s="3"/>
      <c r="U1176" s="3"/>
      <c r="V1176" s="3"/>
      <c r="W1176" s="3"/>
      <c r="X1176" s="3"/>
      <c r="Y1176" s="3"/>
      <c r="Z1176" s="3"/>
      <c r="AA1176" s="3"/>
    </row>
    <row r="1177" ht="105.75" customHeight="1">
      <c r="A1177" s="11"/>
      <c r="B1177" s="12"/>
      <c r="C1177" s="11"/>
      <c r="D1177" s="13"/>
      <c r="E1177" s="16"/>
      <c r="F1177" s="16"/>
      <c r="G1177" s="16"/>
      <c r="H1177" s="15"/>
      <c r="I1177" s="15"/>
      <c r="J1177" s="3"/>
      <c r="K1177" s="3"/>
      <c r="L1177" s="3"/>
      <c r="M1177" s="3"/>
      <c r="N1177" s="3"/>
      <c r="O1177" s="3"/>
      <c r="P1177" s="3"/>
      <c r="Q1177" s="3"/>
      <c r="R1177" s="3"/>
      <c r="S1177" s="3"/>
      <c r="T1177" s="3"/>
      <c r="U1177" s="3"/>
      <c r="V1177" s="3"/>
      <c r="W1177" s="3"/>
      <c r="X1177" s="3"/>
      <c r="Y1177" s="3"/>
      <c r="Z1177" s="3"/>
      <c r="AA1177" s="3"/>
    </row>
    <row r="1178" ht="105.75" customHeight="1">
      <c r="A1178" s="11"/>
      <c r="B1178" s="12"/>
      <c r="C1178" s="11"/>
      <c r="D1178" s="13"/>
      <c r="E1178" s="14"/>
      <c r="F1178" s="14"/>
      <c r="G1178" s="14"/>
      <c r="H1178" s="15"/>
      <c r="I1178" s="15"/>
      <c r="J1178" s="3"/>
      <c r="K1178" s="3"/>
      <c r="L1178" s="3"/>
      <c r="M1178" s="3"/>
      <c r="N1178" s="3"/>
      <c r="O1178" s="3"/>
      <c r="P1178" s="3"/>
      <c r="Q1178" s="3"/>
      <c r="R1178" s="3"/>
      <c r="S1178" s="3"/>
      <c r="T1178" s="3"/>
      <c r="U1178" s="3"/>
      <c r="V1178" s="3"/>
      <c r="W1178" s="3"/>
      <c r="X1178" s="3"/>
      <c r="Y1178" s="3"/>
      <c r="Z1178" s="3"/>
      <c r="AA1178" s="3"/>
    </row>
    <row r="1179" ht="105.75" customHeight="1">
      <c r="A1179" s="11"/>
      <c r="B1179" s="12"/>
      <c r="C1179" s="11"/>
      <c r="D1179" s="13"/>
      <c r="E1179" s="16"/>
      <c r="F1179" s="16"/>
      <c r="G1179" s="16"/>
      <c r="H1179" s="15"/>
      <c r="I1179" s="15"/>
      <c r="J1179" s="3"/>
      <c r="K1179" s="3"/>
      <c r="L1179" s="3"/>
      <c r="M1179" s="3"/>
      <c r="N1179" s="3"/>
      <c r="O1179" s="3"/>
      <c r="P1179" s="3"/>
      <c r="Q1179" s="3"/>
      <c r="R1179" s="3"/>
      <c r="S1179" s="3"/>
      <c r="T1179" s="3"/>
      <c r="U1179" s="3"/>
      <c r="V1179" s="3"/>
      <c r="W1179" s="3"/>
      <c r="X1179" s="3"/>
      <c r="Y1179" s="3"/>
      <c r="Z1179" s="3"/>
      <c r="AA1179" s="3"/>
    </row>
    <row r="1180" ht="105.75" customHeight="1">
      <c r="A1180" s="11"/>
      <c r="B1180" s="12"/>
      <c r="C1180" s="11"/>
      <c r="D1180" s="13"/>
      <c r="E1180" s="14"/>
      <c r="F1180" s="14"/>
      <c r="G1180" s="14"/>
      <c r="H1180" s="15"/>
      <c r="I1180" s="15"/>
      <c r="J1180" s="3"/>
      <c r="K1180" s="3"/>
      <c r="L1180" s="3"/>
      <c r="M1180" s="3"/>
      <c r="N1180" s="3"/>
      <c r="O1180" s="3"/>
      <c r="P1180" s="3"/>
      <c r="Q1180" s="3"/>
      <c r="R1180" s="3"/>
      <c r="S1180" s="3"/>
      <c r="T1180" s="3"/>
      <c r="U1180" s="3"/>
      <c r="V1180" s="3"/>
      <c r="W1180" s="3"/>
      <c r="X1180" s="3"/>
      <c r="Y1180" s="3"/>
      <c r="Z1180" s="3"/>
      <c r="AA1180" s="3"/>
    </row>
    <row r="1181" ht="105.75" customHeight="1">
      <c r="A1181" s="11"/>
      <c r="B1181" s="12"/>
      <c r="C1181" s="11"/>
      <c r="D1181" s="13"/>
      <c r="E1181" s="14"/>
      <c r="F1181" s="14"/>
      <c r="G1181" s="14"/>
      <c r="H1181" s="15"/>
      <c r="I1181" s="15"/>
      <c r="J1181" s="3"/>
      <c r="K1181" s="3"/>
      <c r="L1181" s="3"/>
      <c r="M1181" s="3"/>
      <c r="N1181" s="3"/>
      <c r="O1181" s="3"/>
      <c r="P1181" s="3"/>
      <c r="Q1181" s="3"/>
      <c r="R1181" s="3"/>
      <c r="S1181" s="3"/>
      <c r="T1181" s="3"/>
      <c r="U1181" s="3"/>
      <c r="V1181" s="3"/>
      <c r="W1181" s="3"/>
      <c r="X1181" s="3"/>
      <c r="Y1181" s="3"/>
      <c r="Z1181" s="3"/>
      <c r="AA1181" s="3"/>
    </row>
    <row r="1182" ht="105.75" customHeight="1">
      <c r="A1182" s="11"/>
      <c r="B1182" s="12"/>
      <c r="C1182" s="11"/>
      <c r="D1182" s="13"/>
      <c r="E1182" s="14"/>
      <c r="F1182" s="14"/>
      <c r="G1182" s="14"/>
      <c r="H1182" s="15"/>
      <c r="I1182" s="15"/>
      <c r="J1182" s="3"/>
      <c r="K1182" s="3"/>
      <c r="L1182" s="3"/>
      <c r="M1182" s="3"/>
      <c r="N1182" s="3"/>
      <c r="O1182" s="3"/>
      <c r="P1182" s="3"/>
      <c r="Q1182" s="3"/>
      <c r="R1182" s="3"/>
      <c r="S1182" s="3"/>
      <c r="T1182" s="3"/>
      <c r="U1182" s="3"/>
      <c r="V1182" s="3"/>
      <c r="W1182" s="3"/>
      <c r="X1182" s="3"/>
      <c r="Y1182" s="3"/>
      <c r="Z1182" s="3"/>
      <c r="AA1182" s="3"/>
    </row>
    <row r="1183" ht="105.75" customHeight="1">
      <c r="A1183" s="11"/>
      <c r="B1183" s="12"/>
      <c r="C1183" s="11"/>
      <c r="D1183" s="13"/>
      <c r="E1183" s="14"/>
      <c r="F1183" s="14"/>
      <c r="G1183" s="14"/>
      <c r="H1183" s="15"/>
      <c r="I1183" s="15"/>
      <c r="J1183" s="3"/>
      <c r="K1183" s="3"/>
      <c r="L1183" s="3"/>
      <c r="M1183" s="3"/>
      <c r="N1183" s="3"/>
      <c r="O1183" s="3"/>
      <c r="P1183" s="3"/>
      <c r="Q1183" s="3"/>
      <c r="R1183" s="3"/>
      <c r="S1183" s="3"/>
      <c r="T1183" s="3"/>
      <c r="U1183" s="3"/>
      <c r="V1183" s="3"/>
      <c r="W1183" s="3"/>
      <c r="X1183" s="3"/>
      <c r="Y1183" s="3"/>
      <c r="Z1183" s="3"/>
      <c r="AA1183" s="3"/>
    </row>
    <row r="1184" ht="105.75" customHeight="1">
      <c r="A1184" s="11"/>
      <c r="B1184" s="12"/>
      <c r="C1184" s="11"/>
      <c r="D1184" s="13"/>
      <c r="E1184" s="14"/>
      <c r="F1184" s="14"/>
      <c r="G1184" s="14"/>
      <c r="H1184" s="15"/>
      <c r="I1184" s="15"/>
      <c r="J1184" s="3"/>
      <c r="K1184" s="3"/>
      <c r="L1184" s="3"/>
      <c r="M1184" s="3"/>
      <c r="N1184" s="3"/>
      <c r="O1184" s="3"/>
      <c r="P1184" s="3"/>
      <c r="Q1184" s="3"/>
      <c r="R1184" s="3"/>
      <c r="S1184" s="3"/>
      <c r="T1184" s="3"/>
      <c r="U1184" s="3"/>
      <c r="V1184" s="3"/>
      <c r="W1184" s="3"/>
      <c r="X1184" s="3"/>
      <c r="Y1184" s="3"/>
      <c r="Z1184" s="3"/>
      <c r="AA1184" s="3"/>
    </row>
    <row r="1185" ht="105.75" customHeight="1">
      <c r="A1185" s="11"/>
      <c r="B1185" s="12"/>
      <c r="C1185" s="11"/>
      <c r="D1185" s="13"/>
      <c r="E1185" s="14"/>
      <c r="F1185" s="14"/>
      <c r="G1185" s="14"/>
      <c r="H1185" s="15"/>
      <c r="I1185" s="15"/>
      <c r="J1185" s="3"/>
      <c r="K1185" s="3"/>
      <c r="L1185" s="3"/>
      <c r="M1185" s="3"/>
      <c r="N1185" s="3"/>
      <c r="O1185" s="3"/>
      <c r="P1185" s="3"/>
      <c r="Q1185" s="3"/>
      <c r="R1185" s="3"/>
      <c r="S1185" s="3"/>
      <c r="T1185" s="3"/>
      <c r="U1185" s="3"/>
      <c r="V1185" s="3"/>
      <c r="W1185" s="3"/>
      <c r="X1185" s="3"/>
      <c r="Y1185" s="3"/>
      <c r="Z1185" s="3"/>
      <c r="AA1185" s="3"/>
    </row>
    <row r="1186" ht="105.75" customHeight="1">
      <c r="A1186" s="11"/>
      <c r="B1186" s="12"/>
      <c r="C1186" s="11"/>
      <c r="D1186" s="13"/>
      <c r="E1186" s="14"/>
      <c r="F1186" s="14"/>
      <c r="G1186" s="14"/>
      <c r="H1186" s="15"/>
      <c r="I1186" s="15"/>
      <c r="J1186" s="3"/>
      <c r="K1186" s="3"/>
      <c r="L1186" s="3"/>
      <c r="M1186" s="3"/>
      <c r="N1186" s="3"/>
      <c r="O1186" s="3"/>
      <c r="P1186" s="3"/>
      <c r="Q1186" s="3"/>
      <c r="R1186" s="3"/>
      <c r="S1186" s="3"/>
      <c r="T1186" s="3"/>
      <c r="U1186" s="3"/>
      <c r="V1186" s="3"/>
      <c r="W1186" s="3"/>
      <c r="X1186" s="3"/>
      <c r="Y1186" s="3"/>
      <c r="Z1186" s="3"/>
      <c r="AA1186" s="3"/>
    </row>
    <row r="1187" ht="105.75" customHeight="1">
      <c r="A1187" s="11"/>
      <c r="B1187" s="12"/>
      <c r="C1187" s="11"/>
      <c r="D1187" s="13"/>
      <c r="E1187" s="14"/>
      <c r="F1187" s="14"/>
      <c r="G1187" s="14"/>
      <c r="H1187" s="15"/>
      <c r="I1187" s="15"/>
      <c r="J1187" s="3"/>
      <c r="K1187" s="3"/>
      <c r="L1187" s="3"/>
      <c r="M1187" s="3"/>
      <c r="N1187" s="3"/>
      <c r="O1187" s="3"/>
      <c r="P1187" s="3"/>
      <c r="Q1187" s="3"/>
      <c r="R1187" s="3"/>
      <c r="S1187" s="3"/>
      <c r="T1187" s="3"/>
      <c r="U1187" s="3"/>
      <c r="V1187" s="3"/>
      <c r="W1187" s="3"/>
      <c r="X1187" s="3"/>
      <c r="Y1187" s="3"/>
      <c r="Z1187" s="3"/>
      <c r="AA1187" s="3"/>
    </row>
    <row r="1188" ht="105.75" customHeight="1">
      <c r="A1188" s="11"/>
      <c r="B1188" s="12"/>
      <c r="C1188" s="11"/>
      <c r="D1188" s="13"/>
      <c r="E1188" s="14"/>
      <c r="F1188" s="14"/>
      <c r="G1188" s="14"/>
      <c r="H1188" s="15"/>
      <c r="I1188" s="15"/>
      <c r="J1188" s="3"/>
      <c r="K1188" s="3"/>
      <c r="L1188" s="3"/>
      <c r="M1188" s="3"/>
      <c r="N1188" s="3"/>
      <c r="O1188" s="3"/>
      <c r="P1188" s="3"/>
      <c r="Q1188" s="3"/>
      <c r="R1188" s="3"/>
      <c r="S1188" s="3"/>
      <c r="T1188" s="3"/>
      <c r="U1188" s="3"/>
      <c r="V1188" s="3"/>
      <c r="W1188" s="3"/>
      <c r="X1188" s="3"/>
      <c r="Y1188" s="3"/>
      <c r="Z1188" s="3"/>
      <c r="AA1188" s="3"/>
    </row>
    <row r="1189" ht="105.75" customHeight="1">
      <c r="A1189" s="11"/>
      <c r="B1189" s="12"/>
      <c r="C1189" s="11"/>
      <c r="D1189" s="13"/>
      <c r="E1189" s="14"/>
      <c r="F1189" s="14"/>
      <c r="G1189" s="14"/>
      <c r="H1189" s="15"/>
      <c r="I1189" s="15"/>
      <c r="J1189" s="3"/>
      <c r="K1189" s="3"/>
      <c r="L1189" s="3"/>
      <c r="M1189" s="3"/>
      <c r="N1189" s="3"/>
      <c r="O1189" s="3"/>
      <c r="P1189" s="3"/>
      <c r="Q1189" s="3"/>
      <c r="R1189" s="3"/>
      <c r="S1189" s="3"/>
      <c r="T1189" s="3"/>
      <c r="U1189" s="3"/>
      <c r="V1189" s="3"/>
      <c r="W1189" s="3"/>
      <c r="X1189" s="3"/>
      <c r="Y1189" s="3"/>
      <c r="Z1189" s="3"/>
      <c r="AA1189" s="3"/>
    </row>
    <row r="1190" ht="105.75" customHeight="1">
      <c r="A1190" s="11"/>
      <c r="B1190" s="12"/>
      <c r="C1190" s="11"/>
      <c r="D1190" s="13"/>
      <c r="E1190" s="14"/>
      <c r="F1190" s="14"/>
      <c r="G1190" s="14"/>
      <c r="H1190" s="15"/>
      <c r="I1190" s="15"/>
      <c r="J1190" s="3"/>
      <c r="K1190" s="3"/>
      <c r="L1190" s="3"/>
      <c r="M1190" s="3"/>
      <c r="N1190" s="3"/>
      <c r="O1190" s="3"/>
      <c r="P1190" s="3"/>
      <c r="Q1190" s="3"/>
      <c r="R1190" s="3"/>
      <c r="S1190" s="3"/>
      <c r="T1190" s="3"/>
      <c r="U1190" s="3"/>
      <c r="V1190" s="3"/>
      <c r="W1190" s="3"/>
      <c r="X1190" s="3"/>
      <c r="Y1190" s="3"/>
      <c r="Z1190" s="3"/>
      <c r="AA1190" s="3"/>
    </row>
    <row r="1191" ht="105.75" customHeight="1">
      <c r="A1191" s="11"/>
      <c r="B1191" s="12"/>
      <c r="C1191" s="11"/>
      <c r="D1191" s="13"/>
      <c r="E1191" s="14"/>
      <c r="F1191" s="14"/>
      <c r="G1191" s="14"/>
      <c r="H1191" s="15"/>
      <c r="I1191" s="15"/>
      <c r="J1191" s="3"/>
      <c r="K1191" s="3"/>
      <c r="L1191" s="3"/>
      <c r="M1191" s="3"/>
      <c r="N1191" s="3"/>
      <c r="O1191" s="3"/>
      <c r="P1191" s="3"/>
      <c r="Q1191" s="3"/>
      <c r="R1191" s="3"/>
      <c r="S1191" s="3"/>
      <c r="T1191" s="3"/>
      <c r="U1191" s="3"/>
      <c r="V1191" s="3"/>
      <c r="W1191" s="3"/>
      <c r="X1191" s="3"/>
      <c r="Y1191" s="3"/>
      <c r="Z1191" s="3"/>
      <c r="AA1191" s="3"/>
    </row>
    <row r="1192" ht="105.75" customHeight="1">
      <c r="A1192" s="11"/>
      <c r="B1192" s="12"/>
      <c r="C1192" s="11"/>
      <c r="D1192" s="13"/>
      <c r="E1192" s="14"/>
      <c r="F1192" s="14"/>
      <c r="G1192" s="14"/>
      <c r="H1192" s="15"/>
      <c r="I1192" s="15"/>
      <c r="J1192" s="3"/>
      <c r="K1192" s="3"/>
      <c r="L1192" s="3"/>
      <c r="M1192" s="3"/>
      <c r="N1192" s="3"/>
      <c r="O1192" s="3"/>
      <c r="P1192" s="3"/>
      <c r="Q1192" s="3"/>
      <c r="R1192" s="3"/>
      <c r="S1192" s="3"/>
      <c r="T1192" s="3"/>
      <c r="U1192" s="3"/>
      <c r="V1192" s="3"/>
      <c r="W1192" s="3"/>
      <c r="X1192" s="3"/>
      <c r="Y1192" s="3"/>
      <c r="Z1192" s="3"/>
      <c r="AA1192" s="3"/>
    </row>
    <row r="1193" ht="105.75" customHeight="1">
      <c r="A1193" s="11"/>
      <c r="B1193" s="12"/>
      <c r="C1193" s="11"/>
      <c r="D1193" s="13"/>
      <c r="E1193" s="16"/>
      <c r="F1193" s="16"/>
      <c r="G1193" s="16"/>
      <c r="H1193" s="15"/>
      <c r="I1193" s="15"/>
      <c r="J1193" s="3"/>
      <c r="K1193" s="3"/>
      <c r="L1193" s="3"/>
      <c r="M1193" s="3"/>
      <c r="N1193" s="3"/>
      <c r="O1193" s="3"/>
      <c r="P1193" s="3"/>
      <c r="Q1193" s="3"/>
      <c r="R1193" s="3"/>
      <c r="S1193" s="3"/>
      <c r="T1193" s="3"/>
      <c r="U1193" s="3"/>
      <c r="V1193" s="3"/>
      <c r="W1193" s="3"/>
      <c r="X1193" s="3"/>
      <c r="Y1193" s="3"/>
      <c r="Z1193" s="3"/>
      <c r="AA1193" s="3"/>
    </row>
    <row r="1194" ht="105.75" customHeight="1">
      <c r="A1194" s="11"/>
      <c r="B1194" s="12"/>
      <c r="C1194" s="11"/>
      <c r="D1194" s="13"/>
      <c r="E1194" s="14"/>
      <c r="F1194" s="14"/>
      <c r="G1194" s="14"/>
      <c r="H1194" s="15"/>
      <c r="I1194" s="15"/>
      <c r="J1194" s="3"/>
      <c r="K1194" s="3"/>
      <c r="L1194" s="3"/>
      <c r="M1194" s="3"/>
      <c r="N1194" s="3"/>
      <c r="O1194" s="3"/>
      <c r="P1194" s="3"/>
      <c r="Q1194" s="3"/>
      <c r="R1194" s="3"/>
      <c r="S1194" s="3"/>
      <c r="T1194" s="3"/>
      <c r="U1194" s="3"/>
      <c r="V1194" s="3"/>
      <c r="W1194" s="3"/>
      <c r="X1194" s="3"/>
      <c r="Y1194" s="3"/>
      <c r="Z1194" s="3"/>
      <c r="AA1194" s="3"/>
    </row>
    <row r="1195" ht="105.75" customHeight="1">
      <c r="A1195" s="11"/>
      <c r="B1195" s="12"/>
      <c r="C1195" s="11"/>
      <c r="D1195" s="13"/>
      <c r="E1195" s="14"/>
      <c r="F1195" s="14"/>
      <c r="G1195" s="14"/>
      <c r="H1195" s="15"/>
      <c r="I1195" s="15"/>
      <c r="J1195" s="3"/>
      <c r="K1195" s="3"/>
      <c r="L1195" s="3"/>
      <c r="M1195" s="3"/>
      <c r="N1195" s="3"/>
      <c r="O1195" s="3"/>
      <c r="P1195" s="3"/>
      <c r="Q1195" s="3"/>
      <c r="R1195" s="3"/>
      <c r="S1195" s="3"/>
      <c r="T1195" s="3"/>
      <c r="U1195" s="3"/>
      <c r="V1195" s="3"/>
      <c r="W1195" s="3"/>
      <c r="X1195" s="3"/>
      <c r="Y1195" s="3"/>
      <c r="Z1195" s="3"/>
      <c r="AA1195" s="3"/>
    </row>
    <row r="1196" ht="105.75" customHeight="1">
      <c r="A1196" s="11"/>
      <c r="B1196" s="12"/>
      <c r="C1196" s="11"/>
      <c r="D1196" s="13"/>
      <c r="E1196" s="14"/>
      <c r="F1196" s="14"/>
      <c r="G1196" s="14"/>
      <c r="H1196" s="15"/>
      <c r="I1196" s="15"/>
      <c r="J1196" s="3"/>
      <c r="K1196" s="3"/>
      <c r="L1196" s="3"/>
      <c r="M1196" s="3"/>
      <c r="N1196" s="3"/>
      <c r="O1196" s="3"/>
      <c r="P1196" s="3"/>
      <c r="Q1196" s="3"/>
      <c r="R1196" s="3"/>
      <c r="S1196" s="3"/>
      <c r="T1196" s="3"/>
      <c r="U1196" s="3"/>
      <c r="V1196" s="3"/>
      <c r="W1196" s="3"/>
      <c r="X1196" s="3"/>
      <c r="Y1196" s="3"/>
      <c r="Z1196" s="3"/>
      <c r="AA1196" s="3"/>
    </row>
    <row r="1197" ht="105.75" customHeight="1">
      <c r="A1197" s="11"/>
      <c r="B1197" s="12"/>
      <c r="C1197" s="11"/>
      <c r="D1197" s="13"/>
      <c r="E1197" s="14"/>
      <c r="F1197" s="14"/>
      <c r="G1197" s="14"/>
      <c r="H1197" s="15"/>
      <c r="I1197" s="15"/>
      <c r="J1197" s="3"/>
      <c r="K1197" s="3"/>
      <c r="L1197" s="3"/>
      <c r="M1197" s="3"/>
      <c r="N1197" s="3"/>
      <c r="O1197" s="3"/>
      <c r="P1197" s="3"/>
      <c r="Q1197" s="3"/>
      <c r="R1197" s="3"/>
      <c r="S1197" s="3"/>
      <c r="T1197" s="3"/>
      <c r="U1197" s="3"/>
      <c r="V1197" s="3"/>
      <c r="W1197" s="3"/>
      <c r="X1197" s="3"/>
      <c r="Y1197" s="3"/>
      <c r="Z1197" s="3"/>
      <c r="AA1197" s="3"/>
    </row>
    <row r="1198" ht="105.75" customHeight="1">
      <c r="A1198" s="11"/>
      <c r="B1198" s="12"/>
      <c r="C1198" s="11"/>
      <c r="D1198" s="13"/>
      <c r="E1198" s="14"/>
      <c r="F1198" s="14"/>
      <c r="G1198" s="14"/>
      <c r="H1198" s="15"/>
      <c r="I1198" s="15"/>
      <c r="J1198" s="3"/>
      <c r="K1198" s="3"/>
      <c r="L1198" s="3"/>
      <c r="M1198" s="3"/>
      <c r="N1198" s="3"/>
      <c r="O1198" s="3"/>
      <c r="P1198" s="3"/>
      <c r="Q1198" s="3"/>
      <c r="R1198" s="3"/>
      <c r="S1198" s="3"/>
      <c r="T1198" s="3"/>
      <c r="U1198" s="3"/>
      <c r="V1198" s="3"/>
      <c r="W1198" s="3"/>
      <c r="X1198" s="3"/>
      <c r="Y1198" s="3"/>
      <c r="Z1198" s="3"/>
      <c r="AA1198" s="3"/>
    </row>
    <row r="1199" ht="105.75" customHeight="1">
      <c r="A1199" s="11"/>
      <c r="B1199" s="12"/>
      <c r="C1199" s="11"/>
      <c r="D1199" s="13"/>
      <c r="E1199" s="14"/>
      <c r="F1199" s="14"/>
      <c r="G1199" s="14"/>
      <c r="H1199" s="15"/>
      <c r="I1199" s="15"/>
      <c r="J1199" s="3"/>
      <c r="K1199" s="3"/>
      <c r="L1199" s="3"/>
      <c r="M1199" s="3"/>
      <c r="N1199" s="3"/>
      <c r="O1199" s="3"/>
      <c r="P1199" s="3"/>
      <c r="Q1199" s="3"/>
      <c r="R1199" s="3"/>
      <c r="S1199" s="3"/>
      <c r="T1199" s="3"/>
      <c r="U1199" s="3"/>
      <c r="V1199" s="3"/>
      <c r="W1199" s="3"/>
      <c r="X1199" s="3"/>
      <c r="Y1199" s="3"/>
      <c r="Z1199" s="3"/>
      <c r="AA1199" s="3"/>
    </row>
    <row r="1200" ht="105.75" customHeight="1">
      <c r="A1200" s="11"/>
      <c r="B1200" s="12"/>
      <c r="C1200" s="11"/>
      <c r="D1200" s="13"/>
      <c r="E1200" s="14"/>
      <c r="F1200" s="14"/>
      <c r="G1200" s="14"/>
      <c r="H1200" s="15"/>
      <c r="I1200" s="15"/>
      <c r="J1200" s="3"/>
      <c r="K1200" s="3"/>
      <c r="L1200" s="3"/>
      <c r="M1200" s="3"/>
      <c r="N1200" s="3"/>
      <c r="O1200" s="3"/>
      <c r="P1200" s="3"/>
      <c r="Q1200" s="3"/>
      <c r="R1200" s="3"/>
      <c r="S1200" s="3"/>
      <c r="T1200" s="3"/>
      <c r="U1200" s="3"/>
      <c r="V1200" s="3"/>
      <c r="W1200" s="3"/>
      <c r="X1200" s="3"/>
      <c r="Y1200" s="3"/>
      <c r="Z1200" s="3"/>
      <c r="AA1200" s="3"/>
    </row>
    <row r="1201" ht="105.75" customHeight="1">
      <c r="A1201" s="11"/>
      <c r="B1201" s="12"/>
      <c r="C1201" s="11"/>
      <c r="D1201" s="13"/>
      <c r="E1201" s="14"/>
      <c r="F1201" s="14"/>
      <c r="G1201" s="14"/>
      <c r="H1201" s="15"/>
      <c r="I1201" s="15"/>
      <c r="J1201" s="3"/>
      <c r="K1201" s="3"/>
      <c r="L1201" s="3"/>
      <c r="M1201" s="3"/>
      <c r="N1201" s="3"/>
      <c r="O1201" s="3"/>
      <c r="P1201" s="3"/>
      <c r="Q1201" s="3"/>
      <c r="R1201" s="3"/>
      <c r="S1201" s="3"/>
      <c r="T1201" s="3"/>
      <c r="U1201" s="3"/>
      <c r="V1201" s="3"/>
      <c r="W1201" s="3"/>
      <c r="X1201" s="3"/>
      <c r="Y1201" s="3"/>
      <c r="Z1201" s="3"/>
      <c r="AA1201" s="3"/>
    </row>
    <row r="1202" ht="105.75" customHeight="1">
      <c r="A1202" s="11"/>
      <c r="B1202" s="12"/>
      <c r="C1202" s="11"/>
      <c r="D1202" s="13"/>
      <c r="E1202" s="14"/>
      <c r="F1202" s="14"/>
      <c r="G1202" s="14"/>
      <c r="H1202" s="15"/>
      <c r="I1202" s="15"/>
      <c r="J1202" s="3"/>
      <c r="K1202" s="3"/>
      <c r="L1202" s="3"/>
      <c r="M1202" s="3"/>
      <c r="N1202" s="3"/>
      <c r="O1202" s="3"/>
      <c r="P1202" s="3"/>
      <c r="Q1202" s="3"/>
      <c r="R1202" s="3"/>
      <c r="S1202" s="3"/>
      <c r="T1202" s="3"/>
      <c r="U1202" s="3"/>
      <c r="V1202" s="3"/>
      <c r="W1202" s="3"/>
      <c r="X1202" s="3"/>
      <c r="Y1202" s="3"/>
      <c r="Z1202" s="3"/>
      <c r="AA1202" s="3"/>
    </row>
    <row r="1203" ht="105.75" customHeight="1">
      <c r="A1203" s="11"/>
      <c r="B1203" s="12"/>
      <c r="C1203" s="11"/>
      <c r="D1203" s="13"/>
      <c r="E1203" s="14"/>
      <c r="F1203" s="14"/>
      <c r="G1203" s="14"/>
      <c r="H1203" s="15"/>
      <c r="I1203" s="15"/>
      <c r="J1203" s="3"/>
      <c r="K1203" s="3"/>
      <c r="L1203" s="3"/>
      <c r="M1203" s="3"/>
      <c r="N1203" s="3"/>
      <c r="O1203" s="3"/>
      <c r="P1203" s="3"/>
      <c r="Q1203" s="3"/>
      <c r="R1203" s="3"/>
      <c r="S1203" s="3"/>
      <c r="T1203" s="3"/>
      <c r="U1203" s="3"/>
      <c r="V1203" s="3"/>
      <c r="W1203" s="3"/>
      <c r="X1203" s="3"/>
      <c r="Y1203" s="3"/>
      <c r="Z1203" s="3"/>
      <c r="AA1203" s="3"/>
    </row>
    <row r="1204" ht="105.75" customHeight="1">
      <c r="A1204" s="11"/>
      <c r="B1204" s="12"/>
      <c r="C1204" s="11"/>
      <c r="D1204" s="13"/>
      <c r="E1204" s="14"/>
      <c r="F1204" s="14"/>
      <c r="G1204" s="14"/>
      <c r="H1204" s="15"/>
      <c r="I1204" s="15"/>
      <c r="J1204" s="3"/>
      <c r="K1204" s="3"/>
      <c r="L1204" s="3"/>
      <c r="M1204" s="3"/>
      <c r="N1204" s="3"/>
      <c r="O1204" s="3"/>
      <c r="P1204" s="3"/>
      <c r="Q1204" s="3"/>
      <c r="R1204" s="3"/>
      <c r="S1204" s="3"/>
      <c r="T1204" s="3"/>
      <c r="U1204" s="3"/>
      <c r="V1204" s="3"/>
      <c r="W1204" s="3"/>
      <c r="X1204" s="3"/>
      <c r="Y1204" s="3"/>
      <c r="Z1204" s="3"/>
      <c r="AA1204" s="3"/>
    </row>
    <row r="1205" ht="105.75" customHeight="1">
      <c r="A1205" s="11"/>
      <c r="B1205" s="12"/>
      <c r="C1205" s="11"/>
      <c r="D1205" s="13"/>
      <c r="E1205" s="14"/>
      <c r="F1205" s="14"/>
      <c r="G1205" s="14"/>
      <c r="H1205" s="15"/>
      <c r="I1205" s="15"/>
      <c r="J1205" s="3"/>
      <c r="K1205" s="3"/>
      <c r="L1205" s="3"/>
      <c r="M1205" s="3"/>
      <c r="N1205" s="3"/>
      <c r="O1205" s="3"/>
      <c r="P1205" s="3"/>
      <c r="Q1205" s="3"/>
      <c r="R1205" s="3"/>
      <c r="S1205" s="3"/>
      <c r="T1205" s="3"/>
      <c r="U1205" s="3"/>
      <c r="V1205" s="3"/>
      <c r="W1205" s="3"/>
      <c r="X1205" s="3"/>
      <c r="Y1205" s="3"/>
      <c r="Z1205" s="3"/>
      <c r="AA1205" s="3"/>
    </row>
    <row r="1206" ht="105.75" customHeight="1">
      <c r="A1206" s="11"/>
      <c r="B1206" s="12"/>
      <c r="C1206" s="11"/>
      <c r="D1206" s="13"/>
      <c r="E1206" s="16"/>
      <c r="F1206" s="16"/>
      <c r="G1206" s="16"/>
      <c r="H1206" s="15"/>
      <c r="I1206" s="15"/>
      <c r="J1206" s="3"/>
      <c r="K1206" s="3"/>
      <c r="L1206" s="3"/>
      <c r="M1206" s="3"/>
      <c r="N1206" s="3"/>
      <c r="O1206" s="3"/>
      <c r="P1206" s="3"/>
      <c r="Q1206" s="3"/>
      <c r="R1206" s="3"/>
      <c r="S1206" s="3"/>
      <c r="T1206" s="3"/>
      <c r="U1206" s="3"/>
      <c r="V1206" s="3"/>
      <c r="W1206" s="3"/>
      <c r="X1206" s="3"/>
      <c r="Y1206" s="3"/>
      <c r="Z1206" s="3"/>
      <c r="AA1206" s="3"/>
    </row>
    <row r="1207" ht="105.75" customHeight="1">
      <c r="A1207" s="11"/>
      <c r="B1207" s="12"/>
      <c r="C1207" s="11"/>
      <c r="D1207" s="13"/>
      <c r="E1207" s="14"/>
      <c r="F1207" s="14"/>
      <c r="G1207" s="14"/>
      <c r="H1207" s="15"/>
      <c r="I1207" s="15"/>
      <c r="J1207" s="3"/>
      <c r="K1207" s="3"/>
      <c r="L1207" s="3"/>
      <c r="M1207" s="3"/>
      <c r="N1207" s="3"/>
      <c r="O1207" s="3"/>
      <c r="P1207" s="3"/>
      <c r="Q1207" s="3"/>
      <c r="R1207" s="3"/>
      <c r="S1207" s="3"/>
      <c r="T1207" s="3"/>
      <c r="U1207" s="3"/>
      <c r="V1207" s="3"/>
      <c r="W1207" s="3"/>
      <c r="X1207" s="3"/>
      <c r="Y1207" s="3"/>
      <c r="Z1207" s="3"/>
      <c r="AA1207" s="3"/>
    </row>
    <row r="1208" ht="105.75" customHeight="1">
      <c r="A1208" s="11"/>
      <c r="B1208" s="12"/>
      <c r="C1208" s="11"/>
      <c r="D1208" s="13"/>
      <c r="E1208" s="14"/>
      <c r="F1208" s="14"/>
      <c r="G1208" s="14"/>
      <c r="H1208" s="15"/>
      <c r="I1208" s="15"/>
      <c r="J1208" s="3"/>
      <c r="K1208" s="3"/>
      <c r="L1208" s="3"/>
      <c r="M1208" s="3"/>
      <c r="N1208" s="3"/>
      <c r="O1208" s="3"/>
      <c r="P1208" s="3"/>
      <c r="Q1208" s="3"/>
      <c r="R1208" s="3"/>
      <c r="S1208" s="3"/>
      <c r="T1208" s="3"/>
      <c r="U1208" s="3"/>
      <c r="V1208" s="3"/>
      <c r="W1208" s="3"/>
      <c r="X1208" s="3"/>
      <c r="Y1208" s="3"/>
      <c r="Z1208" s="3"/>
      <c r="AA1208" s="3"/>
    </row>
    <row r="1209" ht="105.75" customHeight="1">
      <c r="A1209" s="11"/>
      <c r="B1209" s="12"/>
      <c r="C1209" s="11"/>
      <c r="D1209" s="13"/>
      <c r="E1209" s="14"/>
      <c r="F1209" s="14"/>
      <c r="G1209" s="14"/>
      <c r="H1209" s="15"/>
      <c r="I1209" s="15"/>
      <c r="J1209" s="3"/>
      <c r="K1209" s="3"/>
      <c r="L1209" s="3"/>
      <c r="M1209" s="3"/>
      <c r="N1209" s="3"/>
      <c r="O1209" s="3"/>
      <c r="P1209" s="3"/>
      <c r="Q1209" s="3"/>
      <c r="R1209" s="3"/>
      <c r="S1209" s="3"/>
      <c r="T1209" s="3"/>
      <c r="U1209" s="3"/>
      <c r="V1209" s="3"/>
      <c r="W1209" s="3"/>
      <c r="X1209" s="3"/>
      <c r="Y1209" s="3"/>
      <c r="Z1209" s="3"/>
      <c r="AA1209" s="3"/>
    </row>
    <row r="1210" ht="105.75" customHeight="1">
      <c r="A1210" s="11"/>
      <c r="B1210" s="12"/>
      <c r="C1210" s="11"/>
      <c r="D1210" s="13"/>
      <c r="E1210" s="14"/>
      <c r="F1210" s="14"/>
      <c r="G1210" s="14"/>
      <c r="H1210" s="15"/>
      <c r="I1210" s="15"/>
      <c r="J1210" s="3"/>
      <c r="K1210" s="3"/>
      <c r="L1210" s="3"/>
      <c r="M1210" s="3"/>
      <c r="N1210" s="3"/>
      <c r="O1210" s="3"/>
      <c r="P1210" s="3"/>
      <c r="Q1210" s="3"/>
      <c r="R1210" s="3"/>
      <c r="S1210" s="3"/>
      <c r="T1210" s="3"/>
      <c r="U1210" s="3"/>
      <c r="V1210" s="3"/>
      <c r="W1210" s="3"/>
      <c r="X1210" s="3"/>
      <c r="Y1210" s="3"/>
      <c r="Z1210" s="3"/>
      <c r="AA1210" s="3"/>
    </row>
    <row r="1211" ht="105.75" customHeight="1">
      <c r="A1211" s="11"/>
      <c r="B1211" s="12"/>
      <c r="C1211" s="11"/>
      <c r="D1211" s="13"/>
      <c r="E1211" s="16"/>
      <c r="F1211" s="16"/>
      <c r="G1211" s="16"/>
      <c r="H1211" s="15"/>
      <c r="I1211" s="15"/>
      <c r="J1211" s="3"/>
      <c r="K1211" s="3"/>
      <c r="L1211" s="3"/>
      <c r="M1211" s="3"/>
      <c r="N1211" s="3"/>
      <c r="O1211" s="3"/>
      <c r="P1211" s="3"/>
      <c r="Q1211" s="3"/>
      <c r="R1211" s="3"/>
      <c r="S1211" s="3"/>
      <c r="T1211" s="3"/>
      <c r="U1211" s="3"/>
      <c r="V1211" s="3"/>
      <c r="W1211" s="3"/>
      <c r="X1211" s="3"/>
      <c r="Y1211" s="3"/>
      <c r="Z1211" s="3"/>
      <c r="AA1211" s="3"/>
    </row>
    <row r="1212" ht="105.75" customHeight="1">
      <c r="A1212" s="11"/>
      <c r="B1212" s="12"/>
      <c r="C1212" s="11"/>
      <c r="D1212" s="13"/>
      <c r="E1212" s="14"/>
      <c r="F1212" s="14"/>
      <c r="G1212" s="14"/>
      <c r="H1212" s="15"/>
      <c r="I1212" s="15"/>
      <c r="J1212" s="3"/>
      <c r="K1212" s="3"/>
      <c r="L1212" s="3"/>
      <c r="M1212" s="3"/>
      <c r="N1212" s="3"/>
      <c r="O1212" s="3"/>
      <c r="P1212" s="3"/>
      <c r="Q1212" s="3"/>
      <c r="R1212" s="3"/>
      <c r="S1212" s="3"/>
      <c r="T1212" s="3"/>
      <c r="U1212" s="3"/>
      <c r="V1212" s="3"/>
      <c r="W1212" s="3"/>
      <c r="X1212" s="3"/>
      <c r="Y1212" s="3"/>
      <c r="Z1212" s="3"/>
      <c r="AA1212" s="3"/>
    </row>
    <row r="1213" ht="105.75" customHeight="1">
      <c r="A1213" s="11"/>
      <c r="B1213" s="12"/>
      <c r="C1213" s="11"/>
      <c r="D1213" s="13"/>
      <c r="E1213" s="14"/>
      <c r="F1213" s="14"/>
      <c r="G1213" s="14"/>
      <c r="H1213" s="15"/>
      <c r="I1213" s="15"/>
      <c r="J1213" s="3"/>
      <c r="K1213" s="3"/>
      <c r="L1213" s="3"/>
      <c r="M1213" s="3"/>
      <c r="N1213" s="3"/>
      <c r="O1213" s="3"/>
      <c r="P1213" s="3"/>
      <c r="Q1213" s="3"/>
      <c r="R1213" s="3"/>
      <c r="S1213" s="3"/>
      <c r="T1213" s="3"/>
      <c r="U1213" s="3"/>
      <c r="V1213" s="3"/>
      <c r="W1213" s="3"/>
      <c r="X1213" s="3"/>
      <c r="Y1213" s="3"/>
      <c r="Z1213" s="3"/>
      <c r="AA1213" s="3"/>
    </row>
    <row r="1214" ht="105.75" customHeight="1">
      <c r="A1214" s="11"/>
      <c r="B1214" s="12"/>
      <c r="C1214" s="11"/>
      <c r="D1214" s="13"/>
      <c r="E1214" s="14"/>
      <c r="F1214" s="14"/>
      <c r="G1214" s="14"/>
      <c r="H1214" s="15"/>
      <c r="I1214" s="15"/>
      <c r="J1214" s="3"/>
      <c r="K1214" s="3"/>
      <c r="L1214" s="3"/>
      <c r="M1214" s="3"/>
      <c r="N1214" s="3"/>
      <c r="O1214" s="3"/>
      <c r="P1214" s="3"/>
      <c r="Q1214" s="3"/>
      <c r="R1214" s="3"/>
      <c r="S1214" s="3"/>
      <c r="T1214" s="3"/>
      <c r="U1214" s="3"/>
      <c r="V1214" s="3"/>
      <c r="W1214" s="3"/>
      <c r="X1214" s="3"/>
      <c r="Y1214" s="3"/>
      <c r="Z1214" s="3"/>
      <c r="AA1214" s="3"/>
    </row>
    <row r="1215" ht="105.75" customHeight="1">
      <c r="A1215" s="11"/>
      <c r="B1215" s="12"/>
      <c r="C1215" s="11"/>
      <c r="D1215" s="13"/>
      <c r="E1215" s="14"/>
      <c r="F1215" s="14"/>
      <c r="G1215" s="14"/>
      <c r="H1215" s="15"/>
      <c r="I1215" s="15"/>
      <c r="J1215" s="3"/>
      <c r="K1215" s="3"/>
      <c r="L1215" s="3"/>
      <c r="M1215" s="3"/>
      <c r="N1215" s="3"/>
      <c r="O1215" s="3"/>
      <c r="P1215" s="3"/>
      <c r="Q1215" s="3"/>
      <c r="R1215" s="3"/>
      <c r="S1215" s="3"/>
      <c r="T1215" s="3"/>
      <c r="U1215" s="3"/>
      <c r="V1215" s="3"/>
      <c r="W1215" s="3"/>
      <c r="X1215" s="3"/>
      <c r="Y1215" s="3"/>
      <c r="Z1215" s="3"/>
      <c r="AA1215" s="3"/>
    </row>
    <row r="1216" ht="105.75" customHeight="1">
      <c r="A1216" s="11"/>
      <c r="B1216" s="12"/>
      <c r="C1216" s="11"/>
      <c r="D1216" s="13"/>
      <c r="E1216" s="14"/>
      <c r="F1216" s="14"/>
      <c r="G1216" s="14"/>
      <c r="H1216" s="15"/>
      <c r="I1216" s="15"/>
      <c r="J1216" s="3"/>
      <c r="K1216" s="3"/>
      <c r="L1216" s="3"/>
      <c r="M1216" s="3"/>
      <c r="N1216" s="3"/>
      <c r="O1216" s="3"/>
      <c r="P1216" s="3"/>
      <c r="Q1216" s="3"/>
      <c r="R1216" s="3"/>
      <c r="S1216" s="3"/>
      <c r="T1216" s="3"/>
      <c r="U1216" s="3"/>
      <c r="V1216" s="3"/>
      <c r="W1216" s="3"/>
      <c r="X1216" s="3"/>
      <c r="Y1216" s="3"/>
      <c r="Z1216" s="3"/>
      <c r="AA1216" s="3"/>
    </row>
    <row r="1217" ht="105.75" customHeight="1">
      <c r="A1217" s="11"/>
      <c r="B1217" s="12"/>
      <c r="C1217" s="11"/>
      <c r="D1217" s="13"/>
      <c r="E1217" s="14"/>
      <c r="F1217" s="14"/>
      <c r="G1217" s="14"/>
      <c r="H1217" s="15"/>
      <c r="I1217" s="15"/>
      <c r="J1217" s="3"/>
      <c r="K1217" s="3"/>
      <c r="L1217" s="3"/>
      <c r="M1217" s="3"/>
      <c r="N1217" s="3"/>
      <c r="O1217" s="3"/>
      <c r="P1217" s="3"/>
      <c r="Q1217" s="3"/>
      <c r="R1217" s="3"/>
      <c r="S1217" s="3"/>
      <c r="T1217" s="3"/>
      <c r="U1217" s="3"/>
      <c r="V1217" s="3"/>
      <c r="W1217" s="3"/>
      <c r="X1217" s="3"/>
      <c r="Y1217" s="3"/>
      <c r="Z1217" s="3"/>
      <c r="AA1217" s="3"/>
    </row>
    <row r="1218" ht="105.75" customHeight="1">
      <c r="A1218" s="11"/>
      <c r="B1218" s="12"/>
      <c r="C1218" s="11"/>
      <c r="D1218" s="13"/>
      <c r="E1218" s="14"/>
      <c r="F1218" s="14"/>
      <c r="G1218" s="14"/>
      <c r="H1218" s="15"/>
      <c r="I1218" s="15"/>
      <c r="J1218" s="3"/>
      <c r="K1218" s="3"/>
      <c r="L1218" s="3"/>
      <c r="M1218" s="3"/>
      <c r="N1218" s="3"/>
      <c r="O1218" s="3"/>
      <c r="P1218" s="3"/>
      <c r="Q1218" s="3"/>
      <c r="R1218" s="3"/>
      <c r="S1218" s="3"/>
      <c r="T1218" s="3"/>
      <c r="U1218" s="3"/>
      <c r="V1218" s="3"/>
      <c r="W1218" s="3"/>
      <c r="X1218" s="3"/>
      <c r="Y1218" s="3"/>
      <c r="Z1218" s="3"/>
      <c r="AA1218" s="3"/>
    </row>
    <row r="1219" ht="105.75" customHeight="1">
      <c r="A1219" s="11"/>
      <c r="B1219" s="12"/>
      <c r="C1219" s="11"/>
      <c r="D1219" s="13"/>
      <c r="E1219" s="14"/>
      <c r="F1219" s="14"/>
      <c r="G1219" s="14"/>
      <c r="H1219" s="15"/>
      <c r="I1219" s="15"/>
      <c r="J1219" s="3"/>
      <c r="K1219" s="3"/>
      <c r="L1219" s="3"/>
      <c r="M1219" s="3"/>
      <c r="N1219" s="3"/>
      <c r="O1219" s="3"/>
      <c r="P1219" s="3"/>
      <c r="Q1219" s="3"/>
      <c r="R1219" s="3"/>
      <c r="S1219" s="3"/>
      <c r="T1219" s="3"/>
      <c r="U1219" s="3"/>
      <c r="V1219" s="3"/>
      <c r="W1219" s="3"/>
      <c r="X1219" s="3"/>
      <c r="Y1219" s="3"/>
      <c r="Z1219" s="3"/>
      <c r="AA1219" s="3"/>
    </row>
    <row r="1220" ht="105.75" customHeight="1">
      <c r="A1220" s="11"/>
      <c r="B1220" s="12"/>
      <c r="C1220" s="11"/>
      <c r="D1220" s="13"/>
      <c r="E1220" s="14"/>
      <c r="F1220" s="14"/>
      <c r="G1220" s="14"/>
      <c r="H1220" s="15"/>
      <c r="I1220" s="15"/>
      <c r="J1220" s="3"/>
      <c r="K1220" s="3"/>
      <c r="L1220" s="3"/>
      <c r="M1220" s="3"/>
      <c r="N1220" s="3"/>
      <c r="O1220" s="3"/>
      <c r="P1220" s="3"/>
      <c r="Q1220" s="3"/>
      <c r="R1220" s="3"/>
      <c r="S1220" s="3"/>
      <c r="T1220" s="3"/>
      <c r="U1220" s="3"/>
      <c r="V1220" s="3"/>
      <c r="W1220" s="3"/>
      <c r="X1220" s="3"/>
      <c r="Y1220" s="3"/>
      <c r="Z1220" s="3"/>
      <c r="AA1220" s="3"/>
    </row>
    <row r="1221" ht="105.75" customHeight="1">
      <c r="A1221" s="11"/>
      <c r="B1221" s="12"/>
      <c r="C1221" s="11"/>
      <c r="D1221" s="13"/>
      <c r="E1221" s="14"/>
      <c r="F1221" s="14"/>
      <c r="G1221" s="14"/>
      <c r="H1221" s="15"/>
      <c r="I1221" s="15"/>
      <c r="J1221" s="3"/>
      <c r="K1221" s="3"/>
      <c r="L1221" s="3"/>
      <c r="M1221" s="3"/>
      <c r="N1221" s="3"/>
      <c r="O1221" s="3"/>
      <c r="P1221" s="3"/>
      <c r="Q1221" s="3"/>
      <c r="R1221" s="3"/>
      <c r="S1221" s="3"/>
      <c r="T1221" s="3"/>
      <c r="U1221" s="3"/>
      <c r="V1221" s="3"/>
      <c r="W1221" s="3"/>
      <c r="X1221" s="3"/>
      <c r="Y1221" s="3"/>
      <c r="Z1221" s="3"/>
      <c r="AA1221" s="3"/>
    </row>
    <row r="1222" ht="105.75" customHeight="1">
      <c r="A1222" s="11"/>
      <c r="B1222" s="12"/>
      <c r="C1222" s="11"/>
      <c r="D1222" s="13"/>
      <c r="E1222" s="16"/>
      <c r="F1222" s="16"/>
      <c r="G1222" s="16"/>
      <c r="H1222" s="15"/>
      <c r="I1222" s="15"/>
      <c r="J1222" s="3"/>
      <c r="K1222" s="3"/>
      <c r="L1222" s="3"/>
      <c r="M1222" s="3"/>
      <c r="N1222" s="3"/>
      <c r="O1222" s="3"/>
      <c r="P1222" s="3"/>
      <c r="Q1222" s="3"/>
      <c r="R1222" s="3"/>
      <c r="S1222" s="3"/>
      <c r="T1222" s="3"/>
      <c r="U1222" s="3"/>
      <c r="V1222" s="3"/>
      <c r="W1222" s="3"/>
      <c r="X1222" s="3"/>
      <c r="Y1222" s="3"/>
      <c r="Z1222" s="3"/>
      <c r="AA1222" s="3"/>
    </row>
    <row r="1223" ht="105.75" customHeight="1">
      <c r="A1223" s="11"/>
      <c r="B1223" s="12"/>
      <c r="C1223" s="11"/>
      <c r="D1223" s="13"/>
      <c r="E1223" s="14"/>
      <c r="F1223" s="14"/>
      <c r="G1223" s="14"/>
      <c r="H1223" s="15"/>
      <c r="I1223" s="15"/>
      <c r="J1223" s="3"/>
      <c r="K1223" s="3"/>
      <c r="L1223" s="3"/>
      <c r="M1223" s="3"/>
      <c r="N1223" s="3"/>
      <c r="O1223" s="3"/>
      <c r="P1223" s="3"/>
      <c r="Q1223" s="3"/>
      <c r="R1223" s="3"/>
      <c r="S1223" s="3"/>
      <c r="T1223" s="3"/>
      <c r="U1223" s="3"/>
      <c r="V1223" s="3"/>
      <c r="W1223" s="3"/>
      <c r="X1223" s="3"/>
      <c r="Y1223" s="3"/>
      <c r="Z1223" s="3"/>
      <c r="AA1223" s="3"/>
    </row>
    <row r="1224" ht="105.75" customHeight="1">
      <c r="A1224" s="11"/>
      <c r="B1224" s="12"/>
      <c r="C1224" s="11"/>
      <c r="D1224" s="13"/>
      <c r="E1224" s="14"/>
      <c r="F1224" s="14"/>
      <c r="G1224" s="14"/>
      <c r="H1224" s="15"/>
      <c r="I1224" s="15"/>
      <c r="J1224" s="3"/>
      <c r="K1224" s="3"/>
      <c r="L1224" s="3"/>
      <c r="M1224" s="3"/>
      <c r="N1224" s="3"/>
      <c r="O1224" s="3"/>
      <c r="P1224" s="3"/>
      <c r="Q1224" s="3"/>
      <c r="R1224" s="3"/>
      <c r="S1224" s="3"/>
      <c r="T1224" s="3"/>
      <c r="U1224" s="3"/>
      <c r="V1224" s="3"/>
      <c r="W1224" s="3"/>
      <c r="X1224" s="3"/>
      <c r="Y1224" s="3"/>
      <c r="Z1224" s="3"/>
      <c r="AA1224" s="3"/>
    </row>
    <row r="1225" ht="105.75" customHeight="1">
      <c r="A1225" s="11"/>
      <c r="B1225" s="12"/>
      <c r="C1225" s="11"/>
      <c r="D1225" s="13"/>
      <c r="E1225" s="14"/>
      <c r="F1225" s="14"/>
      <c r="G1225" s="14"/>
      <c r="H1225" s="15"/>
      <c r="I1225" s="15"/>
      <c r="J1225" s="3"/>
      <c r="K1225" s="3"/>
      <c r="L1225" s="3"/>
      <c r="M1225" s="3"/>
      <c r="N1225" s="3"/>
      <c r="O1225" s="3"/>
      <c r="P1225" s="3"/>
      <c r="Q1225" s="3"/>
      <c r="R1225" s="3"/>
      <c r="S1225" s="3"/>
      <c r="T1225" s="3"/>
      <c r="U1225" s="3"/>
      <c r="V1225" s="3"/>
      <c r="W1225" s="3"/>
      <c r="X1225" s="3"/>
      <c r="Y1225" s="3"/>
      <c r="Z1225" s="3"/>
      <c r="AA1225" s="3"/>
    </row>
    <row r="1226" ht="105.75" customHeight="1">
      <c r="A1226" s="11"/>
      <c r="B1226" s="12"/>
      <c r="C1226" s="11"/>
      <c r="D1226" s="13"/>
      <c r="E1226" s="14"/>
      <c r="F1226" s="14"/>
      <c r="G1226" s="14"/>
      <c r="H1226" s="15"/>
      <c r="I1226" s="15"/>
      <c r="J1226" s="3"/>
      <c r="K1226" s="3"/>
      <c r="L1226" s="3"/>
      <c r="M1226" s="3"/>
      <c r="N1226" s="3"/>
      <c r="O1226" s="3"/>
      <c r="P1226" s="3"/>
      <c r="Q1226" s="3"/>
      <c r="R1226" s="3"/>
      <c r="S1226" s="3"/>
      <c r="T1226" s="3"/>
      <c r="U1226" s="3"/>
      <c r="V1226" s="3"/>
      <c r="W1226" s="3"/>
      <c r="X1226" s="3"/>
      <c r="Y1226" s="3"/>
      <c r="Z1226" s="3"/>
      <c r="AA1226" s="3"/>
    </row>
    <row r="1227" ht="105.75" customHeight="1">
      <c r="A1227" s="11"/>
      <c r="B1227" s="12"/>
      <c r="C1227" s="11"/>
      <c r="D1227" s="13"/>
      <c r="E1227" s="14"/>
      <c r="F1227" s="14"/>
      <c r="G1227" s="14"/>
      <c r="H1227" s="15"/>
      <c r="I1227" s="15"/>
      <c r="J1227" s="3"/>
      <c r="K1227" s="3"/>
      <c r="L1227" s="3"/>
      <c r="M1227" s="3"/>
      <c r="N1227" s="3"/>
      <c r="O1227" s="3"/>
      <c r="P1227" s="3"/>
      <c r="Q1227" s="3"/>
      <c r="R1227" s="3"/>
      <c r="S1227" s="3"/>
      <c r="T1227" s="3"/>
      <c r="U1227" s="3"/>
      <c r="V1227" s="3"/>
      <c r="W1227" s="3"/>
      <c r="X1227" s="3"/>
      <c r="Y1227" s="3"/>
      <c r="Z1227" s="3"/>
      <c r="AA1227" s="3"/>
    </row>
    <row r="1228" ht="105.75" customHeight="1">
      <c r="A1228" s="11"/>
      <c r="B1228" s="12"/>
      <c r="C1228" s="11"/>
      <c r="D1228" s="13"/>
      <c r="E1228" s="14"/>
      <c r="F1228" s="14"/>
      <c r="G1228" s="14"/>
      <c r="H1228" s="15"/>
      <c r="I1228" s="15"/>
      <c r="J1228" s="3"/>
      <c r="K1228" s="3"/>
      <c r="L1228" s="3"/>
      <c r="M1228" s="3"/>
      <c r="N1228" s="3"/>
      <c r="O1228" s="3"/>
      <c r="P1228" s="3"/>
      <c r="Q1228" s="3"/>
      <c r="R1228" s="3"/>
      <c r="S1228" s="3"/>
      <c r="T1228" s="3"/>
      <c r="U1228" s="3"/>
      <c r="V1228" s="3"/>
      <c r="W1228" s="3"/>
      <c r="X1228" s="3"/>
      <c r="Y1228" s="3"/>
      <c r="Z1228" s="3"/>
      <c r="AA1228" s="3"/>
    </row>
    <row r="1229" ht="105.75" customHeight="1">
      <c r="A1229" s="11"/>
      <c r="B1229" s="12"/>
      <c r="C1229" s="11"/>
      <c r="D1229" s="13"/>
      <c r="E1229" s="14"/>
      <c r="F1229" s="14"/>
      <c r="G1229" s="14"/>
      <c r="H1229" s="15"/>
      <c r="I1229" s="15"/>
      <c r="J1229" s="3"/>
      <c r="K1229" s="3"/>
      <c r="L1229" s="3"/>
      <c r="M1229" s="3"/>
      <c r="N1229" s="3"/>
      <c r="O1229" s="3"/>
      <c r="P1229" s="3"/>
      <c r="Q1229" s="3"/>
      <c r="R1229" s="3"/>
      <c r="S1229" s="3"/>
      <c r="T1229" s="3"/>
      <c r="U1229" s="3"/>
      <c r="V1229" s="3"/>
      <c r="W1229" s="3"/>
      <c r="X1229" s="3"/>
      <c r="Y1229" s="3"/>
      <c r="Z1229" s="3"/>
      <c r="AA1229" s="3"/>
    </row>
    <row r="1230" ht="105.75" customHeight="1">
      <c r="A1230" s="11"/>
      <c r="B1230" s="12"/>
      <c r="C1230" s="11"/>
      <c r="D1230" s="13"/>
      <c r="E1230" s="14"/>
      <c r="F1230" s="14"/>
      <c r="G1230" s="14"/>
      <c r="H1230" s="15"/>
      <c r="I1230" s="15"/>
      <c r="J1230" s="3"/>
      <c r="K1230" s="3"/>
      <c r="L1230" s="3"/>
      <c r="M1230" s="3"/>
      <c r="N1230" s="3"/>
      <c r="O1230" s="3"/>
      <c r="P1230" s="3"/>
      <c r="Q1230" s="3"/>
      <c r="R1230" s="3"/>
      <c r="S1230" s="3"/>
      <c r="T1230" s="3"/>
      <c r="U1230" s="3"/>
      <c r="V1230" s="3"/>
      <c r="W1230" s="3"/>
      <c r="X1230" s="3"/>
      <c r="Y1230" s="3"/>
      <c r="Z1230" s="3"/>
      <c r="AA1230" s="3"/>
    </row>
    <row r="1231" ht="105.75" customHeight="1">
      <c r="A1231" s="11"/>
      <c r="B1231" s="12"/>
      <c r="C1231" s="11"/>
      <c r="D1231" s="13"/>
      <c r="E1231" s="14"/>
      <c r="F1231" s="14"/>
      <c r="G1231" s="14"/>
      <c r="H1231" s="15"/>
      <c r="I1231" s="15"/>
      <c r="J1231" s="3"/>
      <c r="K1231" s="3"/>
      <c r="L1231" s="3"/>
      <c r="M1231" s="3"/>
      <c r="N1231" s="3"/>
      <c r="O1231" s="3"/>
      <c r="P1231" s="3"/>
      <c r="Q1231" s="3"/>
      <c r="R1231" s="3"/>
      <c r="S1231" s="3"/>
      <c r="T1231" s="3"/>
      <c r="U1231" s="3"/>
      <c r="V1231" s="3"/>
      <c r="W1231" s="3"/>
      <c r="X1231" s="3"/>
      <c r="Y1231" s="3"/>
      <c r="Z1231" s="3"/>
      <c r="AA1231" s="3"/>
    </row>
    <row r="1232" ht="105.75" customHeight="1">
      <c r="A1232" s="11"/>
      <c r="B1232" s="12"/>
      <c r="C1232" s="11"/>
      <c r="D1232" s="13"/>
      <c r="E1232" s="14"/>
      <c r="F1232" s="14"/>
      <c r="G1232" s="14"/>
      <c r="H1232" s="15"/>
      <c r="I1232" s="15"/>
      <c r="J1232" s="3"/>
      <c r="K1232" s="3"/>
      <c r="L1232" s="3"/>
      <c r="M1232" s="3"/>
      <c r="N1232" s="3"/>
      <c r="O1232" s="3"/>
      <c r="P1232" s="3"/>
      <c r="Q1232" s="3"/>
      <c r="R1232" s="3"/>
      <c r="S1232" s="3"/>
      <c r="T1232" s="3"/>
      <c r="U1232" s="3"/>
      <c r="V1232" s="3"/>
      <c r="W1232" s="3"/>
      <c r="X1232" s="3"/>
      <c r="Y1232" s="3"/>
      <c r="Z1232" s="3"/>
      <c r="AA1232" s="3"/>
    </row>
    <row r="1233" ht="105.75" customHeight="1">
      <c r="A1233" s="11"/>
      <c r="B1233" s="12"/>
      <c r="C1233" s="11"/>
      <c r="D1233" s="13"/>
      <c r="E1233" s="16"/>
      <c r="F1233" s="16"/>
      <c r="G1233" s="16"/>
      <c r="H1233" s="15"/>
      <c r="I1233" s="15"/>
      <c r="J1233" s="3"/>
      <c r="K1233" s="3"/>
      <c r="L1233" s="3"/>
      <c r="M1233" s="3"/>
      <c r="N1233" s="3"/>
      <c r="O1233" s="3"/>
      <c r="P1233" s="3"/>
      <c r="Q1233" s="3"/>
      <c r="R1233" s="3"/>
      <c r="S1233" s="3"/>
      <c r="T1233" s="3"/>
      <c r="U1233" s="3"/>
      <c r="V1233" s="3"/>
      <c r="W1233" s="3"/>
      <c r="X1233" s="3"/>
      <c r="Y1233" s="3"/>
      <c r="Z1233" s="3"/>
      <c r="AA1233" s="3"/>
    </row>
    <row r="1234" ht="105.75" customHeight="1">
      <c r="A1234" s="11"/>
      <c r="B1234" s="12"/>
      <c r="C1234" s="11"/>
      <c r="D1234" s="13"/>
      <c r="E1234" s="14"/>
      <c r="F1234" s="14"/>
      <c r="G1234" s="14"/>
      <c r="H1234" s="15"/>
      <c r="I1234" s="15"/>
      <c r="J1234" s="3"/>
      <c r="K1234" s="3"/>
      <c r="L1234" s="3"/>
      <c r="M1234" s="3"/>
      <c r="N1234" s="3"/>
      <c r="O1234" s="3"/>
      <c r="P1234" s="3"/>
      <c r="Q1234" s="3"/>
      <c r="R1234" s="3"/>
      <c r="S1234" s="3"/>
      <c r="T1234" s="3"/>
      <c r="U1234" s="3"/>
      <c r="V1234" s="3"/>
      <c r="W1234" s="3"/>
      <c r="X1234" s="3"/>
      <c r="Y1234" s="3"/>
      <c r="Z1234" s="3"/>
      <c r="AA1234" s="3"/>
    </row>
    <row r="1235" ht="105.75" customHeight="1">
      <c r="A1235" s="11"/>
      <c r="B1235" s="12"/>
      <c r="C1235" s="11"/>
      <c r="D1235" s="13"/>
      <c r="E1235" s="14"/>
      <c r="F1235" s="14"/>
      <c r="G1235" s="14"/>
      <c r="H1235" s="15"/>
      <c r="I1235" s="15"/>
      <c r="J1235" s="3"/>
      <c r="K1235" s="3"/>
      <c r="L1235" s="3"/>
      <c r="M1235" s="3"/>
      <c r="N1235" s="3"/>
      <c r="O1235" s="3"/>
      <c r="P1235" s="3"/>
      <c r="Q1235" s="3"/>
      <c r="R1235" s="3"/>
      <c r="S1235" s="3"/>
      <c r="T1235" s="3"/>
      <c r="U1235" s="3"/>
      <c r="V1235" s="3"/>
      <c r="W1235" s="3"/>
      <c r="X1235" s="3"/>
      <c r="Y1235" s="3"/>
      <c r="Z1235" s="3"/>
      <c r="AA1235" s="3"/>
    </row>
    <row r="1236" ht="105.75" customHeight="1">
      <c r="A1236" s="11"/>
      <c r="B1236" s="12"/>
      <c r="C1236" s="11"/>
      <c r="D1236" s="13"/>
      <c r="E1236" s="14"/>
      <c r="F1236" s="14"/>
      <c r="G1236" s="14"/>
      <c r="H1236" s="15"/>
      <c r="I1236" s="15"/>
      <c r="J1236" s="3"/>
      <c r="K1236" s="3"/>
      <c r="L1236" s="3"/>
      <c r="M1236" s="3"/>
      <c r="N1236" s="3"/>
      <c r="O1236" s="3"/>
      <c r="P1236" s="3"/>
      <c r="Q1236" s="3"/>
      <c r="R1236" s="3"/>
      <c r="S1236" s="3"/>
      <c r="T1236" s="3"/>
      <c r="U1236" s="3"/>
      <c r="V1236" s="3"/>
      <c r="W1236" s="3"/>
      <c r="X1236" s="3"/>
      <c r="Y1236" s="3"/>
      <c r="Z1236" s="3"/>
      <c r="AA1236" s="3"/>
    </row>
    <row r="1237" ht="105.75" customHeight="1">
      <c r="A1237" s="11"/>
      <c r="B1237" s="12"/>
      <c r="C1237" s="11"/>
      <c r="D1237" s="13"/>
      <c r="E1237" s="14"/>
      <c r="F1237" s="14"/>
      <c r="G1237" s="14"/>
      <c r="H1237" s="15"/>
      <c r="I1237" s="15"/>
      <c r="J1237" s="3"/>
      <c r="K1237" s="3"/>
      <c r="L1237" s="3"/>
      <c r="M1237" s="3"/>
      <c r="N1237" s="3"/>
      <c r="O1237" s="3"/>
      <c r="P1237" s="3"/>
      <c r="Q1237" s="3"/>
      <c r="R1237" s="3"/>
      <c r="S1237" s="3"/>
      <c r="T1237" s="3"/>
      <c r="U1237" s="3"/>
      <c r="V1237" s="3"/>
      <c r="W1237" s="3"/>
      <c r="X1237" s="3"/>
      <c r="Y1237" s="3"/>
      <c r="Z1237" s="3"/>
      <c r="AA1237" s="3"/>
    </row>
    <row r="1238" ht="105.75" customHeight="1">
      <c r="A1238" s="11"/>
      <c r="B1238" s="12"/>
      <c r="C1238" s="11"/>
      <c r="D1238" s="13"/>
      <c r="E1238" s="14"/>
      <c r="F1238" s="14"/>
      <c r="G1238" s="14"/>
      <c r="H1238" s="15"/>
      <c r="I1238" s="15"/>
      <c r="J1238" s="3"/>
      <c r="K1238" s="3"/>
      <c r="L1238" s="3"/>
      <c r="M1238" s="3"/>
      <c r="N1238" s="3"/>
      <c r="O1238" s="3"/>
      <c r="P1238" s="3"/>
      <c r="Q1238" s="3"/>
      <c r="R1238" s="3"/>
      <c r="S1238" s="3"/>
      <c r="T1238" s="3"/>
      <c r="U1238" s="3"/>
      <c r="V1238" s="3"/>
      <c r="W1238" s="3"/>
      <c r="X1238" s="3"/>
      <c r="Y1238" s="3"/>
      <c r="Z1238" s="3"/>
      <c r="AA1238" s="3"/>
    </row>
    <row r="1239" ht="105.75" customHeight="1">
      <c r="A1239" s="11"/>
      <c r="B1239" s="12"/>
      <c r="C1239" s="11"/>
      <c r="D1239" s="13"/>
      <c r="E1239" s="16"/>
      <c r="F1239" s="16"/>
      <c r="G1239" s="16"/>
      <c r="H1239" s="15"/>
      <c r="I1239" s="15"/>
      <c r="J1239" s="3"/>
      <c r="K1239" s="3"/>
      <c r="L1239" s="3"/>
      <c r="M1239" s="3"/>
      <c r="N1239" s="3"/>
      <c r="O1239" s="3"/>
      <c r="P1239" s="3"/>
      <c r="Q1239" s="3"/>
      <c r="R1239" s="3"/>
      <c r="S1239" s="3"/>
      <c r="T1239" s="3"/>
      <c r="U1239" s="3"/>
      <c r="V1239" s="3"/>
      <c r="W1239" s="3"/>
      <c r="X1239" s="3"/>
      <c r="Y1239" s="3"/>
      <c r="Z1239" s="3"/>
      <c r="AA1239" s="3"/>
    </row>
    <row r="1240" ht="105.75" customHeight="1">
      <c r="A1240" s="11"/>
      <c r="B1240" s="12"/>
      <c r="C1240" s="11"/>
      <c r="D1240" s="13"/>
      <c r="E1240" s="14"/>
      <c r="F1240" s="14"/>
      <c r="G1240" s="14"/>
      <c r="H1240" s="15"/>
      <c r="I1240" s="15"/>
      <c r="J1240" s="3"/>
      <c r="K1240" s="3"/>
      <c r="L1240" s="3"/>
      <c r="M1240" s="3"/>
      <c r="N1240" s="3"/>
      <c r="O1240" s="3"/>
      <c r="P1240" s="3"/>
      <c r="Q1240" s="3"/>
      <c r="R1240" s="3"/>
      <c r="S1240" s="3"/>
      <c r="T1240" s="3"/>
      <c r="U1240" s="3"/>
      <c r="V1240" s="3"/>
      <c r="W1240" s="3"/>
      <c r="X1240" s="3"/>
      <c r="Y1240" s="3"/>
      <c r="Z1240" s="3"/>
      <c r="AA1240" s="3"/>
    </row>
    <row r="1241" ht="105.75" customHeight="1">
      <c r="A1241" s="11"/>
      <c r="B1241" s="12"/>
      <c r="C1241" s="11"/>
      <c r="D1241" s="13"/>
      <c r="E1241" s="14"/>
      <c r="F1241" s="14"/>
      <c r="G1241" s="14"/>
      <c r="H1241" s="15"/>
      <c r="I1241" s="15"/>
      <c r="J1241" s="3"/>
      <c r="K1241" s="3"/>
      <c r="L1241" s="3"/>
      <c r="M1241" s="3"/>
      <c r="N1241" s="3"/>
      <c r="O1241" s="3"/>
      <c r="P1241" s="3"/>
      <c r="Q1241" s="3"/>
      <c r="R1241" s="3"/>
      <c r="S1241" s="3"/>
      <c r="T1241" s="3"/>
      <c r="U1241" s="3"/>
      <c r="V1241" s="3"/>
      <c r="W1241" s="3"/>
      <c r="X1241" s="3"/>
      <c r="Y1241" s="3"/>
      <c r="Z1241" s="3"/>
      <c r="AA1241" s="3"/>
    </row>
    <row r="1242" ht="105.75" customHeight="1">
      <c r="A1242" s="11"/>
      <c r="B1242" s="12"/>
      <c r="C1242" s="11"/>
      <c r="D1242" s="13"/>
      <c r="E1242" s="16"/>
      <c r="F1242" s="16"/>
      <c r="G1242" s="16"/>
      <c r="H1242" s="15"/>
      <c r="I1242" s="15"/>
      <c r="J1242" s="3"/>
      <c r="K1242" s="3"/>
      <c r="L1242" s="3"/>
      <c r="M1242" s="3"/>
      <c r="N1242" s="3"/>
      <c r="O1242" s="3"/>
      <c r="P1242" s="3"/>
      <c r="Q1242" s="3"/>
      <c r="R1242" s="3"/>
      <c r="S1242" s="3"/>
      <c r="T1242" s="3"/>
      <c r="U1242" s="3"/>
      <c r="V1242" s="3"/>
      <c r="W1242" s="3"/>
      <c r="X1242" s="3"/>
      <c r="Y1242" s="3"/>
      <c r="Z1242" s="3"/>
      <c r="AA1242" s="3"/>
    </row>
    <row r="1243" ht="105.75" customHeight="1">
      <c r="A1243" s="11"/>
      <c r="B1243" s="12"/>
      <c r="C1243" s="11"/>
      <c r="D1243" s="13"/>
      <c r="E1243" s="14"/>
      <c r="F1243" s="14"/>
      <c r="G1243" s="14"/>
      <c r="H1243" s="15"/>
      <c r="I1243" s="15"/>
      <c r="J1243" s="3"/>
      <c r="K1243" s="3"/>
      <c r="L1243" s="3"/>
      <c r="M1243" s="3"/>
      <c r="N1243" s="3"/>
      <c r="O1243" s="3"/>
      <c r="P1243" s="3"/>
      <c r="Q1243" s="3"/>
      <c r="R1243" s="3"/>
      <c r="S1243" s="3"/>
      <c r="T1243" s="3"/>
      <c r="U1243" s="3"/>
      <c r="V1243" s="3"/>
      <c r="W1243" s="3"/>
      <c r="X1243" s="3"/>
      <c r="Y1243" s="3"/>
      <c r="Z1243" s="3"/>
      <c r="AA1243" s="3"/>
    </row>
    <row r="1244" ht="105.75" customHeight="1">
      <c r="A1244" s="11"/>
      <c r="B1244" s="12"/>
      <c r="C1244" s="11"/>
      <c r="D1244" s="13"/>
      <c r="E1244" s="14"/>
      <c r="F1244" s="14"/>
      <c r="G1244" s="14"/>
      <c r="H1244" s="15"/>
      <c r="I1244" s="15"/>
      <c r="J1244" s="3"/>
      <c r="K1244" s="3"/>
      <c r="L1244" s="3"/>
      <c r="M1244" s="3"/>
      <c r="N1244" s="3"/>
      <c r="O1244" s="3"/>
      <c r="P1244" s="3"/>
      <c r="Q1244" s="3"/>
      <c r="R1244" s="3"/>
      <c r="S1244" s="3"/>
      <c r="T1244" s="3"/>
      <c r="U1244" s="3"/>
      <c r="V1244" s="3"/>
      <c r="W1244" s="3"/>
      <c r="X1244" s="3"/>
      <c r="Y1244" s="3"/>
      <c r="Z1244" s="3"/>
      <c r="AA1244" s="3"/>
    </row>
    <row r="1245" ht="105.75" customHeight="1">
      <c r="A1245" s="11"/>
      <c r="B1245" s="12"/>
      <c r="C1245" s="11"/>
      <c r="D1245" s="13"/>
      <c r="E1245" s="14"/>
      <c r="F1245" s="14"/>
      <c r="G1245" s="14"/>
      <c r="H1245" s="15"/>
      <c r="I1245" s="15"/>
      <c r="J1245" s="3"/>
      <c r="K1245" s="3"/>
      <c r="L1245" s="3"/>
      <c r="M1245" s="3"/>
      <c r="N1245" s="3"/>
      <c r="O1245" s="3"/>
      <c r="P1245" s="3"/>
      <c r="Q1245" s="3"/>
      <c r="R1245" s="3"/>
      <c r="S1245" s="3"/>
      <c r="T1245" s="3"/>
      <c r="U1245" s="3"/>
      <c r="V1245" s="3"/>
      <c r="W1245" s="3"/>
      <c r="X1245" s="3"/>
      <c r="Y1245" s="3"/>
      <c r="Z1245" s="3"/>
      <c r="AA1245" s="3"/>
    </row>
    <row r="1246" ht="105.75" customHeight="1">
      <c r="A1246" s="11"/>
      <c r="B1246" s="12"/>
      <c r="C1246" s="11"/>
      <c r="D1246" s="13"/>
      <c r="E1246" s="14"/>
      <c r="F1246" s="14"/>
      <c r="G1246" s="14"/>
      <c r="H1246" s="15"/>
      <c r="I1246" s="15"/>
      <c r="J1246" s="3"/>
      <c r="K1246" s="3"/>
      <c r="L1246" s="3"/>
      <c r="M1246" s="3"/>
      <c r="N1246" s="3"/>
      <c r="O1246" s="3"/>
      <c r="P1246" s="3"/>
      <c r="Q1246" s="3"/>
      <c r="R1246" s="3"/>
      <c r="S1246" s="3"/>
      <c r="T1246" s="3"/>
      <c r="U1246" s="3"/>
      <c r="V1246" s="3"/>
      <c r="W1246" s="3"/>
      <c r="X1246" s="3"/>
      <c r="Y1246" s="3"/>
      <c r="Z1246" s="3"/>
      <c r="AA1246" s="3"/>
    </row>
    <row r="1247" ht="105.75" customHeight="1">
      <c r="A1247" s="11"/>
      <c r="B1247" s="12"/>
      <c r="C1247" s="11"/>
      <c r="D1247" s="13"/>
      <c r="E1247" s="14"/>
      <c r="F1247" s="14"/>
      <c r="G1247" s="14"/>
      <c r="H1247" s="15"/>
      <c r="I1247" s="15"/>
      <c r="J1247" s="3"/>
      <c r="K1247" s="3"/>
      <c r="L1247" s="3"/>
      <c r="M1247" s="3"/>
      <c r="N1247" s="3"/>
      <c r="O1247" s="3"/>
      <c r="P1247" s="3"/>
      <c r="Q1247" s="3"/>
      <c r="R1247" s="3"/>
      <c r="S1247" s="3"/>
      <c r="T1247" s="3"/>
      <c r="U1247" s="3"/>
      <c r="V1247" s="3"/>
      <c r="W1247" s="3"/>
      <c r="X1247" s="3"/>
      <c r="Y1247" s="3"/>
      <c r="Z1247" s="3"/>
      <c r="AA1247" s="3"/>
    </row>
    <row r="1248" ht="105.75" customHeight="1">
      <c r="A1248" s="11"/>
      <c r="B1248" s="12"/>
      <c r="C1248" s="11"/>
      <c r="D1248" s="13"/>
      <c r="E1248" s="14"/>
      <c r="F1248" s="14"/>
      <c r="G1248" s="14"/>
      <c r="H1248" s="15"/>
      <c r="I1248" s="15"/>
      <c r="J1248" s="3"/>
      <c r="K1248" s="3"/>
      <c r="L1248" s="3"/>
      <c r="M1248" s="3"/>
      <c r="N1248" s="3"/>
      <c r="O1248" s="3"/>
      <c r="P1248" s="3"/>
      <c r="Q1248" s="3"/>
      <c r="R1248" s="3"/>
      <c r="S1248" s="3"/>
      <c r="T1248" s="3"/>
      <c r="U1248" s="3"/>
      <c r="V1248" s="3"/>
      <c r="W1248" s="3"/>
      <c r="X1248" s="3"/>
      <c r="Y1248" s="3"/>
      <c r="Z1248" s="3"/>
      <c r="AA1248" s="3"/>
    </row>
    <row r="1249" ht="105.75" customHeight="1">
      <c r="A1249" s="11"/>
      <c r="B1249" s="12"/>
      <c r="C1249" s="11"/>
      <c r="D1249" s="13"/>
      <c r="E1249" s="14"/>
      <c r="F1249" s="14"/>
      <c r="G1249" s="14"/>
      <c r="H1249" s="15"/>
      <c r="I1249" s="15"/>
      <c r="J1249" s="3"/>
      <c r="K1249" s="3"/>
      <c r="L1249" s="3"/>
      <c r="M1249" s="3"/>
      <c r="N1249" s="3"/>
      <c r="O1249" s="3"/>
      <c r="P1249" s="3"/>
      <c r="Q1249" s="3"/>
      <c r="R1249" s="3"/>
      <c r="S1249" s="3"/>
      <c r="T1249" s="3"/>
      <c r="U1249" s="3"/>
      <c r="V1249" s="3"/>
      <c r="W1249" s="3"/>
      <c r="X1249" s="3"/>
      <c r="Y1249" s="3"/>
      <c r="Z1249" s="3"/>
      <c r="AA1249" s="3"/>
    </row>
    <row r="1250" ht="105.75" customHeight="1">
      <c r="A1250" s="11"/>
      <c r="B1250" s="12"/>
      <c r="C1250" s="11"/>
      <c r="D1250" s="13"/>
      <c r="E1250" s="14"/>
      <c r="F1250" s="14"/>
      <c r="G1250" s="14"/>
      <c r="H1250" s="15"/>
      <c r="I1250" s="15"/>
      <c r="J1250" s="3"/>
      <c r="K1250" s="3"/>
      <c r="L1250" s="3"/>
      <c r="M1250" s="3"/>
      <c r="N1250" s="3"/>
      <c r="O1250" s="3"/>
      <c r="P1250" s="3"/>
      <c r="Q1250" s="3"/>
      <c r="R1250" s="3"/>
      <c r="S1250" s="3"/>
      <c r="T1250" s="3"/>
      <c r="U1250" s="3"/>
      <c r="V1250" s="3"/>
      <c r="W1250" s="3"/>
      <c r="X1250" s="3"/>
      <c r="Y1250" s="3"/>
      <c r="Z1250" s="3"/>
      <c r="AA1250" s="3"/>
    </row>
    <row r="1251" ht="105.75" customHeight="1">
      <c r="A1251" s="11"/>
      <c r="B1251" s="12"/>
      <c r="C1251" s="11"/>
      <c r="D1251" s="13"/>
      <c r="E1251" s="16"/>
      <c r="F1251" s="16"/>
      <c r="G1251" s="16"/>
      <c r="H1251" s="15"/>
      <c r="I1251" s="15"/>
      <c r="J1251" s="3"/>
      <c r="K1251" s="3"/>
      <c r="L1251" s="3"/>
      <c r="M1251" s="3"/>
      <c r="N1251" s="3"/>
      <c r="O1251" s="3"/>
      <c r="P1251" s="3"/>
      <c r="Q1251" s="3"/>
      <c r="R1251" s="3"/>
      <c r="S1251" s="3"/>
      <c r="T1251" s="3"/>
      <c r="U1251" s="3"/>
      <c r="V1251" s="3"/>
      <c r="W1251" s="3"/>
      <c r="X1251" s="3"/>
      <c r="Y1251" s="3"/>
      <c r="Z1251" s="3"/>
      <c r="AA1251" s="3"/>
    </row>
    <row r="1252" ht="105.75" customHeight="1">
      <c r="A1252" s="11"/>
      <c r="B1252" s="12"/>
      <c r="C1252" s="11"/>
      <c r="D1252" s="13"/>
      <c r="E1252" s="14"/>
      <c r="F1252" s="14"/>
      <c r="G1252" s="14"/>
      <c r="H1252" s="15"/>
      <c r="I1252" s="15"/>
      <c r="J1252" s="3"/>
      <c r="K1252" s="3"/>
      <c r="L1252" s="3"/>
      <c r="M1252" s="3"/>
      <c r="N1252" s="3"/>
      <c r="O1252" s="3"/>
      <c r="P1252" s="3"/>
      <c r="Q1252" s="3"/>
      <c r="R1252" s="3"/>
      <c r="S1252" s="3"/>
      <c r="T1252" s="3"/>
      <c r="U1252" s="3"/>
      <c r="V1252" s="3"/>
      <c r="W1252" s="3"/>
      <c r="X1252" s="3"/>
      <c r="Y1252" s="3"/>
      <c r="Z1252" s="3"/>
      <c r="AA1252" s="3"/>
    </row>
    <row r="1253" ht="105.75" customHeight="1">
      <c r="A1253" s="11"/>
      <c r="B1253" s="12"/>
      <c r="C1253" s="11"/>
      <c r="D1253" s="13"/>
      <c r="E1253" s="16"/>
      <c r="F1253" s="16"/>
      <c r="G1253" s="16"/>
      <c r="H1253" s="15"/>
      <c r="I1253" s="15"/>
      <c r="J1253" s="3"/>
      <c r="K1253" s="3"/>
      <c r="L1253" s="3"/>
      <c r="M1253" s="3"/>
      <c r="N1253" s="3"/>
      <c r="O1253" s="3"/>
      <c r="P1253" s="3"/>
      <c r="Q1253" s="3"/>
      <c r="R1253" s="3"/>
      <c r="S1253" s="3"/>
      <c r="T1253" s="3"/>
      <c r="U1253" s="3"/>
      <c r="V1253" s="3"/>
      <c r="W1253" s="3"/>
      <c r="X1253" s="3"/>
      <c r="Y1253" s="3"/>
      <c r="Z1253" s="3"/>
      <c r="AA1253" s="3"/>
    </row>
    <row r="1254" ht="105.75" customHeight="1">
      <c r="A1254" s="11"/>
      <c r="B1254" s="12"/>
      <c r="C1254" s="11"/>
      <c r="D1254" s="13"/>
      <c r="E1254" s="14"/>
      <c r="F1254" s="14"/>
      <c r="G1254" s="14"/>
      <c r="H1254" s="15"/>
      <c r="I1254" s="15"/>
      <c r="J1254" s="3"/>
      <c r="K1254" s="3"/>
      <c r="L1254" s="3"/>
      <c r="M1254" s="3"/>
      <c r="N1254" s="3"/>
      <c r="O1254" s="3"/>
      <c r="P1254" s="3"/>
      <c r="Q1254" s="3"/>
      <c r="R1254" s="3"/>
      <c r="S1254" s="3"/>
      <c r="T1254" s="3"/>
      <c r="U1254" s="3"/>
      <c r="V1254" s="3"/>
      <c r="W1254" s="3"/>
      <c r="X1254" s="3"/>
      <c r="Y1254" s="3"/>
      <c r="Z1254" s="3"/>
      <c r="AA1254" s="3"/>
    </row>
    <row r="1255" ht="105.75" customHeight="1">
      <c r="A1255" s="11"/>
      <c r="B1255" s="12"/>
      <c r="C1255" s="11"/>
      <c r="D1255" s="13"/>
      <c r="E1255" s="14"/>
      <c r="F1255" s="14"/>
      <c r="G1255" s="14"/>
      <c r="H1255" s="15"/>
      <c r="I1255" s="15"/>
      <c r="J1255" s="3"/>
      <c r="K1255" s="3"/>
      <c r="L1255" s="3"/>
      <c r="M1255" s="3"/>
      <c r="N1255" s="3"/>
      <c r="O1255" s="3"/>
      <c r="P1255" s="3"/>
      <c r="Q1255" s="3"/>
      <c r="R1255" s="3"/>
      <c r="S1255" s="3"/>
      <c r="T1255" s="3"/>
      <c r="U1255" s="3"/>
      <c r="V1255" s="3"/>
      <c r="W1255" s="3"/>
      <c r="X1255" s="3"/>
      <c r="Y1255" s="3"/>
      <c r="Z1255" s="3"/>
      <c r="AA1255" s="3"/>
    </row>
    <row r="1256" ht="105.75" customHeight="1">
      <c r="A1256" s="11"/>
      <c r="B1256" s="12"/>
      <c r="C1256" s="11"/>
      <c r="D1256" s="13"/>
      <c r="E1256" s="14"/>
      <c r="F1256" s="14"/>
      <c r="G1256" s="14"/>
      <c r="H1256" s="15"/>
      <c r="I1256" s="15"/>
      <c r="J1256" s="3"/>
      <c r="K1256" s="3"/>
      <c r="L1256" s="3"/>
      <c r="M1256" s="3"/>
      <c r="N1256" s="3"/>
      <c r="O1256" s="3"/>
      <c r="P1256" s="3"/>
      <c r="Q1256" s="3"/>
      <c r="R1256" s="3"/>
      <c r="S1256" s="3"/>
      <c r="T1256" s="3"/>
      <c r="U1256" s="3"/>
      <c r="V1256" s="3"/>
      <c r="W1256" s="3"/>
      <c r="X1256" s="3"/>
      <c r="Y1256" s="3"/>
      <c r="Z1256" s="3"/>
      <c r="AA1256" s="3"/>
    </row>
    <row r="1257" ht="105.75" customHeight="1">
      <c r="A1257" s="11"/>
      <c r="B1257" s="12"/>
      <c r="C1257" s="11"/>
      <c r="D1257" s="13"/>
      <c r="E1257" s="14"/>
      <c r="F1257" s="14"/>
      <c r="G1257" s="14"/>
      <c r="H1257" s="15"/>
      <c r="I1257" s="15"/>
      <c r="J1257" s="3"/>
      <c r="K1257" s="3"/>
      <c r="L1257" s="3"/>
      <c r="M1257" s="3"/>
      <c r="N1257" s="3"/>
      <c r="O1257" s="3"/>
      <c r="P1257" s="3"/>
      <c r="Q1257" s="3"/>
      <c r="R1257" s="3"/>
      <c r="S1257" s="3"/>
      <c r="T1257" s="3"/>
      <c r="U1257" s="3"/>
      <c r="V1257" s="3"/>
      <c r="W1257" s="3"/>
      <c r="X1257" s="3"/>
      <c r="Y1257" s="3"/>
      <c r="Z1257" s="3"/>
      <c r="AA1257" s="3"/>
    </row>
    <row r="1258" ht="105.75" customHeight="1">
      <c r="A1258" s="11"/>
      <c r="B1258" s="12"/>
      <c r="C1258" s="11"/>
      <c r="D1258" s="13"/>
      <c r="E1258" s="14"/>
      <c r="F1258" s="14"/>
      <c r="G1258" s="14"/>
      <c r="H1258" s="15"/>
      <c r="I1258" s="15"/>
      <c r="J1258" s="3"/>
      <c r="K1258" s="3"/>
      <c r="L1258" s="3"/>
      <c r="M1258" s="3"/>
      <c r="N1258" s="3"/>
      <c r="O1258" s="3"/>
      <c r="P1258" s="3"/>
      <c r="Q1258" s="3"/>
      <c r="R1258" s="3"/>
      <c r="S1258" s="3"/>
      <c r="T1258" s="3"/>
      <c r="U1258" s="3"/>
      <c r="V1258" s="3"/>
      <c r="W1258" s="3"/>
      <c r="X1258" s="3"/>
      <c r="Y1258" s="3"/>
      <c r="Z1258" s="3"/>
      <c r="AA1258" s="3"/>
    </row>
    <row r="1259" ht="105.75" customHeight="1">
      <c r="A1259" s="11"/>
      <c r="B1259" s="12"/>
      <c r="C1259" s="11"/>
      <c r="D1259" s="13"/>
      <c r="E1259" s="14"/>
      <c r="F1259" s="14"/>
      <c r="G1259" s="14"/>
      <c r="H1259" s="15"/>
      <c r="I1259" s="15"/>
      <c r="J1259" s="3"/>
      <c r="K1259" s="3"/>
      <c r="L1259" s="3"/>
      <c r="M1259" s="3"/>
      <c r="N1259" s="3"/>
      <c r="O1259" s="3"/>
      <c r="P1259" s="3"/>
      <c r="Q1259" s="3"/>
      <c r="R1259" s="3"/>
      <c r="S1259" s="3"/>
      <c r="T1259" s="3"/>
      <c r="U1259" s="3"/>
      <c r="V1259" s="3"/>
      <c r="W1259" s="3"/>
      <c r="X1259" s="3"/>
      <c r="Y1259" s="3"/>
      <c r="Z1259" s="3"/>
      <c r="AA1259" s="3"/>
    </row>
    <row r="1260" ht="105.75" customHeight="1">
      <c r="A1260" s="11"/>
      <c r="B1260" s="12"/>
      <c r="C1260" s="11"/>
      <c r="D1260" s="13"/>
      <c r="E1260" s="14"/>
      <c r="F1260" s="14"/>
      <c r="G1260" s="14"/>
      <c r="H1260" s="15"/>
      <c r="I1260" s="15"/>
      <c r="J1260" s="3"/>
      <c r="K1260" s="3"/>
      <c r="L1260" s="3"/>
      <c r="M1260" s="3"/>
      <c r="N1260" s="3"/>
      <c r="O1260" s="3"/>
      <c r="P1260" s="3"/>
      <c r="Q1260" s="3"/>
      <c r="R1260" s="3"/>
      <c r="S1260" s="3"/>
      <c r="T1260" s="3"/>
      <c r="U1260" s="3"/>
      <c r="V1260" s="3"/>
      <c r="W1260" s="3"/>
      <c r="X1260" s="3"/>
      <c r="Y1260" s="3"/>
      <c r="Z1260" s="3"/>
      <c r="AA1260" s="3"/>
    </row>
    <row r="1261" ht="105.75" customHeight="1">
      <c r="A1261" s="11"/>
      <c r="B1261" s="12"/>
      <c r="C1261" s="11"/>
      <c r="D1261" s="13"/>
      <c r="E1261" s="16"/>
      <c r="F1261" s="16"/>
      <c r="G1261" s="16"/>
      <c r="H1261" s="15"/>
      <c r="I1261" s="15"/>
      <c r="J1261" s="3"/>
      <c r="K1261" s="3"/>
      <c r="L1261" s="3"/>
      <c r="M1261" s="3"/>
      <c r="N1261" s="3"/>
      <c r="O1261" s="3"/>
      <c r="P1261" s="3"/>
      <c r="Q1261" s="3"/>
      <c r="R1261" s="3"/>
      <c r="S1261" s="3"/>
      <c r="T1261" s="3"/>
      <c r="U1261" s="3"/>
      <c r="V1261" s="3"/>
      <c r="W1261" s="3"/>
      <c r="X1261" s="3"/>
      <c r="Y1261" s="3"/>
      <c r="Z1261" s="3"/>
      <c r="AA1261" s="3"/>
    </row>
    <row r="1262" ht="105.75" customHeight="1">
      <c r="A1262" s="11"/>
      <c r="B1262" s="12"/>
      <c r="C1262" s="11"/>
      <c r="D1262" s="13"/>
      <c r="E1262" s="14"/>
      <c r="F1262" s="14"/>
      <c r="G1262" s="14"/>
      <c r="H1262" s="15"/>
      <c r="I1262" s="15"/>
      <c r="J1262" s="3"/>
      <c r="K1262" s="3"/>
      <c r="L1262" s="3"/>
      <c r="M1262" s="3"/>
      <c r="N1262" s="3"/>
      <c r="O1262" s="3"/>
      <c r="P1262" s="3"/>
      <c r="Q1262" s="3"/>
      <c r="R1262" s="3"/>
      <c r="S1262" s="3"/>
      <c r="T1262" s="3"/>
      <c r="U1262" s="3"/>
      <c r="V1262" s="3"/>
      <c r="W1262" s="3"/>
      <c r="X1262" s="3"/>
      <c r="Y1262" s="3"/>
      <c r="Z1262" s="3"/>
      <c r="AA1262" s="3"/>
    </row>
    <row r="1263" ht="105.75" customHeight="1">
      <c r="A1263" s="11"/>
      <c r="B1263" s="12"/>
      <c r="C1263" s="11"/>
      <c r="D1263" s="13"/>
      <c r="E1263" s="14"/>
      <c r="F1263" s="14"/>
      <c r="G1263" s="14"/>
      <c r="H1263" s="15"/>
      <c r="I1263" s="15"/>
      <c r="J1263" s="3"/>
      <c r="K1263" s="3"/>
      <c r="L1263" s="3"/>
      <c r="M1263" s="3"/>
      <c r="N1263" s="3"/>
      <c r="O1263" s="3"/>
      <c r="P1263" s="3"/>
      <c r="Q1263" s="3"/>
      <c r="R1263" s="3"/>
      <c r="S1263" s="3"/>
      <c r="T1263" s="3"/>
      <c r="U1263" s="3"/>
      <c r="V1263" s="3"/>
      <c r="W1263" s="3"/>
      <c r="X1263" s="3"/>
      <c r="Y1263" s="3"/>
      <c r="Z1263" s="3"/>
      <c r="AA1263" s="3"/>
    </row>
    <row r="1264" ht="105.75" customHeight="1">
      <c r="A1264" s="11"/>
      <c r="B1264" s="12"/>
      <c r="C1264" s="11"/>
      <c r="D1264" s="13"/>
      <c r="E1264" s="14"/>
      <c r="F1264" s="14"/>
      <c r="G1264" s="14"/>
      <c r="H1264" s="15"/>
      <c r="I1264" s="15"/>
      <c r="J1264" s="3"/>
      <c r="K1264" s="3"/>
      <c r="L1264" s="3"/>
      <c r="M1264" s="3"/>
      <c r="N1264" s="3"/>
      <c r="O1264" s="3"/>
      <c r="P1264" s="3"/>
      <c r="Q1264" s="3"/>
      <c r="R1264" s="3"/>
      <c r="S1264" s="3"/>
      <c r="T1264" s="3"/>
      <c r="U1264" s="3"/>
      <c r="V1264" s="3"/>
      <c r="W1264" s="3"/>
      <c r="X1264" s="3"/>
      <c r="Y1264" s="3"/>
      <c r="Z1264" s="3"/>
      <c r="AA1264" s="3"/>
    </row>
    <row r="1265" ht="105.75" customHeight="1">
      <c r="A1265" s="11"/>
      <c r="B1265" s="12"/>
      <c r="C1265" s="11"/>
      <c r="D1265" s="13"/>
      <c r="E1265" s="14"/>
      <c r="F1265" s="14"/>
      <c r="G1265" s="14"/>
      <c r="H1265" s="15"/>
      <c r="I1265" s="15"/>
      <c r="J1265" s="3"/>
      <c r="K1265" s="3"/>
      <c r="L1265" s="3"/>
      <c r="M1265" s="3"/>
      <c r="N1265" s="3"/>
      <c r="O1265" s="3"/>
      <c r="P1265" s="3"/>
      <c r="Q1265" s="3"/>
      <c r="R1265" s="3"/>
      <c r="S1265" s="3"/>
      <c r="T1265" s="3"/>
      <c r="U1265" s="3"/>
      <c r="V1265" s="3"/>
      <c r="W1265" s="3"/>
      <c r="X1265" s="3"/>
      <c r="Y1265" s="3"/>
      <c r="Z1265" s="3"/>
      <c r="AA1265" s="3"/>
    </row>
    <row r="1266" ht="105.75" customHeight="1">
      <c r="A1266" s="11"/>
      <c r="B1266" s="12"/>
      <c r="C1266" s="11"/>
      <c r="D1266" s="13"/>
      <c r="E1266" s="14"/>
      <c r="F1266" s="14"/>
      <c r="G1266" s="14"/>
      <c r="H1266" s="15"/>
      <c r="I1266" s="15"/>
      <c r="J1266" s="3"/>
      <c r="K1266" s="3"/>
      <c r="L1266" s="3"/>
      <c r="M1266" s="3"/>
      <c r="N1266" s="3"/>
      <c r="O1266" s="3"/>
      <c r="P1266" s="3"/>
      <c r="Q1266" s="3"/>
      <c r="R1266" s="3"/>
      <c r="S1266" s="3"/>
      <c r="T1266" s="3"/>
      <c r="U1266" s="3"/>
      <c r="V1266" s="3"/>
      <c r="W1266" s="3"/>
      <c r="X1266" s="3"/>
      <c r="Y1266" s="3"/>
      <c r="Z1266" s="3"/>
      <c r="AA1266" s="3"/>
    </row>
    <row r="1267" ht="105.75" customHeight="1">
      <c r="A1267" s="11"/>
      <c r="B1267" s="12"/>
      <c r="C1267" s="11"/>
      <c r="D1267" s="13"/>
      <c r="E1267" s="16"/>
      <c r="F1267" s="16"/>
      <c r="G1267" s="16"/>
      <c r="H1267" s="15"/>
      <c r="I1267" s="15"/>
      <c r="J1267" s="3"/>
      <c r="K1267" s="3"/>
      <c r="L1267" s="3"/>
      <c r="M1267" s="3"/>
      <c r="N1267" s="3"/>
      <c r="O1267" s="3"/>
      <c r="P1267" s="3"/>
      <c r="Q1267" s="3"/>
      <c r="R1267" s="3"/>
      <c r="S1267" s="3"/>
      <c r="T1267" s="3"/>
      <c r="U1267" s="3"/>
      <c r="V1267" s="3"/>
      <c r="W1267" s="3"/>
      <c r="X1267" s="3"/>
      <c r="Y1267" s="3"/>
      <c r="Z1267" s="3"/>
      <c r="AA1267" s="3"/>
    </row>
    <row r="1268" ht="105.75" customHeight="1">
      <c r="A1268" s="11"/>
      <c r="B1268" s="12"/>
      <c r="C1268" s="11"/>
      <c r="D1268" s="13"/>
      <c r="E1268" s="14"/>
      <c r="F1268" s="14"/>
      <c r="G1268" s="14"/>
      <c r="H1268" s="15"/>
      <c r="I1268" s="15"/>
      <c r="J1268" s="3"/>
      <c r="K1268" s="3"/>
      <c r="L1268" s="3"/>
      <c r="M1268" s="3"/>
      <c r="N1268" s="3"/>
      <c r="O1268" s="3"/>
      <c r="P1268" s="3"/>
      <c r="Q1268" s="3"/>
      <c r="R1268" s="3"/>
      <c r="S1268" s="3"/>
      <c r="T1268" s="3"/>
      <c r="U1268" s="3"/>
      <c r="V1268" s="3"/>
      <c r="W1268" s="3"/>
      <c r="X1268" s="3"/>
      <c r="Y1268" s="3"/>
      <c r="Z1268" s="3"/>
      <c r="AA1268" s="3"/>
    </row>
    <row r="1269" ht="105.75" customHeight="1">
      <c r="A1269" s="11"/>
      <c r="B1269" s="12"/>
      <c r="C1269" s="11"/>
      <c r="D1269" s="13"/>
      <c r="E1269" s="14"/>
      <c r="F1269" s="14"/>
      <c r="G1269" s="14"/>
      <c r="H1269" s="15"/>
      <c r="I1269" s="15"/>
      <c r="J1269" s="3"/>
      <c r="K1269" s="3"/>
      <c r="L1269" s="3"/>
      <c r="M1269" s="3"/>
      <c r="N1269" s="3"/>
      <c r="O1269" s="3"/>
      <c r="P1269" s="3"/>
      <c r="Q1269" s="3"/>
      <c r="R1269" s="3"/>
      <c r="S1269" s="3"/>
      <c r="T1269" s="3"/>
      <c r="U1269" s="3"/>
      <c r="V1269" s="3"/>
      <c r="W1269" s="3"/>
      <c r="X1269" s="3"/>
      <c r="Y1269" s="3"/>
      <c r="Z1269" s="3"/>
      <c r="AA1269" s="3"/>
    </row>
    <row r="1270" ht="105.75" customHeight="1">
      <c r="A1270" s="11"/>
      <c r="B1270" s="12"/>
      <c r="C1270" s="11"/>
      <c r="D1270" s="13"/>
      <c r="E1270" s="16"/>
      <c r="F1270" s="16"/>
      <c r="G1270" s="16"/>
      <c r="H1270" s="15"/>
      <c r="I1270" s="15"/>
      <c r="J1270" s="3"/>
      <c r="K1270" s="3"/>
      <c r="L1270" s="3"/>
      <c r="M1270" s="3"/>
      <c r="N1270" s="3"/>
      <c r="O1270" s="3"/>
      <c r="P1270" s="3"/>
      <c r="Q1270" s="3"/>
      <c r="R1270" s="3"/>
      <c r="S1270" s="3"/>
      <c r="T1270" s="3"/>
      <c r="U1270" s="3"/>
      <c r="V1270" s="3"/>
      <c r="W1270" s="3"/>
      <c r="X1270" s="3"/>
      <c r="Y1270" s="3"/>
      <c r="Z1270" s="3"/>
      <c r="AA1270" s="3"/>
    </row>
    <row r="1271" ht="105.75" customHeight="1">
      <c r="A1271" s="11"/>
      <c r="B1271" s="12"/>
      <c r="C1271" s="11"/>
      <c r="D1271" s="13"/>
      <c r="E1271" s="14"/>
      <c r="F1271" s="14"/>
      <c r="G1271" s="14"/>
      <c r="H1271" s="15"/>
      <c r="I1271" s="15"/>
      <c r="J1271" s="3"/>
      <c r="K1271" s="3"/>
      <c r="L1271" s="3"/>
      <c r="M1271" s="3"/>
      <c r="N1271" s="3"/>
      <c r="O1271" s="3"/>
      <c r="P1271" s="3"/>
      <c r="Q1271" s="3"/>
      <c r="R1271" s="3"/>
      <c r="S1271" s="3"/>
      <c r="T1271" s="3"/>
      <c r="U1271" s="3"/>
      <c r="V1271" s="3"/>
      <c r="W1271" s="3"/>
      <c r="X1271" s="3"/>
      <c r="Y1271" s="3"/>
      <c r="Z1271" s="3"/>
      <c r="AA1271" s="3"/>
    </row>
    <row r="1272" ht="105.75" customHeight="1">
      <c r="A1272" s="11"/>
      <c r="B1272" s="12"/>
      <c r="C1272" s="11"/>
      <c r="D1272" s="13"/>
      <c r="E1272" s="14"/>
      <c r="F1272" s="14"/>
      <c r="G1272" s="14"/>
      <c r="H1272" s="15"/>
      <c r="I1272" s="15"/>
      <c r="J1272" s="3"/>
      <c r="K1272" s="3"/>
      <c r="L1272" s="3"/>
      <c r="M1272" s="3"/>
      <c r="N1272" s="3"/>
      <c r="O1272" s="3"/>
      <c r="P1272" s="3"/>
      <c r="Q1272" s="3"/>
      <c r="R1272" s="3"/>
      <c r="S1272" s="3"/>
      <c r="T1272" s="3"/>
      <c r="U1272" s="3"/>
      <c r="V1272" s="3"/>
      <c r="W1272" s="3"/>
      <c r="X1272" s="3"/>
      <c r="Y1272" s="3"/>
      <c r="Z1272" s="3"/>
      <c r="AA1272" s="3"/>
    </row>
    <row r="1273" ht="105.75" customHeight="1">
      <c r="A1273" s="11"/>
      <c r="B1273" s="12"/>
      <c r="C1273" s="11"/>
      <c r="D1273" s="13"/>
      <c r="E1273" s="14"/>
      <c r="F1273" s="14"/>
      <c r="G1273" s="14"/>
      <c r="H1273" s="15"/>
      <c r="I1273" s="15"/>
      <c r="J1273" s="3"/>
      <c r="K1273" s="3"/>
      <c r="L1273" s="3"/>
      <c r="M1273" s="3"/>
      <c r="N1273" s="3"/>
      <c r="O1273" s="3"/>
      <c r="P1273" s="3"/>
      <c r="Q1273" s="3"/>
      <c r="R1273" s="3"/>
      <c r="S1273" s="3"/>
      <c r="T1273" s="3"/>
      <c r="U1273" s="3"/>
      <c r="V1273" s="3"/>
      <c r="W1273" s="3"/>
      <c r="X1273" s="3"/>
      <c r="Y1273" s="3"/>
      <c r="Z1273" s="3"/>
      <c r="AA1273" s="3"/>
    </row>
    <row r="1274" ht="105.75" customHeight="1">
      <c r="A1274" s="11"/>
      <c r="B1274" s="12"/>
      <c r="C1274" s="11"/>
      <c r="D1274" s="13"/>
      <c r="E1274" s="14"/>
      <c r="F1274" s="14"/>
      <c r="G1274" s="14"/>
      <c r="H1274" s="15"/>
      <c r="I1274" s="15"/>
      <c r="J1274" s="3"/>
      <c r="K1274" s="3"/>
      <c r="L1274" s="3"/>
      <c r="M1274" s="3"/>
      <c r="N1274" s="3"/>
      <c r="O1274" s="3"/>
      <c r="P1274" s="3"/>
      <c r="Q1274" s="3"/>
      <c r="R1274" s="3"/>
      <c r="S1274" s="3"/>
      <c r="T1274" s="3"/>
      <c r="U1274" s="3"/>
      <c r="V1274" s="3"/>
      <c r="W1274" s="3"/>
      <c r="X1274" s="3"/>
      <c r="Y1274" s="3"/>
      <c r="Z1274" s="3"/>
      <c r="AA1274" s="3"/>
    </row>
    <row r="1275" ht="105.75" customHeight="1">
      <c r="A1275" s="11"/>
      <c r="B1275" s="12"/>
      <c r="C1275" s="11"/>
      <c r="D1275" s="13"/>
      <c r="E1275" s="16"/>
      <c r="F1275" s="16"/>
      <c r="G1275" s="16"/>
      <c r="H1275" s="15"/>
      <c r="I1275" s="15"/>
      <c r="J1275" s="3"/>
      <c r="K1275" s="3"/>
      <c r="L1275" s="3"/>
      <c r="M1275" s="3"/>
      <c r="N1275" s="3"/>
      <c r="O1275" s="3"/>
      <c r="P1275" s="3"/>
      <c r="Q1275" s="3"/>
      <c r="R1275" s="3"/>
      <c r="S1275" s="3"/>
      <c r="T1275" s="3"/>
      <c r="U1275" s="3"/>
      <c r="V1275" s="3"/>
      <c r="W1275" s="3"/>
      <c r="X1275" s="3"/>
      <c r="Y1275" s="3"/>
      <c r="Z1275" s="3"/>
      <c r="AA1275" s="3"/>
    </row>
    <row r="1276" ht="105.75" customHeight="1">
      <c r="A1276" s="11"/>
      <c r="B1276" s="12"/>
      <c r="C1276" s="11"/>
      <c r="D1276" s="13"/>
      <c r="E1276" s="14"/>
      <c r="F1276" s="14"/>
      <c r="G1276" s="14"/>
      <c r="H1276" s="15"/>
      <c r="I1276" s="15"/>
      <c r="J1276" s="3"/>
      <c r="K1276" s="3"/>
      <c r="L1276" s="3"/>
      <c r="M1276" s="3"/>
      <c r="N1276" s="3"/>
      <c r="O1276" s="3"/>
      <c r="P1276" s="3"/>
      <c r="Q1276" s="3"/>
      <c r="R1276" s="3"/>
      <c r="S1276" s="3"/>
      <c r="T1276" s="3"/>
      <c r="U1276" s="3"/>
      <c r="V1276" s="3"/>
      <c r="W1276" s="3"/>
      <c r="X1276" s="3"/>
      <c r="Y1276" s="3"/>
      <c r="Z1276" s="3"/>
      <c r="AA1276" s="3"/>
    </row>
    <row r="1277" ht="105.75" customHeight="1">
      <c r="A1277" s="11"/>
      <c r="B1277" s="12"/>
      <c r="C1277" s="11"/>
      <c r="D1277" s="13"/>
      <c r="E1277" s="14"/>
      <c r="F1277" s="14"/>
      <c r="G1277" s="14"/>
      <c r="H1277" s="15"/>
      <c r="I1277" s="15"/>
      <c r="J1277" s="3"/>
      <c r="K1277" s="3"/>
      <c r="L1277" s="3"/>
      <c r="M1277" s="3"/>
      <c r="N1277" s="3"/>
      <c r="O1277" s="3"/>
      <c r="P1277" s="3"/>
      <c r="Q1277" s="3"/>
      <c r="R1277" s="3"/>
      <c r="S1277" s="3"/>
      <c r="T1277" s="3"/>
      <c r="U1277" s="3"/>
      <c r="V1277" s="3"/>
      <c r="W1277" s="3"/>
      <c r="X1277" s="3"/>
      <c r="Y1277" s="3"/>
      <c r="Z1277" s="3"/>
      <c r="AA1277" s="3"/>
    </row>
    <row r="1278" ht="105.75" customHeight="1">
      <c r="A1278" s="11"/>
      <c r="B1278" s="12"/>
      <c r="C1278" s="11"/>
      <c r="D1278" s="13"/>
      <c r="E1278" s="14"/>
      <c r="F1278" s="14"/>
      <c r="G1278" s="14"/>
      <c r="H1278" s="15"/>
      <c r="I1278" s="15"/>
      <c r="J1278" s="3"/>
      <c r="K1278" s="3"/>
      <c r="L1278" s="3"/>
      <c r="M1278" s="3"/>
      <c r="N1278" s="3"/>
      <c r="O1278" s="3"/>
      <c r="P1278" s="3"/>
      <c r="Q1278" s="3"/>
      <c r="R1278" s="3"/>
      <c r="S1278" s="3"/>
      <c r="T1278" s="3"/>
      <c r="U1278" s="3"/>
      <c r="V1278" s="3"/>
      <c r="W1278" s="3"/>
      <c r="X1278" s="3"/>
      <c r="Y1278" s="3"/>
      <c r="Z1278" s="3"/>
      <c r="AA1278" s="3"/>
    </row>
    <row r="1279" ht="105.75" customHeight="1">
      <c r="A1279" s="11"/>
      <c r="B1279" s="12"/>
      <c r="C1279" s="11"/>
      <c r="D1279" s="13"/>
      <c r="E1279" s="16"/>
      <c r="F1279" s="16"/>
      <c r="G1279" s="16"/>
      <c r="H1279" s="15"/>
      <c r="I1279" s="15"/>
      <c r="J1279" s="3"/>
      <c r="K1279" s="3"/>
      <c r="L1279" s="3"/>
      <c r="M1279" s="3"/>
      <c r="N1279" s="3"/>
      <c r="O1279" s="3"/>
      <c r="P1279" s="3"/>
      <c r="Q1279" s="3"/>
      <c r="R1279" s="3"/>
      <c r="S1279" s="3"/>
      <c r="T1279" s="3"/>
      <c r="U1279" s="3"/>
      <c r="V1279" s="3"/>
      <c r="W1279" s="3"/>
      <c r="X1279" s="3"/>
      <c r="Y1279" s="3"/>
      <c r="Z1279" s="3"/>
      <c r="AA1279" s="3"/>
    </row>
    <row r="1280" ht="105.75" customHeight="1">
      <c r="A1280" s="11"/>
      <c r="B1280" s="12"/>
      <c r="C1280" s="11"/>
      <c r="D1280" s="13"/>
      <c r="E1280" s="14"/>
      <c r="F1280" s="14"/>
      <c r="G1280" s="14"/>
      <c r="H1280" s="15"/>
      <c r="I1280" s="15"/>
      <c r="J1280" s="3"/>
      <c r="K1280" s="3"/>
      <c r="L1280" s="3"/>
      <c r="M1280" s="3"/>
      <c r="N1280" s="3"/>
      <c r="O1280" s="3"/>
      <c r="P1280" s="3"/>
      <c r="Q1280" s="3"/>
      <c r="R1280" s="3"/>
      <c r="S1280" s="3"/>
      <c r="T1280" s="3"/>
      <c r="U1280" s="3"/>
      <c r="V1280" s="3"/>
      <c r="W1280" s="3"/>
      <c r="X1280" s="3"/>
      <c r="Y1280" s="3"/>
      <c r="Z1280" s="3"/>
      <c r="AA1280" s="3"/>
    </row>
    <row r="1281" ht="105.75" customHeight="1">
      <c r="A1281" s="11"/>
      <c r="B1281" s="12"/>
      <c r="C1281" s="11"/>
      <c r="D1281" s="13"/>
      <c r="E1281" s="14"/>
      <c r="F1281" s="14"/>
      <c r="G1281" s="14"/>
      <c r="H1281" s="15"/>
      <c r="I1281" s="15"/>
      <c r="J1281" s="3"/>
      <c r="K1281" s="3"/>
      <c r="L1281" s="3"/>
      <c r="M1281" s="3"/>
      <c r="N1281" s="3"/>
      <c r="O1281" s="3"/>
      <c r="P1281" s="3"/>
      <c r="Q1281" s="3"/>
      <c r="R1281" s="3"/>
      <c r="S1281" s="3"/>
      <c r="T1281" s="3"/>
      <c r="U1281" s="3"/>
      <c r="V1281" s="3"/>
      <c r="W1281" s="3"/>
      <c r="X1281" s="3"/>
      <c r="Y1281" s="3"/>
      <c r="Z1281" s="3"/>
      <c r="AA1281" s="3"/>
    </row>
    <row r="1282" ht="105.75" customHeight="1">
      <c r="A1282" s="11"/>
      <c r="B1282" s="12"/>
      <c r="C1282" s="11"/>
      <c r="D1282" s="13"/>
      <c r="E1282" s="14"/>
      <c r="F1282" s="14"/>
      <c r="G1282" s="14"/>
      <c r="H1282" s="15"/>
      <c r="I1282" s="15"/>
      <c r="J1282" s="3"/>
      <c r="K1282" s="3"/>
      <c r="L1282" s="3"/>
      <c r="M1282" s="3"/>
      <c r="N1282" s="3"/>
      <c r="O1282" s="3"/>
      <c r="P1282" s="3"/>
      <c r="Q1282" s="3"/>
      <c r="R1282" s="3"/>
      <c r="S1282" s="3"/>
      <c r="T1282" s="3"/>
      <c r="U1282" s="3"/>
      <c r="V1282" s="3"/>
      <c r="W1282" s="3"/>
      <c r="X1282" s="3"/>
      <c r="Y1282" s="3"/>
      <c r="Z1282" s="3"/>
      <c r="AA1282" s="3"/>
    </row>
    <row r="1283" ht="105.75" customHeight="1">
      <c r="A1283" s="11"/>
      <c r="B1283" s="12"/>
      <c r="C1283" s="11"/>
      <c r="D1283" s="13"/>
      <c r="E1283" s="14"/>
      <c r="F1283" s="14"/>
      <c r="G1283" s="14"/>
      <c r="H1283" s="15"/>
      <c r="I1283" s="15"/>
      <c r="J1283" s="3"/>
      <c r="K1283" s="3"/>
      <c r="L1283" s="3"/>
      <c r="M1283" s="3"/>
      <c r="N1283" s="3"/>
      <c r="O1283" s="3"/>
      <c r="P1283" s="3"/>
      <c r="Q1283" s="3"/>
      <c r="R1283" s="3"/>
      <c r="S1283" s="3"/>
      <c r="T1283" s="3"/>
      <c r="U1283" s="3"/>
      <c r="V1283" s="3"/>
      <c r="W1283" s="3"/>
      <c r="X1283" s="3"/>
      <c r="Y1283" s="3"/>
      <c r="Z1283" s="3"/>
      <c r="AA1283" s="3"/>
    </row>
    <row r="1284" ht="105.75" customHeight="1">
      <c r="A1284" s="11"/>
      <c r="B1284" s="12"/>
      <c r="C1284" s="11"/>
      <c r="D1284" s="13"/>
      <c r="E1284" s="16"/>
      <c r="F1284" s="16"/>
      <c r="G1284" s="16"/>
      <c r="H1284" s="15"/>
      <c r="I1284" s="15"/>
      <c r="J1284" s="3"/>
      <c r="K1284" s="3"/>
      <c r="L1284" s="3"/>
      <c r="M1284" s="3"/>
      <c r="N1284" s="3"/>
      <c r="O1284" s="3"/>
      <c r="P1284" s="3"/>
      <c r="Q1284" s="3"/>
      <c r="R1284" s="3"/>
      <c r="S1284" s="3"/>
      <c r="T1284" s="3"/>
      <c r="U1284" s="3"/>
      <c r="V1284" s="3"/>
      <c r="W1284" s="3"/>
      <c r="X1284" s="3"/>
      <c r="Y1284" s="3"/>
      <c r="Z1284" s="3"/>
      <c r="AA1284" s="3"/>
    </row>
    <row r="1285" ht="105.75" customHeight="1">
      <c r="A1285" s="11"/>
      <c r="B1285" s="12"/>
      <c r="C1285" s="11"/>
      <c r="D1285" s="13"/>
      <c r="E1285" s="14"/>
      <c r="F1285" s="14"/>
      <c r="G1285" s="14"/>
      <c r="H1285" s="15"/>
      <c r="I1285" s="15"/>
      <c r="J1285" s="3"/>
      <c r="K1285" s="3"/>
      <c r="L1285" s="3"/>
      <c r="M1285" s="3"/>
      <c r="N1285" s="3"/>
      <c r="O1285" s="3"/>
      <c r="P1285" s="3"/>
      <c r="Q1285" s="3"/>
      <c r="R1285" s="3"/>
      <c r="S1285" s="3"/>
      <c r="T1285" s="3"/>
      <c r="U1285" s="3"/>
      <c r="V1285" s="3"/>
      <c r="W1285" s="3"/>
      <c r="X1285" s="3"/>
      <c r="Y1285" s="3"/>
      <c r="Z1285" s="3"/>
      <c r="AA1285" s="3"/>
    </row>
    <row r="1286" ht="105.75" customHeight="1">
      <c r="A1286" s="11"/>
      <c r="B1286" s="12"/>
      <c r="C1286" s="11"/>
      <c r="D1286" s="13"/>
      <c r="E1286" s="14"/>
      <c r="F1286" s="14"/>
      <c r="G1286" s="14"/>
      <c r="H1286" s="15"/>
      <c r="I1286" s="15"/>
      <c r="J1286" s="3"/>
      <c r="K1286" s="3"/>
      <c r="L1286" s="3"/>
      <c r="M1286" s="3"/>
      <c r="N1286" s="3"/>
      <c r="O1286" s="3"/>
      <c r="P1286" s="3"/>
      <c r="Q1286" s="3"/>
      <c r="R1286" s="3"/>
      <c r="S1286" s="3"/>
      <c r="T1286" s="3"/>
      <c r="U1286" s="3"/>
      <c r="V1286" s="3"/>
      <c r="W1286" s="3"/>
      <c r="X1286" s="3"/>
      <c r="Y1286" s="3"/>
      <c r="Z1286" s="3"/>
      <c r="AA1286" s="3"/>
    </row>
    <row r="1287" ht="105.75" customHeight="1">
      <c r="A1287" s="11"/>
      <c r="B1287" s="12"/>
      <c r="C1287" s="11"/>
      <c r="D1287" s="13"/>
      <c r="E1287" s="14"/>
      <c r="F1287" s="14"/>
      <c r="G1287" s="14"/>
      <c r="H1287" s="15"/>
      <c r="I1287" s="15"/>
      <c r="J1287" s="3"/>
      <c r="K1287" s="3"/>
      <c r="L1287" s="3"/>
      <c r="M1287" s="3"/>
      <c r="N1287" s="3"/>
      <c r="O1287" s="3"/>
      <c r="P1287" s="3"/>
      <c r="Q1287" s="3"/>
      <c r="R1287" s="3"/>
      <c r="S1287" s="3"/>
      <c r="T1287" s="3"/>
      <c r="U1287" s="3"/>
      <c r="V1287" s="3"/>
      <c r="W1287" s="3"/>
      <c r="X1287" s="3"/>
      <c r="Y1287" s="3"/>
      <c r="Z1287" s="3"/>
      <c r="AA1287" s="3"/>
    </row>
    <row r="1288" ht="105.75" customHeight="1">
      <c r="A1288" s="11"/>
      <c r="B1288" s="12"/>
      <c r="C1288" s="11"/>
      <c r="D1288" s="13"/>
      <c r="E1288" s="14"/>
      <c r="F1288" s="14"/>
      <c r="G1288" s="14"/>
      <c r="H1288" s="15"/>
      <c r="I1288" s="15"/>
      <c r="J1288" s="3"/>
      <c r="K1288" s="3"/>
      <c r="L1288" s="3"/>
      <c r="M1288" s="3"/>
      <c r="N1288" s="3"/>
      <c r="O1288" s="3"/>
      <c r="P1288" s="3"/>
      <c r="Q1288" s="3"/>
      <c r="R1288" s="3"/>
      <c r="S1288" s="3"/>
      <c r="T1288" s="3"/>
      <c r="U1288" s="3"/>
      <c r="V1288" s="3"/>
      <c r="W1288" s="3"/>
      <c r="X1288" s="3"/>
      <c r="Y1288" s="3"/>
      <c r="Z1288" s="3"/>
      <c r="AA1288" s="3"/>
    </row>
    <row r="1289" ht="105.75" customHeight="1">
      <c r="A1289" s="11"/>
      <c r="B1289" s="12"/>
      <c r="C1289" s="11"/>
      <c r="D1289" s="13"/>
      <c r="E1289" s="14"/>
      <c r="F1289" s="14"/>
      <c r="G1289" s="14"/>
      <c r="H1289" s="15"/>
      <c r="I1289" s="15"/>
      <c r="J1289" s="3"/>
      <c r="K1289" s="3"/>
      <c r="L1289" s="3"/>
      <c r="M1289" s="3"/>
      <c r="N1289" s="3"/>
      <c r="O1289" s="3"/>
      <c r="P1289" s="3"/>
      <c r="Q1289" s="3"/>
      <c r="R1289" s="3"/>
      <c r="S1289" s="3"/>
      <c r="T1289" s="3"/>
      <c r="U1289" s="3"/>
      <c r="V1289" s="3"/>
      <c r="W1289" s="3"/>
      <c r="X1289" s="3"/>
      <c r="Y1289" s="3"/>
      <c r="Z1289" s="3"/>
      <c r="AA1289" s="3"/>
    </row>
    <row r="1290" ht="105.75" customHeight="1">
      <c r="A1290" s="11"/>
      <c r="B1290" s="12"/>
      <c r="C1290" s="11"/>
      <c r="D1290" s="13"/>
      <c r="E1290" s="14"/>
      <c r="F1290" s="14"/>
      <c r="G1290" s="14"/>
      <c r="H1290" s="15"/>
      <c r="I1290" s="15"/>
      <c r="J1290" s="3"/>
      <c r="K1290" s="3"/>
      <c r="L1290" s="3"/>
      <c r="M1290" s="3"/>
      <c r="N1290" s="3"/>
      <c r="O1290" s="3"/>
      <c r="P1290" s="3"/>
      <c r="Q1290" s="3"/>
      <c r="R1290" s="3"/>
      <c r="S1290" s="3"/>
      <c r="T1290" s="3"/>
      <c r="U1290" s="3"/>
      <c r="V1290" s="3"/>
      <c r="W1290" s="3"/>
      <c r="X1290" s="3"/>
      <c r="Y1290" s="3"/>
      <c r="Z1290" s="3"/>
      <c r="AA1290" s="3"/>
    </row>
    <row r="1291" ht="105.75" customHeight="1">
      <c r="A1291" s="11"/>
      <c r="B1291" s="12"/>
      <c r="C1291" s="11"/>
      <c r="D1291" s="13"/>
      <c r="E1291" s="14"/>
      <c r="F1291" s="14"/>
      <c r="G1291" s="14"/>
      <c r="H1291" s="15"/>
      <c r="I1291" s="15"/>
      <c r="J1291" s="3"/>
      <c r="K1291" s="3"/>
      <c r="L1291" s="3"/>
      <c r="M1291" s="3"/>
      <c r="N1291" s="3"/>
      <c r="O1291" s="3"/>
      <c r="P1291" s="3"/>
      <c r="Q1291" s="3"/>
      <c r="R1291" s="3"/>
      <c r="S1291" s="3"/>
      <c r="T1291" s="3"/>
      <c r="U1291" s="3"/>
      <c r="V1291" s="3"/>
      <c r="W1291" s="3"/>
      <c r="X1291" s="3"/>
      <c r="Y1291" s="3"/>
      <c r="Z1291" s="3"/>
      <c r="AA1291" s="3"/>
    </row>
    <row r="1292" ht="105.75" customHeight="1">
      <c r="A1292" s="11"/>
      <c r="B1292" s="12"/>
      <c r="C1292" s="11"/>
      <c r="D1292" s="13"/>
      <c r="E1292" s="16"/>
      <c r="F1292" s="16"/>
      <c r="G1292" s="16"/>
      <c r="H1292" s="15"/>
      <c r="I1292" s="15"/>
      <c r="J1292" s="3"/>
      <c r="K1292" s="3"/>
      <c r="L1292" s="3"/>
      <c r="M1292" s="3"/>
      <c r="N1292" s="3"/>
      <c r="O1292" s="3"/>
      <c r="P1292" s="3"/>
      <c r="Q1292" s="3"/>
      <c r="R1292" s="3"/>
      <c r="S1292" s="3"/>
      <c r="T1292" s="3"/>
      <c r="U1292" s="3"/>
      <c r="V1292" s="3"/>
      <c r="W1292" s="3"/>
      <c r="X1292" s="3"/>
      <c r="Y1292" s="3"/>
      <c r="Z1292" s="3"/>
      <c r="AA1292" s="3"/>
    </row>
    <row r="1293" ht="105.75" customHeight="1">
      <c r="A1293" s="11"/>
      <c r="B1293" s="12"/>
      <c r="C1293" s="11"/>
      <c r="D1293" s="13"/>
      <c r="E1293" s="14"/>
      <c r="F1293" s="14"/>
      <c r="G1293" s="14"/>
      <c r="H1293" s="15"/>
      <c r="I1293" s="15"/>
      <c r="J1293" s="3"/>
      <c r="K1293" s="3"/>
      <c r="L1293" s="3"/>
      <c r="M1293" s="3"/>
      <c r="N1293" s="3"/>
      <c r="O1293" s="3"/>
      <c r="P1293" s="3"/>
      <c r="Q1293" s="3"/>
      <c r="R1293" s="3"/>
      <c r="S1293" s="3"/>
      <c r="T1293" s="3"/>
      <c r="U1293" s="3"/>
      <c r="V1293" s="3"/>
      <c r="W1293" s="3"/>
      <c r="X1293" s="3"/>
      <c r="Y1293" s="3"/>
      <c r="Z1293" s="3"/>
      <c r="AA1293" s="3"/>
    </row>
    <row r="1294" ht="105.75" customHeight="1">
      <c r="A1294" s="11"/>
      <c r="B1294" s="12"/>
      <c r="C1294" s="11"/>
      <c r="D1294" s="13"/>
      <c r="E1294" s="16"/>
      <c r="F1294" s="16"/>
      <c r="G1294" s="16"/>
      <c r="H1294" s="15"/>
      <c r="I1294" s="15"/>
      <c r="J1294" s="3"/>
      <c r="K1294" s="3"/>
      <c r="L1294" s="3"/>
      <c r="M1294" s="3"/>
      <c r="N1294" s="3"/>
      <c r="O1294" s="3"/>
      <c r="P1294" s="3"/>
      <c r="Q1294" s="3"/>
      <c r="R1294" s="3"/>
      <c r="S1294" s="3"/>
      <c r="T1294" s="3"/>
      <c r="U1294" s="3"/>
      <c r="V1294" s="3"/>
      <c r="W1294" s="3"/>
      <c r="X1294" s="3"/>
      <c r="Y1294" s="3"/>
      <c r="Z1294" s="3"/>
      <c r="AA1294" s="3"/>
    </row>
    <row r="1295" ht="105.75" customHeight="1">
      <c r="A1295" s="11"/>
      <c r="B1295" s="12"/>
      <c r="C1295" s="11"/>
      <c r="D1295" s="13"/>
      <c r="E1295" s="14"/>
      <c r="F1295" s="14"/>
      <c r="G1295" s="14"/>
      <c r="H1295" s="15"/>
      <c r="I1295" s="15"/>
      <c r="J1295" s="3"/>
      <c r="K1295" s="3"/>
      <c r="L1295" s="3"/>
      <c r="M1295" s="3"/>
      <c r="N1295" s="3"/>
      <c r="O1295" s="3"/>
      <c r="P1295" s="3"/>
      <c r="Q1295" s="3"/>
      <c r="R1295" s="3"/>
      <c r="S1295" s="3"/>
      <c r="T1295" s="3"/>
      <c r="U1295" s="3"/>
      <c r="V1295" s="3"/>
      <c r="W1295" s="3"/>
      <c r="X1295" s="3"/>
      <c r="Y1295" s="3"/>
      <c r="Z1295" s="3"/>
      <c r="AA1295" s="3"/>
    </row>
    <row r="1296" ht="105.75" customHeight="1">
      <c r="A1296" s="11"/>
      <c r="B1296" s="12"/>
      <c r="C1296" s="11"/>
      <c r="D1296" s="13"/>
      <c r="E1296" s="14"/>
      <c r="F1296" s="14"/>
      <c r="G1296" s="14"/>
      <c r="H1296" s="15"/>
      <c r="I1296" s="15"/>
      <c r="J1296" s="3"/>
      <c r="K1296" s="3"/>
      <c r="L1296" s="3"/>
      <c r="M1296" s="3"/>
      <c r="N1296" s="3"/>
      <c r="O1296" s="3"/>
      <c r="P1296" s="3"/>
      <c r="Q1296" s="3"/>
      <c r="R1296" s="3"/>
      <c r="S1296" s="3"/>
      <c r="T1296" s="3"/>
      <c r="U1296" s="3"/>
      <c r="V1296" s="3"/>
      <c r="W1296" s="3"/>
      <c r="X1296" s="3"/>
      <c r="Y1296" s="3"/>
      <c r="Z1296" s="3"/>
      <c r="AA1296" s="3"/>
    </row>
    <row r="1297" ht="105.75" customHeight="1">
      <c r="A1297" s="11"/>
      <c r="B1297" s="12"/>
      <c r="C1297" s="11"/>
      <c r="D1297" s="13"/>
      <c r="E1297" s="14"/>
      <c r="F1297" s="14"/>
      <c r="G1297" s="14"/>
      <c r="H1297" s="15"/>
      <c r="I1297" s="15"/>
      <c r="J1297" s="3"/>
      <c r="K1297" s="3"/>
      <c r="L1297" s="3"/>
      <c r="M1297" s="3"/>
      <c r="N1297" s="3"/>
      <c r="O1297" s="3"/>
      <c r="P1297" s="3"/>
      <c r="Q1297" s="3"/>
      <c r="R1297" s="3"/>
      <c r="S1297" s="3"/>
      <c r="T1297" s="3"/>
      <c r="U1297" s="3"/>
      <c r="V1297" s="3"/>
      <c r="W1297" s="3"/>
      <c r="X1297" s="3"/>
      <c r="Y1297" s="3"/>
      <c r="Z1297" s="3"/>
      <c r="AA1297" s="3"/>
    </row>
    <row r="1298" ht="105.75" customHeight="1">
      <c r="A1298" s="11"/>
      <c r="B1298" s="12"/>
      <c r="C1298" s="11"/>
      <c r="D1298" s="13"/>
      <c r="E1298" s="14"/>
      <c r="F1298" s="14"/>
      <c r="G1298" s="14"/>
      <c r="H1298" s="15"/>
      <c r="I1298" s="15"/>
      <c r="J1298" s="3"/>
      <c r="K1298" s="3"/>
      <c r="L1298" s="3"/>
      <c r="M1298" s="3"/>
      <c r="N1298" s="3"/>
      <c r="O1298" s="3"/>
      <c r="P1298" s="3"/>
      <c r="Q1298" s="3"/>
      <c r="R1298" s="3"/>
      <c r="S1298" s="3"/>
      <c r="T1298" s="3"/>
      <c r="U1298" s="3"/>
      <c r="V1298" s="3"/>
      <c r="W1298" s="3"/>
      <c r="X1298" s="3"/>
      <c r="Y1298" s="3"/>
      <c r="Z1298" s="3"/>
      <c r="AA1298" s="3"/>
    </row>
    <row r="1299" ht="105.75" customHeight="1">
      <c r="A1299" s="11"/>
      <c r="B1299" s="12"/>
      <c r="C1299" s="11"/>
      <c r="D1299" s="13"/>
      <c r="E1299" s="14"/>
      <c r="F1299" s="14"/>
      <c r="G1299" s="14"/>
      <c r="H1299" s="15"/>
      <c r="I1299" s="15"/>
      <c r="J1299" s="3"/>
      <c r="K1299" s="3"/>
      <c r="L1299" s="3"/>
      <c r="M1299" s="3"/>
      <c r="N1299" s="3"/>
      <c r="O1299" s="3"/>
      <c r="P1299" s="3"/>
      <c r="Q1299" s="3"/>
      <c r="R1299" s="3"/>
      <c r="S1299" s="3"/>
      <c r="T1299" s="3"/>
      <c r="U1299" s="3"/>
      <c r="V1299" s="3"/>
      <c r="W1299" s="3"/>
      <c r="X1299" s="3"/>
      <c r="Y1299" s="3"/>
      <c r="Z1299" s="3"/>
      <c r="AA1299" s="3"/>
    </row>
    <row r="1300" ht="105.75" customHeight="1">
      <c r="A1300" s="11"/>
      <c r="B1300" s="12"/>
      <c r="C1300" s="11"/>
      <c r="D1300" s="13"/>
      <c r="E1300" s="14"/>
      <c r="F1300" s="14"/>
      <c r="G1300" s="14"/>
      <c r="H1300" s="15"/>
      <c r="I1300" s="15"/>
      <c r="J1300" s="3"/>
      <c r="K1300" s="3"/>
      <c r="L1300" s="3"/>
      <c r="M1300" s="3"/>
      <c r="N1300" s="3"/>
      <c r="O1300" s="3"/>
      <c r="P1300" s="3"/>
      <c r="Q1300" s="3"/>
      <c r="R1300" s="3"/>
      <c r="S1300" s="3"/>
      <c r="T1300" s="3"/>
      <c r="U1300" s="3"/>
      <c r="V1300" s="3"/>
      <c r="W1300" s="3"/>
      <c r="X1300" s="3"/>
      <c r="Y1300" s="3"/>
      <c r="Z1300" s="3"/>
      <c r="AA1300" s="3"/>
    </row>
    <row r="1301" ht="105.75" customHeight="1">
      <c r="A1301" s="11"/>
      <c r="B1301" s="12"/>
      <c r="C1301" s="11"/>
      <c r="D1301" s="13"/>
      <c r="E1301" s="14"/>
      <c r="F1301" s="14"/>
      <c r="G1301" s="14"/>
      <c r="H1301" s="15"/>
      <c r="I1301" s="15"/>
      <c r="J1301" s="3"/>
      <c r="K1301" s="3"/>
      <c r="L1301" s="3"/>
      <c r="M1301" s="3"/>
      <c r="N1301" s="3"/>
      <c r="O1301" s="3"/>
      <c r="P1301" s="3"/>
      <c r="Q1301" s="3"/>
      <c r="R1301" s="3"/>
      <c r="S1301" s="3"/>
      <c r="T1301" s="3"/>
      <c r="U1301" s="3"/>
      <c r="V1301" s="3"/>
      <c r="W1301" s="3"/>
      <c r="X1301" s="3"/>
      <c r="Y1301" s="3"/>
      <c r="Z1301" s="3"/>
      <c r="AA1301" s="3"/>
    </row>
    <row r="1302" ht="105.75" customHeight="1">
      <c r="A1302" s="11"/>
      <c r="B1302" s="12"/>
      <c r="C1302" s="11"/>
      <c r="D1302" s="13"/>
      <c r="E1302" s="14"/>
      <c r="F1302" s="14"/>
      <c r="G1302" s="14"/>
      <c r="H1302" s="15"/>
      <c r="I1302" s="15"/>
      <c r="J1302" s="3"/>
      <c r="K1302" s="3"/>
      <c r="L1302" s="3"/>
      <c r="M1302" s="3"/>
      <c r="N1302" s="3"/>
      <c r="O1302" s="3"/>
      <c r="P1302" s="3"/>
      <c r="Q1302" s="3"/>
      <c r="R1302" s="3"/>
      <c r="S1302" s="3"/>
      <c r="T1302" s="3"/>
      <c r="U1302" s="3"/>
      <c r="V1302" s="3"/>
      <c r="W1302" s="3"/>
      <c r="X1302" s="3"/>
      <c r="Y1302" s="3"/>
      <c r="Z1302" s="3"/>
      <c r="AA1302" s="3"/>
    </row>
    <row r="1303" ht="105.75" customHeight="1">
      <c r="A1303" s="11"/>
      <c r="B1303" s="12"/>
      <c r="C1303" s="11"/>
      <c r="D1303" s="13"/>
      <c r="E1303" s="14"/>
      <c r="F1303" s="14"/>
      <c r="G1303" s="14"/>
      <c r="H1303" s="15"/>
      <c r="I1303" s="15"/>
      <c r="J1303" s="3"/>
      <c r="K1303" s="3"/>
      <c r="L1303" s="3"/>
      <c r="M1303" s="3"/>
      <c r="N1303" s="3"/>
      <c r="O1303" s="3"/>
      <c r="P1303" s="3"/>
      <c r="Q1303" s="3"/>
      <c r="R1303" s="3"/>
      <c r="S1303" s="3"/>
      <c r="T1303" s="3"/>
      <c r="U1303" s="3"/>
      <c r="V1303" s="3"/>
      <c r="W1303" s="3"/>
      <c r="X1303" s="3"/>
      <c r="Y1303" s="3"/>
      <c r="Z1303" s="3"/>
      <c r="AA1303" s="3"/>
    </row>
    <row r="1304" ht="105.75" customHeight="1">
      <c r="A1304" s="11"/>
      <c r="B1304" s="12"/>
      <c r="C1304" s="11"/>
      <c r="D1304" s="13"/>
      <c r="E1304" s="14"/>
      <c r="F1304" s="14"/>
      <c r="G1304" s="14"/>
      <c r="H1304" s="15"/>
      <c r="I1304" s="15"/>
      <c r="J1304" s="3"/>
      <c r="K1304" s="3"/>
      <c r="L1304" s="3"/>
      <c r="M1304" s="3"/>
      <c r="N1304" s="3"/>
      <c r="O1304" s="3"/>
      <c r="P1304" s="3"/>
      <c r="Q1304" s="3"/>
      <c r="R1304" s="3"/>
      <c r="S1304" s="3"/>
      <c r="T1304" s="3"/>
      <c r="U1304" s="3"/>
      <c r="V1304" s="3"/>
      <c r="W1304" s="3"/>
      <c r="X1304" s="3"/>
      <c r="Y1304" s="3"/>
      <c r="Z1304" s="3"/>
      <c r="AA1304" s="3"/>
    </row>
    <row r="1305" ht="105.75" customHeight="1">
      <c r="A1305" s="11"/>
      <c r="B1305" s="12"/>
      <c r="C1305" s="11"/>
      <c r="D1305" s="13"/>
      <c r="E1305" s="14"/>
      <c r="F1305" s="14"/>
      <c r="G1305" s="14"/>
      <c r="H1305" s="15"/>
      <c r="I1305" s="15"/>
      <c r="J1305" s="3"/>
      <c r="K1305" s="3"/>
      <c r="L1305" s="3"/>
      <c r="M1305" s="3"/>
      <c r="N1305" s="3"/>
      <c r="O1305" s="3"/>
      <c r="P1305" s="3"/>
      <c r="Q1305" s="3"/>
      <c r="R1305" s="3"/>
      <c r="S1305" s="3"/>
      <c r="T1305" s="3"/>
      <c r="U1305" s="3"/>
      <c r="V1305" s="3"/>
      <c r="W1305" s="3"/>
      <c r="X1305" s="3"/>
      <c r="Y1305" s="3"/>
      <c r="Z1305" s="3"/>
      <c r="AA1305" s="3"/>
    </row>
    <row r="1306" ht="105.75" customHeight="1">
      <c r="A1306" s="11"/>
      <c r="B1306" s="12"/>
      <c r="C1306" s="11"/>
      <c r="D1306" s="13"/>
      <c r="E1306" s="14"/>
      <c r="F1306" s="14"/>
      <c r="G1306" s="14"/>
      <c r="H1306" s="15"/>
      <c r="I1306" s="15"/>
      <c r="J1306" s="3"/>
      <c r="K1306" s="3"/>
      <c r="L1306" s="3"/>
      <c r="M1306" s="3"/>
      <c r="N1306" s="3"/>
      <c r="O1306" s="3"/>
      <c r="P1306" s="3"/>
      <c r="Q1306" s="3"/>
      <c r="R1306" s="3"/>
      <c r="S1306" s="3"/>
      <c r="T1306" s="3"/>
      <c r="U1306" s="3"/>
      <c r="V1306" s="3"/>
      <c r="W1306" s="3"/>
      <c r="X1306" s="3"/>
      <c r="Y1306" s="3"/>
      <c r="Z1306" s="3"/>
      <c r="AA1306" s="3"/>
    </row>
    <row r="1307" ht="105.75" customHeight="1">
      <c r="A1307" s="11"/>
      <c r="B1307" s="12"/>
      <c r="C1307" s="11"/>
      <c r="D1307" s="13"/>
      <c r="E1307" s="14"/>
      <c r="F1307" s="14"/>
      <c r="G1307" s="14"/>
      <c r="H1307" s="15"/>
      <c r="I1307" s="15"/>
      <c r="J1307" s="3"/>
      <c r="K1307" s="3"/>
      <c r="L1307" s="3"/>
      <c r="M1307" s="3"/>
      <c r="N1307" s="3"/>
      <c r="O1307" s="3"/>
      <c r="P1307" s="3"/>
      <c r="Q1307" s="3"/>
      <c r="R1307" s="3"/>
      <c r="S1307" s="3"/>
      <c r="T1307" s="3"/>
      <c r="U1307" s="3"/>
      <c r="V1307" s="3"/>
      <c r="W1307" s="3"/>
      <c r="X1307" s="3"/>
      <c r="Y1307" s="3"/>
      <c r="Z1307" s="3"/>
      <c r="AA1307" s="3"/>
    </row>
    <row r="1308" ht="105.75" customHeight="1">
      <c r="A1308" s="11"/>
      <c r="B1308" s="12"/>
      <c r="C1308" s="11"/>
      <c r="D1308" s="13"/>
      <c r="E1308" s="14"/>
      <c r="F1308" s="14"/>
      <c r="G1308" s="14"/>
      <c r="H1308" s="15"/>
      <c r="I1308" s="15"/>
      <c r="J1308" s="3"/>
      <c r="K1308" s="3"/>
      <c r="L1308" s="3"/>
      <c r="M1308" s="3"/>
      <c r="N1308" s="3"/>
      <c r="O1308" s="3"/>
      <c r="P1308" s="3"/>
      <c r="Q1308" s="3"/>
      <c r="R1308" s="3"/>
      <c r="S1308" s="3"/>
      <c r="T1308" s="3"/>
      <c r="U1308" s="3"/>
      <c r="V1308" s="3"/>
      <c r="W1308" s="3"/>
      <c r="X1308" s="3"/>
      <c r="Y1308" s="3"/>
      <c r="Z1308" s="3"/>
      <c r="AA1308" s="3"/>
    </row>
    <row r="1309" ht="105.75" customHeight="1">
      <c r="A1309" s="11"/>
      <c r="B1309" s="12"/>
      <c r="C1309" s="11"/>
      <c r="D1309" s="13"/>
      <c r="E1309" s="14"/>
      <c r="F1309" s="14"/>
      <c r="G1309" s="14"/>
      <c r="H1309" s="15"/>
      <c r="I1309" s="15"/>
      <c r="J1309" s="3"/>
      <c r="K1309" s="3"/>
      <c r="L1309" s="3"/>
      <c r="M1309" s="3"/>
      <c r="N1309" s="3"/>
      <c r="O1309" s="3"/>
      <c r="P1309" s="3"/>
      <c r="Q1309" s="3"/>
      <c r="R1309" s="3"/>
      <c r="S1309" s="3"/>
      <c r="T1309" s="3"/>
      <c r="U1309" s="3"/>
      <c r="V1309" s="3"/>
      <c r="W1309" s="3"/>
      <c r="X1309" s="3"/>
      <c r="Y1309" s="3"/>
      <c r="Z1309" s="3"/>
      <c r="AA1309" s="3"/>
    </row>
    <row r="1310" ht="105.75" customHeight="1">
      <c r="A1310" s="11"/>
      <c r="B1310" s="12"/>
      <c r="C1310" s="11"/>
      <c r="D1310" s="13"/>
      <c r="E1310" s="14"/>
      <c r="F1310" s="14"/>
      <c r="G1310" s="14"/>
      <c r="H1310" s="15"/>
      <c r="I1310" s="15"/>
      <c r="J1310" s="3"/>
      <c r="K1310" s="3"/>
      <c r="L1310" s="3"/>
      <c r="M1310" s="3"/>
      <c r="N1310" s="3"/>
      <c r="O1310" s="3"/>
      <c r="P1310" s="3"/>
      <c r="Q1310" s="3"/>
      <c r="R1310" s="3"/>
      <c r="S1310" s="3"/>
      <c r="T1310" s="3"/>
      <c r="U1310" s="3"/>
      <c r="V1310" s="3"/>
      <c r="W1310" s="3"/>
      <c r="X1310" s="3"/>
      <c r="Y1310" s="3"/>
      <c r="Z1310" s="3"/>
      <c r="AA1310" s="3"/>
    </row>
    <row r="1311" ht="105.75" customHeight="1">
      <c r="A1311" s="11"/>
      <c r="B1311" s="12"/>
      <c r="C1311" s="11"/>
      <c r="D1311" s="13"/>
      <c r="E1311" s="14"/>
      <c r="F1311" s="14"/>
      <c r="G1311" s="14"/>
      <c r="H1311" s="15"/>
      <c r="I1311" s="15"/>
      <c r="J1311" s="3"/>
      <c r="K1311" s="3"/>
      <c r="L1311" s="3"/>
      <c r="M1311" s="3"/>
      <c r="N1311" s="3"/>
      <c r="O1311" s="3"/>
      <c r="P1311" s="3"/>
      <c r="Q1311" s="3"/>
      <c r="R1311" s="3"/>
      <c r="S1311" s="3"/>
      <c r="T1311" s="3"/>
      <c r="U1311" s="3"/>
      <c r="V1311" s="3"/>
      <c r="W1311" s="3"/>
      <c r="X1311" s="3"/>
      <c r="Y1311" s="3"/>
      <c r="Z1311" s="3"/>
      <c r="AA1311" s="3"/>
    </row>
    <row r="1312" ht="105.75" customHeight="1">
      <c r="A1312" s="11"/>
      <c r="B1312" s="12"/>
      <c r="C1312" s="11"/>
      <c r="D1312" s="13"/>
      <c r="E1312" s="14"/>
      <c r="F1312" s="14"/>
      <c r="G1312" s="14"/>
      <c r="H1312" s="15"/>
      <c r="I1312" s="15"/>
      <c r="J1312" s="3"/>
      <c r="K1312" s="3"/>
      <c r="L1312" s="3"/>
      <c r="M1312" s="3"/>
      <c r="N1312" s="3"/>
      <c r="O1312" s="3"/>
      <c r="P1312" s="3"/>
      <c r="Q1312" s="3"/>
      <c r="R1312" s="3"/>
      <c r="S1312" s="3"/>
      <c r="T1312" s="3"/>
      <c r="U1312" s="3"/>
      <c r="V1312" s="3"/>
      <c r="W1312" s="3"/>
      <c r="X1312" s="3"/>
      <c r="Y1312" s="3"/>
      <c r="Z1312" s="3"/>
      <c r="AA1312" s="3"/>
    </row>
    <row r="1313" ht="105.75" customHeight="1">
      <c r="A1313" s="11"/>
      <c r="B1313" s="12"/>
      <c r="C1313" s="11"/>
      <c r="D1313" s="13"/>
      <c r="E1313" s="14"/>
      <c r="F1313" s="14"/>
      <c r="G1313" s="14"/>
      <c r="H1313" s="15"/>
      <c r="I1313" s="15"/>
      <c r="J1313" s="3"/>
      <c r="K1313" s="3"/>
      <c r="L1313" s="3"/>
      <c r="M1313" s="3"/>
      <c r="N1313" s="3"/>
      <c r="O1313" s="3"/>
      <c r="P1313" s="3"/>
      <c r="Q1313" s="3"/>
      <c r="R1313" s="3"/>
      <c r="S1313" s="3"/>
      <c r="T1313" s="3"/>
      <c r="U1313" s="3"/>
      <c r="V1313" s="3"/>
      <c r="W1313" s="3"/>
      <c r="X1313" s="3"/>
      <c r="Y1313" s="3"/>
      <c r="Z1313" s="3"/>
      <c r="AA1313" s="3"/>
    </row>
    <row r="1314" ht="105.75" customHeight="1">
      <c r="A1314" s="11"/>
      <c r="B1314" s="12"/>
      <c r="C1314" s="11"/>
      <c r="D1314" s="13"/>
      <c r="E1314" s="14"/>
      <c r="F1314" s="14"/>
      <c r="G1314" s="14"/>
      <c r="H1314" s="15"/>
      <c r="I1314" s="15"/>
      <c r="J1314" s="3"/>
      <c r="K1314" s="3"/>
      <c r="L1314" s="3"/>
      <c r="M1314" s="3"/>
      <c r="N1314" s="3"/>
      <c r="O1314" s="3"/>
      <c r="P1314" s="3"/>
      <c r="Q1314" s="3"/>
      <c r="R1314" s="3"/>
      <c r="S1314" s="3"/>
      <c r="T1314" s="3"/>
      <c r="U1314" s="3"/>
      <c r="V1314" s="3"/>
      <c r="W1314" s="3"/>
      <c r="X1314" s="3"/>
      <c r="Y1314" s="3"/>
      <c r="Z1314" s="3"/>
      <c r="AA1314" s="3"/>
    </row>
    <row r="1315" ht="105.75" customHeight="1">
      <c r="A1315" s="11"/>
      <c r="B1315" s="12"/>
      <c r="C1315" s="11"/>
      <c r="D1315" s="13"/>
      <c r="E1315" s="16"/>
      <c r="F1315" s="16"/>
      <c r="G1315" s="16"/>
      <c r="H1315" s="15"/>
      <c r="I1315" s="15"/>
      <c r="J1315" s="3"/>
      <c r="K1315" s="3"/>
      <c r="L1315" s="3"/>
      <c r="M1315" s="3"/>
      <c r="N1315" s="3"/>
      <c r="O1315" s="3"/>
      <c r="P1315" s="3"/>
      <c r="Q1315" s="3"/>
      <c r="R1315" s="3"/>
      <c r="S1315" s="3"/>
      <c r="T1315" s="3"/>
      <c r="U1315" s="3"/>
      <c r="V1315" s="3"/>
      <c r="W1315" s="3"/>
      <c r="X1315" s="3"/>
      <c r="Y1315" s="3"/>
      <c r="Z1315" s="3"/>
      <c r="AA1315" s="3"/>
    </row>
    <row r="1316" ht="105.75" customHeight="1">
      <c r="A1316" s="11"/>
      <c r="B1316" s="12"/>
      <c r="C1316" s="11"/>
      <c r="D1316" s="13"/>
      <c r="E1316" s="14"/>
      <c r="F1316" s="14"/>
      <c r="G1316" s="14"/>
      <c r="H1316" s="15"/>
      <c r="I1316" s="15"/>
      <c r="J1316" s="3"/>
      <c r="K1316" s="3"/>
      <c r="L1316" s="3"/>
      <c r="M1316" s="3"/>
      <c r="N1316" s="3"/>
      <c r="O1316" s="3"/>
      <c r="P1316" s="3"/>
      <c r="Q1316" s="3"/>
      <c r="R1316" s="3"/>
      <c r="S1316" s="3"/>
      <c r="T1316" s="3"/>
      <c r="U1316" s="3"/>
      <c r="V1316" s="3"/>
      <c r="W1316" s="3"/>
      <c r="X1316" s="3"/>
      <c r="Y1316" s="3"/>
      <c r="Z1316" s="3"/>
      <c r="AA1316" s="3"/>
    </row>
    <row r="1317" ht="105.75" customHeight="1">
      <c r="A1317" s="11"/>
      <c r="B1317" s="12"/>
      <c r="C1317" s="11"/>
      <c r="D1317" s="13"/>
      <c r="E1317" s="14"/>
      <c r="F1317" s="14"/>
      <c r="G1317" s="14"/>
      <c r="H1317" s="15"/>
      <c r="I1317" s="15"/>
      <c r="J1317" s="3"/>
      <c r="K1317" s="3"/>
      <c r="L1317" s="3"/>
      <c r="M1317" s="3"/>
      <c r="N1317" s="3"/>
      <c r="O1317" s="3"/>
      <c r="P1317" s="3"/>
      <c r="Q1317" s="3"/>
      <c r="R1317" s="3"/>
      <c r="S1317" s="3"/>
      <c r="T1317" s="3"/>
      <c r="U1317" s="3"/>
      <c r="V1317" s="3"/>
      <c r="W1317" s="3"/>
      <c r="X1317" s="3"/>
      <c r="Y1317" s="3"/>
      <c r="Z1317" s="3"/>
      <c r="AA1317" s="3"/>
    </row>
    <row r="1318" ht="105.75" customHeight="1">
      <c r="A1318" s="11"/>
      <c r="B1318" s="12"/>
      <c r="C1318" s="11"/>
      <c r="D1318" s="13"/>
      <c r="E1318" s="14"/>
      <c r="F1318" s="14"/>
      <c r="G1318" s="14"/>
      <c r="H1318" s="15"/>
      <c r="I1318" s="15"/>
      <c r="J1318" s="3"/>
      <c r="K1318" s="3"/>
      <c r="L1318" s="3"/>
      <c r="M1318" s="3"/>
      <c r="N1318" s="3"/>
      <c r="O1318" s="3"/>
      <c r="P1318" s="3"/>
      <c r="Q1318" s="3"/>
      <c r="R1318" s="3"/>
      <c r="S1318" s="3"/>
      <c r="T1318" s="3"/>
      <c r="U1318" s="3"/>
      <c r="V1318" s="3"/>
      <c r="W1318" s="3"/>
      <c r="X1318" s="3"/>
      <c r="Y1318" s="3"/>
      <c r="Z1318" s="3"/>
      <c r="AA1318" s="3"/>
    </row>
    <row r="1319" ht="105.75" customHeight="1">
      <c r="A1319" s="11"/>
      <c r="B1319" s="12"/>
      <c r="C1319" s="11"/>
      <c r="D1319" s="13"/>
      <c r="E1319" s="14"/>
      <c r="F1319" s="14"/>
      <c r="G1319" s="14"/>
      <c r="H1319" s="15"/>
      <c r="I1319" s="15"/>
      <c r="J1319" s="3"/>
      <c r="K1319" s="3"/>
      <c r="L1319" s="3"/>
      <c r="M1319" s="3"/>
      <c r="N1319" s="3"/>
      <c r="O1319" s="3"/>
      <c r="P1319" s="3"/>
      <c r="Q1319" s="3"/>
      <c r="R1319" s="3"/>
      <c r="S1319" s="3"/>
      <c r="T1319" s="3"/>
      <c r="U1319" s="3"/>
      <c r="V1319" s="3"/>
      <c r="W1319" s="3"/>
      <c r="X1319" s="3"/>
      <c r="Y1319" s="3"/>
      <c r="Z1319" s="3"/>
      <c r="AA1319" s="3"/>
    </row>
    <row r="1320" ht="105.75" customHeight="1">
      <c r="A1320" s="11"/>
      <c r="B1320" s="12"/>
      <c r="C1320" s="11"/>
      <c r="D1320" s="13"/>
      <c r="E1320" s="14"/>
      <c r="F1320" s="14"/>
      <c r="G1320" s="14"/>
      <c r="H1320" s="15"/>
      <c r="I1320" s="15"/>
      <c r="J1320" s="3"/>
      <c r="K1320" s="3"/>
      <c r="L1320" s="3"/>
      <c r="M1320" s="3"/>
      <c r="N1320" s="3"/>
      <c r="O1320" s="3"/>
      <c r="P1320" s="3"/>
      <c r="Q1320" s="3"/>
      <c r="R1320" s="3"/>
      <c r="S1320" s="3"/>
      <c r="T1320" s="3"/>
      <c r="U1320" s="3"/>
      <c r="V1320" s="3"/>
      <c r="W1320" s="3"/>
      <c r="X1320" s="3"/>
      <c r="Y1320" s="3"/>
      <c r="Z1320" s="3"/>
      <c r="AA1320" s="3"/>
    </row>
    <row r="1321" ht="105.75" customHeight="1">
      <c r="A1321" s="11"/>
      <c r="B1321" s="12"/>
      <c r="C1321" s="11"/>
      <c r="D1321" s="13"/>
      <c r="E1321" s="14"/>
      <c r="F1321" s="14"/>
      <c r="G1321" s="14"/>
      <c r="H1321" s="15"/>
      <c r="I1321" s="15"/>
      <c r="J1321" s="3"/>
      <c r="K1321" s="3"/>
      <c r="L1321" s="3"/>
      <c r="M1321" s="3"/>
      <c r="N1321" s="3"/>
      <c r="O1321" s="3"/>
      <c r="P1321" s="3"/>
      <c r="Q1321" s="3"/>
      <c r="R1321" s="3"/>
      <c r="S1321" s="3"/>
      <c r="T1321" s="3"/>
      <c r="U1321" s="3"/>
      <c r="V1321" s="3"/>
      <c r="W1321" s="3"/>
      <c r="X1321" s="3"/>
      <c r="Y1321" s="3"/>
      <c r="Z1321" s="3"/>
      <c r="AA1321" s="3"/>
    </row>
    <row r="1322" ht="105.75" customHeight="1">
      <c r="A1322" s="11"/>
      <c r="B1322" s="12"/>
      <c r="C1322" s="11"/>
      <c r="D1322" s="13"/>
      <c r="E1322" s="14"/>
      <c r="F1322" s="14"/>
      <c r="G1322" s="14"/>
      <c r="H1322" s="15"/>
      <c r="I1322" s="15"/>
      <c r="J1322" s="3"/>
      <c r="K1322" s="3"/>
      <c r="L1322" s="3"/>
      <c r="M1322" s="3"/>
      <c r="N1322" s="3"/>
      <c r="O1322" s="3"/>
      <c r="P1322" s="3"/>
      <c r="Q1322" s="3"/>
      <c r="R1322" s="3"/>
      <c r="S1322" s="3"/>
      <c r="T1322" s="3"/>
      <c r="U1322" s="3"/>
      <c r="V1322" s="3"/>
      <c r="W1322" s="3"/>
      <c r="X1322" s="3"/>
      <c r="Y1322" s="3"/>
      <c r="Z1322" s="3"/>
      <c r="AA1322" s="3"/>
    </row>
    <row r="1323" ht="105.75" customHeight="1">
      <c r="A1323" s="11"/>
      <c r="B1323" s="12"/>
      <c r="C1323" s="11"/>
      <c r="D1323" s="13"/>
      <c r="E1323" s="14"/>
      <c r="F1323" s="14"/>
      <c r="G1323" s="14"/>
      <c r="H1323" s="15"/>
      <c r="I1323" s="15"/>
      <c r="J1323" s="3"/>
      <c r="K1323" s="3"/>
      <c r="L1323" s="3"/>
      <c r="M1323" s="3"/>
      <c r="N1323" s="3"/>
      <c r="O1323" s="3"/>
      <c r="P1323" s="3"/>
      <c r="Q1323" s="3"/>
      <c r="R1323" s="3"/>
      <c r="S1323" s="3"/>
      <c r="T1323" s="3"/>
      <c r="U1323" s="3"/>
      <c r="V1323" s="3"/>
      <c r="W1323" s="3"/>
      <c r="X1323" s="3"/>
      <c r="Y1323" s="3"/>
      <c r="Z1323" s="3"/>
      <c r="AA1323" s="3"/>
    </row>
    <row r="1324" ht="105.75" customHeight="1">
      <c r="A1324" s="11"/>
      <c r="B1324" s="12"/>
      <c r="C1324" s="11"/>
      <c r="D1324" s="13"/>
      <c r="E1324" s="16"/>
      <c r="F1324" s="16"/>
      <c r="G1324" s="16"/>
      <c r="H1324" s="15"/>
      <c r="I1324" s="15"/>
      <c r="J1324" s="3"/>
      <c r="K1324" s="3"/>
      <c r="L1324" s="3"/>
      <c r="M1324" s="3"/>
      <c r="N1324" s="3"/>
      <c r="O1324" s="3"/>
      <c r="P1324" s="3"/>
      <c r="Q1324" s="3"/>
      <c r="R1324" s="3"/>
      <c r="S1324" s="3"/>
      <c r="T1324" s="3"/>
      <c r="U1324" s="3"/>
      <c r="V1324" s="3"/>
      <c r="W1324" s="3"/>
      <c r="X1324" s="3"/>
      <c r="Y1324" s="3"/>
      <c r="Z1324" s="3"/>
      <c r="AA1324" s="3"/>
    </row>
    <row r="1325" ht="105.75" customHeight="1">
      <c r="A1325" s="11"/>
      <c r="B1325" s="12"/>
      <c r="C1325" s="11"/>
      <c r="D1325" s="13"/>
      <c r="E1325" s="14"/>
      <c r="F1325" s="14"/>
      <c r="G1325" s="14"/>
      <c r="H1325" s="15"/>
      <c r="I1325" s="15"/>
      <c r="J1325" s="3"/>
      <c r="K1325" s="3"/>
      <c r="L1325" s="3"/>
      <c r="M1325" s="3"/>
      <c r="N1325" s="3"/>
      <c r="O1325" s="3"/>
      <c r="P1325" s="3"/>
      <c r="Q1325" s="3"/>
      <c r="R1325" s="3"/>
      <c r="S1325" s="3"/>
      <c r="T1325" s="3"/>
      <c r="U1325" s="3"/>
      <c r="V1325" s="3"/>
      <c r="W1325" s="3"/>
      <c r="X1325" s="3"/>
      <c r="Y1325" s="3"/>
      <c r="Z1325" s="3"/>
      <c r="AA1325" s="3"/>
    </row>
    <row r="1326" ht="105.75" customHeight="1">
      <c r="A1326" s="11"/>
      <c r="B1326" s="12"/>
      <c r="C1326" s="11"/>
      <c r="D1326" s="13"/>
      <c r="E1326" s="14"/>
      <c r="F1326" s="14"/>
      <c r="G1326" s="14"/>
      <c r="H1326" s="15"/>
      <c r="I1326" s="15"/>
      <c r="J1326" s="3"/>
      <c r="K1326" s="3"/>
      <c r="L1326" s="3"/>
      <c r="M1326" s="3"/>
      <c r="N1326" s="3"/>
      <c r="O1326" s="3"/>
      <c r="P1326" s="3"/>
      <c r="Q1326" s="3"/>
      <c r="R1326" s="3"/>
      <c r="S1326" s="3"/>
      <c r="T1326" s="3"/>
      <c r="U1326" s="3"/>
      <c r="V1326" s="3"/>
      <c r="W1326" s="3"/>
      <c r="X1326" s="3"/>
      <c r="Y1326" s="3"/>
      <c r="Z1326" s="3"/>
      <c r="AA1326" s="3"/>
    </row>
    <row r="1327" ht="105.75" customHeight="1">
      <c r="A1327" s="11"/>
      <c r="B1327" s="12"/>
      <c r="C1327" s="11"/>
      <c r="D1327" s="13"/>
      <c r="E1327" s="14"/>
      <c r="F1327" s="14"/>
      <c r="G1327" s="14"/>
      <c r="H1327" s="15"/>
      <c r="I1327" s="15"/>
      <c r="J1327" s="3"/>
      <c r="K1327" s="3"/>
      <c r="L1327" s="3"/>
      <c r="M1327" s="3"/>
      <c r="N1327" s="3"/>
      <c r="O1327" s="3"/>
      <c r="P1327" s="3"/>
      <c r="Q1327" s="3"/>
      <c r="R1327" s="3"/>
      <c r="S1327" s="3"/>
      <c r="T1327" s="3"/>
      <c r="U1327" s="3"/>
      <c r="V1327" s="3"/>
      <c r="W1327" s="3"/>
      <c r="X1327" s="3"/>
      <c r="Y1327" s="3"/>
      <c r="Z1327" s="3"/>
      <c r="AA1327" s="3"/>
    </row>
    <row r="1328" ht="105.75" customHeight="1">
      <c r="A1328" s="11"/>
      <c r="B1328" s="12"/>
      <c r="C1328" s="11"/>
      <c r="D1328" s="13"/>
      <c r="E1328" s="14"/>
      <c r="F1328" s="14"/>
      <c r="G1328" s="14"/>
      <c r="H1328" s="15"/>
      <c r="I1328" s="15"/>
      <c r="J1328" s="3"/>
      <c r="K1328" s="3"/>
      <c r="L1328" s="3"/>
      <c r="M1328" s="3"/>
      <c r="N1328" s="3"/>
      <c r="O1328" s="3"/>
      <c r="P1328" s="3"/>
      <c r="Q1328" s="3"/>
      <c r="R1328" s="3"/>
      <c r="S1328" s="3"/>
      <c r="T1328" s="3"/>
      <c r="U1328" s="3"/>
      <c r="V1328" s="3"/>
      <c r="W1328" s="3"/>
      <c r="X1328" s="3"/>
      <c r="Y1328" s="3"/>
      <c r="Z1328" s="3"/>
      <c r="AA1328" s="3"/>
    </row>
    <row r="1329" ht="105.75" customHeight="1">
      <c r="A1329" s="11"/>
      <c r="B1329" s="12"/>
      <c r="C1329" s="11"/>
      <c r="D1329" s="13"/>
      <c r="E1329" s="14"/>
      <c r="F1329" s="14"/>
      <c r="G1329" s="14"/>
      <c r="H1329" s="15"/>
      <c r="I1329" s="15"/>
      <c r="J1329" s="3"/>
      <c r="K1329" s="3"/>
      <c r="L1329" s="3"/>
      <c r="M1329" s="3"/>
      <c r="N1329" s="3"/>
      <c r="O1329" s="3"/>
      <c r="P1329" s="3"/>
      <c r="Q1329" s="3"/>
      <c r="R1329" s="3"/>
      <c r="S1329" s="3"/>
      <c r="T1329" s="3"/>
      <c r="U1329" s="3"/>
      <c r="V1329" s="3"/>
      <c r="W1329" s="3"/>
      <c r="X1329" s="3"/>
      <c r="Y1329" s="3"/>
      <c r="Z1329" s="3"/>
      <c r="AA1329" s="3"/>
    </row>
    <row r="1330" ht="105.75" customHeight="1">
      <c r="A1330" s="11"/>
      <c r="B1330" s="12"/>
      <c r="C1330" s="11"/>
      <c r="D1330" s="13"/>
      <c r="E1330" s="14"/>
      <c r="F1330" s="14"/>
      <c r="G1330" s="14"/>
      <c r="H1330" s="15"/>
      <c r="I1330" s="15"/>
      <c r="J1330" s="3"/>
      <c r="K1330" s="3"/>
      <c r="L1330" s="3"/>
      <c r="M1330" s="3"/>
      <c r="N1330" s="3"/>
      <c r="O1330" s="3"/>
      <c r="P1330" s="3"/>
      <c r="Q1330" s="3"/>
      <c r="R1330" s="3"/>
      <c r="S1330" s="3"/>
      <c r="T1330" s="3"/>
      <c r="U1330" s="3"/>
      <c r="V1330" s="3"/>
      <c r="W1330" s="3"/>
      <c r="X1330" s="3"/>
      <c r="Y1330" s="3"/>
      <c r="Z1330" s="3"/>
      <c r="AA1330" s="3"/>
    </row>
    <row r="1331" ht="105.75" customHeight="1">
      <c r="A1331" s="11"/>
      <c r="B1331" s="12"/>
      <c r="C1331" s="11"/>
      <c r="D1331" s="13"/>
      <c r="E1331" s="14"/>
      <c r="F1331" s="14"/>
      <c r="G1331" s="14"/>
      <c r="H1331" s="15"/>
      <c r="I1331" s="15"/>
      <c r="J1331" s="3"/>
      <c r="K1331" s="3"/>
      <c r="L1331" s="3"/>
      <c r="M1331" s="3"/>
      <c r="N1331" s="3"/>
      <c r="O1331" s="3"/>
      <c r="P1331" s="3"/>
      <c r="Q1331" s="3"/>
      <c r="R1331" s="3"/>
      <c r="S1331" s="3"/>
      <c r="T1331" s="3"/>
      <c r="U1331" s="3"/>
      <c r="V1331" s="3"/>
      <c r="W1331" s="3"/>
      <c r="X1331" s="3"/>
      <c r="Y1331" s="3"/>
      <c r="Z1331" s="3"/>
      <c r="AA1331" s="3"/>
    </row>
    <row r="1332" ht="105.75" customHeight="1">
      <c r="A1332" s="11"/>
      <c r="B1332" s="12"/>
      <c r="C1332" s="11"/>
      <c r="D1332" s="13"/>
      <c r="E1332" s="14"/>
      <c r="F1332" s="14"/>
      <c r="G1332" s="14"/>
      <c r="H1332" s="15"/>
      <c r="I1332" s="15"/>
      <c r="J1332" s="3"/>
      <c r="K1332" s="3"/>
      <c r="L1332" s="3"/>
      <c r="M1332" s="3"/>
      <c r="N1332" s="3"/>
      <c r="O1332" s="3"/>
      <c r="P1332" s="3"/>
      <c r="Q1332" s="3"/>
      <c r="R1332" s="3"/>
      <c r="S1332" s="3"/>
      <c r="T1332" s="3"/>
      <c r="U1332" s="3"/>
      <c r="V1332" s="3"/>
      <c r="W1332" s="3"/>
      <c r="X1332" s="3"/>
      <c r="Y1332" s="3"/>
      <c r="Z1332" s="3"/>
      <c r="AA1332" s="3"/>
    </row>
    <row r="1333" ht="105.75" customHeight="1">
      <c r="A1333" s="11"/>
      <c r="B1333" s="12"/>
      <c r="C1333" s="11"/>
      <c r="D1333" s="13"/>
      <c r="E1333" s="14"/>
      <c r="F1333" s="14"/>
      <c r="G1333" s="14"/>
      <c r="H1333" s="15"/>
      <c r="I1333" s="15"/>
      <c r="J1333" s="3"/>
      <c r="K1333" s="3"/>
      <c r="L1333" s="3"/>
      <c r="M1333" s="3"/>
      <c r="N1333" s="3"/>
      <c r="O1333" s="3"/>
      <c r="P1333" s="3"/>
      <c r="Q1333" s="3"/>
      <c r="R1333" s="3"/>
      <c r="S1333" s="3"/>
      <c r="T1333" s="3"/>
      <c r="U1333" s="3"/>
      <c r="V1333" s="3"/>
      <c r="W1333" s="3"/>
      <c r="X1333" s="3"/>
      <c r="Y1333" s="3"/>
      <c r="Z1333" s="3"/>
      <c r="AA1333" s="3"/>
    </row>
    <row r="1334" ht="105.75" customHeight="1">
      <c r="A1334" s="11"/>
      <c r="B1334" s="12"/>
      <c r="C1334" s="11"/>
      <c r="D1334" s="13"/>
      <c r="E1334" s="14"/>
      <c r="F1334" s="14"/>
      <c r="G1334" s="14"/>
      <c r="H1334" s="15"/>
      <c r="I1334" s="15"/>
      <c r="J1334" s="3"/>
      <c r="K1334" s="3"/>
      <c r="L1334" s="3"/>
      <c r="M1334" s="3"/>
      <c r="N1334" s="3"/>
      <c r="O1334" s="3"/>
      <c r="P1334" s="3"/>
      <c r="Q1334" s="3"/>
      <c r="R1334" s="3"/>
      <c r="S1334" s="3"/>
      <c r="T1334" s="3"/>
      <c r="U1334" s="3"/>
      <c r="V1334" s="3"/>
      <c r="W1334" s="3"/>
      <c r="X1334" s="3"/>
      <c r="Y1334" s="3"/>
      <c r="Z1334" s="3"/>
      <c r="AA1334" s="3"/>
    </row>
    <row r="1335" ht="105.75" customHeight="1">
      <c r="A1335" s="11"/>
      <c r="B1335" s="12"/>
      <c r="C1335" s="11"/>
      <c r="D1335" s="13"/>
      <c r="E1335" s="16"/>
      <c r="F1335" s="16"/>
      <c r="G1335" s="16"/>
      <c r="H1335" s="15"/>
      <c r="I1335" s="15"/>
      <c r="J1335" s="3"/>
      <c r="K1335" s="3"/>
      <c r="L1335" s="3"/>
      <c r="M1335" s="3"/>
      <c r="N1335" s="3"/>
      <c r="O1335" s="3"/>
      <c r="P1335" s="3"/>
      <c r="Q1335" s="3"/>
      <c r="R1335" s="3"/>
      <c r="S1335" s="3"/>
      <c r="T1335" s="3"/>
      <c r="U1335" s="3"/>
      <c r="V1335" s="3"/>
      <c r="W1335" s="3"/>
      <c r="X1335" s="3"/>
      <c r="Y1335" s="3"/>
      <c r="Z1335" s="3"/>
      <c r="AA1335" s="3"/>
    </row>
    <row r="1336" ht="105.75" customHeight="1">
      <c r="A1336" s="11"/>
      <c r="B1336" s="12"/>
      <c r="C1336" s="11"/>
      <c r="D1336" s="13"/>
      <c r="E1336" s="14"/>
      <c r="F1336" s="14"/>
      <c r="G1336" s="14"/>
      <c r="H1336" s="15"/>
      <c r="I1336" s="15"/>
      <c r="J1336" s="3"/>
      <c r="K1336" s="3"/>
      <c r="L1336" s="3"/>
      <c r="M1336" s="3"/>
      <c r="N1336" s="3"/>
      <c r="O1336" s="3"/>
      <c r="P1336" s="3"/>
      <c r="Q1336" s="3"/>
      <c r="R1336" s="3"/>
      <c r="S1336" s="3"/>
      <c r="T1336" s="3"/>
      <c r="U1336" s="3"/>
      <c r="V1336" s="3"/>
      <c r="W1336" s="3"/>
      <c r="X1336" s="3"/>
      <c r="Y1336" s="3"/>
      <c r="Z1336" s="3"/>
      <c r="AA1336" s="3"/>
    </row>
    <row r="1337" ht="105.75" customHeight="1">
      <c r="A1337" s="11"/>
      <c r="B1337" s="12"/>
      <c r="C1337" s="11"/>
      <c r="D1337" s="13"/>
      <c r="E1337" s="14"/>
      <c r="F1337" s="14"/>
      <c r="G1337" s="14"/>
      <c r="H1337" s="15"/>
      <c r="I1337" s="15"/>
      <c r="J1337" s="3"/>
      <c r="K1337" s="3"/>
      <c r="L1337" s="3"/>
      <c r="M1337" s="3"/>
      <c r="N1337" s="3"/>
      <c r="O1337" s="3"/>
      <c r="P1337" s="3"/>
      <c r="Q1337" s="3"/>
      <c r="R1337" s="3"/>
      <c r="S1337" s="3"/>
      <c r="T1337" s="3"/>
      <c r="U1337" s="3"/>
      <c r="V1337" s="3"/>
      <c r="W1337" s="3"/>
      <c r="X1337" s="3"/>
      <c r="Y1337" s="3"/>
      <c r="Z1337" s="3"/>
      <c r="AA1337" s="3"/>
    </row>
    <row r="1338" ht="105.75" customHeight="1">
      <c r="A1338" s="11"/>
      <c r="B1338" s="12"/>
      <c r="C1338" s="11"/>
      <c r="D1338" s="13"/>
      <c r="E1338" s="14"/>
      <c r="F1338" s="14"/>
      <c r="G1338" s="14"/>
      <c r="H1338" s="15"/>
      <c r="I1338" s="15"/>
      <c r="J1338" s="3"/>
      <c r="K1338" s="3"/>
      <c r="L1338" s="3"/>
      <c r="M1338" s="3"/>
      <c r="N1338" s="3"/>
      <c r="O1338" s="3"/>
      <c r="P1338" s="3"/>
      <c r="Q1338" s="3"/>
      <c r="R1338" s="3"/>
      <c r="S1338" s="3"/>
      <c r="T1338" s="3"/>
      <c r="U1338" s="3"/>
      <c r="V1338" s="3"/>
      <c r="W1338" s="3"/>
      <c r="X1338" s="3"/>
      <c r="Y1338" s="3"/>
      <c r="Z1338" s="3"/>
      <c r="AA1338" s="3"/>
    </row>
    <row r="1339" ht="105.75" customHeight="1">
      <c r="A1339" s="11"/>
      <c r="B1339" s="12"/>
      <c r="C1339" s="11"/>
      <c r="D1339" s="13"/>
      <c r="E1339" s="16"/>
      <c r="F1339" s="16"/>
      <c r="G1339" s="16"/>
      <c r="H1339" s="15"/>
      <c r="I1339" s="15"/>
      <c r="J1339" s="3"/>
      <c r="K1339" s="3"/>
      <c r="L1339" s="3"/>
      <c r="M1339" s="3"/>
      <c r="N1339" s="3"/>
      <c r="O1339" s="3"/>
      <c r="P1339" s="3"/>
      <c r="Q1339" s="3"/>
      <c r="R1339" s="3"/>
      <c r="S1339" s="3"/>
      <c r="T1339" s="3"/>
      <c r="U1339" s="3"/>
      <c r="V1339" s="3"/>
      <c r="W1339" s="3"/>
      <c r="X1339" s="3"/>
      <c r="Y1339" s="3"/>
      <c r="Z1339" s="3"/>
      <c r="AA1339" s="3"/>
    </row>
    <row r="1340" ht="105.75" customHeight="1">
      <c r="A1340" s="11"/>
      <c r="B1340" s="12"/>
      <c r="C1340" s="11"/>
      <c r="D1340" s="13"/>
      <c r="E1340" s="14"/>
      <c r="F1340" s="14"/>
      <c r="G1340" s="14"/>
      <c r="H1340" s="15"/>
      <c r="I1340" s="15"/>
      <c r="J1340" s="3"/>
      <c r="K1340" s="3"/>
      <c r="L1340" s="3"/>
      <c r="M1340" s="3"/>
      <c r="N1340" s="3"/>
      <c r="O1340" s="3"/>
      <c r="P1340" s="3"/>
      <c r="Q1340" s="3"/>
      <c r="R1340" s="3"/>
      <c r="S1340" s="3"/>
      <c r="T1340" s="3"/>
      <c r="U1340" s="3"/>
      <c r="V1340" s="3"/>
      <c r="W1340" s="3"/>
      <c r="X1340" s="3"/>
      <c r="Y1340" s="3"/>
      <c r="Z1340" s="3"/>
      <c r="AA1340" s="3"/>
    </row>
    <row r="1341" ht="105.75" customHeight="1">
      <c r="A1341" s="11"/>
      <c r="B1341" s="12"/>
      <c r="C1341" s="11"/>
      <c r="D1341" s="13"/>
      <c r="E1341" s="14"/>
      <c r="F1341" s="14"/>
      <c r="G1341" s="14"/>
      <c r="H1341" s="15"/>
      <c r="I1341" s="15"/>
      <c r="J1341" s="3"/>
      <c r="K1341" s="3"/>
      <c r="L1341" s="3"/>
      <c r="M1341" s="3"/>
      <c r="N1341" s="3"/>
      <c r="O1341" s="3"/>
      <c r="P1341" s="3"/>
      <c r="Q1341" s="3"/>
      <c r="R1341" s="3"/>
      <c r="S1341" s="3"/>
      <c r="T1341" s="3"/>
      <c r="U1341" s="3"/>
      <c r="V1341" s="3"/>
      <c r="W1341" s="3"/>
      <c r="X1341" s="3"/>
      <c r="Y1341" s="3"/>
      <c r="Z1341" s="3"/>
      <c r="AA1341" s="3"/>
    </row>
    <row r="1342" ht="105.75" customHeight="1">
      <c r="A1342" s="11"/>
      <c r="B1342" s="12"/>
      <c r="C1342" s="11"/>
      <c r="D1342" s="13"/>
      <c r="E1342" s="16"/>
      <c r="F1342" s="16"/>
      <c r="G1342" s="16"/>
      <c r="H1342" s="15"/>
      <c r="I1342" s="15"/>
      <c r="J1342" s="3"/>
      <c r="K1342" s="3"/>
      <c r="L1342" s="3"/>
      <c r="M1342" s="3"/>
      <c r="N1342" s="3"/>
      <c r="O1342" s="3"/>
      <c r="P1342" s="3"/>
      <c r="Q1342" s="3"/>
      <c r="R1342" s="3"/>
      <c r="S1342" s="3"/>
      <c r="T1342" s="3"/>
      <c r="U1342" s="3"/>
      <c r="V1342" s="3"/>
      <c r="W1342" s="3"/>
      <c r="X1342" s="3"/>
      <c r="Y1342" s="3"/>
      <c r="Z1342" s="3"/>
      <c r="AA1342" s="3"/>
    </row>
    <row r="1343" ht="105.75" customHeight="1">
      <c r="A1343" s="11"/>
      <c r="B1343" s="12"/>
      <c r="C1343" s="11"/>
      <c r="D1343" s="13"/>
      <c r="E1343" s="16"/>
      <c r="F1343" s="16"/>
      <c r="G1343" s="16"/>
      <c r="H1343" s="15"/>
      <c r="I1343" s="15"/>
      <c r="J1343" s="3"/>
      <c r="K1343" s="3"/>
      <c r="L1343" s="3"/>
      <c r="M1343" s="3"/>
      <c r="N1343" s="3"/>
      <c r="O1343" s="3"/>
      <c r="P1343" s="3"/>
      <c r="Q1343" s="3"/>
      <c r="R1343" s="3"/>
      <c r="S1343" s="3"/>
      <c r="T1343" s="3"/>
      <c r="U1343" s="3"/>
      <c r="V1343" s="3"/>
      <c r="W1343" s="3"/>
      <c r="X1343" s="3"/>
      <c r="Y1343" s="3"/>
      <c r="Z1343" s="3"/>
      <c r="AA1343" s="3"/>
    </row>
    <row r="1344" ht="105.75" customHeight="1">
      <c r="A1344" s="11"/>
      <c r="B1344" s="12"/>
      <c r="C1344" s="11"/>
      <c r="D1344" s="13"/>
      <c r="E1344" s="14"/>
      <c r="F1344" s="14"/>
      <c r="G1344" s="14"/>
      <c r="H1344" s="15"/>
      <c r="I1344" s="15"/>
      <c r="J1344" s="3"/>
      <c r="K1344" s="3"/>
      <c r="L1344" s="3"/>
      <c r="M1344" s="3"/>
      <c r="N1344" s="3"/>
      <c r="O1344" s="3"/>
      <c r="P1344" s="3"/>
      <c r="Q1344" s="3"/>
      <c r="R1344" s="3"/>
      <c r="S1344" s="3"/>
      <c r="T1344" s="3"/>
      <c r="U1344" s="3"/>
      <c r="V1344" s="3"/>
      <c r="W1344" s="3"/>
      <c r="X1344" s="3"/>
      <c r="Y1344" s="3"/>
      <c r="Z1344" s="3"/>
      <c r="AA1344" s="3"/>
    </row>
    <row r="1345" ht="105.75" customHeight="1">
      <c r="A1345" s="11"/>
      <c r="B1345" s="12"/>
      <c r="C1345" s="11"/>
      <c r="D1345" s="13"/>
      <c r="E1345" s="14"/>
      <c r="F1345" s="14"/>
      <c r="G1345" s="14"/>
      <c r="H1345" s="15"/>
      <c r="I1345" s="15"/>
      <c r="J1345" s="3"/>
      <c r="K1345" s="3"/>
      <c r="L1345" s="3"/>
      <c r="M1345" s="3"/>
      <c r="N1345" s="3"/>
      <c r="O1345" s="3"/>
      <c r="P1345" s="3"/>
      <c r="Q1345" s="3"/>
      <c r="R1345" s="3"/>
      <c r="S1345" s="3"/>
      <c r="T1345" s="3"/>
      <c r="U1345" s="3"/>
      <c r="V1345" s="3"/>
      <c r="W1345" s="3"/>
      <c r="X1345" s="3"/>
      <c r="Y1345" s="3"/>
      <c r="Z1345" s="3"/>
      <c r="AA1345" s="3"/>
    </row>
    <row r="1346" ht="105.75" customHeight="1">
      <c r="A1346" s="11"/>
      <c r="B1346" s="12"/>
      <c r="C1346" s="11"/>
      <c r="D1346" s="13"/>
      <c r="E1346" s="14"/>
      <c r="F1346" s="14"/>
      <c r="G1346" s="14"/>
      <c r="H1346" s="15"/>
      <c r="I1346" s="15"/>
      <c r="J1346" s="3"/>
      <c r="K1346" s="3"/>
      <c r="L1346" s="3"/>
      <c r="M1346" s="3"/>
      <c r="N1346" s="3"/>
      <c r="O1346" s="3"/>
      <c r="P1346" s="3"/>
      <c r="Q1346" s="3"/>
      <c r="R1346" s="3"/>
      <c r="S1346" s="3"/>
      <c r="T1346" s="3"/>
      <c r="U1346" s="3"/>
      <c r="V1346" s="3"/>
      <c r="W1346" s="3"/>
      <c r="X1346" s="3"/>
      <c r="Y1346" s="3"/>
      <c r="Z1346" s="3"/>
      <c r="AA1346" s="3"/>
    </row>
    <row r="1347" ht="105.75" customHeight="1">
      <c r="A1347" s="11"/>
      <c r="B1347" s="12"/>
      <c r="C1347" s="11"/>
      <c r="D1347" s="13"/>
      <c r="E1347" s="16"/>
      <c r="F1347" s="16"/>
      <c r="G1347" s="16"/>
      <c r="H1347" s="15"/>
      <c r="I1347" s="15"/>
      <c r="J1347" s="3"/>
      <c r="K1347" s="3"/>
      <c r="L1347" s="3"/>
      <c r="M1347" s="3"/>
      <c r="N1347" s="3"/>
      <c r="O1347" s="3"/>
      <c r="P1347" s="3"/>
      <c r="Q1347" s="3"/>
      <c r="R1347" s="3"/>
      <c r="S1347" s="3"/>
      <c r="T1347" s="3"/>
      <c r="U1347" s="3"/>
      <c r="V1347" s="3"/>
      <c r="W1347" s="3"/>
      <c r="X1347" s="3"/>
      <c r="Y1347" s="3"/>
      <c r="Z1347" s="3"/>
      <c r="AA1347" s="3"/>
    </row>
    <row r="1348" ht="105.75" customHeight="1">
      <c r="A1348" s="11"/>
      <c r="B1348" s="12"/>
      <c r="C1348" s="11"/>
      <c r="D1348" s="13"/>
      <c r="E1348" s="14"/>
      <c r="F1348" s="14"/>
      <c r="G1348" s="14"/>
      <c r="H1348" s="15"/>
      <c r="I1348" s="15"/>
      <c r="J1348" s="3"/>
      <c r="K1348" s="3"/>
      <c r="L1348" s="3"/>
      <c r="M1348" s="3"/>
      <c r="N1348" s="3"/>
      <c r="O1348" s="3"/>
      <c r="P1348" s="3"/>
      <c r="Q1348" s="3"/>
      <c r="R1348" s="3"/>
      <c r="S1348" s="3"/>
      <c r="T1348" s="3"/>
      <c r="U1348" s="3"/>
      <c r="V1348" s="3"/>
      <c r="W1348" s="3"/>
      <c r="X1348" s="3"/>
      <c r="Y1348" s="3"/>
      <c r="Z1348" s="3"/>
      <c r="AA1348" s="3"/>
    </row>
    <row r="1349" ht="105.75" customHeight="1">
      <c r="A1349" s="11"/>
      <c r="B1349" s="12"/>
      <c r="C1349" s="11"/>
      <c r="D1349" s="13"/>
      <c r="E1349" s="14"/>
      <c r="F1349" s="14"/>
      <c r="G1349" s="14"/>
      <c r="H1349" s="15"/>
      <c r="I1349" s="15"/>
      <c r="J1349" s="3"/>
      <c r="K1349" s="3"/>
      <c r="L1349" s="3"/>
      <c r="M1349" s="3"/>
      <c r="N1349" s="3"/>
      <c r="O1349" s="3"/>
      <c r="P1349" s="3"/>
      <c r="Q1349" s="3"/>
      <c r="R1349" s="3"/>
      <c r="S1349" s="3"/>
      <c r="T1349" s="3"/>
      <c r="U1349" s="3"/>
      <c r="V1349" s="3"/>
      <c r="W1349" s="3"/>
      <c r="X1349" s="3"/>
      <c r="Y1349" s="3"/>
      <c r="Z1349" s="3"/>
      <c r="AA1349" s="3"/>
    </row>
    <row r="1350" ht="105.75" customHeight="1">
      <c r="A1350" s="11"/>
      <c r="B1350" s="12"/>
      <c r="C1350" s="11"/>
      <c r="D1350" s="13"/>
      <c r="E1350" s="14"/>
      <c r="F1350" s="14"/>
      <c r="G1350" s="14"/>
      <c r="H1350" s="15"/>
      <c r="I1350" s="15"/>
      <c r="J1350" s="3"/>
      <c r="K1350" s="3"/>
      <c r="L1350" s="3"/>
      <c r="M1350" s="3"/>
      <c r="N1350" s="3"/>
      <c r="O1350" s="3"/>
      <c r="P1350" s="3"/>
      <c r="Q1350" s="3"/>
      <c r="R1350" s="3"/>
      <c r="S1350" s="3"/>
      <c r="T1350" s="3"/>
      <c r="U1350" s="3"/>
      <c r="V1350" s="3"/>
      <c r="W1350" s="3"/>
      <c r="X1350" s="3"/>
      <c r="Y1350" s="3"/>
      <c r="Z1350" s="3"/>
      <c r="AA1350" s="3"/>
    </row>
    <row r="1351" ht="105.75" customHeight="1">
      <c r="A1351" s="11"/>
      <c r="B1351" s="12"/>
      <c r="C1351" s="11"/>
      <c r="D1351" s="13"/>
      <c r="E1351" s="14"/>
      <c r="F1351" s="14"/>
      <c r="G1351" s="14"/>
      <c r="H1351" s="15"/>
      <c r="I1351" s="15"/>
      <c r="J1351" s="3"/>
      <c r="K1351" s="3"/>
      <c r="L1351" s="3"/>
      <c r="M1351" s="3"/>
      <c r="N1351" s="3"/>
      <c r="O1351" s="3"/>
      <c r="P1351" s="3"/>
      <c r="Q1351" s="3"/>
      <c r="R1351" s="3"/>
      <c r="S1351" s="3"/>
      <c r="T1351" s="3"/>
      <c r="U1351" s="3"/>
      <c r="V1351" s="3"/>
      <c r="W1351" s="3"/>
      <c r="X1351" s="3"/>
      <c r="Y1351" s="3"/>
      <c r="Z1351" s="3"/>
      <c r="AA1351" s="3"/>
    </row>
    <row r="1352" ht="105.75" customHeight="1">
      <c r="A1352" s="11"/>
      <c r="B1352" s="12"/>
      <c r="C1352" s="11"/>
      <c r="D1352" s="13"/>
      <c r="E1352" s="16"/>
      <c r="F1352" s="16"/>
      <c r="G1352" s="16"/>
      <c r="H1352" s="15"/>
      <c r="I1352" s="15"/>
      <c r="J1352" s="3"/>
      <c r="K1352" s="3"/>
      <c r="L1352" s="3"/>
      <c r="M1352" s="3"/>
      <c r="N1352" s="3"/>
      <c r="O1352" s="3"/>
      <c r="P1352" s="3"/>
      <c r="Q1352" s="3"/>
      <c r="R1352" s="3"/>
      <c r="S1352" s="3"/>
      <c r="T1352" s="3"/>
      <c r="U1352" s="3"/>
      <c r="V1352" s="3"/>
      <c r="W1352" s="3"/>
      <c r="X1352" s="3"/>
      <c r="Y1352" s="3"/>
      <c r="Z1352" s="3"/>
      <c r="AA1352" s="3"/>
    </row>
    <row r="1353" ht="105.75" customHeight="1">
      <c r="A1353" s="11"/>
      <c r="B1353" s="12"/>
      <c r="C1353" s="11"/>
      <c r="D1353" s="13"/>
      <c r="E1353" s="14"/>
      <c r="F1353" s="14"/>
      <c r="G1353" s="14"/>
      <c r="H1353" s="15"/>
      <c r="I1353" s="15"/>
      <c r="J1353" s="3"/>
      <c r="K1353" s="3"/>
      <c r="L1353" s="3"/>
      <c r="M1353" s="3"/>
      <c r="N1353" s="3"/>
      <c r="O1353" s="3"/>
      <c r="P1353" s="3"/>
      <c r="Q1353" s="3"/>
      <c r="R1353" s="3"/>
      <c r="S1353" s="3"/>
      <c r="T1353" s="3"/>
      <c r="U1353" s="3"/>
      <c r="V1353" s="3"/>
      <c r="W1353" s="3"/>
      <c r="X1353" s="3"/>
      <c r="Y1353" s="3"/>
      <c r="Z1353" s="3"/>
      <c r="AA1353" s="3"/>
    </row>
    <row r="1354" ht="105.75" customHeight="1">
      <c r="A1354" s="11"/>
      <c r="B1354" s="12"/>
      <c r="C1354" s="11"/>
      <c r="D1354" s="13"/>
      <c r="E1354" s="14"/>
      <c r="F1354" s="14"/>
      <c r="G1354" s="14"/>
      <c r="H1354" s="15"/>
      <c r="I1354" s="15"/>
      <c r="J1354" s="3"/>
      <c r="K1354" s="3"/>
      <c r="L1354" s="3"/>
      <c r="M1354" s="3"/>
      <c r="N1354" s="3"/>
      <c r="O1354" s="3"/>
      <c r="P1354" s="3"/>
      <c r="Q1354" s="3"/>
      <c r="R1354" s="3"/>
      <c r="S1354" s="3"/>
      <c r="T1354" s="3"/>
      <c r="U1354" s="3"/>
      <c r="V1354" s="3"/>
      <c r="W1354" s="3"/>
      <c r="X1354" s="3"/>
      <c r="Y1354" s="3"/>
      <c r="Z1354" s="3"/>
      <c r="AA1354" s="3"/>
    </row>
    <row r="1355" ht="105.75" customHeight="1">
      <c r="A1355" s="11"/>
      <c r="B1355" s="12"/>
      <c r="C1355" s="11"/>
      <c r="D1355" s="13"/>
      <c r="E1355" s="14"/>
      <c r="F1355" s="14"/>
      <c r="G1355" s="14"/>
      <c r="H1355" s="15"/>
      <c r="I1355" s="15"/>
      <c r="J1355" s="3"/>
      <c r="K1355" s="3"/>
      <c r="L1355" s="3"/>
      <c r="M1355" s="3"/>
      <c r="N1355" s="3"/>
      <c r="O1355" s="3"/>
      <c r="P1355" s="3"/>
      <c r="Q1355" s="3"/>
      <c r="R1355" s="3"/>
      <c r="S1355" s="3"/>
      <c r="T1355" s="3"/>
      <c r="U1355" s="3"/>
      <c r="V1355" s="3"/>
      <c r="W1355" s="3"/>
      <c r="X1355" s="3"/>
      <c r="Y1355" s="3"/>
      <c r="Z1355" s="3"/>
      <c r="AA1355" s="3"/>
    </row>
    <row r="1356" ht="105.75" customHeight="1">
      <c r="A1356" s="11"/>
      <c r="B1356" s="12"/>
      <c r="C1356" s="11"/>
      <c r="D1356" s="13"/>
      <c r="E1356" s="16"/>
      <c r="F1356" s="16"/>
      <c r="G1356" s="16"/>
      <c r="H1356" s="15"/>
      <c r="I1356" s="15"/>
      <c r="J1356" s="3"/>
      <c r="K1356" s="3"/>
      <c r="L1356" s="3"/>
      <c r="M1356" s="3"/>
      <c r="N1356" s="3"/>
      <c r="O1356" s="3"/>
      <c r="P1356" s="3"/>
      <c r="Q1356" s="3"/>
      <c r="R1356" s="3"/>
      <c r="S1356" s="3"/>
      <c r="T1356" s="3"/>
      <c r="U1356" s="3"/>
      <c r="V1356" s="3"/>
      <c r="W1356" s="3"/>
      <c r="X1356" s="3"/>
      <c r="Y1356" s="3"/>
      <c r="Z1356" s="3"/>
      <c r="AA1356" s="3"/>
    </row>
    <row r="1357" ht="105.75" customHeight="1">
      <c r="A1357" s="11"/>
      <c r="B1357" s="12"/>
      <c r="C1357" s="11"/>
      <c r="D1357" s="13"/>
      <c r="E1357" s="14"/>
      <c r="F1357" s="14"/>
      <c r="G1357" s="14"/>
      <c r="H1357" s="15"/>
      <c r="I1357" s="15"/>
      <c r="J1357" s="3"/>
      <c r="K1357" s="3"/>
      <c r="L1357" s="3"/>
      <c r="M1357" s="3"/>
      <c r="N1357" s="3"/>
      <c r="O1357" s="3"/>
      <c r="P1357" s="3"/>
      <c r="Q1357" s="3"/>
      <c r="R1357" s="3"/>
      <c r="S1357" s="3"/>
      <c r="T1357" s="3"/>
      <c r="U1357" s="3"/>
      <c r="V1357" s="3"/>
      <c r="W1357" s="3"/>
      <c r="X1357" s="3"/>
      <c r="Y1357" s="3"/>
      <c r="Z1357" s="3"/>
      <c r="AA1357" s="3"/>
    </row>
    <row r="1358" ht="105.75" customHeight="1">
      <c r="A1358" s="11"/>
      <c r="B1358" s="12"/>
      <c r="C1358" s="11"/>
      <c r="D1358" s="13"/>
      <c r="E1358" s="14"/>
      <c r="F1358" s="14"/>
      <c r="G1358" s="14"/>
      <c r="H1358" s="15"/>
      <c r="I1358" s="15"/>
      <c r="J1358" s="3"/>
      <c r="K1358" s="3"/>
      <c r="L1358" s="3"/>
      <c r="M1358" s="3"/>
      <c r="N1358" s="3"/>
      <c r="O1358" s="3"/>
      <c r="P1358" s="3"/>
      <c r="Q1358" s="3"/>
      <c r="R1358" s="3"/>
      <c r="S1358" s="3"/>
      <c r="T1358" s="3"/>
      <c r="U1358" s="3"/>
      <c r="V1358" s="3"/>
      <c r="W1358" s="3"/>
      <c r="X1358" s="3"/>
      <c r="Y1358" s="3"/>
      <c r="Z1358" s="3"/>
      <c r="AA1358" s="3"/>
    </row>
    <row r="1359" ht="105.75" customHeight="1">
      <c r="A1359" s="11"/>
      <c r="B1359" s="12"/>
      <c r="C1359" s="11"/>
      <c r="D1359" s="13"/>
      <c r="E1359" s="14"/>
      <c r="F1359" s="14"/>
      <c r="G1359" s="14"/>
      <c r="H1359" s="15"/>
      <c r="I1359" s="15"/>
      <c r="J1359" s="3"/>
      <c r="K1359" s="3"/>
      <c r="L1359" s="3"/>
      <c r="M1359" s="3"/>
      <c r="N1359" s="3"/>
      <c r="O1359" s="3"/>
      <c r="P1359" s="3"/>
      <c r="Q1359" s="3"/>
      <c r="R1359" s="3"/>
      <c r="S1359" s="3"/>
      <c r="T1359" s="3"/>
      <c r="U1359" s="3"/>
      <c r="V1359" s="3"/>
      <c r="W1359" s="3"/>
      <c r="X1359" s="3"/>
      <c r="Y1359" s="3"/>
      <c r="Z1359" s="3"/>
      <c r="AA1359" s="3"/>
    </row>
    <row r="1360" ht="105.75" customHeight="1">
      <c r="A1360" s="11"/>
      <c r="B1360" s="12"/>
      <c r="C1360" s="11"/>
      <c r="D1360" s="13"/>
      <c r="E1360" s="16"/>
      <c r="F1360" s="16"/>
      <c r="G1360" s="16"/>
      <c r="H1360" s="15"/>
      <c r="I1360" s="15"/>
      <c r="J1360" s="3"/>
      <c r="K1360" s="3"/>
      <c r="L1360" s="3"/>
      <c r="M1360" s="3"/>
      <c r="N1360" s="3"/>
      <c r="O1360" s="3"/>
      <c r="P1360" s="3"/>
      <c r="Q1360" s="3"/>
      <c r="R1360" s="3"/>
      <c r="S1360" s="3"/>
      <c r="T1360" s="3"/>
      <c r="U1360" s="3"/>
      <c r="V1360" s="3"/>
      <c r="W1360" s="3"/>
      <c r="X1360" s="3"/>
      <c r="Y1360" s="3"/>
      <c r="Z1360" s="3"/>
      <c r="AA1360" s="3"/>
    </row>
    <row r="1361" ht="105.75" customHeight="1">
      <c r="A1361" s="11"/>
      <c r="B1361" s="12"/>
      <c r="C1361" s="11"/>
      <c r="D1361" s="13"/>
      <c r="E1361" s="16"/>
      <c r="F1361" s="16"/>
      <c r="G1361" s="16"/>
      <c r="H1361" s="15"/>
      <c r="I1361" s="15"/>
      <c r="J1361" s="3"/>
      <c r="K1361" s="3"/>
      <c r="L1361" s="3"/>
      <c r="M1361" s="3"/>
      <c r="N1361" s="3"/>
      <c r="O1361" s="3"/>
      <c r="P1361" s="3"/>
      <c r="Q1361" s="3"/>
      <c r="R1361" s="3"/>
      <c r="S1361" s="3"/>
      <c r="T1361" s="3"/>
      <c r="U1361" s="3"/>
      <c r="V1361" s="3"/>
      <c r="W1361" s="3"/>
      <c r="X1361" s="3"/>
      <c r="Y1361" s="3"/>
      <c r="Z1361" s="3"/>
      <c r="AA1361" s="3"/>
    </row>
    <row r="1362" ht="105.75" customHeight="1">
      <c r="A1362" s="11"/>
      <c r="B1362" s="12"/>
      <c r="C1362" s="11"/>
      <c r="D1362" s="13"/>
      <c r="E1362" s="14"/>
      <c r="F1362" s="14"/>
      <c r="G1362" s="14"/>
      <c r="H1362" s="15"/>
      <c r="I1362" s="15"/>
      <c r="J1362" s="3"/>
      <c r="K1362" s="3"/>
      <c r="L1362" s="3"/>
      <c r="M1362" s="3"/>
      <c r="N1362" s="3"/>
      <c r="O1362" s="3"/>
      <c r="P1362" s="3"/>
      <c r="Q1362" s="3"/>
      <c r="R1362" s="3"/>
      <c r="S1362" s="3"/>
      <c r="T1362" s="3"/>
      <c r="U1362" s="3"/>
      <c r="V1362" s="3"/>
      <c r="W1362" s="3"/>
      <c r="X1362" s="3"/>
      <c r="Y1362" s="3"/>
      <c r="Z1362" s="3"/>
      <c r="AA1362" s="3"/>
    </row>
    <row r="1363" ht="105.75" customHeight="1">
      <c r="A1363" s="11"/>
      <c r="B1363" s="12"/>
      <c r="C1363" s="11"/>
      <c r="D1363" s="13"/>
      <c r="E1363" s="14"/>
      <c r="F1363" s="14"/>
      <c r="G1363" s="14"/>
      <c r="H1363" s="15"/>
      <c r="I1363" s="15"/>
      <c r="J1363" s="3"/>
      <c r="K1363" s="3"/>
      <c r="L1363" s="3"/>
      <c r="M1363" s="3"/>
      <c r="N1363" s="3"/>
      <c r="O1363" s="3"/>
      <c r="P1363" s="3"/>
      <c r="Q1363" s="3"/>
      <c r="R1363" s="3"/>
      <c r="S1363" s="3"/>
      <c r="T1363" s="3"/>
      <c r="U1363" s="3"/>
      <c r="V1363" s="3"/>
      <c r="W1363" s="3"/>
      <c r="X1363" s="3"/>
      <c r="Y1363" s="3"/>
      <c r="Z1363" s="3"/>
      <c r="AA1363" s="3"/>
    </row>
    <row r="1364" ht="105.75" customHeight="1">
      <c r="A1364" s="11"/>
      <c r="B1364" s="12"/>
      <c r="C1364" s="11"/>
      <c r="D1364" s="13"/>
      <c r="E1364" s="14"/>
      <c r="F1364" s="14"/>
      <c r="G1364" s="14"/>
      <c r="H1364" s="15"/>
      <c r="I1364" s="15"/>
      <c r="J1364" s="3"/>
      <c r="K1364" s="3"/>
      <c r="L1364" s="3"/>
      <c r="M1364" s="3"/>
      <c r="N1364" s="3"/>
      <c r="O1364" s="3"/>
      <c r="P1364" s="3"/>
      <c r="Q1364" s="3"/>
      <c r="R1364" s="3"/>
      <c r="S1364" s="3"/>
      <c r="T1364" s="3"/>
      <c r="U1364" s="3"/>
      <c r="V1364" s="3"/>
      <c r="W1364" s="3"/>
      <c r="X1364" s="3"/>
      <c r="Y1364" s="3"/>
      <c r="Z1364" s="3"/>
      <c r="AA1364" s="3"/>
    </row>
    <row r="1365" ht="105.75" customHeight="1">
      <c r="A1365" s="11"/>
      <c r="B1365" s="12"/>
      <c r="C1365" s="11"/>
      <c r="D1365" s="13"/>
      <c r="E1365" s="14"/>
      <c r="F1365" s="14"/>
      <c r="G1365" s="14"/>
      <c r="H1365" s="15"/>
      <c r="I1365" s="15"/>
      <c r="J1365" s="3"/>
      <c r="K1365" s="3"/>
      <c r="L1365" s="3"/>
      <c r="M1365" s="3"/>
      <c r="N1365" s="3"/>
      <c r="O1365" s="3"/>
      <c r="P1365" s="3"/>
      <c r="Q1365" s="3"/>
      <c r="R1365" s="3"/>
      <c r="S1365" s="3"/>
      <c r="T1365" s="3"/>
      <c r="U1365" s="3"/>
      <c r="V1365" s="3"/>
      <c r="W1365" s="3"/>
      <c r="X1365" s="3"/>
      <c r="Y1365" s="3"/>
      <c r="Z1365" s="3"/>
      <c r="AA1365" s="3"/>
    </row>
    <row r="1366" ht="105.75" customHeight="1">
      <c r="A1366" s="11"/>
      <c r="B1366" s="12"/>
      <c r="C1366" s="11"/>
      <c r="D1366" s="13"/>
      <c r="E1366" s="14"/>
      <c r="F1366" s="14"/>
      <c r="G1366" s="14"/>
      <c r="H1366" s="15"/>
      <c r="I1366" s="15"/>
      <c r="J1366" s="3"/>
      <c r="K1366" s="3"/>
      <c r="L1366" s="3"/>
      <c r="M1366" s="3"/>
      <c r="N1366" s="3"/>
      <c r="O1366" s="3"/>
      <c r="P1366" s="3"/>
      <c r="Q1366" s="3"/>
      <c r="R1366" s="3"/>
      <c r="S1366" s="3"/>
      <c r="T1366" s="3"/>
      <c r="U1366" s="3"/>
      <c r="V1366" s="3"/>
      <c r="W1366" s="3"/>
      <c r="X1366" s="3"/>
      <c r="Y1366" s="3"/>
      <c r="Z1366" s="3"/>
      <c r="AA1366" s="3"/>
    </row>
    <row r="1367" ht="105.75" customHeight="1">
      <c r="A1367" s="11"/>
      <c r="B1367" s="12"/>
      <c r="C1367" s="11"/>
      <c r="D1367" s="13"/>
      <c r="E1367" s="14"/>
      <c r="F1367" s="14"/>
      <c r="G1367" s="14"/>
      <c r="H1367" s="15"/>
      <c r="I1367" s="15"/>
      <c r="J1367" s="3"/>
      <c r="K1367" s="3"/>
      <c r="L1367" s="3"/>
      <c r="M1367" s="3"/>
      <c r="N1367" s="3"/>
      <c r="O1367" s="3"/>
      <c r="P1367" s="3"/>
      <c r="Q1367" s="3"/>
      <c r="R1367" s="3"/>
      <c r="S1367" s="3"/>
      <c r="T1367" s="3"/>
      <c r="U1367" s="3"/>
      <c r="V1367" s="3"/>
      <c r="W1367" s="3"/>
      <c r="X1367" s="3"/>
      <c r="Y1367" s="3"/>
      <c r="Z1367" s="3"/>
      <c r="AA1367" s="3"/>
    </row>
    <row r="1368" ht="105.75" customHeight="1">
      <c r="A1368" s="11"/>
      <c r="B1368" s="12"/>
      <c r="C1368" s="11"/>
      <c r="D1368" s="13"/>
      <c r="E1368" s="14"/>
      <c r="F1368" s="14"/>
      <c r="G1368" s="14"/>
      <c r="H1368" s="15"/>
      <c r="I1368" s="15"/>
      <c r="J1368" s="3"/>
      <c r="K1368" s="3"/>
      <c r="L1368" s="3"/>
      <c r="M1368" s="3"/>
      <c r="N1368" s="3"/>
      <c r="O1368" s="3"/>
      <c r="P1368" s="3"/>
      <c r="Q1368" s="3"/>
      <c r="R1368" s="3"/>
      <c r="S1368" s="3"/>
      <c r="T1368" s="3"/>
      <c r="U1368" s="3"/>
      <c r="V1368" s="3"/>
      <c r="W1368" s="3"/>
      <c r="X1368" s="3"/>
      <c r="Y1368" s="3"/>
      <c r="Z1368" s="3"/>
      <c r="AA1368" s="3"/>
    </row>
    <row r="1369" ht="105.75" customHeight="1">
      <c r="A1369" s="11"/>
      <c r="B1369" s="12"/>
      <c r="C1369" s="11"/>
      <c r="D1369" s="13"/>
      <c r="E1369" s="14"/>
      <c r="F1369" s="14"/>
      <c r="G1369" s="14"/>
      <c r="H1369" s="15"/>
      <c r="I1369" s="15"/>
      <c r="J1369" s="3"/>
      <c r="K1369" s="3"/>
      <c r="L1369" s="3"/>
      <c r="M1369" s="3"/>
      <c r="N1369" s="3"/>
      <c r="O1369" s="3"/>
      <c r="P1369" s="3"/>
      <c r="Q1369" s="3"/>
      <c r="R1369" s="3"/>
      <c r="S1369" s="3"/>
      <c r="T1369" s="3"/>
      <c r="U1369" s="3"/>
      <c r="V1369" s="3"/>
      <c r="W1369" s="3"/>
      <c r="X1369" s="3"/>
      <c r="Y1369" s="3"/>
      <c r="Z1369" s="3"/>
      <c r="AA1369" s="3"/>
    </row>
    <row r="1370" ht="105.75" customHeight="1">
      <c r="A1370" s="11"/>
      <c r="B1370" s="12"/>
      <c r="C1370" s="11"/>
      <c r="D1370" s="13"/>
      <c r="E1370" s="16"/>
      <c r="F1370" s="16"/>
      <c r="G1370" s="16"/>
      <c r="H1370" s="15"/>
      <c r="I1370" s="15"/>
      <c r="J1370" s="3"/>
      <c r="K1370" s="3"/>
      <c r="L1370" s="3"/>
      <c r="M1370" s="3"/>
      <c r="N1370" s="3"/>
      <c r="O1370" s="3"/>
      <c r="P1370" s="3"/>
      <c r="Q1370" s="3"/>
      <c r="R1370" s="3"/>
      <c r="S1370" s="3"/>
      <c r="T1370" s="3"/>
      <c r="U1370" s="3"/>
      <c r="V1370" s="3"/>
      <c r="W1370" s="3"/>
      <c r="X1370" s="3"/>
      <c r="Y1370" s="3"/>
      <c r="Z1370" s="3"/>
      <c r="AA1370" s="3"/>
    </row>
    <row r="1371" ht="105.75" customHeight="1">
      <c r="A1371" s="11"/>
      <c r="B1371" s="12"/>
      <c r="C1371" s="11"/>
      <c r="D1371" s="13"/>
      <c r="E1371" s="14"/>
      <c r="F1371" s="14"/>
      <c r="G1371" s="14"/>
      <c r="H1371" s="15"/>
      <c r="I1371" s="15"/>
      <c r="J1371" s="3"/>
      <c r="K1371" s="3"/>
      <c r="L1371" s="3"/>
      <c r="M1371" s="3"/>
      <c r="N1371" s="3"/>
      <c r="O1371" s="3"/>
      <c r="P1371" s="3"/>
      <c r="Q1371" s="3"/>
      <c r="R1371" s="3"/>
      <c r="S1371" s="3"/>
      <c r="T1371" s="3"/>
      <c r="U1371" s="3"/>
      <c r="V1371" s="3"/>
      <c r="W1371" s="3"/>
      <c r="X1371" s="3"/>
      <c r="Y1371" s="3"/>
      <c r="Z1371" s="3"/>
      <c r="AA1371" s="3"/>
    </row>
    <row r="1372" ht="105.75" customHeight="1">
      <c r="A1372" s="11"/>
      <c r="B1372" s="12"/>
      <c r="C1372" s="11"/>
      <c r="D1372" s="13"/>
      <c r="E1372" s="14"/>
      <c r="F1372" s="14"/>
      <c r="G1372" s="14"/>
      <c r="H1372" s="15"/>
      <c r="I1372" s="15"/>
      <c r="J1372" s="3"/>
      <c r="K1372" s="3"/>
      <c r="L1372" s="3"/>
      <c r="M1372" s="3"/>
      <c r="N1372" s="3"/>
      <c r="O1372" s="3"/>
      <c r="P1372" s="3"/>
      <c r="Q1372" s="3"/>
      <c r="R1372" s="3"/>
      <c r="S1372" s="3"/>
      <c r="T1372" s="3"/>
      <c r="U1372" s="3"/>
      <c r="V1372" s="3"/>
      <c r="W1372" s="3"/>
      <c r="X1372" s="3"/>
      <c r="Y1372" s="3"/>
      <c r="Z1372" s="3"/>
      <c r="AA1372" s="3"/>
    </row>
    <row r="1373" ht="105.75" customHeight="1">
      <c r="A1373" s="11"/>
      <c r="B1373" s="12"/>
      <c r="C1373" s="11"/>
      <c r="D1373" s="13"/>
      <c r="E1373" s="16"/>
      <c r="F1373" s="16"/>
      <c r="G1373" s="16"/>
      <c r="H1373" s="15"/>
      <c r="I1373" s="15"/>
      <c r="J1373" s="3"/>
      <c r="K1373" s="3"/>
      <c r="L1373" s="3"/>
      <c r="M1373" s="3"/>
      <c r="N1373" s="3"/>
      <c r="O1373" s="3"/>
      <c r="P1373" s="3"/>
      <c r="Q1373" s="3"/>
      <c r="R1373" s="3"/>
      <c r="S1373" s="3"/>
      <c r="T1373" s="3"/>
      <c r="U1373" s="3"/>
      <c r="V1373" s="3"/>
      <c r="W1373" s="3"/>
      <c r="X1373" s="3"/>
      <c r="Y1373" s="3"/>
      <c r="Z1373" s="3"/>
      <c r="AA1373" s="3"/>
    </row>
    <row r="1374" ht="105.75" customHeight="1">
      <c r="A1374" s="11"/>
      <c r="B1374" s="12"/>
      <c r="C1374" s="11"/>
      <c r="D1374" s="13"/>
      <c r="E1374" s="14"/>
      <c r="F1374" s="14"/>
      <c r="G1374" s="14"/>
      <c r="H1374" s="15"/>
      <c r="I1374" s="15"/>
      <c r="J1374" s="3"/>
      <c r="K1374" s="3"/>
      <c r="L1374" s="3"/>
      <c r="M1374" s="3"/>
      <c r="N1374" s="3"/>
      <c r="O1374" s="3"/>
      <c r="P1374" s="3"/>
      <c r="Q1374" s="3"/>
      <c r="R1374" s="3"/>
      <c r="S1374" s="3"/>
      <c r="T1374" s="3"/>
      <c r="U1374" s="3"/>
      <c r="V1374" s="3"/>
      <c r="W1374" s="3"/>
      <c r="X1374" s="3"/>
      <c r="Y1374" s="3"/>
      <c r="Z1374" s="3"/>
      <c r="AA1374" s="3"/>
    </row>
    <row r="1375" ht="105.75" customHeight="1">
      <c r="A1375" s="11"/>
      <c r="B1375" s="12"/>
      <c r="C1375" s="11"/>
      <c r="D1375" s="13"/>
      <c r="E1375" s="14"/>
      <c r="F1375" s="14"/>
      <c r="G1375" s="14"/>
      <c r="H1375" s="15"/>
      <c r="I1375" s="15"/>
      <c r="J1375" s="3"/>
      <c r="K1375" s="3"/>
      <c r="L1375" s="3"/>
      <c r="M1375" s="3"/>
      <c r="N1375" s="3"/>
      <c r="O1375" s="3"/>
      <c r="P1375" s="3"/>
      <c r="Q1375" s="3"/>
      <c r="R1375" s="3"/>
      <c r="S1375" s="3"/>
      <c r="T1375" s="3"/>
      <c r="U1375" s="3"/>
      <c r="V1375" s="3"/>
      <c r="W1375" s="3"/>
      <c r="X1375" s="3"/>
      <c r="Y1375" s="3"/>
      <c r="Z1375" s="3"/>
      <c r="AA1375" s="3"/>
    </row>
    <row r="1376" ht="105.75" customHeight="1">
      <c r="A1376" s="11"/>
      <c r="B1376" s="12"/>
      <c r="C1376" s="11"/>
      <c r="D1376" s="13"/>
      <c r="E1376" s="14"/>
      <c r="F1376" s="14"/>
      <c r="G1376" s="14"/>
      <c r="H1376" s="15"/>
      <c r="I1376" s="15"/>
      <c r="J1376" s="3"/>
      <c r="K1376" s="3"/>
      <c r="L1376" s="3"/>
      <c r="M1376" s="3"/>
      <c r="N1376" s="3"/>
      <c r="O1376" s="3"/>
      <c r="P1376" s="3"/>
      <c r="Q1376" s="3"/>
      <c r="R1376" s="3"/>
      <c r="S1376" s="3"/>
      <c r="T1376" s="3"/>
      <c r="U1376" s="3"/>
      <c r="V1376" s="3"/>
      <c r="W1376" s="3"/>
      <c r="X1376" s="3"/>
      <c r="Y1376" s="3"/>
      <c r="Z1376" s="3"/>
      <c r="AA1376" s="3"/>
    </row>
    <row r="1377" ht="105.75" customHeight="1">
      <c r="A1377" s="11"/>
      <c r="B1377" s="12"/>
      <c r="C1377" s="11"/>
      <c r="D1377" s="13"/>
      <c r="E1377" s="14"/>
      <c r="F1377" s="14"/>
      <c r="G1377" s="14"/>
      <c r="H1377" s="15"/>
      <c r="I1377" s="15"/>
      <c r="J1377" s="3"/>
      <c r="K1377" s="3"/>
      <c r="L1377" s="3"/>
      <c r="M1377" s="3"/>
      <c r="N1377" s="3"/>
      <c r="O1377" s="3"/>
      <c r="P1377" s="3"/>
      <c r="Q1377" s="3"/>
      <c r="R1377" s="3"/>
      <c r="S1377" s="3"/>
      <c r="T1377" s="3"/>
      <c r="U1377" s="3"/>
      <c r="V1377" s="3"/>
      <c r="W1377" s="3"/>
      <c r="X1377" s="3"/>
      <c r="Y1377" s="3"/>
      <c r="Z1377" s="3"/>
      <c r="AA1377" s="3"/>
    </row>
    <row r="1378" ht="105.75" customHeight="1">
      <c r="A1378" s="11"/>
      <c r="B1378" s="12"/>
      <c r="C1378" s="11"/>
      <c r="D1378" s="13"/>
      <c r="E1378" s="16"/>
      <c r="F1378" s="16"/>
      <c r="G1378" s="16"/>
      <c r="H1378" s="15"/>
      <c r="I1378" s="15"/>
      <c r="J1378" s="3"/>
      <c r="K1378" s="3"/>
      <c r="L1378" s="3"/>
      <c r="M1378" s="3"/>
      <c r="N1378" s="3"/>
      <c r="O1378" s="3"/>
      <c r="P1378" s="3"/>
      <c r="Q1378" s="3"/>
      <c r="R1378" s="3"/>
      <c r="S1378" s="3"/>
      <c r="T1378" s="3"/>
      <c r="U1378" s="3"/>
      <c r="V1378" s="3"/>
      <c r="W1378" s="3"/>
      <c r="X1378" s="3"/>
      <c r="Y1378" s="3"/>
      <c r="Z1378" s="3"/>
      <c r="AA1378" s="3"/>
    </row>
    <row r="1379" ht="105.75" customHeight="1">
      <c r="A1379" s="11"/>
      <c r="B1379" s="12"/>
      <c r="C1379" s="11"/>
      <c r="D1379" s="13"/>
      <c r="E1379" s="14"/>
      <c r="F1379" s="14"/>
      <c r="G1379" s="14"/>
      <c r="H1379" s="15"/>
      <c r="I1379" s="15"/>
      <c r="J1379" s="3"/>
      <c r="K1379" s="3"/>
      <c r="L1379" s="3"/>
      <c r="M1379" s="3"/>
      <c r="N1379" s="3"/>
      <c r="O1379" s="3"/>
      <c r="P1379" s="3"/>
      <c r="Q1379" s="3"/>
      <c r="R1379" s="3"/>
      <c r="S1379" s="3"/>
      <c r="T1379" s="3"/>
      <c r="U1379" s="3"/>
      <c r="V1379" s="3"/>
      <c r="W1379" s="3"/>
      <c r="X1379" s="3"/>
      <c r="Y1379" s="3"/>
      <c r="Z1379" s="3"/>
      <c r="AA1379" s="3"/>
    </row>
    <row r="1380" ht="105.75" customHeight="1">
      <c r="A1380" s="11"/>
      <c r="B1380" s="12"/>
      <c r="C1380" s="11"/>
      <c r="D1380" s="13"/>
      <c r="E1380" s="14"/>
      <c r="F1380" s="14"/>
      <c r="G1380" s="14"/>
      <c r="H1380" s="15"/>
      <c r="I1380" s="15"/>
      <c r="J1380" s="3"/>
      <c r="K1380" s="3"/>
      <c r="L1380" s="3"/>
      <c r="M1380" s="3"/>
      <c r="N1380" s="3"/>
      <c r="O1380" s="3"/>
      <c r="P1380" s="3"/>
      <c r="Q1380" s="3"/>
      <c r="R1380" s="3"/>
      <c r="S1380" s="3"/>
      <c r="T1380" s="3"/>
      <c r="U1380" s="3"/>
      <c r="V1380" s="3"/>
      <c r="W1380" s="3"/>
      <c r="X1380" s="3"/>
      <c r="Y1380" s="3"/>
      <c r="Z1380" s="3"/>
      <c r="AA1380" s="3"/>
    </row>
    <row r="1381" ht="105.75" customHeight="1">
      <c r="A1381" s="11"/>
      <c r="B1381" s="12"/>
      <c r="C1381" s="11"/>
      <c r="D1381" s="13"/>
      <c r="E1381" s="14"/>
      <c r="F1381" s="14"/>
      <c r="G1381" s="14"/>
      <c r="H1381" s="15"/>
      <c r="I1381" s="15"/>
      <c r="J1381" s="3"/>
      <c r="K1381" s="3"/>
      <c r="L1381" s="3"/>
      <c r="M1381" s="3"/>
      <c r="N1381" s="3"/>
      <c r="O1381" s="3"/>
      <c r="P1381" s="3"/>
      <c r="Q1381" s="3"/>
      <c r="R1381" s="3"/>
      <c r="S1381" s="3"/>
      <c r="T1381" s="3"/>
      <c r="U1381" s="3"/>
      <c r="V1381" s="3"/>
      <c r="W1381" s="3"/>
      <c r="X1381" s="3"/>
      <c r="Y1381" s="3"/>
      <c r="Z1381" s="3"/>
      <c r="AA1381" s="3"/>
    </row>
    <row r="1382" ht="105.75" customHeight="1">
      <c r="A1382" s="11"/>
      <c r="B1382" s="12"/>
      <c r="C1382" s="11"/>
      <c r="D1382" s="13"/>
      <c r="E1382" s="14"/>
      <c r="F1382" s="14"/>
      <c r="G1382" s="14"/>
      <c r="H1382" s="15"/>
      <c r="I1382" s="15"/>
      <c r="J1382" s="3"/>
      <c r="K1382" s="3"/>
      <c r="L1382" s="3"/>
      <c r="M1382" s="3"/>
      <c r="N1382" s="3"/>
      <c r="O1382" s="3"/>
      <c r="P1382" s="3"/>
      <c r="Q1382" s="3"/>
      <c r="R1382" s="3"/>
      <c r="S1382" s="3"/>
      <c r="T1382" s="3"/>
      <c r="U1382" s="3"/>
      <c r="V1382" s="3"/>
      <c r="W1382" s="3"/>
      <c r="X1382" s="3"/>
      <c r="Y1382" s="3"/>
      <c r="Z1382" s="3"/>
      <c r="AA1382" s="3"/>
    </row>
    <row r="1383" ht="105.75" customHeight="1">
      <c r="A1383" s="11"/>
      <c r="B1383" s="12"/>
      <c r="C1383" s="11"/>
      <c r="D1383" s="13"/>
      <c r="E1383" s="14"/>
      <c r="F1383" s="14"/>
      <c r="G1383" s="14"/>
      <c r="H1383" s="15"/>
      <c r="I1383" s="15"/>
      <c r="J1383" s="3"/>
      <c r="K1383" s="3"/>
      <c r="L1383" s="3"/>
      <c r="M1383" s="3"/>
      <c r="N1383" s="3"/>
      <c r="O1383" s="3"/>
      <c r="P1383" s="3"/>
      <c r="Q1383" s="3"/>
      <c r="R1383" s="3"/>
      <c r="S1383" s="3"/>
      <c r="T1383" s="3"/>
      <c r="U1383" s="3"/>
      <c r="V1383" s="3"/>
      <c r="W1383" s="3"/>
      <c r="X1383" s="3"/>
      <c r="Y1383" s="3"/>
      <c r="Z1383" s="3"/>
      <c r="AA1383" s="3"/>
    </row>
    <row r="1384" ht="105.75" customHeight="1">
      <c r="A1384" s="11"/>
      <c r="B1384" s="12"/>
      <c r="C1384" s="11"/>
      <c r="D1384" s="13"/>
      <c r="E1384" s="14"/>
      <c r="F1384" s="14"/>
      <c r="G1384" s="14"/>
      <c r="H1384" s="15"/>
      <c r="I1384" s="15"/>
      <c r="J1384" s="3"/>
      <c r="K1384" s="3"/>
      <c r="L1384" s="3"/>
      <c r="M1384" s="3"/>
      <c r="N1384" s="3"/>
      <c r="O1384" s="3"/>
      <c r="P1384" s="3"/>
      <c r="Q1384" s="3"/>
      <c r="R1384" s="3"/>
      <c r="S1384" s="3"/>
      <c r="T1384" s="3"/>
      <c r="U1384" s="3"/>
      <c r="V1384" s="3"/>
      <c r="W1384" s="3"/>
      <c r="X1384" s="3"/>
      <c r="Y1384" s="3"/>
      <c r="Z1384" s="3"/>
      <c r="AA1384" s="3"/>
    </row>
    <row r="1385" ht="105.75" customHeight="1">
      <c r="A1385" s="11"/>
      <c r="B1385" s="12"/>
      <c r="C1385" s="11"/>
      <c r="D1385" s="13"/>
      <c r="E1385" s="14"/>
      <c r="F1385" s="14"/>
      <c r="G1385" s="14"/>
      <c r="H1385" s="15"/>
      <c r="I1385" s="15"/>
      <c r="J1385" s="3"/>
      <c r="K1385" s="3"/>
      <c r="L1385" s="3"/>
      <c r="M1385" s="3"/>
      <c r="N1385" s="3"/>
      <c r="O1385" s="3"/>
      <c r="P1385" s="3"/>
      <c r="Q1385" s="3"/>
      <c r="R1385" s="3"/>
      <c r="S1385" s="3"/>
      <c r="T1385" s="3"/>
      <c r="U1385" s="3"/>
      <c r="V1385" s="3"/>
      <c r="W1385" s="3"/>
      <c r="X1385" s="3"/>
      <c r="Y1385" s="3"/>
      <c r="Z1385" s="3"/>
      <c r="AA1385" s="3"/>
    </row>
    <row r="1386" ht="105.75" customHeight="1">
      <c r="A1386" s="11"/>
      <c r="B1386" s="12"/>
      <c r="C1386" s="11"/>
      <c r="D1386" s="13"/>
      <c r="E1386" s="14"/>
      <c r="F1386" s="14"/>
      <c r="G1386" s="14"/>
      <c r="H1386" s="15"/>
      <c r="I1386" s="15"/>
      <c r="J1386" s="3"/>
      <c r="K1386" s="3"/>
      <c r="L1386" s="3"/>
      <c r="M1386" s="3"/>
      <c r="N1386" s="3"/>
      <c r="O1386" s="3"/>
      <c r="P1386" s="3"/>
      <c r="Q1386" s="3"/>
      <c r="R1386" s="3"/>
      <c r="S1386" s="3"/>
      <c r="T1386" s="3"/>
      <c r="U1386" s="3"/>
      <c r="V1386" s="3"/>
      <c r="W1386" s="3"/>
      <c r="X1386" s="3"/>
      <c r="Y1386" s="3"/>
      <c r="Z1386" s="3"/>
      <c r="AA1386" s="3"/>
    </row>
    <row r="1387" ht="105.75" customHeight="1">
      <c r="A1387" s="11"/>
      <c r="B1387" s="12"/>
      <c r="C1387" s="11"/>
      <c r="D1387" s="13"/>
      <c r="E1387" s="14"/>
      <c r="F1387" s="14"/>
      <c r="G1387" s="14"/>
      <c r="H1387" s="15"/>
      <c r="I1387" s="15"/>
      <c r="J1387" s="3"/>
      <c r="K1387" s="3"/>
      <c r="L1387" s="3"/>
      <c r="M1387" s="3"/>
      <c r="N1387" s="3"/>
      <c r="O1387" s="3"/>
      <c r="P1387" s="3"/>
      <c r="Q1387" s="3"/>
      <c r="R1387" s="3"/>
      <c r="S1387" s="3"/>
      <c r="T1387" s="3"/>
      <c r="U1387" s="3"/>
      <c r="V1387" s="3"/>
      <c r="W1387" s="3"/>
      <c r="X1387" s="3"/>
      <c r="Y1387" s="3"/>
      <c r="Z1387" s="3"/>
      <c r="AA1387" s="3"/>
    </row>
    <row r="1388" ht="105.75" customHeight="1">
      <c r="A1388" s="11"/>
      <c r="B1388" s="12"/>
      <c r="C1388" s="11"/>
      <c r="D1388" s="13"/>
      <c r="E1388" s="14"/>
      <c r="F1388" s="14"/>
      <c r="G1388" s="14"/>
      <c r="H1388" s="15"/>
      <c r="I1388" s="15"/>
      <c r="J1388" s="3"/>
      <c r="K1388" s="3"/>
      <c r="L1388" s="3"/>
      <c r="M1388" s="3"/>
      <c r="N1388" s="3"/>
      <c r="O1388" s="3"/>
      <c r="P1388" s="3"/>
      <c r="Q1388" s="3"/>
      <c r="R1388" s="3"/>
      <c r="S1388" s="3"/>
      <c r="T1388" s="3"/>
      <c r="U1388" s="3"/>
      <c r="V1388" s="3"/>
      <c r="W1388" s="3"/>
      <c r="X1388" s="3"/>
      <c r="Y1388" s="3"/>
      <c r="Z1388" s="3"/>
      <c r="AA1388" s="3"/>
    </row>
    <row r="1389" ht="105.75" customHeight="1">
      <c r="A1389" s="11"/>
      <c r="B1389" s="12"/>
      <c r="C1389" s="11"/>
      <c r="D1389" s="13"/>
      <c r="E1389" s="14"/>
      <c r="F1389" s="14"/>
      <c r="G1389" s="14"/>
      <c r="H1389" s="15"/>
      <c r="I1389" s="15"/>
      <c r="J1389" s="3"/>
      <c r="K1389" s="3"/>
      <c r="L1389" s="3"/>
      <c r="M1389" s="3"/>
      <c r="N1389" s="3"/>
      <c r="O1389" s="3"/>
      <c r="P1389" s="3"/>
      <c r="Q1389" s="3"/>
      <c r="R1389" s="3"/>
      <c r="S1389" s="3"/>
      <c r="T1389" s="3"/>
      <c r="U1389" s="3"/>
      <c r="V1389" s="3"/>
      <c r="W1389" s="3"/>
      <c r="X1389" s="3"/>
      <c r="Y1389" s="3"/>
      <c r="Z1389" s="3"/>
      <c r="AA1389" s="3"/>
    </row>
    <row r="1390" ht="105.75" customHeight="1">
      <c r="A1390" s="11"/>
      <c r="B1390" s="12"/>
      <c r="C1390" s="11"/>
      <c r="D1390" s="13"/>
      <c r="E1390" s="14"/>
      <c r="F1390" s="14"/>
      <c r="G1390" s="14"/>
      <c r="H1390" s="15"/>
      <c r="I1390" s="15"/>
      <c r="J1390" s="3"/>
      <c r="K1390" s="3"/>
      <c r="L1390" s="3"/>
      <c r="M1390" s="3"/>
      <c r="N1390" s="3"/>
      <c r="O1390" s="3"/>
      <c r="P1390" s="3"/>
      <c r="Q1390" s="3"/>
      <c r="R1390" s="3"/>
      <c r="S1390" s="3"/>
      <c r="T1390" s="3"/>
      <c r="U1390" s="3"/>
      <c r="V1390" s="3"/>
      <c r="W1390" s="3"/>
      <c r="X1390" s="3"/>
      <c r="Y1390" s="3"/>
      <c r="Z1390" s="3"/>
      <c r="AA1390" s="3"/>
    </row>
    <row r="1391" ht="105.75" customHeight="1">
      <c r="A1391" s="11"/>
      <c r="B1391" s="12"/>
      <c r="C1391" s="11"/>
      <c r="D1391" s="13"/>
      <c r="E1391" s="14"/>
      <c r="F1391" s="14"/>
      <c r="G1391" s="14"/>
      <c r="H1391" s="15"/>
      <c r="I1391" s="15"/>
      <c r="J1391" s="3"/>
      <c r="K1391" s="3"/>
      <c r="L1391" s="3"/>
      <c r="M1391" s="3"/>
      <c r="N1391" s="3"/>
      <c r="O1391" s="3"/>
      <c r="P1391" s="3"/>
      <c r="Q1391" s="3"/>
      <c r="R1391" s="3"/>
      <c r="S1391" s="3"/>
      <c r="T1391" s="3"/>
      <c r="U1391" s="3"/>
      <c r="V1391" s="3"/>
      <c r="W1391" s="3"/>
      <c r="X1391" s="3"/>
      <c r="Y1391" s="3"/>
      <c r="Z1391" s="3"/>
      <c r="AA1391" s="3"/>
    </row>
    <row r="1392" ht="105.75" customHeight="1">
      <c r="A1392" s="11"/>
      <c r="B1392" s="12"/>
      <c r="C1392" s="11"/>
      <c r="D1392" s="13"/>
      <c r="E1392" s="16"/>
      <c r="F1392" s="16"/>
      <c r="G1392" s="16"/>
      <c r="H1392" s="15"/>
      <c r="I1392" s="15"/>
      <c r="J1392" s="3"/>
      <c r="K1392" s="3"/>
      <c r="L1392" s="3"/>
      <c r="M1392" s="3"/>
      <c r="N1392" s="3"/>
      <c r="O1392" s="3"/>
      <c r="P1392" s="3"/>
      <c r="Q1392" s="3"/>
      <c r="R1392" s="3"/>
      <c r="S1392" s="3"/>
      <c r="T1392" s="3"/>
      <c r="U1392" s="3"/>
      <c r="V1392" s="3"/>
      <c r="W1392" s="3"/>
      <c r="X1392" s="3"/>
      <c r="Y1392" s="3"/>
      <c r="Z1392" s="3"/>
      <c r="AA1392" s="3"/>
    </row>
    <row r="1393" ht="105.75" customHeight="1">
      <c r="A1393" s="11"/>
      <c r="B1393" s="12"/>
      <c r="C1393" s="11"/>
      <c r="D1393" s="13"/>
      <c r="E1393" s="14"/>
      <c r="F1393" s="14"/>
      <c r="G1393" s="14"/>
      <c r="H1393" s="15"/>
      <c r="I1393" s="15"/>
      <c r="J1393" s="3"/>
      <c r="K1393" s="3"/>
      <c r="L1393" s="3"/>
      <c r="M1393" s="3"/>
      <c r="N1393" s="3"/>
      <c r="O1393" s="3"/>
      <c r="P1393" s="3"/>
      <c r="Q1393" s="3"/>
      <c r="R1393" s="3"/>
      <c r="S1393" s="3"/>
      <c r="T1393" s="3"/>
      <c r="U1393" s="3"/>
      <c r="V1393" s="3"/>
      <c r="W1393" s="3"/>
      <c r="X1393" s="3"/>
      <c r="Y1393" s="3"/>
      <c r="Z1393" s="3"/>
      <c r="AA1393" s="3"/>
    </row>
    <row r="1394" ht="105.75" customHeight="1">
      <c r="A1394" s="11"/>
      <c r="B1394" s="12"/>
      <c r="C1394" s="11"/>
      <c r="D1394" s="13"/>
      <c r="E1394" s="14"/>
      <c r="F1394" s="14"/>
      <c r="G1394" s="14"/>
      <c r="H1394" s="15"/>
      <c r="I1394" s="15"/>
      <c r="J1394" s="3"/>
      <c r="K1394" s="3"/>
      <c r="L1394" s="3"/>
      <c r="M1394" s="3"/>
      <c r="N1394" s="3"/>
      <c r="O1394" s="3"/>
      <c r="P1394" s="3"/>
      <c r="Q1394" s="3"/>
      <c r="R1394" s="3"/>
      <c r="S1394" s="3"/>
      <c r="T1394" s="3"/>
      <c r="U1394" s="3"/>
      <c r="V1394" s="3"/>
      <c r="W1394" s="3"/>
      <c r="X1394" s="3"/>
      <c r="Y1394" s="3"/>
      <c r="Z1394" s="3"/>
      <c r="AA1394" s="3"/>
    </row>
    <row r="1395" ht="105.75" customHeight="1">
      <c r="A1395" s="11"/>
      <c r="B1395" s="12"/>
      <c r="C1395" s="11"/>
      <c r="D1395" s="13"/>
      <c r="E1395" s="14"/>
      <c r="F1395" s="14"/>
      <c r="G1395" s="14"/>
      <c r="H1395" s="15"/>
      <c r="I1395" s="15"/>
      <c r="J1395" s="3"/>
      <c r="K1395" s="3"/>
      <c r="L1395" s="3"/>
      <c r="M1395" s="3"/>
      <c r="N1395" s="3"/>
      <c r="O1395" s="3"/>
      <c r="P1395" s="3"/>
      <c r="Q1395" s="3"/>
      <c r="R1395" s="3"/>
      <c r="S1395" s="3"/>
      <c r="T1395" s="3"/>
      <c r="U1395" s="3"/>
      <c r="V1395" s="3"/>
      <c r="W1395" s="3"/>
      <c r="X1395" s="3"/>
      <c r="Y1395" s="3"/>
      <c r="Z1395" s="3"/>
      <c r="AA1395" s="3"/>
    </row>
    <row r="1396" ht="105.75" customHeight="1">
      <c r="A1396" s="11"/>
      <c r="B1396" s="12"/>
      <c r="C1396" s="11"/>
      <c r="D1396" s="13"/>
      <c r="E1396" s="14"/>
      <c r="F1396" s="14"/>
      <c r="G1396" s="14"/>
      <c r="H1396" s="15"/>
      <c r="I1396" s="15"/>
      <c r="J1396" s="3"/>
      <c r="K1396" s="3"/>
      <c r="L1396" s="3"/>
      <c r="M1396" s="3"/>
      <c r="N1396" s="3"/>
      <c r="O1396" s="3"/>
      <c r="P1396" s="3"/>
      <c r="Q1396" s="3"/>
      <c r="R1396" s="3"/>
      <c r="S1396" s="3"/>
      <c r="T1396" s="3"/>
      <c r="U1396" s="3"/>
      <c r="V1396" s="3"/>
      <c r="W1396" s="3"/>
      <c r="X1396" s="3"/>
      <c r="Y1396" s="3"/>
      <c r="Z1396" s="3"/>
      <c r="AA1396" s="3"/>
    </row>
    <row r="1397" ht="105.75" customHeight="1">
      <c r="A1397" s="11"/>
      <c r="B1397" s="12"/>
      <c r="C1397" s="11"/>
      <c r="D1397" s="13"/>
      <c r="E1397" s="14"/>
      <c r="F1397" s="14"/>
      <c r="G1397" s="14"/>
      <c r="H1397" s="15"/>
      <c r="I1397" s="15"/>
      <c r="J1397" s="3"/>
      <c r="K1397" s="3"/>
      <c r="L1397" s="3"/>
      <c r="M1397" s="3"/>
      <c r="N1397" s="3"/>
      <c r="O1397" s="3"/>
      <c r="P1397" s="3"/>
      <c r="Q1397" s="3"/>
      <c r="R1397" s="3"/>
      <c r="S1397" s="3"/>
      <c r="T1397" s="3"/>
      <c r="U1397" s="3"/>
      <c r="V1397" s="3"/>
      <c r="W1397" s="3"/>
      <c r="X1397" s="3"/>
      <c r="Y1397" s="3"/>
      <c r="Z1397" s="3"/>
      <c r="AA1397" s="3"/>
    </row>
    <row r="1398" ht="105.75" customHeight="1">
      <c r="A1398" s="11"/>
      <c r="B1398" s="12"/>
      <c r="C1398" s="11"/>
      <c r="D1398" s="13"/>
      <c r="E1398" s="14"/>
      <c r="F1398" s="14"/>
      <c r="G1398" s="14"/>
      <c r="H1398" s="15"/>
      <c r="I1398" s="15"/>
      <c r="J1398" s="3"/>
      <c r="K1398" s="3"/>
      <c r="L1398" s="3"/>
      <c r="M1398" s="3"/>
      <c r="N1398" s="3"/>
      <c r="O1398" s="3"/>
      <c r="P1398" s="3"/>
      <c r="Q1398" s="3"/>
      <c r="R1398" s="3"/>
      <c r="S1398" s="3"/>
      <c r="T1398" s="3"/>
      <c r="U1398" s="3"/>
      <c r="V1398" s="3"/>
      <c r="W1398" s="3"/>
      <c r="X1398" s="3"/>
      <c r="Y1398" s="3"/>
      <c r="Z1398" s="3"/>
      <c r="AA1398" s="3"/>
    </row>
    <row r="1399" ht="105.75" customHeight="1">
      <c r="A1399" s="11"/>
      <c r="B1399" s="12"/>
      <c r="C1399" s="11"/>
      <c r="D1399" s="13"/>
      <c r="E1399" s="16"/>
      <c r="F1399" s="16"/>
      <c r="G1399" s="16"/>
      <c r="H1399" s="15"/>
      <c r="I1399" s="15"/>
      <c r="J1399" s="3"/>
      <c r="K1399" s="3"/>
      <c r="L1399" s="3"/>
      <c r="M1399" s="3"/>
      <c r="N1399" s="3"/>
      <c r="O1399" s="3"/>
      <c r="P1399" s="3"/>
      <c r="Q1399" s="3"/>
      <c r="R1399" s="3"/>
      <c r="S1399" s="3"/>
      <c r="T1399" s="3"/>
      <c r="U1399" s="3"/>
      <c r="V1399" s="3"/>
      <c r="W1399" s="3"/>
      <c r="X1399" s="3"/>
      <c r="Y1399" s="3"/>
      <c r="Z1399" s="3"/>
      <c r="AA1399" s="3"/>
    </row>
    <row r="1400" ht="105.75" customHeight="1">
      <c r="A1400" s="11"/>
      <c r="B1400" s="12"/>
      <c r="C1400" s="11"/>
      <c r="D1400" s="13"/>
      <c r="E1400" s="16"/>
      <c r="F1400" s="16"/>
      <c r="G1400" s="16"/>
      <c r="H1400" s="15"/>
      <c r="I1400" s="15"/>
      <c r="J1400" s="3"/>
      <c r="K1400" s="3"/>
      <c r="L1400" s="3"/>
      <c r="M1400" s="3"/>
      <c r="N1400" s="3"/>
      <c r="O1400" s="3"/>
      <c r="P1400" s="3"/>
      <c r="Q1400" s="3"/>
      <c r="R1400" s="3"/>
      <c r="S1400" s="3"/>
      <c r="T1400" s="3"/>
      <c r="U1400" s="3"/>
      <c r="V1400" s="3"/>
      <c r="W1400" s="3"/>
      <c r="X1400" s="3"/>
      <c r="Y1400" s="3"/>
      <c r="Z1400" s="3"/>
      <c r="AA1400" s="3"/>
    </row>
    <row r="1401" ht="105.75" customHeight="1">
      <c r="A1401" s="11"/>
      <c r="B1401" s="12"/>
      <c r="C1401" s="11"/>
      <c r="D1401" s="13"/>
      <c r="E1401" s="14"/>
      <c r="F1401" s="14"/>
      <c r="G1401" s="14"/>
      <c r="H1401" s="15"/>
      <c r="I1401" s="15"/>
      <c r="J1401" s="3"/>
      <c r="K1401" s="3"/>
      <c r="L1401" s="3"/>
      <c r="M1401" s="3"/>
      <c r="N1401" s="3"/>
      <c r="O1401" s="3"/>
      <c r="P1401" s="3"/>
      <c r="Q1401" s="3"/>
      <c r="R1401" s="3"/>
      <c r="S1401" s="3"/>
      <c r="T1401" s="3"/>
      <c r="U1401" s="3"/>
      <c r="V1401" s="3"/>
      <c r="W1401" s="3"/>
      <c r="X1401" s="3"/>
      <c r="Y1401" s="3"/>
      <c r="Z1401" s="3"/>
      <c r="AA1401" s="3"/>
    </row>
    <row r="1402" ht="105.75" customHeight="1">
      <c r="A1402" s="11"/>
      <c r="B1402" s="12"/>
      <c r="C1402" s="11"/>
      <c r="D1402" s="13"/>
      <c r="E1402" s="14"/>
      <c r="F1402" s="14"/>
      <c r="G1402" s="14"/>
      <c r="H1402" s="15"/>
      <c r="I1402" s="15"/>
      <c r="J1402" s="3"/>
      <c r="K1402" s="3"/>
      <c r="L1402" s="3"/>
      <c r="M1402" s="3"/>
      <c r="N1402" s="3"/>
      <c r="O1402" s="3"/>
      <c r="P1402" s="3"/>
      <c r="Q1402" s="3"/>
      <c r="R1402" s="3"/>
      <c r="S1402" s="3"/>
      <c r="T1402" s="3"/>
      <c r="U1402" s="3"/>
      <c r="V1402" s="3"/>
      <c r="W1402" s="3"/>
      <c r="X1402" s="3"/>
      <c r="Y1402" s="3"/>
      <c r="Z1402" s="3"/>
      <c r="AA1402" s="3"/>
    </row>
    <row r="1403" ht="105.75" customHeight="1">
      <c r="A1403" s="11"/>
      <c r="B1403" s="12"/>
      <c r="C1403" s="11"/>
      <c r="D1403" s="13"/>
      <c r="E1403" s="14"/>
      <c r="F1403" s="14"/>
      <c r="G1403" s="14"/>
      <c r="H1403" s="15"/>
      <c r="I1403" s="15"/>
      <c r="J1403" s="3"/>
      <c r="K1403" s="3"/>
      <c r="L1403" s="3"/>
      <c r="M1403" s="3"/>
      <c r="N1403" s="3"/>
      <c r="O1403" s="3"/>
      <c r="P1403" s="3"/>
      <c r="Q1403" s="3"/>
      <c r="R1403" s="3"/>
      <c r="S1403" s="3"/>
      <c r="T1403" s="3"/>
      <c r="U1403" s="3"/>
      <c r="V1403" s="3"/>
      <c r="W1403" s="3"/>
      <c r="X1403" s="3"/>
      <c r="Y1403" s="3"/>
      <c r="Z1403" s="3"/>
      <c r="AA1403" s="3"/>
    </row>
    <row r="1404" ht="105.75" customHeight="1">
      <c r="A1404" s="11"/>
      <c r="B1404" s="12"/>
      <c r="C1404" s="11"/>
      <c r="D1404" s="13"/>
      <c r="E1404" s="14"/>
      <c r="F1404" s="14"/>
      <c r="G1404" s="14"/>
      <c r="H1404" s="15"/>
      <c r="I1404" s="15"/>
      <c r="J1404" s="3"/>
      <c r="K1404" s="3"/>
      <c r="L1404" s="3"/>
      <c r="M1404" s="3"/>
      <c r="N1404" s="3"/>
      <c r="O1404" s="3"/>
      <c r="P1404" s="3"/>
      <c r="Q1404" s="3"/>
      <c r="R1404" s="3"/>
      <c r="S1404" s="3"/>
      <c r="T1404" s="3"/>
      <c r="U1404" s="3"/>
      <c r="V1404" s="3"/>
      <c r="W1404" s="3"/>
      <c r="X1404" s="3"/>
      <c r="Y1404" s="3"/>
      <c r="Z1404" s="3"/>
      <c r="AA1404" s="3"/>
    </row>
    <row r="1405" ht="105.75" customHeight="1">
      <c r="A1405" s="11"/>
      <c r="B1405" s="12"/>
      <c r="C1405" s="11"/>
      <c r="D1405" s="13"/>
      <c r="E1405" s="14"/>
      <c r="F1405" s="14"/>
      <c r="G1405" s="14"/>
      <c r="H1405" s="15"/>
      <c r="I1405" s="15"/>
      <c r="J1405" s="3"/>
      <c r="K1405" s="3"/>
      <c r="L1405" s="3"/>
      <c r="M1405" s="3"/>
      <c r="N1405" s="3"/>
      <c r="O1405" s="3"/>
      <c r="P1405" s="3"/>
      <c r="Q1405" s="3"/>
      <c r="R1405" s="3"/>
      <c r="S1405" s="3"/>
      <c r="T1405" s="3"/>
      <c r="U1405" s="3"/>
      <c r="V1405" s="3"/>
      <c r="W1405" s="3"/>
      <c r="X1405" s="3"/>
      <c r="Y1405" s="3"/>
      <c r="Z1405" s="3"/>
      <c r="AA1405" s="3"/>
    </row>
    <row r="1406" ht="105.75" customHeight="1">
      <c r="A1406" s="11"/>
      <c r="B1406" s="12"/>
      <c r="C1406" s="11"/>
      <c r="D1406" s="13"/>
      <c r="E1406" s="14"/>
      <c r="F1406" s="14"/>
      <c r="G1406" s="14"/>
      <c r="H1406" s="15"/>
      <c r="I1406" s="15"/>
      <c r="J1406" s="3"/>
      <c r="K1406" s="3"/>
      <c r="L1406" s="3"/>
      <c r="M1406" s="3"/>
      <c r="N1406" s="3"/>
      <c r="O1406" s="3"/>
      <c r="P1406" s="3"/>
      <c r="Q1406" s="3"/>
      <c r="R1406" s="3"/>
      <c r="S1406" s="3"/>
      <c r="T1406" s="3"/>
      <c r="U1406" s="3"/>
      <c r="V1406" s="3"/>
      <c r="W1406" s="3"/>
      <c r="X1406" s="3"/>
      <c r="Y1406" s="3"/>
      <c r="Z1406" s="3"/>
      <c r="AA1406" s="3"/>
    </row>
    <row r="1407" ht="105.75" customHeight="1">
      <c r="A1407" s="11"/>
      <c r="B1407" s="12"/>
      <c r="C1407" s="11"/>
      <c r="D1407" s="13"/>
      <c r="E1407" s="14"/>
      <c r="F1407" s="14"/>
      <c r="G1407" s="14"/>
      <c r="H1407" s="15"/>
      <c r="I1407" s="15"/>
      <c r="J1407" s="3"/>
      <c r="K1407" s="3"/>
      <c r="L1407" s="3"/>
      <c r="M1407" s="3"/>
      <c r="N1407" s="3"/>
      <c r="O1407" s="3"/>
      <c r="P1407" s="3"/>
      <c r="Q1407" s="3"/>
      <c r="R1407" s="3"/>
      <c r="S1407" s="3"/>
      <c r="T1407" s="3"/>
      <c r="U1407" s="3"/>
      <c r="V1407" s="3"/>
      <c r="W1407" s="3"/>
      <c r="X1407" s="3"/>
      <c r="Y1407" s="3"/>
      <c r="Z1407" s="3"/>
      <c r="AA1407" s="3"/>
    </row>
    <row r="1408" ht="105.75" customHeight="1">
      <c r="A1408" s="11"/>
      <c r="B1408" s="12"/>
      <c r="C1408" s="11"/>
      <c r="D1408" s="13"/>
      <c r="E1408" s="14"/>
      <c r="F1408" s="14"/>
      <c r="G1408" s="14"/>
      <c r="H1408" s="15"/>
      <c r="I1408" s="15"/>
      <c r="J1408" s="3"/>
      <c r="K1408" s="3"/>
      <c r="L1408" s="3"/>
      <c r="M1408" s="3"/>
      <c r="N1408" s="3"/>
      <c r="O1408" s="3"/>
      <c r="P1408" s="3"/>
      <c r="Q1408" s="3"/>
      <c r="R1408" s="3"/>
      <c r="S1408" s="3"/>
      <c r="T1408" s="3"/>
      <c r="U1408" s="3"/>
      <c r="V1408" s="3"/>
      <c r="W1408" s="3"/>
      <c r="X1408" s="3"/>
      <c r="Y1408" s="3"/>
      <c r="Z1408" s="3"/>
      <c r="AA1408" s="3"/>
    </row>
    <row r="1409" ht="105.75" customHeight="1">
      <c r="A1409" s="11"/>
      <c r="B1409" s="12"/>
      <c r="C1409" s="11"/>
      <c r="D1409" s="13"/>
      <c r="E1409" s="16"/>
      <c r="F1409" s="16"/>
      <c r="G1409" s="16"/>
      <c r="H1409" s="15"/>
      <c r="I1409" s="15"/>
      <c r="J1409" s="3"/>
      <c r="K1409" s="3"/>
      <c r="L1409" s="3"/>
      <c r="M1409" s="3"/>
      <c r="N1409" s="3"/>
      <c r="O1409" s="3"/>
      <c r="P1409" s="3"/>
      <c r="Q1409" s="3"/>
      <c r="R1409" s="3"/>
      <c r="S1409" s="3"/>
      <c r="T1409" s="3"/>
      <c r="U1409" s="3"/>
      <c r="V1409" s="3"/>
      <c r="W1409" s="3"/>
      <c r="X1409" s="3"/>
      <c r="Y1409" s="3"/>
      <c r="Z1409" s="3"/>
      <c r="AA1409" s="3"/>
    </row>
    <row r="1410" ht="105.75" customHeight="1">
      <c r="A1410" s="11"/>
      <c r="B1410" s="12"/>
      <c r="C1410" s="11"/>
      <c r="D1410" s="13"/>
      <c r="E1410" s="14"/>
      <c r="F1410" s="14"/>
      <c r="G1410" s="14"/>
      <c r="H1410" s="15"/>
      <c r="I1410" s="15"/>
      <c r="J1410" s="3"/>
      <c r="K1410" s="3"/>
      <c r="L1410" s="3"/>
      <c r="M1410" s="3"/>
      <c r="N1410" s="3"/>
      <c r="O1410" s="3"/>
      <c r="P1410" s="3"/>
      <c r="Q1410" s="3"/>
      <c r="R1410" s="3"/>
      <c r="S1410" s="3"/>
      <c r="T1410" s="3"/>
      <c r="U1410" s="3"/>
      <c r="V1410" s="3"/>
      <c r="W1410" s="3"/>
      <c r="X1410" s="3"/>
      <c r="Y1410" s="3"/>
      <c r="Z1410" s="3"/>
      <c r="AA1410" s="3"/>
    </row>
    <row r="1411" ht="105.75" customHeight="1">
      <c r="A1411" s="11"/>
      <c r="B1411" s="12"/>
      <c r="C1411" s="11"/>
      <c r="D1411" s="13"/>
      <c r="E1411" s="14"/>
      <c r="F1411" s="14"/>
      <c r="G1411" s="14"/>
      <c r="H1411" s="15"/>
      <c r="I1411" s="15"/>
      <c r="J1411" s="3"/>
      <c r="K1411" s="3"/>
      <c r="L1411" s="3"/>
      <c r="M1411" s="3"/>
      <c r="N1411" s="3"/>
      <c r="O1411" s="3"/>
      <c r="P1411" s="3"/>
      <c r="Q1411" s="3"/>
      <c r="R1411" s="3"/>
      <c r="S1411" s="3"/>
      <c r="T1411" s="3"/>
      <c r="U1411" s="3"/>
      <c r="V1411" s="3"/>
      <c r="W1411" s="3"/>
      <c r="X1411" s="3"/>
      <c r="Y1411" s="3"/>
      <c r="Z1411" s="3"/>
      <c r="AA1411" s="3"/>
    </row>
    <row r="1412" ht="105.75" customHeight="1">
      <c r="A1412" s="11"/>
      <c r="B1412" s="12"/>
      <c r="C1412" s="11"/>
      <c r="D1412" s="13"/>
      <c r="E1412" s="14"/>
      <c r="F1412" s="14"/>
      <c r="G1412" s="14"/>
      <c r="H1412" s="15"/>
      <c r="I1412" s="15"/>
      <c r="J1412" s="3"/>
      <c r="K1412" s="3"/>
      <c r="L1412" s="3"/>
      <c r="M1412" s="3"/>
      <c r="N1412" s="3"/>
      <c r="O1412" s="3"/>
      <c r="P1412" s="3"/>
      <c r="Q1412" s="3"/>
      <c r="R1412" s="3"/>
      <c r="S1412" s="3"/>
      <c r="T1412" s="3"/>
      <c r="U1412" s="3"/>
      <c r="V1412" s="3"/>
      <c r="W1412" s="3"/>
      <c r="X1412" s="3"/>
      <c r="Y1412" s="3"/>
      <c r="Z1412" s="3"/>
      <c r="AA1412" s="3"/>
    </row>
    <row r="1413" ht="105.75" customHeight="1">
      <c r="A1413" s="11"/>
      <c r="B1413" s="12"/>
      <c r="C1413" s="11"/>
      <c r="D1413" s="13"/>
      <c r="E1413" s="14"/>
      <c r="F1413" s="14"/>
      <c r="G1413" s="14"/>
      <c r="H1413" s="15"/>
      <c r="I1413" s="15"/>
      <c r="J1413" s="3"/>
      <c r="K1413" s="3"/>
      <c r="L1413" s="3"/>
      <c r="M1413" s="3"/>
      <c r="N1413" s="3"/>
      <c r="O1413" s="3"/>
      <c r="P1413" s="3"/>
      <c r="Q1413" s="3"/>
      <c r="R1413" s="3"/>
      <c r="S1413" s="3"/>
      <c r="T1413" s="3"/>
      <c r="U1413" s="3"/>
      <c r="V1413" s="3"/>
      <c r="W1413" s="3"/>
      <c r="X1413" s="3"/>
      <c r="Y1413" s="3"/>
      <c r="Z1413" s="3"/>
      <c r="AA1413" s="3"/>
    </row>
    <row r="1414" ht="105.75" customHeight="1">
      <c r="A1414" s="11"/>
      <c r="B1414" s="12"/>
      <c r="C1414" s="11"/>
      <c r="D1414" s="13"/>
      <c r="E1414" s="14"/>
      <c r="F1414" s="14"/>
      <c r="G1414" s="14"/>
      <c r="H1414" s="15"/>
      <c r="I1414" s="15"/>
      <c r="J1414" s="3"/>
      <c r="K1414" s="3"/>
      <c r="L1414" s="3"/>
      <c r="M1414" s="3"/>
      <c r="N1414" s="3"/>
      <c r="O1414" s="3"/>
      <c r="P1414" s="3"/>
      <c r="Q1414" s="3"/>
      <c r="R1414" s="3"/>
      <c r="S1414" s="3"/>
      <c r="T1414" s="3"/>
      <c r="U1414" s="3"/>
      <c r="V1414" s="3"/>
      <c r="W1414" s="3"/>
      <c r="X1414" s="3"/>
      <c r="Y1414" s="3"/>
      <c r="Z1414" s="3"/>
      <c r="AA1414" s="3"/>
    </row>
    <row r="1415" ht="105.75" customHeight="1">
      <c r="A1415" s="11"/>
      <c r="B1415" s="12"/>
      <c r="C1415" s="11"/>
      <c r="D1415" s="13"/>
      <c r="E1415" s="14"/>
      <c r="F1415" s="14"/>
      <c r="G1415" s="14"/>
      <c r="H1415" s="15"/>
      <c r="I1415" s="15"/>
      <c r="J1415" s="3"/>
      <c r="K1415" s="3"/>
      <c r="L1415" s="3"/>
      <c r="M1415" s="3"/>
      <c r="N1415" s="3"/>
      <c r="O1415" s="3"/>
      <c r="P1415" s="3"/>
      <c r="Q1415" s="3"/>
      <c r="R1415" s="3"/>
      <c r="S1415" s="3"/>
      <c r="T1415" s="3"/>
      <c r="U1415" s="3"/>
      <c r="V1415" s="3"/>
      <c r="W1415" s="3"/>
      <c r="X1415" s="3"/>
      <c r="Y1415" s="3"/>
      <c r="Z1415" s="3"/>
      <c r="AA1415" s="3"/>
    </row>
    <row r="1416" ht="105.75" customHeight="1">
      <c r="A1416" s="11"/>
      <c r="B1416" s="12"/>
      <c r="C1416" s="11"/>
      <c r="D1416" s="13"/>
      <c r="E1416" s="14"/>
      <c r="F1416" s="14"/>
      <c r="G1416" s="14"/>
      <c r="H1416" s="15"/>
      <c r="I1416" s="15"/>
      <c r="J1416" s="3"/>
      <c r="K1416" s="3"/>
      <c r="L1416" s="3"/>
      <c r="M1416" s="3"/>
      <c r="N1416" s="3"/>
      <c r="O1416" s="3"/>
      <c r="P1416" s="3"/>
      <c r="Q1416" s="3"/>
      <c r="R1416" s="3"/>
      <c r="S1416" s="3"/>
      <c r="T1416" s="3"/>
      <c r="U1416" s="3"/>
      <c r="V1416" s="3"/>
      <c r="W1416" s="3"/>
      <c r="X1416" s="3"/>
      <c r="Y1416" s="3"/>
      <c r="Z1416" s="3"/>
      <c r="AA1416" s="3"/>
    </row>
    <row r="1417" ht="105.75" customHeight="1">
      <c r="A1417" s="11"/>
      <c r="B1417" s="12"/>
      <c r="C1417" s="11"/>
      <c r="D1417" s="13"/>
      <c r="E1417" s="14"/>
      <c r="F1417" s="14"/>
      <c r="G1417" s="14"/>
      <c r="H1417" s="15"/>
      <c r="I1417" s="15"/>
      <c r="J1417" s="3"/>
      <c r="K1417" s="3"/>
      <c r="L1417" s="3"/>
      <c r="M1417" s="3"/>
      <c r="N1417" s="3"/>
      <c r="O1417" s="3"/>
      <c r="P1417" s="3"/>
      <c r="Q1417" s="3"/>
      <c r="R1417" s="3"/>
      <c r="S1417" s="3"/>
      <c r="T1417" s="3"/>
      <c r="U1417" s="3"/>
      <c r="V1417" s="3"/>
      <c r="W1417" s="3"/>
      <c r="X1417" s="3"/>
      <c r="Y1417" s="3"/>
      <c r="Z1417" s="3"/>
      <c r="AA1417" s="3"/>
    </row>
    <row r="1418" ht="105.75" customHeight="1">
      <c r="A1418" s="11"/>
      <c r="B1418" s="12"/>
      <c r="C1418" s="11"/>
      <c r="D1418" s="13"/>
      <c r="E1418" s="14"/>
      <c r="F1418" s="14"/>
      <c r="G1418" s="14"/>
      <c r="H1418" s="15"/>
      <c r="I1418" s="15"/>
      <c r="J1418" s="3"/>
      <c r="K1418" s="3"/>
      <c r="L1418" s="3"/>
      <c r="M1418" s="3"/>
      <c r="N1418" s="3"/>
      <c r="O1418" s="3"/>
      <c r="P1418" s="3"/>
      <c r="Q1418" s="3"/>
      <c r="R1418" s="3"/>
      <c r="S1418" s="3"/>
      <c r="T1418" s="3"/>
      <c r="U1418" s="3"/>
      <c r="V1418" s="3"/>
      <c r="W1418" s="3"/>
      <c r="X1418" s="3"/>
      <c r="Y1418" s="3"/>
      <c r="Z1418" s="3"/>
      <c r="AA1418" s="3"/>
    </row>
    <row r="1419" ht="105.75" customHeight="1">
      <c r="A1419" s="11"/>
      <c r="B1419" s="12"/>
      <c r="C1419" s="11"/>
      <c r="D1419" s="13"/>
      <c r="E1419" s="16"/>
      <c r="F1419" s="16"/>
      <c r="G1419" s="16"/>
      <c r="H1419" s="15"/>
      <c r="I1419" s="15"/>
      <c r="J1419" s="3"/>
      <c r="K1419" s="3"/>
      <c r="L1419" s="3"/>
      <c r="M1419" s="3"/>
      <c r="N1419" s="3"/>
      <c r="O1419" s="3"/>
      <c r="P1419" s="3"/>
      <c r="Q1419" s="3"/>
      <c r="R1419" s="3"/>
      <c r="S1419" s="3"/>
      <c r="T1419" s="3"/>
      <c r="U1419" s="3"/>
      <c r="V1419" s="3"/>
      <c r="W1419" s="3"/>
      <c r="X1419" s="3"/>
      <c r="Y1419" s="3"/>
      <c r="Z1419" s="3"/>
      <c r="AA1419" s="3"/>
    </row>
    <row r="1420" ht="105.75" customHeight="1">
      <c r="A1420" s="11"/>
      <c r="B1420" s="12"/>
      <c r="C1420" s="11"/>
      <c r="D1420" s="13"/>
      <c r="E1420" s="14"/>
      <c r="F1420" s="14"/>
      <c r="G1420" s="14"/>
      <c r="H1420" s="15"/>
      <c r="I1420" s="15"/>
      <c r="J1420" s="3"/>
      <c r="K1420" s="3"/>
      <c r="L1420" s="3"/>
      <c r="M1420" s="3"/>
      <c r="N1420" s="3"/>
      <c r="O1420" s="3"/>
      <c r="P1420" s="3"/>
      <c r="Q1420" s="3"/>
      <c r="R1420" s="3"/>
      <c r="S1420" s="3"/>
      <c r="T1420" s="3"/>
      <c r="U1420" s="3"/>
      <c r="V1420" s="3"/>
      <c r="W1420" s="3"/>
      <c r="X1420" s="3"/>
      <c r="Y1420" s="3"/>
      <c r="Z1420" s="3"/>
      <c r="AA1420" s="3"/>
    </row>
    <row r="1421" ht="105.75" customHeight="1">
      <c r="A1421" s="11"/>
      <c r="B1421" s="12"/>
      <c r="C1421" s="11"/>
      <c r="D1421" s="13"/>
      <c r="E1421" s="14"/>
      <c r="F1421" s="14"/>
      <c r="G1421" s="14"/>
      <c r="H1421" s="15"/>
      <c r="I1421" s="15"/>
      <c r="J1421" s="3"/>
      <c r="K1421" s="3"/>
      <c r="L1421" s="3"/>
      <c r="M1421" s="3"/>
      <c r="N1421" s="3"/>
      <c r="O1421" s="3"/>
      <c r="P1421" s="3"/>
      <c r="Q1421" s="3"/>
      <c r="R1421" s="3"/>
      <c r="S1421" s="3"/>
      <c r="T1421" s="3"/>
      <c r="U1421" s="3"/>
      <c r="V1421" s="3"/>
      <c r="W1421" s="3"/>
      <c r="X1421" s="3"/>
      <c r="Y1421" s="3"/>
      <c r="Z1421" s="3"/>
      <c r="AA1421" s="3"/>
    </row>
    <row r="1422" ht="105.75" customHeight="1">
      <c r="A1422" s="11"/>
      <c r="B1422" s="12"/>
      <c r="C1422" s="11"/>
      <c r="D1422" s="13"/>
      <c r="E1422" s="14"/>
      <c r="F1422" s="14"/>
      <c r="G1422" s="14"/>
      <c r="H1422" s="15"/>
      <c r="I1422" s="15"/>
      <c r="J1422" s="3"/>
      <c r="K1422" s="3"/>
      <c r="L1422" s="3"/>
      <c r="M1422" s="3"/>
      <c r="N1422" s="3"/>
      <c r="O1422" s="3"/>
      <c r="P1422" s="3"/>
      <c r="Q1422" s="3"/>
      <c r="R1422" s="3"/>
      <c r="S1422" s="3"/>
      <c r="T1422" s="3"/>
      <c r="U1422" s="3"/>
      <c r="V1422" s="3"/>
      <c r="W1422" s="3"/>
      <c r="X1422" s="3"/>
      <c r="Y1422" s="3"/>
      <c r="Z1422" s="3"/>
      <c r="AA1422" s="3"/>
    </row>
    <row r="1423" ht="105.75" customHeight="1">
      <c r="A1423" s="11"/>
      <c r="B1423" s="12"/>
      <c r="C1423" s="11"/>
      <c r="D1423" s="13"/>
      <c r="E1423" s="14"/>
      <c r="F1423" s="14"/>
      <c r="G1423" s="14"/>
      <c r="H1423" s="15"/>
      <c r="I1423" s="15"/>
      <c r="J1423" s="3"/>
      <c r="K1423" s="3"/>
      <c r="L1423" s="3"/>
      <c r="M1423" s="3"/>
      <c r="N1423" s="3"/>
      <c r="O1423" s="3"/>
      <c r="P1423" s="3"/>
      <c r="Q1423" s="3"/>
      <c r="R1423" s="3"/>
      <c r="S1423" s="3"/>
      <c r="T1423" s="3"/>
      <c r="U1423" s="3"/>
      <c r="V1423" s="3"/>
      <c r="W1423" s="3"/>
      <c r="X1423" s="3"/>
      <c r="Y1423" s="3"/>
      <c r="Z1423" s="3"/>
      <c r="AA1423" s="3"/>
    </row>
    <row r="1424" ht="105.75" customHeight="1">
      <c r="A1424" s="11"/>
      <c r="B1424" s="12"/>
      <c r="C1424" s="11"/>
      <c r="D1424" s="13"/>
      <c r="E1424" s="14"/>
      <c r="F1424" s="14"/>
      <c r="G1424" s="14"/>
      <c r="H1424" s="15"/>
      <c r="I1424" s="15"/>
      <c r="J1424" s="3"/>
      <c r="K1424" s="3"/>
      <c r="L1424" s="3"/>
      <c r="M1424" s="3"/>
      <c r="N1424" s="3"/>
      <c r="O1424" s="3"/>
      <c r="P1424" s="3"/>
      <c r="Q1424" s="3"/>
      <c r="R1424" s="3"/>
      <c r="S1424" s="3"/>
      <c r="T1424" s="3"/>
      <c r="U1424" s="3"/>
      <c r="V1424" s="3"/>
      <c r="W1424" s="3"/>
      <c r="X1424" s="3"/>
      <c r="Y1424" s="3"/>
      <c r="Z1424" s="3"/>
      <c r="AA1424" s="3"/>
    </row>
    <row r="1425" ht="105.75" customHeight="1">
      <c r="A1425" s="11"/>
      <c r="B1425" s="12"/>
      <c r="C1425" s="11"/>
      <c r="D1425" s="13"/>
      <c r="E1425" s="14"/>
      <c r="F1425" s="14"/>
      <c r="G1425" s="14"/>
      <c r="H1425" s="15"/>
      <c r="I1425" s="15"/>
      <c r="J1425" s="3"/>
      <c r="K1425" s="3"/>
      <c r="L1425" s="3"/>
      <c r="M1425" s="3"/>
      <c r="N1425" s="3"/>
      <c r="O1425" s="3"/>
      <c r="P1425" s="3"/>
      <c r="Q1425" s="3"/>
      <c r="R1425" s="3"/>
      <c r="S1425" s="3"/>
      <c r="T1425" s="3"/>
      <c r="U1425" s="3"/>
      <c r="V1425" s="3"/>
      <c r="W1425" s="3"/>
      <c r="X1425" s="3"/>
      <c r="Y1425" s="3"/>
      <c r="Z1425" s="3"/>
      <c r="AA1425" s="3"/>
    </row>
    <row r="1426" ht="105.75" customHeight="1">
      <c r="A1426" s="11"/>
      <c r="B1426" s="12"/>
      <c r="C1426" s="11"/>
      <c r="D1426" s="13"/>
      <c r="E1426" s="14"/>
      <c r="F1426" s="14"/>
      <c r="G1426" s="14"/>
      <c r="H1426" s="15"/>
      <c r="I1426" s="15"/>
      <c r="J1426" s="3"/>
      <c r="K1426" s="3"/>
      <c r="L1426" s="3"/>
      <c r="M1426" s="3"/>
      <c r="N1426" s="3"/>
      <c r="O1426" s="3"/>
      <c r="P1426" s="3"/>
      <c r="Q1426" s="3"/>
      <c r="R1426" s="3"/>
      <c r="S1426" s="3"/>
      <c r="T1426" s="3"/>
      <c r="U1426" s="3"/>
      <c r="V1426" s="3"/>
      <c r="W1426" s="3"/>
      <c r="X1426" s="3"/>
      <c r="Y1426" s="3"/>
      <c r="Z1426" s="3"/>
      <c r="AA1426" s="3"/>
    </row>
    <row r="1427" ht="105.75" customHeight="1">
      <c r="A1427" s="11"/>
      <c r="B1427" s="12"/>
      <c r="C1427" s="11"/>
      <c r="D1427" s="13"/>
      <c r="E1427" s="14"/>
      <c r="F1427" s="14"/>
      <c r="G1427" s="14"/>
      <c r="H1427" s="15"/>
      <c r="I1427" s="15"/>
      <c r="J1427" s="3"/>
      <c r="K1427" s="3"/>
      <c r="L1427" s="3"/>
      <c r="M1427" s="3"/>
      <c r="N1427" s="3"/>
      <c r="O1427" s="3"/>
      <c r="P1427" s="3"/>
      <c r="Q1427" s="3"/>
      <c r="R1427" s="3"/>
      <c r="S1427" s="3"/>
      <c r="T1427" s="3"/>
      <c r="U1427" s="3"/>
      <c r="V1427" s="3"/>
      <c r="W1427" s="3"/>
      <c r="X1427" s="3"/>
      <c r="Y1427" s="3"/>
      <c r="Z1427" s="3"/>
      <c r="AA1427" s="3"/>
    </row>
    <row r="1428" ht="105.75" customHeight="1">
      <c r="A1428" s="11"/>
      <c r="B1428" s="12"/>
      <c r="C1428" s="11"/>
      <c r="D1428" s="13"/>
      <c r="E1428" s="14"/>
      <c r="F1428" s="14"/>
      <c r="G1428" s="14"/>
      <c r="H1428" s="15"/>
      <c r="I1428" s="15"/>
      <c r="J1428" s="3"/>
      <c r="K1428" s="3"/>
      <c r="L1428" s="3"/>
      <c r="M1428" s="3"/>
      <c r="N1428" s="3"/>
      <c r="O1428" s="3"/>
      <c r="P1428" s="3"/>
      <c r="Q1428" s="3"/>
      <c r="R1428" s="3"/>
      <c r="S1428" s="3"/>
      <c r="T1428" s="3"/>
      <c r="U1428" s="3"/>
      <c r="V1428" s="3"/>
      <c r="W1428" s="3"/>
      <c r="X1428" s="3"/>
      <c r="Y1428" s="3"/>
      <c r="Z1428" s="3"/>
      <c r="AA1428" s="3"/>
    </row>
    <row r="1429" ht="105.75" customHeight="1">
      <c r="A1429" s="11"/>
      <c r="B1429" s="12"/>
      <c r="C1429" s="11"/>
      <c r="D1429" s="13"/>
      <c r="E1429" s="14"/>
      <c r="F1429" s="14"/>
      <c r="G1429" s="14"/>
      <c r="H1429" s="15"/>
      <c r="I1429" s="15"/>
      <c r="J1429" s="3"/>
      <c r="K1429" s="3"/>
      <c r="L1429" s="3"/>
      <c r="M1429" s="3"/>
      <c r="N1429" s="3"/>
      <c r="O1429" s="3"/>
      <c r="P1429" s="3"/>
      <c r="Q1429" s="3"/>
      <c r="R1429" s="3"/>
      <c r="S1429" s="3"/>
      <c r="T1429" s="3"/>
      <c r="U1429" s="3"/>
      <c r="V1429" s="3"/>
      <c r="W1429" s="3"/>
      <c r="X1429" s="3"/>
      <c r="Y1429" s="3"/>
      <c r="Z1429" s="3"/>
      <c r="AA1429" s="3"/>
    </row>
    <row r="1430" ht="105.75" customHeight="1">
      <c r="A1430" s="11"/>
      <c r="B1430" s="12"/>
      <c r="C1430" s="11"/>
      <c r="D1430" s="13"/>
      <c r="E1430" s="14"/>
      <c r="F1430" s="14"/>
      <c r="G1430" s="14"/>
      <c r="H1430" s="15"/>
      <c r="I1430" s="15"/>
      <c r="J1430" s="3"/>
      <c r="K1430" s="3"/>
      <c r="L1430" s="3"/>
      <c r="M1430" s="3"/>
      <c r="N1430" s="3"/>
      <c r="O1430" s="3"/>
      <c r="P1430" s="3"/>
      <c r="Q1430" s="3"/>
      <c r="R1430" s="3"/>
      <c r="S1430" s="3"/>
      <c r="T1430" s="3"/>
      <c r="U1430" s="3"/>
      <c r="V1430" s="3"/>
      <c r="W1430" s="3"/>
      <c r="X1430" s="3"/>
      <c r="Y1430" s="3"/>
      <c r="Z1430" s="3"/>
      <c r="AA1430" s="3"/>
    </row>
    <row r="1431" ht="105.75" customHeight="1">
      <c r="A1431" s="11"/>
      <c r="B1431" s="12"/>
      <c r="C1431" s="11"/>
      <c r="D1431" s="13"/>
      <c r="E1431" s="16"/>
      <c r="F1431" s="16"/>
      <c r="G1431" s="16"/>
      <c r="H1431" s="15"/>
      <c r="I1431" s="15"/>
      <c r="J1431" s="3"/>
      <c r="K1431" s="3"/>
      <c r="L1431" s="3"/>
      <c r="M1431" s="3"/>
      <c r="N1431" s="3"/>
      <c r="O1431" s="3"/>
      <c r="P1431" s="3"/>
      <c r="Q1431" s="3"/>
      <c r="R1431" s="3"/>
      <c r="S1431" s="3"/>
      <c r="T1431" s="3"/>
      <c r="U1431" s="3"/>
      <c r="V1431" s="3"/>
      <c r="W1431" s="3"/>
      <c r="X1431" s="3"/>
      <c r="Y1431" s="3"/>
      <c r="Z1431" s="3"/>
      <c r="AA1431" s="3"/>
    </row>
    <row r="1432" ht="105.75" customHeight="1">
      <c r="A1432" s="11"/>
      <c r="B1432" s="12"/>
      <c r="C1432" s="11"/>
      <c r="D1432" s="13"/>
      <c r="E1432" s="14"/>
      <c r="F1432" s="14"/>
      <c r="G1432" s="14"/>
      <c r="H1432" s="15"/>
      <c r="I1432" s="15"/>
      <c r="J1432" s="3"/>
      <c r="K1432" s="3"/>
      <c r="L1432" s="3"/>
      <c r="M1432" s="3"/>
      <c r="N1432" s="3"/>
      <c r="O1432" s="3"/>
      <c r="P1432" s="3"/>
      <c r="Q1432" s="3"/>
      <c r="R1432" s="3"/>
      <c r="S1432" s="3"/>
      <c r="T1432" s="3"/>
      <c r="U1432" s="3"/>
      <c r="V1432" s="3"/>
      <c r="W1432" s="3"/>
      <c r="X1432" s="3"/>
      <c r="Y1432" s="3"/>
      <c r="Z1432" s="3"/>
      <c r="AA1432" s="3"/>
    </row>
    <row r="1433" ht="105.75" customHeight="1">
      <c r="A1433" s="11"/>
      <c r="B1433" s="12"/>
      <c r="C1433" s="11"/>
      <c r="D1433" s="13"/>
      <c r="E1433" s="14"/>
      <c r="F1433" s="14"/>
      <c r="G1433" s="14"/>
      <c r="H1433" s="15"/>
      <c r="I1433" s="15"/>
      <c r="J1433" s="3"/>
      <c r="K1433" s="3"/>
      <c r="L1433" s="3"/>
      <c r="M1433" s="3"/>
      <c r="N1433" s="3"/>
      <c r="O1433" s="3"/>
      <c r="P1433" s="3"/>
      <c r="Q1433" s="3"/>
      <c r="R1433" s="3"/>
      <c r="S1433" s="3"/>
      <c r="T1433" s="3"/>
      <c r="U1433" s="3"/>
      <c r="V1433" s="3"/>
      <c r="W1433" s="3"/>
      <c r="X1433" s="3"/>
      <c r="Y1433" s="3"/>
      <c r="Z1433" s="3"/>
      <c r="AA1433" s="3"/>
    </row>
    <row r="1434" ht="105.75" customHeight="1">
      <c r="A1434" s="11"/>
      <c r="B1434" s="12"/>
      <c r="C1434" s="11"/>
      <c r="D1434" s="13"/>
      <c r="E1434" s="16"/>
      <c r="F1434" s="16"/>
      <c r="G1434" s="16"/>
      <c r="H1434" s="15"/>
      <c r="I1434" s="15"/>
      <c r="J1434" s="3"/>
      <c r="K1434" s="3"/>
      <c r="L1434" s="3"/>
      <c r="M1434" s="3"/>
      <c r="N1434" s="3"/>
      <c r="O1434" s="3"/>
      <c r="P1434" s="3"/>
      <c r="Q1434" s="3"/>
      <c r="R1434" s="3"/>
      <c r="S1434" s="3"/>
      <c r="T1434" s="3"/>
      <c r="U1434" s="3"/>
      <c r="V1434" s="3"/>
      <c r="W1434" s="3"/>
      <c r="X1434" s="3"/>
      <c r="Y1434" s="3"/>
      <c r="Z1434" s="3"/>
      <c r="AA1434" s="3"/>
    </row>
    <row r="1435" ht="105.75" customHeight="1">
      <c r="A1435" s="11"/>
      <c r="B1435" s="12"/>
      <c r="C1435" s="11"/>
      <c r="D1435" s="13"/>
      <c r="E1435" s="14"/>
      <c r="F1435" s="14"/>
      <c r="G1435" s="14"/>
      <c r="H1435" s="15"/>
      <c r="I1435" s="15"/>
      <c r="J1435" s="3"/>
      <c r="K1435" s="3"/>
      <c r="L1435" s="3"/>
      <c r="M1435" s="3"/>
      <c r="N1435" s="3"/>
      <c r="O1435" s="3"/>
      <c r="P1435" s="3"/>
      <c r="Q1435" s="3"/>
      <c r="R1435" s="3"/>
      <c r="S1435" s="3"/>
      <c r="T1435" s="3"/>
      <c r="U1435" s="3"/>
      <c r="V1435" s="3"/>
      <c r="W1435" s="3"/>
      <c r="X1435" s="3"/>
      <c r="Y1435" s="3"/>
      <c r="Z1435" s="3"/>
      <c r="AA1435" s="3"/>
    </row>
    <row r="1436" ht="105.75" customHeight="1">
      <c r="A1436" s="11"/>
      <c r="B1436" s="12"/>
      <c r="C1436" s="11"/>
      <c r="D1436" s="13"/>
      <c r="E1436" s="16"/>
      <c r="F1436" s="16"/>
      <c r="G1436" s="16"/>
      <c r="H1436" s="15"/>
      <c r="I1436" s="15"/>
      <c r="J1436" s="3"/>
      <c r="K1436" s="3"/>
      <c r="L1436" s="3"/>
      <c r="M1436" s="3"/>
      <c r="N1436" s="3"/>
      <c r="O1436" s="3"/>
      <c r="P1436" s="3"/>
      <c r="Q1436" s="3"/>
      <c r="R1436" s="3"/>
      <c r="S1436" s="3"/>
      <c r="T1436" s="3"/>
      <c r="U1436" s="3"/>
      <c r="V1436" s="3"/>
      <c r="W1436" s="3"/>
      <c r="X1436" s="3"/>
      <c r="Y1436" s="3"/>
      <c r="Z1436" s="3"/>
      <c r="AA1436" s="3"/>
    </row>
    <row r="1437" ht="105.75" customHeight="1">
      <c r="A1437" s="11"/>
      <c r="B1437" s="12"/>
      <c r="C1437" s="11"/>
      <c r="D1437" s="13"/>
      <c r="E1437" s="14"/>
      <c r="F1437" s="14"/>
      <c r="G1437" s="14"/>
      <c r="H1437" s="15"/>
      <c r="I1437" s="15"/>
      <c r="J1437" s="3"/>
      <c r="K1437" s="3"/>
      <c r="L1437" s="3"/>
      <c r="M1437" s="3"/>
      <c r="N1437" s="3"/>
      <c r="O1437" s="3"/>
      <c r="P1437" s="3"/>
      <c r="Q1437" s="3"/>
      <c r="R1437" s="3"/>
      <c r="S1437" s="3"/>
      <c r="T1437" s="3"/>
      <c r="U1437" s="3"/>
      <c r="V1437" s="3"/>
      <c r="W1437" s="3"/>
      <c r="X1437" s="3"/>
      <c r="Y1437" s="3"/>
      <c r="Z1437" s="3"/>
      <c r="AA1437" s="3"/>
    </row>
    <row r="1438" ht="105.75" customHeight="1">
      <c r="A1438" s="11"/>
      <c r="B1438" s="12"/>
      <c r="C1438" s="11"/>
      <c r="D1438" s="13"/>
      <c r="E1438" s="14"/>
      <c r="F1438" s="14"/>
      <c r="G1438" s="14"/>
      <c r="H1438" s="15"/>
      <c r="I1438" s="15"/>
      <c r="J1438" s="3"/>
      <c r="K1438" s="3"/>
      <c r="L1438" s="3"/>
      <c r="M1438" s="3"/>
      <c r="N1438" s="3"/>
      <c r="O1438" s="3"/>
      <c r="P1438" s="3"/>
      <c r="Q1438" s="3"/>
      <c r="R1438" s="3"/>
      <c r="S1438" s="3"/>
      <c r="T1438" s="3"/>
      <c r="U1438" s="3"/>
      <c r="V1438" s="3"/>
      <c r="W1438" s="3"/>
      <c r="X1438" s="3"/>
      <c r="Y1438" s="3"/>
      <c r="Z1438" s="3"/>
      <c r="AA1438" s="3"/>
    </row>
    <row r="1439" ht="105.75" customHeight="1">
      <c r="A1439" s="11"/>
      <c r="B1439" s="12"/>
      <c r="C1439" s="11"/>
      <c r="D1439" s="13"/>
      <c r="E1439" s="14"/>
      <c r="F1439" s="14"/>
      <c r="G1439" s="14"/>
      <c r="H1439" s="15"/>
      <c r="I1439" s="15"/>
      <c r="J1439" s="3"/>
      <c r="K1439" s="3"/>
      <c r="L1439" s="3"/>
      <c r="M1439" s="3"/>
      <c r="N1439" s="3"/>
      <c r="O1439" s="3"/>
      <c r="P1439" s="3"/>
      <c r="Q1439" s="3"/>
      <c r="R1439" s="3"/>
      <c r="S1439" s="3"/>
      <c r="T1439" s="3"/>
      <c r="U1439" s="3"/>
      <c r="V1439" s="3"/>
      <c r="W1439" s="3"/>
      <c r="X1439" s="3"/>
      <c r="Y1439" s="3"/>
      <c r="Z1439" s="3"/>
      <c r="AA1439" s="3"/>
    </row>
    <row r="1440" ht="105.75" customHeight="1">
      <c r="A1440" s="11"/>
      <c r="B1440" s="12"/>
      <c r="C1440" s="11"/>
      <c r="D1440" s="13"/>
      <c r="E1440" s="14"/>
      <c r="F1440" s="14"/>
      <c r="G1440" s="14"/>
      <c r="H1440" s="15"/>
      <c r="I1440" s="15"/>
      <c r="J1440" s="3"/>
      <c r="K1440" s="3"/>
      <c r="L1440" s="3"/>
      <c r="M1440" s="3"/>
      <c r="N1440" s="3"/>
      <c r="O1440" s="3"/>
      <c r="P1440" s="3"/>
      <c r="Q1440" s="3"/>
      <c r="R1440" s="3"/>
      <c r="S1440" s="3"/>
      <c r="T1440" s="3"/>
      <c r="U1440" s="3"/>
      <c r="V1440" s="3"/>
      <c r="W1440" s="3"/>
      <c r="X1440" s="3"/>
      <c r="Y1440" s="3"/>
      <c r="Z1440" s="3"/>
      <c r="AA1440" s="3"/>
    </row>
    <row r="1441" ht="105.75" customHeight="1">
      <c r="A1441" s="11"/>
      <c r="B1441" s="12"/>
      <c r="C1441" s="11"/>
      <c r="D1441" s="13"/>
      <c r="E1441" s="14"/>
      <c r="F1441" s="14"/>
      <c r="G1441" s="14"/>
      <c r="H1441" s="15"/>
      <c r="I1441" s="15"/>
      <c r="J1441" s="3"/>
      <c r="K1441" s="3"/>
      <c r="L1441" s="3"/>
      <c r="M1441" s="3"/>
      <c r="N1441" s="3"/>
      <c r="O1441" s="3"/>
      <c r="P1441" s="3"/>
      <c r="Q1441" s="3"/>
      <c r="R1441" s="3"/>
      <c r="S1441" s="3"/>
      <c r="T1441" s="3"/>
      <c r="U1441" s="3"/>
      <c r="V1441" s="3"/>
      <c r="W1441" s="3"/>
      <c r="X1441" s="3"/>
      <c r="Y1441" s="3"/>
      <c r="Z1441" s="3"/>
      <c r="AA1441" s="3"/>
    </row>
    <row r="1442" ht="105.75" customHeight="1">
      <c r="A1442" s="11"/>
      <c r="B1442" s="12"/>
      <c r="C1442" s="11"/>
      <c r="D1442" s="13"/>
      <c r="E1442" s="14"/>
      <c r="F1442" s="14"/>
      <c r="G1442" s="14"/>
      <c r="H1442" s="15"/>
      <c r="I1442" s="15"/>
      <c r="J1442" s="3"/>
      <c r="K1442" s="3"/>
      <c r="L1442" s="3"/>
      <c r="M1442" s="3"/>
      <c r="N1442" s="3"/>
      <c r="O1442" s="3"/>
      <c r="P1442" s="3"/>
      <c r="Q1442" s="3"/>
      <c r="R1442" s="3"/>
      <c r="S1442" s="3"/>
      <c r="T1442" s="3"/>
      <c r="U1442" s="3"/>
      <c r="V1442" s="3"/>
      <c r="W1442" s="3"/>
      <c r="X1442" s="3"/>
      <c r="Y1442" s="3"/>
      <c r="Z1442" s="3"/>
      <c r="AA1442" s="3"/>
    </row>
    <row r="1443" ht="105.75" customHeight="1">
      <c r="A1443" s="11"/>
      <c r="B1443" s="12"/>
      <c r="C1443" s="11"/>
      <c r="D1443" s="13"/>
      <c r="E1443" s="14"/>
      <c r="F1443" s="14"/>
      <c r="G1443" s="14"/>
      <c r="H1443" s="15"/>
      <c r="I1443" s="15"/>
      <c r="J1443" s="3"/>
      <c r="K1443" s="3"/>
      <c r="L1443" s="3"/>
      <c r="M1443" s="3"/>
      <c r="N1443" s="3"/>
      <c r="O1443" s="3"/>
      <c r="P1443" s="3"/>
      <c r="Q1443" s="3"/>
      <c r="R1443" s="3"/>
      <c r="S1443" s="3"/>
      <c r="T1443" s="3"/>
      <c r="U1443" s="3"/>
      <c r="V1443" s="3"/>
      <c r="W1443" s="3"/>
      <c r="X1443" s="3"/>
      <c r="Y1443" s="3"/>
      <c r="Z1443" s="3"/>
      <c r="AA1443" s="3"/>
    </row>
    <row r="1444" ht="105.75" customHeight="1">
      <c r="A1444" s="11"/>
      <c r="B1444" s="12"/>
      <c r="C1444" s="11"/>
      <c r="D1444" s="13"/>
      <c r="E1444" s="14"/>
      <c r="F1444" s="14"/>
      <c r="G1444" s="14"/>
      <c r="H1444" s="15"/>
      <c r="I1444" s="15"/>
      <c r="J1444" s="3"/>
      <c r="K1444" s="3"/>
      <c r="L1444" s="3"/>
      <c r="M1444" s="3"/>
      <c r="N1444" s="3"/>
      <c r="O1444" s="3"/>
      <c r="P1444" s="3"/>
      <c r="Q1444" s="3"/>
      <c r="R1444" s="3"/>
      <c r="S1444" s="3"/>
      <c r="T1444" s="3"/>
      <c r="U1444" s="3"/>
      <c r="V1444" s="3"/>
      <c r="W1444" s="3"/>
      <c r="X1444" s="3"/>
      <c r="Y1444" s="3"/>
      <c r="Z1444" s="3"/>
      <c r="AA1444" s="3"/>
    </row>
    <row r="1445" ht="105.75" customHeight="1">
      <c r="A1445" s="11"/>
      <c r="B1445" s="12"/>
      <c r="C1445" s="11"/>
      <c r="D1445" s="13"/>
      <c r="E1445" s="16"/>
      <c r="F1445" s="16"/>
      <c r="G1445" s="16"/>
      <c r="H1445" s="15"/>
      <c r="I1445" s="15"/>
      <c r="J1445" s="3"/>
      <c r="K1445" s="3"/>
      <c r="L1445" s="3"/>
      <c r="M1445" s="3"/>
      <c r="N1445" s="3"/>
      <c r="O1445" s="3"/>
      <c r="P1445" s="3"/>
      <c r="Q1445" s="3"/>
      <c r="R1445" s="3"/>
      <c r="S1445" s="3"/>
      <c r="T1445" s="3"/>
      <c r="U1445" s="3"/>
      <c r="V1445" s="3"/>
      <c r="W1445" s="3"/>
      <c r="X1445" s="3"/>
      <c r="Y1445" s="3"/>
      <c r="Z1445" s="3"/>
      <c r="AA1445" s="3"/>
    </row>
    <row r="1446" ht="105.75" customHeight="1">
      <c r="A1446" s="11"/>
      <c r="B1446" s="12"/>
      <c r="C1446" s="11"/>
      <c r="D1446" s="13"/>
      <c r="E1446" s="14"/>
      <c r="F1446" s="14"/>
      <c r="G1446" s="14"/>
      <c r="H1446" s="15"/>
      <c r="I1446" s="15"/>
      <c r="J1446" s="3"/>
      <c r="K1446" s="3"/>
      <c r="L1446" s="3"/>
      <c r="M1446" s="3"/>
      <c r="N1446" s="3"/>
      <c r="O1446" s="3"/>
      <c r="P1446" s="3"/>
      <c r="Q1446" s="3"/>
      <c r="R1446" s="3"/>
      <c r="S1446" s="3"/>
      <c r="T1446" s="3"/>
      <c r="U1446" s="3"/>
      <c r="V1446" s="3"/>
      <c r="W1446" s="3"/>
      <c r="X1446" s="3"/>
      <c r="Y1446" s="3"/>
      <c r="Z1446" s="3"/>
      <c r="AA1446" s="3"/>
    </row>
    <row r="1447" ht="105.75" customHeight="1">
      <c r="A1447" s="11"/>
      <c r="B1447" s="12"/>
      <c r="C1447" s="11"/>
      <c r="D1447" s="13"/>
      <c r="E1447" s="14"/>
      <c r="F1447" s="14"/>
      <c r="G1447" s="14"/>
      <c r="H1447" s="15"/>
      <c r="I1447" s="15"/>
      <c r="J1447" s="3"/>
      <c r="K1447" s="3"/>
      <c r="L1447" s="3"/>
      <c r="M1447" s="3"/>
      <c r="N1447" s="3"/>
      <c r="O1447" s="3"/>
      <c r="P1447" s="3"/>
      <c r="Q1447" s="3"/>
      <c r="R1447" s="3"/>
      <c r="S1447" s="3"/>
      <c r="T1447" s="3"/>
      <c r="U1447" s="3"/>
      <c r="V1447" s="3"/>
      <c r="W1447" s="3"/>
      <c r="X1447" s="3"/>
      <c r="Y1447" s="3"/>
      <c r="Z1447" s="3"/>
      <c r="AA1447" s="3"/>
    </row>
    <row r="1448" ht="105.75" customHeight="1">
      <c r="A1448" s="11"/>
      <c r="B1448" s="12"/>
      <c r="C1448" s="11"/>
      <c r="D1448" s="13"/>
      <c r="E1448" s="16"/>
      <c r="F1448" s="16"/>
      <c r="G1448" s="16"/>
      <c r="H1448" s="15"/>
      <c r="I1448" s="15"/>
      <c r="J1448" s="3"/>
      <c r="K1448" s="3"/>
      <c r="L1448" s="3"/>
      <c r="M1448" s="3"/>
      <c r="N1448" s="3"/>
      <c r="O1448" s="3"/>
      <c r="P1448" s="3"/>
      <c r="Q1448" s="3"/>
      <c r="R1448" s="3"/>
      <c r="S1448" s="3"/>
      <c r="T1448" s="3"/>
      <c r="U1448" s="3"/>
      <c r="V1448" s="3"/>
      <c r="W1448" s="3"/>
      <c r="X1448" s="3"/>
      <c r="Y1448" s="3"/>
      <c r="Z1448" s="3"/>
      <c r="AA1448" s="3"/>
    </row>
    <row r="1449" ht="105.75" customHeight="1">
      <c r="A1449" s="11"/>
      <c r="B1449" s="12"/>
      <c r="C1449" s="11"/>
      <c r="D1449" s="13"/>
      <c r="E1449" s="14"/>
      <c r="F1449" s="14"/>
      <c r="G1449" s="14"/>
      <c r="H1449" s="15"/>
      <c r="I1449" s="15"/>
      <c r="J1449" s="3"/>
      <c r="K1449" s="3"/>
      <c r="L1449" s="3"/>
      <c r="M1449" s="3"/>
      <c r="N1449" s="3"/>
      <c r="O1449" s="3"/>
      <c r="P1449" s="3"/>
      <c r="Q1449" s="3"/>
      <c r="R1449" s="3"/>
      <c r="S1449" s="3"/>
      <c r="T1449" s="3"/>
      <c r="U1449" s="3"/>
      <c r="V1449" s="3"/>
      <c r="W1449" s="3"/>
      <c r="X1449" s="3"/>
      <c r="Y1449" s="3"/>
      <c r="Z1449" s="3"/>
      <c r="AA1449" s="3"/>
    </row>
    <row r="1450" ht="105.75" customHeight="1">
      <c r="A1450" s="11"/>
      <c r="B1450" s="12"/>
      <c r="C1450" s="11"/>
      <c r="D1450" s="13"/>
      <c r="E1450" s="14"/>
      <c r="F1450" s="14"/>
      <c r="G1450" s="14"/>
      <c r="H1450" s="15"/>
      <c r="I1450" s="15"/>
      <c r="J1450" s="3"/>
      <c r="K1450" s="3"/>
      <c r="L1450" s="3"/>
      <c r="M1450" s="3"/>
      <c r="N1450" s="3"/>
      <c r="O1450" s="3"/>
      <c r="P1450" s="3"/>
      <c r="Q1450" s="3"/>
      <c r="R1450" s="3"/>
      <c r="S1450" s="3"/>
      <c r="T1450" s="3"/>
      <c r="U1450" s="3"/>
      <c r="V1450" s="3"/>
      <c r="W1450" s="3"/>
      <c r="X1450" s="3"/>
      <c r="Y1450" s="3"/>
      <c r="Z1450" s="3"/>
      <c r="AA1450" s="3"/>
    </row>
    <row r="1451" ht="105.75" customHeight="1">
      <c r="A1451" s="11"/>
      <c r="B1451" s="12"/>
      <c r="C1451" s="11"/>
      <c r="D1451" s="13"/>
      <c r="E1451" s="14"/>
      <c r="F1451" s="14"/>
      <c r="G1451" s="14"/>
      <c r="H1451" s="15"/>
      <c r="I1451" s="15"/>
      <c r="J1451" s="3"/>
      <c r="K1451" s="3"/>
      <c r="L1451" s="3"/>
      <c r="M1451" s="3"/>
      <c r="N1451" s="3"/>
      <c r="O1451" s="3"/>
      <c r="P1451" s="3"/>
      <c r="Q1451" s="3"/>
      <c r="R1451" s="3"/>
      <c r="S1451" s="3"/>
      <c r="T1451" s="3"/>
      <c r="U1451" s="3"/>
      <c r="V1451" s="3"/>
      <c r="W1451" s="3"/>
      <c r="X1451" s="3"/>
      <c r="Y1451" s="3"/>
      <c r="Z1451" s="3"/>
      <c r="AA1451" s="3"/>
    </row>
    <row r="1452" ht="105.75" customHeight="1">
      <c r="A1452" s="11"/>
      <c r="B1452" s="12"/>
      <c r="C1452" s="11"/>
      <c r="D1452" s="13"/>
      <c r="E1452" s="14"/>
      <c r="F1452" s="14"/>
      <c r="G1452" s="14"/>
      <c r="H1452" s="15"/>
      <c r="I1452" s="15"/>
      <c r="J1452" s="3"/>
      <c r="K1452" s="3"/>
      <c r="L1452" s="3"/>
      <c r="M1452" s="3"/>
      <c r="N1452" s="3"/>
      <c r="O1452" s="3"/>
      <c r="P1452" s="3"/>
      <c r="Q1452" s="3"/>
      <c r="R1452" s="3"/>
      <c r="S1452" s="3"/>
      <c r="T1452" s="3"/>
      <c r="U1452" s="3"/>
      <c r="V1452" s="3"/>
      <c r="W1452" s="3"/>
      <c r="X1452" s="3"/>
      <c r="Y1452" s="3"/>
      <c r="Z1452" s="3"/>
      <c r="AA1452" s="3"/>
    </row>
    <row r="1453" ht="105.75" customHeight="1">
      <c r="A1453" s="11"/>
      <c r="B1453" s="12"/>
      <c r="C1453" s="11"/>
      <c r="D1453" s="13"/>
      <c r="E1453" s="14"/>
      <c r="F1453" s="14"/>
      <c r="G1453" s="14"/>
      <c r="H1453" s="15"/>
      <c r="I1453" s="15"/>
      <c r="J1453" s="3"/>
      <c r="K1453" s="3"/>
      <c r="L1453" s="3"/>
      <c r="M1453" s="3"/>
      <c r="N1453" s="3"/>
      <c r="O1453" s="3"/>
      <c r="P1453" s="3"/>
      <c r="Q1453" s="3"/>
      <c r="R1453" s="3"/>
      <c r="S1453" s="3"/>
      <c r="T1453" s="3"/>
      <c r="U1453" s="3"/>
      <c r="V1453" s="3"/>
      <c r="W1453" s="3"/>
      <c r="X1453" s="3"/>
      <c r="Y1453" s="3"/>
      <c r="Z1453" s="3"/>
      <c r="AA1453" s="3"/>
    </row>
    <row r="1454" ht="105.75" customHeight="1">
      <c r="A1454" s="11"/>
      <c r="B1454" s="12"/>
      <c r="C1454" s="11"/>
      <c r="D1454" s="13"/>
      <c r="E1454" s="14"/>
      <c r="F1454" s="14"/>
      <c r="G1454" s="14"/>
      <c r="H1454" s="15"/>
      <c r="I1454" s="15"/>
      <c r="J1454" s="3"/>
      <c r="K1454" s="3"/>
      <c r="L1454" s="3"/>
      <c r="M1454" s="3"/>
      <c r="N1454" s="3"/>
      <c r="O1454" s="3"/>
      <c r="P1454" s="3"/>
      <c r="Q1454" s="3"/>
      <c r="R1454" s="3"/>
      <c r="S1454" s="3"/>
      <c r="T1454" s="3"/>
      <c r="U1454" s="3"/>
      <c r="V1454" s="3"/>
      <c r="W1454" s="3"/>
      <c r="X1454" s="3"/>
      <c r="Y1454" s="3"/>
      <c r="Z1454" s="3"/>
      <c r="AA1454" s="3"/>
    </row>
    <row r="1455" ht="105.75" customHeight="1">
      <c r="A1455" s="11"/>
      <c r="B1455" s="12"/>
      <c r="C1455" s="11"/>
      <c r="D1455" s="13"/>
      <c r="E1455" s="16"/>
      <c r="F1455" s="16"/>
      <c r="G1455" s="16"/>
      <c r="H1455" s="15"/>
      <c r="I1455" s="15"/>
      <c r="J1455" s="3"/>
      <c r="K1455" s="3"/>
      <c r="L1455" s="3"/>
      <c r="M1455" s="3"/>
      <c r="N1455" s="3"/>
      <c r="O1455" s="3"/>
      <c r="P1455" s="3"/>
      <c r="Q1455" s="3"/>
      <c r="R1455" s="3"/>
      <c r="S1455" s="3"/>
      <c r="T1455" s="3"/>
      <c r="U1455" s="3"/>
      <c r="V1455" s="3"/>
      <c r="W1455" s="3"/>
      <c r="X1455" s="3"/>
      <c r="Y1455" s="3"/>
      <c r="Z1455" s="3"/>
      <c r="AA1455" s="3"/>
    </row>
    <row r="1456" ht="105.75" customHeight="1">
      <c r="A1456" s="11"/>
      <c r="B1456" s="12"/>
      <c r="C1456" s="11"/>
      <c r="D1456" s="13"/>
      <c r="E1456" s="14"/>
      <c r="F1456" s="14"/>
      <c r="G1456" s="14"/>
      <c r="H1456" s="15"/>
      <c r="I1456" s="15"/>
      <c r="J1456" s="3"/>
      <c r="K1456" s="3"/>
      <c r="L1456" s="3"/>
      <c r="M1456" s="3"/>
      <c r="N1456" s="3"/>
      <c r="O1456" s="3"/>
      <c r="P1456" s="3"/>
      <c r="Q1456" s="3"/>
      <c r="R1456" s="3"/>
      <c r="S1456" s="3"/>
      <c r="T1456" s="3"/>
      <c r="U1456" s="3"/>
      <c r="V1456" s="3"/>
      <c r="W1456" s="3"/>
      <c r="X1456" s="3"/>
      <c r="Y1456" s="3"/>
      <c r="Z1456" s="3"/>
      <c r="AA1456" s="3"/>
    </row>
    <row r="1457" ht="105.75" customHeight="1">
      <c r="A1457" s="11"/>
      <c r="B1457" s="12"/>
      <c r="C1457" s="11"/>
      <c r="D1457" s="13"/>
      <c r="E1457" s="14"/>
      <c r="F1457" s="14"/>
      <c r="G1457" s="14"/>
      <c r="H1457" s="15"/>
      <c r="I1457" s="15"/>
      <c r="J1457" s="3"/>
      <c r="K1457" s="3"/>
      <c r="L1457" s="3"/>
      <c r="M1457" s="3"/>
      <c r="N1457" s="3"/>
      <c r="O1457" s="3"/>
      <c r="P1457" s="3"/>
      <c r="Q1457" s="3"/>
      <c r="R1457" s="3"/>
      <c r="S1457" s="3"/>
      <c r="T1457" s="3"/>
      <c r="U1457" s="3"/>
      <c r="V1457" s="3"/>
      <c r="W1457" s="3"/>
      <c r="X1457" s="3"/>
      <c r="Y1457" s="3"/>
      <c r="Z1457" s="3"/>
      <c r="AA1457" s="3"/>
    </row>
    <row r="1458" ht="105.75" customHeight="1">
      <c r="A1458" s="11"/>
      <c r="B1458" s="12"/>
      <c r="C1458" s="11"/>
      <c r="D1458" s="13"/>
      <c r="E1458" s="14"/>
      <c r="F1458" s="14"/>
      <c r="G1458" s="14"/>
      <c r="H1458" s="15"/>
      <c r="I1458" s="15"/>
      <c r="J1458" s="3"/>
      <c r="K1458" s="3"/>
      <c r="L1458" s="3"/>
      <c r="M1458" s="3"/>
      <c r="N1458" s="3"/>
      <c r="O1458" s="3"/>
      <c r="P1458" s="3"/>
      <c r="Q1458" s="3"/>
      <c r="R1458" s="3"/>
      <c r="S1458" s="3"/>
      <c r="T1458" s="3"/>
      <c r="U1458" s="3"/>
      <c r="V1458" s="3"/>
      <c r="W1458" s="3"/>
      <c r="X1458" s="3"/>
      <c r="Y1458" s="3"/>
      <c r="Z1458" s="3"/>
      <c r="AA1458" s="3"/>
    </row>
    <row r="1459" ht="105.75" customHeight="1">
      <c r="A1459" s="11"/>
      <c r="B1459" s="12"/>
      <c r="C1459" s="11"/>
      <c r="D1459" s="13"/>
      <c r="E1459" s="14"/>
      <c r="F1459" s="14"/>
      <c r="G1459" s="14"/>
      <c r="H1459" s="15"/>
      <c r="I1459" s="15"/>
      <c r="J1459" s="3"/>
      <c r="K1459" s="3"/>
      <c r="L1459" s="3"/>
      <c r="M1459" s="3"/>
      <c r="N1459" s="3"/>
      <c r="O1459" s="3"/>
      <c r="P1459" s="3"/>
      <c r="Q1459" s="3"/>
      <c r="R1459" s="3"/>
      <c r="S1459" s="3"/>
      <c r="T1459" s="3"/>
      <c r="U1459" s="3"/>
      <c r="V1459" s="3"/>
      <c r="W1459" s="3"/>
      <c r="X1459" s="3"/>
      <c r="Y1459" s="3"/>
      <c r="Z1459" s="3"/>
      <c r="AA1459" s="3"/>
    </row>
    <row r="1460" ht="105.75" customHeight="1">
      <c r="A1460" s="11"/>
      <c r="B1460" s="12"/>
      <c r="C1460" s="11"/>
      <c r="D1460" s="13"/>
      <c r="E1460" s="14"/>
      <c r="F1460" s="14"/>
      <c r="G1460" s="14"/>
      <c r="H1460" s="15"/>
      <c r="I1460" s="15"/>
      <c r="J1460" s="3"/>
      <c r="K1460" s="3"/>
      <c r="L1460" s="3"/>
      <c r="M1460" s="3"/>
      <c r="N1460" s="3"/>
      <c r="O1460" s="3"/>
      <c r="P1460" s="3"/>
      <c r="Q1460" s="3"/>
      <c r="R1460" s="3"/>
      <c r="S1460" s="3"/>
      <c r="T1460" s="3"/>
      <c r="U1460" s="3"/>
      <c r="V1460" s="3"/>
      <c r="W1460" s="3"/>
      <c r="X1460" s="3"/>
      <c r="Y1460" s="3"/>
      <c r="Z1460" s="3"/>
      <c r="AA1460" s="3"/>
    </row>
    <row r="1461" ht="105.75" customHeight="1">
      <c r="A1461" s="11"/>
      <c r="B1461" s="12"/>
      <c r="C1461" s="11"/>
      <c r="D1461" s="13"/>
      <c r="E1461" s="14"/>
      <c r="F1461" s="14"/>
      <c r="G1461" s="14"/>
      <c r="H1461" s="15"/>
      <c r="I1461" s="15"/>
      <c r="J1461" s="3"/>
      <c r="K1461" s="3"/>
      <c r="L1461" s="3"/>
      <c r="M1461" s="3"/>
      <c r="N1461" s="3"/>
      <c r="O1461" s="3"/>
      <c r="P1461" s="3"/>
      <c r="Q1461" s="3"/>
      <c r="R1461" s="3"/>
      <c r="S1461" s="3"/>
      <c r="T1461" s="3"/>
      <c r="U1461" s="3"/>
      <c r="V1461" s="3"/>
      <c r="W1461" s="3"/>
      <c r="X1461" s="3"/>
      <c r="Y1461" s="3"/>
      <c r="Z1461" s="3"/>
      <c r="AA1461" s="3"/>
    </row>
    <row r="1462" ht="105.75" customHeight="1">
      <c r="A1462" s="11"/>
      <c r="B1462" s="12"/>
      <c r="C1462" s="11"/>
      <c r="D1462" s="13"/>
      <c r="E1462" s="16"/>
      <c r="F1462" s="16"/>
      <c r="G1462" s="16"/>
      <c r="H1462" s="15"/>
      <c r="I1462" s="15"/>
      <c r="J1462" s="3"/>
      <c r="K1462" s="3"/>
      <c r="L1462" s="3"/>
      <c r="M1462" s="3"/>
      <c r="N1462" s="3"/>
      <c r="O1462" s="3"/>
      <c r="P1462" s="3"/>
      <c r="Q1462" s="3"/>
      <c r="R1462" s="3"/>
      <c r="S1462" s="3"/>
      <c r="T1462" s="3"/>
      <c r="U1462" s="3"/>
      <c r="V1462" s="3"/>
      <c r="W1462" s="3"/>
      <c r="X1462" s="3"/>
      <c r="Y1462" s="3"/>
      <c r="Z1462" s="3"/>
      <c r="AA1462" s="3"/>
    </row>
    <row r="1463" ht="105.75" customHeight="1">
      <c r="A1463" s="11"/>
      <c r="B1463" s="12"/>
      <c r="C1463" s="11"/>
      <c r="D1463" s="13"/>
      <c r="E1463" s="14"/>
      <c r="F1463" s="14"/>
      <c r="G1463" s="14"/>
      <c r="H1463" s="15"/>
      <c r="I1463" s="15"/>
      <c r="J1463" s="3"/>
      <c r="K1463" s="3"/>
      <c r="L1463" s="3"/>
      <c r="M1463" s="3"/>
      <c r="N1463" s="3"/>
      <c r="O1463" s="3"/>
      <c r="P1463" s="3"/>
      <c r="Q1463" s="3"/>
      <c r="R1463" s="3"/>
      <c r="S1463" s="3"/>
      <c r="T1463" s="3"/>
      <c r="U1463" s="3"/>
      <c r="V1463" s="3"/>
      <c r="W1463" s="3"/>
      <c r="X1463" s="3"/>
      <c r="Y1463" s="3"/>
      <c r="Z1463" s="3"/>
      <c r="AA1463" s="3"/>
    </row>
    <row r="1464" ht="105.75" customHeight="1">
      <c r="A1464" s="11"/>
      <c r="B1464" s="12"/>
      <c r="C1464" s="11"/>
      <c r="D1464" s="13"/>
      <c r="E1464" s="14"/>
      <c r="F1464" s="14"/>
      <c r="G1464" s="14"/>
      <c r="H1464" s="15"/>
      <c r="I1464" s="15"/>
      <c r="J1464" s="3"/>
      <c r="K1464" s="3"/>
      <c r="L1464" s="3"/>
      <c r="M1464" s="3"/>
      <c r="N1464" s="3"/>
      <c r="O1464" s="3"/>
      <c r="P1464" s="3"/>
      <c r="Q1464" s="3"/>
      <c r="R1464" s="3"/>
      <c r="S1464" s="3"/>
      <c r="T1464" s="3"/>
      <c r="U1464" s="3"/>
      <c r="V1464" s="3"/>
      <c r="W1464" s="3"/>
      <c r="X1464" s="3"/>
      <c r="Y1464" s="3"/>
      <c r="Z1464" s="3"/>
      <c r="AA1464" s="3"/>
    </row>
    <row r="1465" ht="105.75" customHeight="1">
      <c r="A1465" s="11"/>
      <c r="B1465" s="12"/>
      <c r="C1465" s="11"/>
      <c r="D1465" s="13"/>
      <c r="E1465" s="14"/>
      <c r="F1465" s="14"/>
      <c r="G1465" s="14"/>
      <c r="H1465" s="15"/>
      <c r="I1465" s="15"/>
      <c r="J1465" s="3"/>
      <c r="K1465" s="3"/>
      <c r="L1465" s="3"/>
      <c r="M1465" s="3"/>
      <c r="N1465" s="3"/>
      <c r="O1465" s="3"/>
      <c r="P1465" s="3"/>
      <c r="Q1465" s="3"/>
      <c r="R1465" s="3"/>
      <c r="S1465" s="3"/>
      <c r="T1465" s="3"/>
      <c r="U1465" s="3"/>
      <c r="V1465" s="3"/>
      <c r="W1465" s="3"/>
      <c r="X1465" s="3"/>
      <c r="Y1465" s="3"/>
      <c r="Z1465" s="3"/>
      <c r="AA1465" s="3"/>
    </row>
    <row r="1466" ht="105.75" customHeight="1">
      <c r="A1466" s="11"/>
      <c r="B1466" s="12"/>
      <c r="C1466" s="11"/>
      <c r="D1466" s="13"/>
      <c r="E1466" s="14"/>
      <c r="F1466" s="14"/>
      <c r="G1466" s="14"/>
      <c r="H1466" s="15"/>
      <c r="I1466" s="15"/>
      <c r="J1466" s="3"/>
      <c r="K1466" s="3"/>
      <c r="L1466" s="3"/>
      <c r="M1466" s="3"/>
      <c r="N1466" s="3"/>
      <c r="O1466" s="3"/>
      <c r="P1466" s="3"/>
      <c r="Q1466" s="3"/>
      <c r="R1466" s="3"/>
      <c r="S1466" s="3"/>
      <c r="T1466" s="3"/>
      <c r="U1466" s="3"/>
      <c r="V1466" s="3"/>
      <c r="W1466" s="3"/>
      <c r="X1466" s="3"/>
      <c r="Y1466" s="3"/>
      <c r="Z1466" s="3"/>
      <c r="AA1466" s="3"/>
    </row>
    <row r="1467" ht="105.75" customHeight="1">
      <c r="A1467" s="11"/>
      <c r="B1467" s="12"/>
      <c r="C1467" s="11"/>
      <c r="D1467" s="13"/>
      <c r="E1467" s="16"/>
      <c r="F1467" s="16"/>
      <c r="G1467" s="16"/>
      <c r="H1467" s="15"/>
      <c r="I1467" s="15"/>
      <c r="J1467" s="3"/>
      <c r="K1467" s="3"/>
      <c r="L1467" s="3"/>
      <c r="M1467" s="3"/>
      <c r="N1467" s="3"/>
      <c r="O1467" s="3"/>
      <c r="P1467" s="3"/>
      <c r="Q1467" s="3"/>
      <c r="R1467" s="3"/>
      <c r="S1467" s="3"/>
      <c r="T1467" s="3"/>
      <c r="U1467" s="3"/>
      <c r="V1467" s="3"/>
      <c r="W1467" s="3"/>
      <c r="X1467" s="3"/>
      <c r="Y1467" s="3"/>
      <c r="Z1467" s="3"/>
      <c r="AA1467" s="3"/>
    </row>
    <row r="1468" ht="105.75" customHeight="1">
      <c r="A1468" s="11"/>
      <c r="B1468" s="12"/>
      <c r="C1468" s="11"/>
      <c r="D1468" s="13"/>
      <c r="E1468" s="14"/>
      <c r="F1468" s="14"/>
      <c r="G1468" s="14"/>
      <c r="H1468" s="15"/>
      <c r="I1468" s="15"/>
      <c r="J1468" s="3"/>
      <c r="K1468" s="3"/>
      <c r="L1468" s="3"/>
      <c r="M1468" s="3"/>
      <c r="N1468" s="3"/>
      <c r="O1468" s="3"/>
      <c r="P1468" s="3"/>
      <c r="Q1468" s="3"/>
      <c r="R1468" s="3"/>
      <c r="S1468" s="3"/>
      <c r="T1468" s="3"/>
      <c r="U1468" s="3"/>
      <c r="V1468" s="3"/>
      <c r="W1468" s="3"/>
      <c r="X1468" s="3"/>
      <c r="Y1468" s="3"/>
      <c r="Z1468" s="3"/>
      <c r="AA1468" s="3"/>
    </row>
    <row r="1469" ht="105.75" customHeight="1">
      <c r="A1469" s="11"/>
      <c r="B1469" s="12"/>
      <c r="C1469" s="11"/>
      <c r="D1469" s="13"/>
      <c r="E1469" s="14"/>
      <c r="F1469" s="14"/>
      <c r="G1469" s="14"/>
      <c r="H1469" s="15"/>
      <c r="I1469" s="15"/>
      <c r="J1469" s="3"/>
      <c r="K1469" s="3"/>
      <c r="L1469" s="3"/>
      <c r="M1469" s="3"/>
      <c r="N1469" s="3"/>
      <c r="O1469" s="3"/>
      <c r="P1469" s="3"/>
      <c r="Q1469" s="3"/>
      <c r="R1469" s="3"/>
      <c r="S1469" s="3"/>
      <c r="T1469" s="3"/>
      <c r="U1469" s="3"/>
      <c r="V1469" s="3"/>
      <c r="W1469" s="3"/>
      <c r="X1469" s="3"/>
      <c r="Y1469" s="3"/>
      <c r="Z1469" s="3"/>
      <c r="AA1469" s="3"/>
    </row>
    <row r="1470" ht="105.75" customHeight="1">
      <c r="A1470" s="11"/>
      <c r="B1470" s="12"/>
      <c r="C1470" s="11"/>
      <c r="D1470" s="13"/>
      <c r="E1470" s="14"/>
      <c r="F1470" s="14"/>
      <c r="G1470" s="14"/>
      <c r="H1470" s="15"/>
      <c r="I1470" s="15"/>
      <c r="J1470" s="3"/>
      <c r="K1470" s="3"/>
      <c r="L1470" s="3"/>
      <c r="M1470" s="3"/>
      <c r="N1470" s="3"/>
      <c r="O1470" s="3"/>
      <c r="P1470" s="3"/>
      <c r="Q1470" s="3"/>
      <c r="R1470" s="3"/>
      <c r="S1470" s="3"/>
      <c r="T1470" s="3"/>
      <c r="U1470" s="3"/>
      <c r="V1470" s="3"/>
      <c r="W1470" s="3"/>
      <c r="X1470" s="3"/>
      <c r="Y1470" s="3"/>
      <c r="Z1470" s="3"/>
      <c r="AA1470" s="3"/>
    </row>
    <row r="1471" ht="105.75" customHeight="1">
      <c r="A1471" s="11"/>
      <c r="B1471" s="12"/>
      <c r="C1471" s="11"/>
      <c r="D1471" s="13"/>
      <c r="E1471" s="14"/>
      <c r="F1471" s="14"/>
      <c r="G1471" s="14"/>
      <c r="H1471" s="15"/>
      <c r="I1471" s="15"/>
      <c r="J1471" s="3"/>
      <c r="K1471" s="3"/>
      <c r="L1471" s="3"/>
      <c r="M1471" s="3"/>
      <c r="N1471" s="3"/>
      <c r="O1471" s="3"/>
      <c r="P1471" s="3"/>
      <c r="Q1471" s="3"/>
      <c r="R1471" s="3"/>
      <c r="S1471" s="3"/>
      <c r="T1471" s="3"/>
      <c r="U1471" s="3"/>
      <c r="V1471" s="3"/>
      <c r="W1471" s="3"/>
      <c r="X1471" s="3"/>
      <c r="Y1471" s="3"/>
      <c r="Z1471" s="3"/>
      <c r="AA1471" s="3"/>
    </row>
    <row r="1472" ht="105.75" customHeight="1">
      <c r="A1472" s="11"/>
      <c r="B1472" s="12"/>
      <c r="C1472" s="11"/>
      <c r="D1472" s="13"/>
      <c r="E1472" s="14"/>
      <c r="F1472" s="14"/>
      <c r="G1472" s="14"/>
      <c r="H1472" s="15"/>
      <c r="I1472" s="15"/>
      <c r="J1472" s="3"/>
      <c r="K1472" s="3"/>
      <c r="L1472" s="3"/>
      <c r="M1472" s="3"/>
      <c r="N1472" s="3"/>
      <c r="O1472" s="3"/>
      <c r="P1472" s="3"/>
      <c r="Q1472" s="3"/>
      <c r="R1472" s="3"/>
      <c r="S1472" s="3"/>
      <c r="T1472" s="3"/>
      <c r="U1472" s="3"/>
      <c r="V1472" s="3"/>
      <c r="W1472" s="3"/>
      <c r="X1472" s="3"/>
      <c r="Y1472" s="3"/>
      <c r="Z1472" s="3"/>
      <c r="AA1472" s="3"/>
    </row>
    <row r="1473" ht="105.75" customHeight="1">
      <c r="A1473" s="11"/>
      <c r="B1473" s="12"/>
      <c r="C1473" s="11"/>
      <c r="D1473" s="13"/>
      <c r="E1473" s="14"/>
      <c r="F1473" s="14"/>
      <c r="G1473" s="14"/>
      <c r="H1473" s="15"/>
      <c r="I1473" s="15"/>
      <c r="J1473" s="3"/>
      <c r="K1473" s="3"/>
      <c r="L1473" s="3"/>
      <c r="M1473" s="3"/>
      <c r="N1473" s="3"/>
      <c r="O1473" s="3"/>
      <c r="P1473" s="3"/>
      <c r="Q1473" s="3"/>
      <c r="R1473" s="3"/>
      <c r="S1473" s="3"/>
      <c r="T1473" s="3"/>
      <c r="U1473" s="3"/>
      <c r="V1473" s="3"/>
      <c r="W1473" s="3"/>
      <c r="X1473" s="3"/>
      <c r="Y1473" s="3"/>
      <c r="Z1473" s="3"/>
      <c r="AA1473" s="3"/>
    </row>
    <row r="1474" ht="105.75" customHeight="1">
      <c r="A1474" s="11"/>
      <c r="B1474" s="12"/>
      <c r="C1474" s="11"/>
      <c r="D1474" s="13"/>
      <c r="E1474" s="14"/>
      <c r="F1474" s="14"/>
      <c r="G1474" s="14"/>
      <c r="H1474" s="15"/>
      <c r="I1474" s="15"/>
      <c r="J1474" s="3"/>
      <c r="K1474" s="3"/>
      <c r="L1474" s="3"/>
      <c r="M1474" s="3"/>
      <c r="N1474" s="3"/>
      <c r="O1474" s="3"/>
      <c r="P1474" s="3"/>
      <c r="Q1474" s="3"/>
      <c r="R1474" s="3"/>
      <c r="S1474" s="3"/>
      <c r="T1474" s="3"/>
      <c r="U1474" s="3"/>
      <c r="V1474" s="3"/>
      <c r="W1474" s="3"/>
      <c r="X1474" s="3"/>
      <c r="Y1474" s="3"/>
      <c r="Z1474" s="3"/>
      <c r="AA1474" s="3"/>
    </row>
    <row r="1475" ht="105.75" customHeight="1">
      <c r="A1475" s="11"/>
      <c r="B1475" s="12"/>
      <c r="C1475" s="11"/>
      <c r="D1475" s="13"/>
      <c r="E1475" s="14"/>
      <c r="F1475" s="14"/>
      <c r="G1475" s="14"/>
      <c r="H1475" s="15"/>
      <c r="I1475" s="15"/>
      <c r="J1475" s="3"/>
      <c r="K1475" s="3"/>
      <c r="L1475" s="3"/>
      <c r="M1475" s="3"/>
      <c r="N1475" s="3"/>
      <c r="O1475" s="3"/>
      <c r="P1475" s="3"/>
      <c r="Q1475" s="3"/>
      <c r="R1475" s="3"/>
      <c r="S1475" s="3"/>
      <c r="T1475" s="3"/>
      <c r="U1475" s="3"/>
      <c r="V1475" s="3"/>
      <c r="W1475" s="3"/>
      <c r="X1475" s="3"/>
      <c r="Y1475" s="3"/>
      <c r="Z1475" s="3"/>
      <c r="AA1475" s="3"/>
    </row>
    <row r="1476" ht="105.75" customHeight="1">
      <c r="A1476" s="11"/>
      <c r="B1476" s="12"/>
      <c r="C1476" s="11"/>
      <c r="D1476" s="13"/>
      <c r="E1476" s="16"/>
      <c r="F1476" s="16"/>
      <c r="G1476" s="16"/>
      <c r="H1476" s="15"/>
      <c r="I1476" s="15"/>
      <c r="J1476" s="3"/>
      <c r="K1476" s="3"/>
      <c r="L1476" s="3"/>
      <c r="M1476" s="3"/>
      <c r="N1476" s="3"/>
      <c r="O1476" s="3"/>
      <c r="P1476" s="3"/>
      <c r="Q1476" s="3"/>
      <c r="R1476" s="3"/>
      <c r="S1476" s="3"/>
      <c r="T1476" s="3"/>
      <c r="U1476" s="3"/>
      <c r="V1476" s="3"/>
      <c r="W1476" s="3"/>
      <c r="X1476" s="3"/>
      <c r="Y1476" s="3"/>
      <c r="Z1476" s="3"/>
      <c r="AA1476" s="3"/>
    </row>
    <row r="1477" ht="105.75" customHeight="1">
      <c r="A1477" s="11"/>
      <c r="B1477" s="12"/>
      <c r="C1477" s="11"/>
      <c r="D1477" s="13"/>
      <c r="E1477" s="14"/>
      <c r="F1477" s="14"/>
      <c r="G1477" s="14"/>
      <c r="H1477" s="15"/>
      <c r="I1477" s="15"/>
      <c r="J1477" s="3"/>
      <c r="K1477" s="3"/>
      <c r="L1477" s="3"/>
      <c r="M1477" s="3"/>
      <c r="N1477" s="3"/>
      <c r="O1477" s="3"/>
      <c r="P1477" s="3"/>
      <c r="Q1477" s="3"/>
      <c r="R1477" s="3"/>
      <c r="S1477" s="3"/>
      <c r="T1477" s="3"/>
      <c r="U1477" s="3"/>
      <c r="V1477" s="3"/>
      <c r="W1477" s="3"/>
      <c r="X1477" s="3"/>
      <c r="Y1477" s="3"/>
      <c r="Z1477" s="3"/>
      <c r="AA1477" s="3"/>
    </row>
    <row r="1478" ht="105.75" customHeight="1">
      <c r="A1478" s="11"/>
      <c r="B1478" s="12"/>
      <c r="C1478" s="11"/>
      <c r="D1478" s="13"/>
      <c r="E1478" s="14"/>
      <c r="F1478" s="14"/>
      <c r="G1478" s="14"/>
      <c r="H1478" s="15"/>
      <c r="I1478" s="15"/>
      <c r="J1478" s="3"/>
      <c r="K1478" s="3"/>
      <c r="L1478" s="3"/>
      <c r="M1478" s="3"/>
      <c r="N1478" s="3"/>
      <c r="O1478" s="3"/>
      <c r="P1478" s="3"/>
      <c r="Q1478" s="3"/>
      <c r="R1478" s="3"/>
      <c r="S1478" s="3"/>
      <c r="T1478" s="3"/>
      <c r="U1478" s="3"/>
      <c r="V1478" s="3"/>
      <c r="W1478" s="3"/>
      <c r="X1478" s="3"/>
      <c r="Y1478" s="3"/>
      <c r="Z1478" s="3"/>
      <c r="AA1478" s="3"/>
    </row>
    <row r="1479" ht="105.75" customHeight="1">
      <c r="A1479" s="11"/>
      <c r="B1479" s="12"/>
      <c r="C1479" s="11"/>
      <c r="D1479" s="13"/>
      <c r="E1479" s="16"/>
      <c r="F1479" s="16"/>
      <c r="G1479" s="16"/>
      <c r="H1479" s="15"/>
      <c r="I1479" s="15"/>
      <c r="J1479" s="3"/>
      <c r="K1479" s="3"/>
      <c r="L1479" s="3"/>
      <c r="M1479" s="3"/>
      <c r="N1479" s="3"/>
      <c r="O1479" s="3"/>
      <c r="P1479" s="3"/>
      <c r="Q1479" s="3"/>
      <c r="R1479" s="3"/>
      <c r="S1479" s="3"/>
      <c r="T1479" s="3"/>
      <c r="U1479" s="3"/>
      <c r="V1479" s="3"/>
      <c r="W1479" s="3"/>
      <c r="X1479" s="3"/>
      <c r="Y1479" s="3"/>
      <c r="Z1479" s="3"/>
      <c r="AA1479" s="3"/>
    </row>
    <row r="1480" ht="105.75" customHeight="1">
      <c r="A1480" s="11"/>
      <c r="B1480" s="12"/>
      <c r="C1480" s="11"/>
      <c r="D1480" s="13"/>
      <c r="E1480" s="16"/>
      <c r="F1480" s="16"/>
      <c r="G1480" s="16"/>
      <c r="H1480" s="15"/>
      <c r="I1480" s="15"/>
      <c r="J1480" s="3"/>
      <c r="K1480" s="3"/>
      <c r="L1480" s="3"/>
      <c r="M1480" s="3"/>
      <c r="N1480" s="3"/>
      <c r="O1480" s="3"/>
      <c r="P1480" s="3"/>
      <c r="Q1480" s="3"/>
      <c r="R1480" s="3"/>
      <c r="S1480" s="3"/>
      <c r="T1480" s="3"/>
      <c r="U1480" s="3"/>
      <c r="V1480" s="3"/>
      <c r="W1480" s="3"/>
      <c r="X1480" s="3"/>
      <c r="Y1480" s="3"/>
      <c r="Z1480" s="3"/>
      <c r="AA1480" s="3"/>
    </row>
    <row r="1481" ht="105.75" customHeight="1">
      <c r="A1481" s="11"/>
      <c r="B1481" s="12"/>
      <c r="C1481" s="11"/>
      <c r="D1481" s="13"/>
      <c r="E1481" s="14"/>
      <c r="F1481" s="14"/>
      <c r="G1481" s="14"/>
      <c r="H1481" s="15"/>
      <c r="I1481" s="15"/>
      <c r="J1481" s="3"/>
      <c r="K1481" s="3"/>
      <c r="L1481" s="3"/>
      <c r="M1481" s="3"/>
      <c r="N1481" s="3"/>
      <c r="O1481" s="3"/>
      <c r="P1481" s="3"/>
      <c r="Q1481" s="3"/>
      <c r="R1481" s="3"/>
      <c r="S1481" s="3"/>
      <c r="T1481" s="3"/>
      <c r="U1481" s="3"/>
      <c r="V1481" s="3"/>
      <c r="W1481" s="3"/>
      <c r="X1481" s="3"/>
      <c r="Y1481" s="3"/>
      <c r="Z1481" s="3"/>
      <c r="AA1481" s="3"/>
    </row>
    <row r="1482" ht="105.75" customHeight="1">
      <c r="A1482" s="11"/>
      <c r="B1482" s="12"/>
      <c r="C1482" s="11"/>
      <c r="D1482" s="13"/>
      <c r="E1482" s="14"/>
      <c r="F1482" s="14"/>
      <c r="G1482" s="14"/>
      <c r="H1482" s="15"/>
      <c r="I1482" s="15"/>
      <c r="J1482" s="3"/>
      <c r="K1482" s="3"/>
      <c r="L1482" s="3"/>
      <c r="M1482" s="3"/>
      <c r="N1482" s="3"/>
      <c r="O1482" s="3"/>
      <c r="P1482" s="3"/>
      <c r="Q1482" s="3"/>
      <c r="R1482" s="3"/>
      <c r="S1482" s="3"/>
      <c r="T1482" s="3"/>
      <c r="U1482" s="3"/>
      <c r="V1482" s="3"/>
      <c r="W1482" s="3"/>
      <c r="X1482" s="3"/>
      <c r="Y1482" s="3"/>
      <c r="Z1482" s="3"/>
      <c r="AA1482" s="3"/>
    </row>
    <row r="1483" ht="105.75" customHeight="1">
      <c r="A1483" s="11"/>
      <c r="B1483" s="12"/>
      <c r="C1483" s="11"/>
      <c r="D1483" s="13"/>
      <c r="E1483" s="14"/>
      <c r="F1483" s="14"/>
      <c r="G1483" s="14"/>
      <c r="H1483" s="15"/>
      <c r="I1483" s="15"/>
      <c r="J1483" s="3"/>
      <c r="K1483" s="3"/>
      <c r="L1483" s="3"/>
      <c r="M1483" s="3"/>
      <c r="N1483" s="3"/>
      <c r="O1483" s="3"/>
      <c r="P1483" s="3"/>
      <c r="Q1483" s="3"/>
      <c r="R1483" s="3"/>
      <c r="S1483" s="3"/>
      <c r="T1483" s="3"/>
      <c r="U1483" s="3"/>
      <c r="V1483" s="3"/>
      <c r="W1483" s="3"/>
      <c r="X1483" s="3"/>
      <c r="Y1483" s="3"/>
      <c r="Z1483" s="3"/>
      <c r="AA1483" s="3"/>
    </row>
    <row r="1484" ht="105.75" customHeight="1">
      <c r="A1484" s="11"/>
      <c r="B1484" s="12"/>
      <c r="C1484" s="11"/>
      <c r="D1484" s="13"/>
      <c r="E1484" s="16"/>
      <c r="F1484" s="16"/>
      <c r="G1484" s="16"/>
      <c r="H1484" s="15"/>
      <c r="I1484" s="15"/>
      <c r="J1484" s="3"/>
      <c r="K1484" s="3"/>
      <c r="L1484" s="3"/>
      <c r="M1484" s="3"/>
      <c r="N1484" s="3"/>
      <c r="O1484" s="3"/>
      <c r="P1484" s="3"/>
      <c r="Q1484" s="3"/>
      <c r="R1484" s="3"/>
      <c r="S1484" s="3"/>
      <c r="T1484" s="3"/>
      <c r="U1484" s="3"/>
      <c r="V1484" s="3"/>
      <c r="W1484" s="3"/>
      <c r="X1484" s="3"/>
      <c r="Y1484" s="3"/>
      <c r="Z1484" s="3"/>
      <c r="AA1484" s="3"/>
    </row>
    <row r="1485" ht="105.75" customHeight="1">
      <c r="A1485" s="11"/>
      <c r="B1485" s="12"/>
      <c r="C1485" s="11"/>
      <c r="D1485" s="13"/>
      <c r="E1485" s="14"/>
      <c r="F1485" s="14"/>
      <c r="G1485" s="14"/>
      <c r="H1485" s="15"/>
      <c r="I1485" s="15"/>
      <c r="J1485" s="3"/>
      <c r="K1485" s="3"/>
      <c r="L1485" s="3"/>
      <c r="M1485" s="3"/>
      <c r="N1485" s="3"/>
      <c r="O1485" s="3"/>
      <c r="P1485" s="3"/>
      <c r="Q1485" s="3"/>
      <c r="R1485" s="3"/>
      <c r="S1485" s="3"/>
      <c r="T1485" s="3"/>
      <c r="U1485" s="3"/>
      <c r="V1485" s="3"/>
      <c r="W1485" s="3"/>
      <c r="X1485" s="3"/>
      <c r="Y1485" s="3"/>
      <c r="Z1485" s="3"/>
      <c r="AA1485" s="3"/>
    </row>
    <row r="1486" ht="105.75" customHeight="1">
      <c r="A1486" s="11"/>
      <c r="B1486" s="12"/>
      <c r="C1486" s="11"/>
      <c r="D1486" s="13"/>
      <c r="E1486" s="14"/>
      <c r="F1486" s="14"/>
      <c r="G1486" s="14"/>
      <c r="H1486" s="15"/>
      <c r="I1486" s="15"/>
      <c r="J1486" s="3"/>
      <c r="K1486" s="3"/>
      <c r="L1486" s="3"/>
      <c r="M1486" s="3"/>
      <c r="N1486" s="3"/>
      <c r="O1486" s="3"/>
      <c r="P1486" s="3"/>
      <c r="Q1486" s="3"/>
      <c r="R1486" s="3"/>
      <c r="S1486" s="3"/>
      <c r="T1486" s="3"/>
      <c r="U1486" s="3"/>
      <c r="V1486" s="3"/>
      <c r="W1486" s="3"/>
      <c r="X1486" s="3"/>
      <c r="Y1486" s="3"/>
      <c r="Z1486" s="3"/>
      <c r="AA1486" s="3"/>
    </row>
    <row r="1487" ht="105.75" customHeight="1">
      <c r="A1487" s="11"/>
      <c r="B1487" s="12"/>
      <c r="C1487" s="11"/>
      <c r="D1487" s="13"/>
      <c r="E1487" s="16"/>
      <c r="F1487" s="16"/>
      <c r="G1487" s="16"/>
      <c r="H1487" s="15"/>
      <c r="I1487" s="15"/>
      <c r="J1487" s="3"/>
      <c r="K1487" s="3"/>
      <c r="L1487" s="3"/>
      <c r="M1487" s="3"/>
      <c r="N1487" s="3"/>
      <c r="O1487" s="3"/>
      <c r="P1487" s="3"/>
      <c r="Q1487" s="3"/>
      <c r="R1487" s="3"/>
      <c r="S1487" s="3"/>
      <c r="T1487" s="3"/>
      <c r="U1487" s="3"/>
      <c r="V1487" s="3"/>
      <c r="W1487" s="3"/>
      <c r="X1487" s="3"/>
      <c r="Y1487" s="3"/>
      <c r="Z1487" s="3"/>
      <c r="AA1487" s="3"/>
    </row>
    <row r="1488" ht="105.75" customHeight="1">
      <c r="A1488" s="11"/>
      <c r="B1488" s="12"/>
      <c r="C1488" s="11"/>
      <c r="D1488" s="13"/>
      <c r="E1488" s="14"/>
      <c r="F1488" s="14"/>
      <c r="G1488" s="14"/>
      <c r="H1488" s="15"/>
      <c r="I1488" s="15"/>
      <c r="J1488" s="3"/>
      <c r="K1488" s="3"/>
      <c r="L1488" s="3"/>
      <c r="M1488" s="3"/>
      <c r="N1488" s="3"/>
      <c r="O1488" s="3"/>
      <c r="P1488" s="3"/>
      <c r="Q1488" s="3"/>
      <c r="R1488" s="3"/>
      <c r="S1488" s="3"/>
      <c r="T1488" s="3"/>
      <c r="U1488" s="3"/>
      <c r="V1488" s="3"/>
      <c r="W1488" s="3"/>
      <c r="X1488" s="3"/>
      <c r="Y1488" s="3"/>
      <c r="Z1488" s="3"/>
      <c r="AA1488" s="3"/>
    </row>
    <row r="1489" ht="105.75" customHeight="1">
      <c r="A1489" s="11"/>
      <c r="B1489" s="12"/>
      <c r="C1489" s="11"/>
      <c r="D1489" s="13"/>
      <c r="E1489" s="14"/>
      <c r="F1489" s="14"/>
      <c r="G1489" s="14"/>
      <c r="H1489" s="15"/>
      <c r="I1489" s="15"/>
      <c r="J1489" s="3"/>
      <c r="K1489" s="3"/>
      <c r="L1489" s="3"/>
      <c r="M1489" s="3"/>
      <c r="N1489" s="3"/>
      <c r="O1489" s="3"/>
      <c r="P1489" s="3"/>
      <c r="Q1489" s="3"/>
      <c r="R1489" s="3"/>
      <c r="S1489" s="3"/>
      <c r="T1489" s="3"/>
      <c r="U1489" s="3"/>
      <c r="V1489" s="3"/>
      <c r="W1489" s="3"/>
      <c r="X1489" s="3"/>
      <c r="Y1489" s="3"/>
      <c r="Z1489" s="3"/>
      <c r="AA1489" s="3"/>
    </row>
    <row r="1490" ht="105.75" customHeight="1">
      <c r="A1490" s="11"/>
      <c r="B1490" s="12"/>
      <c r="C1490" s="11"/>
      <c r="D1490" s="13"/>
      <c r="E1490" s="14"/>
      <c r="F1490" s="14"/>
      <c r="G1490" s="14"/>
      <c r="H1490" s="15"/>
      <c r="I1490" s="15"/>
      <c r="J1490" s="3"/>
      <c r="K1490" s="3"/>
      <c r="L1490" s="3"/>
      <c r="M1490" s="3"/>
      <c r="N1490" s="3"/>
      <c r="O1490" s="3"/>
      <c r="P1490" s="3"/>
      <c r="Q1490" s="3"/>
      <c r="R1490" s="3"/>
      <c r="S1490" s="3"/>
      <c r="T1490" s="3"/>
      <c r="U1490" s="3"/>
      <c r="V1490" s="3"/>
      <c r="W1490" s="3"/>
      <c r="X1490" s="3"/>
      <c r="Y1490" s="3"/>
      <c r="Z1490" s="3"/>
      <c r="AA1490" s="3"/>
    </row>
    <row r="1491" ht="105.75" customHeight="1">
      <c r="A1491" s="11"/>
      <c r="B1491" s="12"/>
      <c r="C1491" s="11"/>
      <c r="D1491" s="13"/>
      <c r="E1491" s="14"/>
      <c r="F1491" s="14"/>
      <c r="G1491" s="14"/>
      <c r="H1491" s="15"/>
      <c r="I1491" s="15"/>
      <c r="J1491" s="3"/>
      <c r="K1491" s="3"/>
      <c r="L1491" s="3"/>
      <c r="M1491" s="3"/>
      <c r="N1491" s="3"/>
      <c r="O1491" s="3"/>
      <c r="P1491" s="3"/>
      <c r="Q1491" s="3"/>
      <c r="R1491" s="3"/>
      <c r="S1491" s="3"/>
      <c r="T1491" s="3"/>
      <c r="U1491" s="3"/>
      <c r="V1491" s="3"/>
      <c r="W1491" s="3"/>
      <c r="X1491" s="3"/>
      <c r="Y1491" s="3"/>
      <c r="Z1491" s="3"/>
      <c r="AA1491" s="3"/>
    </row>
    <row r="1492" ht="105.75" customHeight="1">
      <c r="A1492" s="11"/>
      <c r="B1492" s="12"/>
      <c r="C1492" s="11"/>
      <c r="D1492" s="13"/>
      <c r="E1492" s="14"/>
      <c r="F1492" s="14"/>
      <c r="G1492" s="14"/>
      <c r="H1492" s="15"/>
      <c r="I1492" s="15"/>
      <c r="J1492" s="3"/>
      <c r="K1492" s="3"/>
      <c r="L1492" s="3"/>
      <c r="M1492" s="3"/>
      <c r="N1492" s="3"/>
      <c r="O1492" s="3"/>
      <c r="P1492" s="3"/>
      <c r="Q1492" s="3"/>
      <c r="R1492" s="3"/>
      <c r="S1492" s="3"/>
      <c r="T1492" s="3"/>
      <c r="U1492" s="3"/>
      <c r="V1492" s="3"/>
      <c r="W1492" s="3"/>
      <c r="X1492" s="3"/>
      <c r="Y1492" s="3"/>
      <c r="Z1492" s="3"/>
      <c r="AA1492" s="3"/>
    </row>
    <row r="1493" ht="105.75" customHeight="1">
      <c r="A1493" s="11"/>
      <c r="B1493" s="12"/>
      <c r="C1493" s="11"/>
      <c r="D1493" s="13"/>
      <c r="E1493" s="14"/>
      <c r="F1493" s="14"/>
      <c r="G1493" s="14"/>
      <c r="H1493" s="15"/>
      <c r="I1493" s="15"/>
      <c r="J1493" s="3"/>
      <c r="K1493" s="3"/>
      <c r="L1493" s="3"/>
      <c r="M1493" s="3"/>
      <c r="N1493" s="3"/>
      <c r="O1493" s="3"/>
      <c r="P1493" s="3"/>
      <c r="Q1493" s="3"/>
      <c r="R1493" s="3"/>
      <c r="S1493" s="3"/>
      <c r="T1493" s="3"/>
      <c r="U1493" s="3"/>
      <c r="V1493" s="3"/>
      <c r="W1493" s="3"/>
      <c r="X1493" s="3"/>
      <c r="Y1493" s="3"/>
      <c r="Z1493" s="3"/>
      <c r="AA1493" s="3"/>
    </row>
    <row r="1494" ht="105.75" customHeight="1">
      <c r="A1494" s="11"/>
      <c r="B1494" s="12"/>
      <c r="C1494" s="11"/>
      <c r="D1494" s="13"/>
      <c r="E1494" s="14"/>
      <c r="F1494" s="14"/>
      <c r="G1494" s="14"/>
      <c r="H1494" s="15"/>
      <c r="I1494" s="15"/>
      <c r="J1494" s="3"/>
      <c r="K1494" s="3"/>
      <c r="L1494" s="3"/>
      <c r="M1494" s="3"/>
      <c r="N1494" s="3"/>
      <c r="O1494" s="3"/>
      <c r="P1494" s="3"/>
      <c r="Q1494" s="3"/>
      <c r="R1494" s="3"/>
      <c r="S1494" s="3"/>
      <c r="T1494" s="3"/>
      <c r="U1494" s="3"/>
      <c r="V1494" s="3"/>
      <c r="W1494" s="3"/>
      <c r="X1494" s="3"/>
      <c r="Y1494" s="3"/>
      <c r="Z1494" s="3"/>
      <c r="AA1494" s="3"/>
    </row>
    <row r="1495" ht="105.75" customHeight="1">
      <c r="A1495" s="11"/>
      <c r="B1495" s="12"/>
      <c r="C1495" s="11"/>
      <c r="D1495" s="13"/>
      <c r="E1495" s="14"/>
      <c r="F1495" s="14"/>
      <c r="G1495" s="14"/>
      <c r="H1495" s="15"/>
      <c r="I1495" s="15"/>
      <c r="J1495" s="3"/>
      <c r="K1495" s="3"/>
      <c r="L1495" s="3"/>
      <c r="M1495" s="3"/>
      <c r="N1495" s="3"/>
      <c r="O1495" s="3"/>
      <c r="P1495" s="3"/>
      <c r="Q1495" s="3"/>
      <c r="R1495" s="3"/>
      <c r="S1495" s="3"/>
      <c r="T1495" s="3"/>
      <c r="U1495" s="3"/>
      <c r="V1495" s="3"/>
      <c r="W1495" s="3"/>
      <c r="X1495" s="3"/>
      <c r="Y1495" s="3"/>
      <c r="Z1495" s="3"/>
      <c r="AA1495" s="3"/>
    </row>
    <row r="1496" ht="105.75" customHeight="1">
      <c r="A1496" s="11"/>
      <c r="B1496" s="12"/>
      <c r="C1496" s="11"/>
      <c r="D1496" s="13"/>
      <c r="E1496" s="14"/>
      <c r="F1496" s="14"/>
      <c r="G1496" s="14"/>
      <c r="H1496" s="15"/>
      <c r="I1496" s="15"/>
      <c r="J1496" s="3"/>
      <c r="K1496" s="3"/>
      <c r="L1496" s="3"/>
      <c r="M1496" s="3"/>
      <c r="N1496" s="3"/>
      <c r="O1496" s="3"/>
      <c r="P1496" s="3"/>
      <c r="Q1496" s="3"/>
      <c r="R1496" s="3"/>
      <c r="S1496" s="3"/>
      <c r="T1496" s="3"/>
      <c r="U1496" s="3"/>
      <c r="V1496" s="3"/>
      <c r="W1496" s="3"/>
      <c r="X1496" s="3"/>
      <c r="Y1496" s="3"/>
      <c r="Z1496" s="3"/>
      <c r="AA1496" s="3"/>
    </row>
    <row r="1497" ht="105.75" customHeight="1">
      <c r="A1497" s="11"/>
      <c r="B1497" s="12"/>
      <c r="C1497" s="11"/>
      <c r="D1497" s="13"/>
      <c r="E1497" s="14"/>
      <c r="F1497" s="14"/>
      <c r="G1497" s="14"/>
      <c r="H1497" s="15"/>
      <c r="I1497" s="15"/>
      <c r="J1497" s="3"/>
      <c r="K1497" s="3"/>
      <c r="L1497" s="3"/>
      <c r="M1497" s="3"/>
      <c r="N1497" s="3"/>
      <c r="O1497" s="3"/>
      <c r="P1497" s="3"/>
      <c r="Q1497" s="3"/>
      <c r="R1497" s="3"/>
      <c r="S1497" s="3"/>
      <c r="T1497" s="3"/>
      <c r="U1497" s="3"/>
      <c r="V1497" s="3"/>
      <c r="W1497" s="3"/>
      <c r="X1497" s="3"/>
      <c r="Y1497" s="3"/>
      <c r="Z1497" s="3"/>
      <c r="AA1497" s="3"/>
    </row>
    <row r="1498" ht="105.75" customHeight="1">
      <c r="A1498" s="11"/>
      <c r="B1498" s="12"/>
      <c r="C1498" s="11"/>
      <c r="D1498" s="13"/>
      <c r="E1498" s="14"/>
      <c r="F1498" s="14"/>
      <c r="G1498" s="14"/>
      <c r="H1498" s="15"/>
      <c r="I1498" s="15"/>
      <c r="J1498" s="3"/>
      <c r="K1498" s="3"/>
      <c r="L1498" s="3"/>
      <c r="M1498" s="3"/>
      <c r="N1498" s="3"/>
      <c r="O1498" s="3"/>
      <c r="P1498" s="3"/>
      <c r="Q1498" s="3"/>
      <c r="R1498" s="3"/>
      <c r="S1498" s="3"/>
      <c r="T1498" s="3"/>
      <c r="U1498" s="3"/>
      <c r="V1498" s="3"/>
      <c r="W1498" s="3"/>
      <c r="X1498" s="3"/>
      <c r="Y1498" s="3"/>
      <c r="Z1498" s="3"/>
      <c r="AA1498" s="3"/>
    </row>
    <row r="1499" ht="105.75" customHeight="1">
      <c r="A1499" s="11"/>
      <c r="B1499" s="12"/>
      <c r="C1499" s="11"/>
      <c r="D1499" s="13"/>
      <c r="E1499" s="14"/>
      <c r="F1499" s="14"/>
      <c r="G1499" s="14"/>
      <c r="H1499" s="15"/>
      <c r="I1499" s="15"/>
      <c r="J1499" s="3"/>
      <c r="K1499" s="3"/>
      <c r="L1499" s="3"/>
      <c r="M1499" s="3"/>
      <c r="N1499" s="3"/>
      <c r="O1499" s="3"/>
      <c r="P1499" s="3"/>
      <c r="Q1499" s="3"/>
      <c r="R1499" s="3"/>
      <c r="S1499" s="3"/>
      <c r="T1499" s="3"/>
      <c r="U1499" s="3"/>
      <c r="V1499" s="3"/>
      <c r="W1499" s="3"/>
      <c r="X1499" s="3"/>
      <c r="Y1499" s="3"/>
      <c r="Z1499" s="3"/>
      <c r="AA1499" s="3"/>
    </row>
    <row r="1500" ht="105.75" customHeight="1">
      <c r="A1500" s="11"/>
      <c r="B1500" s="12"/>
      <c r="C1500" s="11"/>
      <c r="D1500" s="13"/>
      <c r="E1500" s="14"/>
      <c r="F1500" s="14"/>
      <c r="G1500" s="14"/>
      <c r="H1500" s="15"/>
      <c r="I1500" s="15"/>
      <c r="J1500" s="3"/>
      <c r="K1500" s="3"/>
      <c r="L1500" s="3"/>
      <c r="M1500" s="3"/>
      <c r="N1500" s="3"/>
      <c r="O1500" s="3"/>
      <c r="P1500" s="3"/>
      <c r="Q1500" s="3"/>
      <c r="R1500" s="3"/>
      <c r="S1500" s="3"/>
      <c r="T1500" s="3"/>
      <c r="U1500" s="3"/>
      <c r="V1500" s="3"/>
      <c r="W1500" s="3"/>
      <c r="X1500" s="3"/>
      <c r="Y1500" s="3"/>
      <c r="Z1500" s="3"/>
      <c r="AA1500" s="3"/>
    </row>
    <row r="1501" ht="105.75" customHeight="1">
      <c r="A1501" s="11"/>
      <c r="B1501" s="12"/>
      <c r="C1501" s="11"/>
      <c r="D1501" s="13"/>
      <c r="E1501" s="14"/>
      <c r="F1501" s="14"/>
      <c r="G1501" s="14"/>
      <c r="H1501" s="15"/>
      <c r="I1501" s="15"/>
      <c r="J1501" s="3"/>
      <c r="K1501" s="3"/>
      <c r="L1501" s="3"/>
      <c r="M1501" s="3"/>
      <c r="N1501" s="3"/>
      <c r="O1501" s="3"/>
      <c r="P1501" s="3"/>
      <c r="Q1501" s="3"/>
      <c r="R1501" s="3"/>
      <c r="S1501" s="3"/>
      <c r="T1501" s="3"/>
      <c r="U1501" s="3"/>
      <c r="V1501" s="3"/>
      <c r="W1501" s="3"/>
      <c r="X1501" s="3"/>
      <c r="Y1501" s="3"/>
      <c r="Z1501" s="3"/>
      <c r="AA1501" s="3"/>
    </row>
    <row r="1502" ht="105.75" customHeight="1">
      <c r="A1502" s="11"/>
      <c r="B1502" s="12"/>
      <c r="C1502" s="11"/>
      <c r="D1502" s="13"/>
      <c r="E1502" s="14"/>
      <c r="F1502" s="14"/>
      <c r="G1502" s="14"/>
      <c r="H1502" s="15"/>
      <c r="I1502" s="15"/>
      <c r="J1502" s="3"/>
      <c r="K1502" s="3"/>
      <c r="L1502" s="3"/>
      <c r="M1502" s="3"/>
      <c r="N1502" s="3"/>
      <c r="O1502" s="3"/>
      <c r="P1502" s="3"/>
      <c r="Q1502" s="3"/>
      <c r="R1502" s="3"/>
      <c r="S1502" s="3"/>
      <c r="T1502" s="3"/>
      <c r="U1502" s="3"/>
      <c r="V1502" s="3"/>
      <c r="W1502" s="3"/>
      <c r="X1502" s="3"/>
      <c r="Y1502" s="3"/>
      <c r="Z1502" s="3"/>
      <c r="AA1502" s="3"/>
    </row>
    <row r="1503" ht="105.75" customHeight="1">
      <c r="A1503" s="11"/>
      <c r="B1503" s="12"/>
      <c r="C1503" s="11"/>
      <c r="D1503" s="13"/>
      <c r="E1503" s="14"/>
      <c r="F1503" s="14"/>
      <c r="G1503" s="14"/>
      <c r="H1503" s="15"/>
      <c r="I1503" s="15"/>
      <c r="J1503" s="3"/>
      <c r="K1503" s="3"/>
      <c r="L1503" s="3"/>
      <c r="M1503" s="3"/>
      <c r="N1503" s="3"/>
      <c r="O1503" s="3"/>
      <c r="P1503" s="3"/>
      <c r="Q1503" s="3"/>
      <c r="R1503" s="3"/>
      <c r="S1503" s="3"/>
      <c r="T1503" s="3"/>
      <c r="U1503" s="3"/>
      <c r="V1503" s="3"/>
      <c r="W1503" s="3"/>
      <c r="X1503" s="3"/>
      <c r="Y1503" s="3"/>
      <c r="Z1503" s="3"/>
      <c r="AA1503" s="3"/>
    </row>
    <row r="1504" ht="105.75" customHeight="1">
      <c r="A1504" s="11"/>
      <c r="B1504" s="12"/>
      <c r="C1504" s="11"/>
      <c r="D1504" s="13"/>
      <c r="E1504" s="14"/>
      <c r="F1504" s="14"/>
      <c r="G1504" s="14"/>
      <c r="H1504" s="15"/>
      <c r="I1504" s="15"/>
      <c r="J1504" s="3"/>
      <c r="K1504" s="3"/>
      <c r="L1504" s="3"/>
      <c r="M1504" s="3"/>
      <c r="N1504" s="3"/>
      <c r="O1504" s="3"/>
      <c r="P1504" s="3"/>
      <c r="Q1504" s="3"/>
      <c r="R1504" s="3"/>
      <c r="S1504" s="3"/>
      <c r="T1504" s="3"/>
      <c r="U1504" s="3"/>
      <c r="V1504" s="3"/>
      <c r="W1504" s="3"/>
      <c r="X1504" s="3"/>
      <c r="Y1504" s="3"/>
      <c r="Z1504" s="3"/>
      <c r="AA1504" s="3"/>
    </row>
    <row r="1505" ht="105.75" customHeight="1">
      <c r="A1505" s="11"/>
      <c r="B1505" s="12"/>
      <c r="C1505" s="11"/>
      <c r="D1505" s="13"/>
      <c r="E1505" s="14"/>
      <c r="F1505" s="14"/>
      <c r="G1505" s="14"/>
      <c r="H1505" s="15"/>
      <c r="I1505" s="15"/>
      <c r="J1505" s="3"/>
      <c r="K1505" s="3"/>
      <c r="L1505" s="3"/>
      <c r="M1505" s="3"/>
      <c r="N1505" s="3"/>
      <c r="O1505" s="3"/>
      <c r="P1505" s="3"/>
      <c r="Q1505" s="3"/>
      <c r="R1505" s="3"/>
      <c r="S1505" s="3"/>
      <c r="T1505" s="3"/>
      <c r="U1505" s="3"/>
      <c r="V1505" s="3"/>
      <c r="W1505" s="3"/>
      <c r="X1505" s="3"/>
      <c r="Y1505" s="3"/>
      <c r="Z1505" s="3"/>
      <c r="AA1505" s="3"/>
    </row>
    <row r="1506" ht="105.75" customHeight="1">
      <c r="A1506" s="11"/>
      <c r="B1506" s="12"/>
      <c r="C1506" s="11"/>
      <c r="D1506" s="13"/>
      <c r="E1506" s="14"/>
      <c r="F1506" s="14"/>
      <c r="G1506" s="14"/>
      <c r="H1506" s="15"/>
      <c r="I1506" s="15"/>
      <c r="J1506" s="3"/>
      <c r="K1506" s="3"/>
      <c r="L1506" s="3"/>
      <c r="M1506" s="3"/>
      <c r="N1506" s="3"/>
      <c r="O1506" s="3"/>
      <c r="P1506" s="3"/>
      <c r="Q1506" s="3"/>
      <c r="R1506" s="3"/>
      <c r="S1506" s="3"/>
      <c r="T1506" s="3"/>
      <c r="U1506" s="3"/>
      <c r="V1506" s="3"/>
      <c r="W1506" s="3"/>
      <c r="X1506" s="3"/>
      <c r="Y1506" s="3"/>
      <c r="Z1506" s="3"/>
      <c r="AA1506" s="3"/>
    </row>
    <row r="1507" ht="105.75" customHeight="1">
      <c r="A1507" s="11"/>
      <c r="B1507" s="12"/>
      <c r="C1507" s="11"/>
      <c r="D1507" s="13"/>
      <c r="E1507" s="14"/>
      <c r="F1507" s="14"/>
      <c r="G1507" s="14"/>
      <c r="H1507" s="15"/>
      <c r="I1507" s="15"/>
      <c r="J1507" s="3"/>
      <c r="K1507" s="3"/>
      <c r="L1507" s="3"/>
      <c r="M1507" s="3"/>
      <c r="N1507" s="3"/>
      <c r="O1507" s="3"/>
      <c r="P1507" s="3"/>
      <c r="Q1507" s="3"/>
      <c r="R1507" s="3"/>
      <c r="S1507" s="3"/>
      <c r="T1507" s="3"/>
      <c r="U1507" s="3"/>
      <c r="V1507" s="3"/>
      <c r="W1507" s="3"/>
      <c r="X1507" s="3"/>
      <c r="Y1507" s="3"/>
      <c r="Z1507" s="3"/>
      <c r="AA1507" s="3"/>
    </row>
    <row r="1508" ht="105.75" customHeight="1">
      <c r="A1508" s="11"/>
      <c r="B1508" s="12"/>
      <c r="C1508" s="11"/>
      <c r="D1508" s="13"/>
      <c r="E1508" s="14"/>
      <c r="F1508" s="14"/>
      <c r="G1508" s="14"/>
      <c r="H1508" s="15"/>
      <c r="I1508" s="15"/>
      <c r="J1508" s="3"/>
      <c r="K1508" s="3"/>
      <c r="L1508" s="3"/>
      <c r="M1508" s="3"/>
      <c r="N1508" s="3"/>
      <c r="O1508" s="3"/>
      <c r="P1508" s="3"/>
      <c r="Q1508" s="3"/>
      <c r="R1508" s="3"/>
      <c r="S1508" s="3"/>
      <c r="T1508" s="3"/>
      <c r="U1508" s="3"/>
      <c r="V1508" s="3"/>
      <c r="W1508" s="3"/>
      <c r="X1508" s="3"/>
      <c r="Y1508" s="3"/>
      <c r="Z1508" s="3"/>
      <c r="AA1508" s="3"/>
    </row>
    <row r="1509" ht="105.75" customHeight="1">
      <c r="A1509" s="11"/>
      <c r="B1509" s="12"/>
      <c r="C1509" s="11"/>
      <c r="D1509" s="13"/>
      <c r="E1509" s="14"/>
      <c r="F1509" s="14"/>
      <c r="G1509" s="14"/>
      <c r="H1509" s="15"/>
      <c r="I1509" s="15"/>
      <c r="J1509" s="3"/>
      <c r="K1509" s="3"/>
      <c r="L1509" s="3"/>
      <c r="M1509" s="3"/>
      <c r="N1509" s="3"/>
      <c r="O1509" s="3"/>
      <c r="P1509" s="3"/>
      <c r="Q1509" s="3"/>
      <c r="R1509" s="3"/>
      <c r="S1509" s="3"/>
      <c r="T1509" s="3"/>
      <c r="U1509" s="3"/>
      <c r="V1509" s="3"/>
      <c r="W1509" s="3"/>
      <c r="X1509" s="3"/>
      <c r="Y1509" s="3"/>
      <c r="Z1509" s="3"/>
      <c r="AA1509" s="3"/>
    </row>
    <row r="1510" ht="105.75" customHeight="1">
      <c r="A1510" s="11"/>
      <c r="B1510" s="12"/>
      <c r="C1510" s="11"/>
      <c r="D1510" s="13"/>
      <c r="E1510" s="14"/>
      <c r="F1510" s="14"/>
      <c r="G1510" s="14"/>
      <c r="H1510" s="15"/>
      <c r="I1510" s="15"/>
      <c r="J1510" s="3"/>
      <c r="K1510" s="3"/>
      <c r="L1510" s="3"/>
      <c r="M1510" s="3"/>
      <c r="N1510" s="3"/>
      <c r="O1510" s="3"/>
      <c r="P1510" s="3"/>
      <c r="Q1510" s="3"/>
      <c r="R1510" s="3"/>
      <c r="S1510" s="3"/>
      <c r="T1510" s="3"/>
      <c r="U1510" s="3"/>
      <c r="V1510" s="3"/>
      <c r="W1510" s="3"/>
      <c r="X1510" s="3"/>
      <c r="Y1510" s="3"/>
      <c r="Z1510" s="3"/>
      <c r="AA1510" s="3"/>
    </row>
    <row r="1511" ht="105.75" customHeight="1">
      <c r="A1511" s="11"/>
      <c r="B1511" s="12"/>
      <c r="C1511" s="11"/>
      <c r="D1511" s="13"/>
      <c r="E1511" s="14"/>
      <c r="F1511" s="14"/>
      <c r="G1511" s="14"/>
      <c r="H1511" s="15"/>
      <c r="I1511" s="15"/>
      <c r="J1511" s="3"/>
      <c r="K1511" s="3"/>
      <c r="L1511" s="3"/>
      <c r="M1511" s="3"/>
      <c r="N1511" s="3"/>
      <c r="O1511" s="3"/>
      <c r="P1511" s="3"/>
      <c r="Q1511" s="3"/>
      <c r="R1511" s="3"/>
      <c r="S1511" s="3"/>
      <c r="T1511" s="3"/>
      <c r="U1511" s="3"/>
      <c r="V1511" s="3"/>
      <c r="W1511" s="3"/>
      <c r="X1511" s="3"/>
      <c r="Y1511" s="3"/>
      <c r="Z1511" s="3"/>
      <c r="AA1511" s="3"/>
    </row>
    <row r="1512" ht="105.75" customHeight="1">
      <c r="A1512" s="11"/>
      <c r="B1512" s="12"/>
      <c r="C1512" s="11"/>
      <c r="D1512" s="13"/>
      <c r="E1512" s="14"/>
      <c r="F1512" s="14"/>
      <c r="G1512" s="14"/>
      <c r="H1512" s="15"/>
      <c r="I1512" s="15"/>
      <c r="J1512" s="3"/>
      <c r="K1512" s="3"/>
      <c r="L1512" s="3"/>
      <c r="M1512" s="3"/>
      <c r="N1512" s="3"/>
      <c r="O1512" s="3"/>
      <c r="P1512" s="3"/>
      <c r="Q1512" s="3"/>
      <c r="R1512" s="3"/>
      <c r="S1512" s="3"/>
      <c r="T1512" s="3"/>
      <c r="U1512" s="3"/>
      <c r="V1512" s="3"/>
      <c r="W1512" s="3"/>
      <c r="X1512" s="3"/>
      <c r="Y1512" s="3"/>
      <c r="Z1512" s="3"/>
      <c r="AA1512" s="3"/>
    </row>
    <row r="1513" ht="105.75" customHeight="1">
      <c r="A1513" s="11"/>
      <c r="B1513" s="12"/>
      <c r="C1513" s="11"/>
      <c r="D1513" s="13"/>
      <c r="E1513" s="14"/>
      <c r="F1513" s="14"/>
      <c r="G1513" s="14"/>
      <c r="H1513" s="15"/>
      <c r="I1513" s="15"/>
      <c r="J1513" s="3"/>
      <c r="K1513" s="3"/>
      <c r="L1513" s="3"/>
      <c r="M1513" s="3"/>
      <c r="N1513" s="3"/>
      <c r="O1513" s="3"/>
      <c r="P1513" s="3"/>
      <c r="Q1513" s="3"/>
      <c r="R1513" s="3"/>
      <c r="S1513" s="3"/>
      <c r="T1513" s="3"/>
      <c r="U1513" s="3"/>
      <c r="V1513" s="3"/>
      <c r="W1513" s="3"/>
      <c r="X1513" s="3"/>
      <c r="Y1513" s="3"/>
      <c r="Z1513" s="3"/>
      <c r="AA1513" s="3"/>
    </row>
    <row r="1514" ht="105.75" customHeight="1">
      <c r="A1514" s="11"/>
      <c r="B1514" s="12"/>
      <c r="C1514" s="11"/>
      <c r="D1514" s="13"/>
      <c r="E1514" s="14"/>
      <c r="F1514" s="14"/>
      <c r="G1514" s="14"/>
      <c r="H1514" s="15"/>
      <c r="I1514" s="15"/>
      <c r="J1514" s="3"/>
      <c r="K1514" s="3"/>
      <c r="L1514" s="3"/>
      <c r="M1514" s="3"/>
      <c r="N1514" s="3"/>
      <c r="O1514" s="3"/>
      <c r="P1514" s="3"/>
      <c r="Q1514" s="3"/>
      <c r="R1514" s="3"/>
      <c r="S1514" s="3"/>
      <c r="T1514" s="3"/>
      <c r="U1514" s="3"/>
      <c r="V1514" s="3"/>
      <c r="W1514" s="3"/>
      <c r="X1514" s="3"/>
      <c r="Y1514" s="3"/>
      <c r="Z1514" s="3"/>
      <c r="AA1514" s="3"/>
    </row>
    <row r="1515" ht="105.75" customHeight="1">
      <c r="A1515" s="11"/>
      <c r="B1515" s="12"/>
      <c r="C1515" s="11"/>
      <c r="D1515" s="13"/>
      <c r="E1515" s="14"/>
      <c r="F1515" s="14"/>
      <c r="G1515" s="14"/>
      <c r="H1515" s="15"/>
      <c r="I1515" s="15"/>
      <c r="J1515" s="3"/>
      <c r="K1515" s="3"/>
      <c r="L1515" s="3"/>
      <c r="M1515" s="3"/>
      <c r="N1515" s="3"/>
      <c r="O1515" s="3"/>
      <c r="P1515" s="3"/>
      <c r="Q1515" s="3"/>
      <c r="R1515" s="3"/>
      <c r="S1515" s="3"/>
      <c r="T1515" s="3"/>
      <c r="U1515" s="3"/>
      <c r="V1515" s="3"/>
      <c r="W1515" s="3"/>
      <c r="X1515" s="3"/>
      <c r="Y1515" s="3"/>
      <c r="Z1515" s="3"/>
      <c r="AA1515" s="3"/>
    </row>
    <row r="1516" ht="105.75" customHeight="1">
      <c r="A1516" s="11"/>
      <c r="B1516" s="12"/>
      <c r="C1516" s="11"/>
      <c r="D1516" s="13"/>
      <c r="E1516" s="14"/>
      <c r="F1516" s="14"/>
      <c r="G1516" s="14"/>
      <c r="H1516" s="15"/>
      <c r="I1516" s="15"/>
      <c r="J1516" s="3"/>
      <c r="K1516" s="3"/>
      <c r="L1516" s="3"/>
      <c r="M1516" s="3"/>
      <c r="N1516" s="3"/>
      <c r="O1516" s="3"/>
      <c r="P1516" s="3"/>
      <c r="Q1516" s="3"/>
      <c r="R1516" s="3"/>
      <c r="S1516" s="3"/>
      <c r="T1516" s="3"/>
      <c r="U1516" s="3"/>
      <c r="V1516" s="3"/>
      <c r="W1516" s="3"/>
      <c r="X1516" s="3"/>
      <c r="Y1516" s="3"/>
      <c r="Z1516" s="3"/>
      <c r="AA1516" s="3"/>
    </row>
    <row r="1517" ht="105.75" customHeight="1">
      <c r="A1517" s="11"/>
      <c r="B1517" s="12"/>
      <c r="C1517" s="11"/>
      <c r="D1517" s="13"/>
      <c r="E1517" s="16"/>
      <c r="F1517" s="16"/>
      <c r="G1517" s="16"/>
      <c r="H1517" s="15"/>
      <c r="I1517" s="15"/>
      <c r="J1517" s="3"/>
      <c r="K1517" s="3"/>
      <c r="L1517" s="3"/>
      <c r="M1517" s="3"/>
      <c r="N1517" s="3"/>
      <c r="O1517" s="3"/>
      <c r="P1517" s="3"/>
      <c r="Q1517" s="3"/>
      <c r="R1517" s="3"/>
      <c r="S1517" s="3"/>
      <c r="T1517" s="3"/>
      <c r="U1517" s="3"/>
      <c r="V1517" s="3"/>
      <c r="W1517" s="3"/>
      <c r="X1517" s="3"/>
      <c r="Y1517" s="3"/>
      <c r="Z1517" s="3"/>
      <c r="AA1517" s="3"/>
    </row>
    <row r="1518" ht="105.75" customHeight="1">
      <c r="A1518" s="11"/>
      <c r="B1518" s="12"/>
      <c r="C1518" s="11"/>
      <c r="D1518" s="13"/>
      <c r="E1518" s="16"/>
      <c r="F1518" s="16"/>
      <c r="G1518" s="16"/>
      <c r="H1518" s="15"/>
      <c r="I1518" s="15"/>
      <c r="J1518" s="3"/>
      <c r="K1518" s="3"/>
      <c r="L1518" s="3"/>
      <c r="M1518" s="3"/>
      <c r="N1518" s="3"/>
      <c r="O1518" s="3"/>
      <c r="P1518" s="3"/>
      <c r="Q1518" s="3"/>
      <c r="R1518" s="3"/>
      <c r="S1518" s="3"/>
      <c r="T1518" s="3"/>
      <c r="U1518" s="3"/>
      <c r="V1518" s="3"/>
      <c r="W1518" s="3"/>
      <c r="X1518" s="3"/>
      <c r="Y1518" s="3"/>
      <c r="Z1518" s="3"/>
      <c r="AA1518" s="3"/>
    </row>
    <row r="1519" ht="105.75" customHeight="1">
      <c r="A1519" s="11"/>
      <c r="B1519" s="12"/>
      <c r="C1519" s="11"/>
      <c r="D1519" s="13"/>
      <c r="E1519" s="14"/>
      <c r="F1519" s="14"/>
      <c r="G1519" s="14"/>
      <c r="H1519" s="15"/>
      <c r="I1519" s="15"/>
      <c r="J1519" s="3"/>
      <c r="K1519" s="3"/>
      <c r="L1519" s="3"/>
      <c r="M1519" s="3"/>
      <c r="N1519" s="3"/>
      <c r="O1519" s="3"/>
      <c r="P1519" s="3"/>
      <c r="Q1519" s="3"/>
      <c r="R1519" s="3"/>
      <c r="S1519" s="3"/>
      <c r="T1519" s="3"/>
      <c r="U1519" s="3"/>
      <c r="V1519" s="3"/>
      <c r="W1519" s="3"/>
      <c r="X1519" s="3"/>
      <c r="Y1519" s="3"/>
      <c r="Z1519" s="3"/>
      <c r="AA1519" s="3"/>
    </row>
    <row r="1520" ht="105.75" customHeight="1">
      <c r="A1520" s="11"/>
      <c r="B1520" s="12"/>
      <c r="C1520" s="11"/>
      <c r="D1520" s="13"/>
      <c r="E1520" s="14"/>
      <c r="F1520" s="14"/>
      <c r="G1520" s="14"/>
      <c r="H1520" s="15"/>
      <c r="I1520" s="15"/>
      <c r="J1520" s="3"/>
      <c r="K1520" s="3"/>
      <c r="L1520" s="3"/>
      <c r="M1520" s="3"/>
      <c r="N1520" s="3"/>
      <c r="O1520" s="3"/>
      <c r="P1520" s="3"/>
      <c r="Q1520" s="3"/>
      <c r="R1520" s="3"/>
      <c r="S1520" s="3"/>
      <c r="T1520" s="3"/>
      <c r="U1520" s="3"/>
      <c r="V1520" s="3"/>
      <c r="W1520" s="3"/>
      <c r="X1520" s="3"/>
      <c r="Y1520" s="3"/>
      <c r="Z1520" s="3"/>
      <c r="AA1520" s="3"/>
    </row>
    <row r="1521" ht="105.75" customHeight="1">
      <c r="A1521" s="11"/>
      <c r="B1521" s="12"/>
      <c r="C1521" s="11"/>
      <c r="D1521" s="13"/>
      <c r="E1521" s="14"/>
      <c r="F1521" s="14"/>
      <c r="G1521" s="14"/>
      <c r="H1521" s="15"/>
      <c r="I1521" s="15"/>
      <c r="J1521" s="3"/>
      <c r="K1521" s="3"/>
      <c r="L1521" s="3"/>
      <c r="M1521" s="3"/>
      <c r="N1521" s="3"/>
      <c r="O1521" s="3"/>
      <c r="P1521" s="3"/>
      <c r="Q1521" s="3"/>
      <c r="R1521" s="3"/>
      <c r="S1521" s="3"/>
      <c r="T1521" s="3"/>
      <c r="U1521" s="3"/>
      <c r="V1521" s="3"/>
      <c r="W1521" s="3"/>
      <c r="X1521" s="3"/>
      <c r="Y1521" s="3"/>
      <c r="Z1521" s="3"/>
      <c r="AA1521" s="3"/>
    </row>
    <row r="1522" ht="105.75" customHeight="1">
      <c r="A1522" s="11"/>
      <c r="B1522" s="12"/>
      <c r="C1522" s="11"/>
      <c r="D1522" s="13"/>
      <c r="E1522" s="16"/>
      <c r="F1522" s="16"/>
      <c r="G1522" s="16"/>
      <c r="H1522" s="15"/>
      <c r="I1522" s="15"/>
      <c r="J1522" s="3"/>
      <c r="K1522" s="3"/>
      <c r="L1522" s="3"/>
      <c r="M1522" s="3"/>
      <c r="N1522" s="3"/>
      <c r="O1522" s="3"/>
      <c r="P1522" s="3"/>
      <c r="Q1522" s="3"/>
      <c r="R1522" s="3"/>
      <c r="S1522" s="3"/>
      <c r="T1522" s="3"/>
      <c r="U1522" s="3"/>
      <c r="V1522" s="3"/>
      <c r="W1522" s="3"/>
      <c r="X1522" s="3"/>
      <c r="Y1522" s="3"/>
      <c r="Z1522" s="3"/>
      <c r="AA1522" s="3"/>
    </row>
    <row r="1523" ht="105.75" customHeight="1">
      <c r="A1523" s="11"/>
      <c r="B1523" s="12"/>
      <c r="C1523" s="11"/>
      <c r="D1523" s="13"/>
      <c r="E1523" s="14"/>
      <c r="F1523" s="14"/>
      <c r="G1523" s="14"/>
      <c r="H1523" s="15"/>
      <c r="I1523" s="15"/>
      <c r="J1523" s="3"/>
      <c r="K1523" s="3"/>
      <c r="L1523" s="3"/>
      <c r="M1523" s="3"/>
      <c r="N1523" s="3"/>
      <c r="O1523" s="3"/>
      <c r="P1523" s="3"/>
      <c r="Q1523" s="3"/>
      <c r="R1523" s="3"/>
      <c r="S1523" s="3"/>
      <c r="T1523" s="3"/>
      <c r="U1523" s="3"/>
      <c r="V1523" s="3"/>
      <c r="W1523" s="3"/>
      <c r="X1523" s="3"/>
      <c r="Y1523" s="3"/>
      <c r="Z1523" s="3"/>
      <c r="AA1523" s="3"/>
    </row>
    <row r="1524" ht="105.75" customHeight="1">
      <c r="A1524" s="11"/>
      <c r="B1524" s="12"/>
      <c r="C1524" s="11"/>
      <c r="D1524" s="13"/>
      <c r="E1524" s="14"/>
      <c r="F1524" s="14"/>
      <c r="G1524" s="14"/>
      <c r="H1524" s="15"/>
      <c r="I1524" s="15"/>
      <c r="J1524" s="3"/>
      <c r="K1524" s="3"/>
      <c r="L1524" s="3"/>
      <c r="M1524" s="3"/>
      <c r="N1524" s="3"/>
      <c r="O1524" s="3"/>
      <c r="P1524" s="3"/>
      <c r="Q1524" s="3"/>
      <c r="R1524" s="3"/>
      <c r="S1524" s="3"/>
      <c r="T1524" s="3"/>
      <c r="U1524" s="3"/>
      <c r="V1524" s="3"/>
      <c r="W1524" s="3"/>
      <c r="X1524" s="3"/>
      <c r="Y1524" s="3"/>
      <c r="Z1524" s="3"/>
      <c r="AA1524" s="3"/>
    </row>
    <row r="1525" ht="105.75" customHeight="1">
      <c r="A1525" s="11"/>
      <c r="B1525" s="12"/>
      <c r="C1525" s="11"/>
      <c r="D1525" s="13"/>
      <c r="E1525" s="14"/>
      <c r="F1525" s="14"/>
      <c r="G1525" s="14"/>
      <c r="H1525" s="15"/>
      <c r="I1525" s="15"/>
      <c r="J1525" s="3"/>
      <c r="K1525" s="3"/>
      <c r="L1525" s="3"/>
      <c r="M1525" s="3"/>
      <c r="N1525" s="3"/>
      <c r="O1525" s="3"/>
      <c r="P1525" s="3"/>
      <c r="Q1525" s="3"/>
      <c r="R1525" s="3"/>
      <c r="S1525" s="3"/>
      <c r="T1525" s="3"/>
      <c r="U1525" s="3"/>
      <c r="V1525" s="3"/>
      <c r="W1525" s="3"/>
      <c r="X1525" s="3"/>
      <c r="Y1525" s="3"/>
      <c r="Z1525" s="3"/>
      <c r="AA1525" s="3"/>
    </row>
    <row r="1526" ht="105.75" customHeight="1">
      <c r="A1526" s="11"/>
      <c r="B1526" s="12"/>
      <c r="C1526" s="11"/>
      <c r="D1526" s="13"/>
      <c r="E1526" s="14"/>
      <c r="F1526" s="14"/>
      <c r="G1526" s="14"/>
      <c r="H1526" s="15"/>
      <c r="I1526" s="15"/>
      <c r="J1526" s="3"/>
      <c r="K1526" s="3"/>
      <c r="L1526" s="3"/>
      <c r="M1526" s="3"/>
      <c r="N1526" s="3"/>
      <c r="O1526" s="3"/>
      <c r="P1526" s="3"/>
      <c r="Q1526" s="3"/>
      <c r="R1526" s="3"/>
      <c r="S1526" s="3"/>
      <c r="T1526" s="3"/>
      <c r="U1526" s="3"/>
      <c r="V1526" s="3"/>
      <c r="W1526" s="3"/>
      <c r="X1526" s="3"/>
      <c r="Y1526" s="3"/>
      <c r="Z1526" s="3"/>
      <c r="AA1526" s="3"/>
    </row>
    <row r="1527" ht="105.75" customHeight="1">
      <c r="A1527" s="11"/>
      <c r="B1527" s="12"/>
      <c r="C1527" s="11"/>
      <c r="D1527" s="13"/>
      <c r="E1527" s="16"/>
      <c r="F1527" s="16"/>
      <c r="G1527" s="16"/>
      <c r="H1527" s="15"/>
      <c r="I1527" s="15"/>
      <c r="J1527" s="3"/>
      <c r="K1527" s="3"/>
      <c r="L1527" s="3"/>
      <c r="M1527" s="3"/>
      <c r="N1527" s="3"/>
      <c r="O1527" s="3"/>
      <c r="P1527" s="3"/>
      <c r="Q1527" s="3"/>
      <c r="R1527" s="3"/>
      <c r="S1527" s="3"/>
      <c r="T1527" s="3"/>
      <c r="U1527" s="3"/>
      <c r="V1527" s="3"/>
      <c r="W1527" s="3"/>
      <c r="X1527" s="3"/>
      <c r="Y1527" s="3"/>
      <c r="Z1527" s="3"/>
      <c r="AA1527" s="3"/>
    </row>
    <row r="1528" ht="105.75" customHeight="1">
      <c r="A1528" s="11"/>
      <c r="B1528" s="12"/>
      <c r="C1528" s="11"/>
      <c r="D1528" s="13"/>
      <c r="E1528" s="14"/>
      <c r="F1528" s="14"/>
      <c r="G1528" s="14"/>
      <c r="H1528" s="15"/>
      <c r="I1528" s="15"/>
      <c r="J1528" s="3"/>
      <c r="K1528" s="3"/>
      <c r="L1528" s="3"/>
      <c r="M1528" s="3"/>
      <c r="N1528" s="3"/>
      <c r="O1528" s="3"/>
      <c r="P1528" s="3"/>
      <c r="Q1528" s="3"/>
      <c r="R1528" s="3"/>
      <c r="S1528" s="3"/>
      <c r="T1528" s="3"/>
      <c r="U1528" s="3"/>
      <c r="V1528" s="3"/>
      <c r="W1528" s="3"/>
      <c r="X1528" s="3"/>
      <c r="Y1528" s="3"/>
      <c r="Z1528" s="3"/>
      <c r="AA1528" s="3"/>
    </row>
    <row r="1529" ht="105.75" customHeight="1">
      <c r="A1529" s="11"/>
      <c r="B1529" s="12"/>
      <c r="C1529" s="11"/>
      <c r="D1529" s="13"/>
      <c r="E1529" s="14"/>
      <c r="F1529" s="14"/>
      <c r="G1529" s="14"/>
      <c r="H1529" s="15"/>
      <c r="I1529" s="15"/>
      <c r="J1529" s="3"/>
      <c r="K1529" s="3"/>
      <c r="L1529" s="3"/>
      <c r="M1529" s="3"/>
      <c r="N1529" s="3"/>
      <c r="O1529" s="3"/>
      <c r="P1529" s="3"/>
      <c r="Q1529" s="3"/>
      <c r="R1529" s="3"/>
      <c r="S1529" s="3"/>
      <c r="T1529" s="3"/>
      <c r="U1529" s="3"/>
      <c r="V1529" s="3"/>
      <c r="W1529" s="3"/>
      <c r="X1529" s="3"/>
      <c r="Y1529" s="3"/>
      <c r="Z1529" s="3"/>
      <c r="AA1529" s="3"/>
    </row>
    <row r="1530" ht="105.75" customHeight="1">
      <c r="A1530" s="11"/>
      <c r="B1530" s="12"/>
      <c r="C1530" s="11"/>
      <c r="D1530" s="13"/>
      <c r="E1530" s="14"/>
      <c r="F1530" s="14"/>
      <c r="G1530" s="14"/>
      <c r="H1530" s="15"/>
      <c r="I1530" s="15"/>
      <c r="J1530" s="3"/>
      <c r="K1530" s="3"/>
      <c r="L1530" s="3"/>
      <c r="M1530" s="3"/>
      <c r="N1530" s="3"/>
      <c r="O1530" s="3"/>
      <c r="P1530" s="3"/>
      <c r="Q1530" s="3"/>
      <c r="R1530" s="3"/>
      <c r="S1530" s="3"/>
      <c r="T1530" s="3"/>
      <c r="U1530" s="3"/>
      <c r="V1530" s="3"/>
      <c r="W1530" s="3"/>
      <c r="X1530" s="3"/>
      <c r="Y1530" s="3"/>
      <c r="Z1530" s="3"/>
      <c r="AA1530" s="3"/>
    </row>
    <row r="1531" ht="105.75" customHeight="1">
      <c r="A1531" s="11"/>
      <c r="B1531" s="12"/>
      <c r="C1531" s="11"/>
      <c r="D1531" s="13"/>
      <c r="E1531" s="14"/>
      <c r="F1531" s="14"/>
      <c r="G1531" s="14"/>
      <c r="H1531" s="15"/>
      <c r="I1531" s="15"/>
      <c r="J1531" s="3"/>
      <c r="K1531" s="3"/>
      <c r="L1531" s="3"/>
      <c r="M1531" s="3"/>
      <c r="N1531" s="3"/>
      <c r="O1531" s="3"/>
      <c r="P1531" s="3"/>
      <c r="Q1531" s="3"/>
      <c r="R1531" s="3"/>
      <c r="S1531" s="3"/>
      <c r="T1531" s="3"/>
      <c r="U1531" s="3"/>
      <c r="V1531" s="3"/>
      <c r="W1531" s="3"/>
      <c r="X1531" s="3"/>
      <c r="Y1531" s="3"/>
      <c r="Z1531" s="3"/>
      <c r="AA1531" s="3"/>
    </row>
    <row r="1532" ht="105.75" customHeight="1">
      <c r="A1532" s="11"/>
      <c r="B1532" s="12"/>
      <c r="C1532" s="11"/>
      <c r="D1532" s="13"/>
      <c r="E1532" s="14"/>
      <c r="F1532" s="14"/>
      <c r="G1532" s="14"/>
      <c r="H1532" s="15"/>
      <c r="I1532" s="15"/>
      <c r="J1532" s="3"/>
      <c r="K1532" s="3"/>
      <c r="L1532" s="3"/>
      <c r="M1532" s="3"/>
      <c r="N1532" s="3"/>
      <c r="O1532" s="3"/>
      <c r="P1532" s="3"/>
      <c r="Q1532" s="3"/>
      <c r="R1532" s="3"/>
      <c r="S1532" s="3"/>
      <c r="T1532" s="3"/>
      <c r="U1532" s="3"/>
      <c r="V1532" s="3"/>
      <c r="W1532" s="3"/>
      <c r="X1532" s="3"/>
      <c r="Y1532" s="3"/>
      <c r="Z1532" s="3"/>
      <c r="AA1532" s="3"/>
    </row>
    <row r="1533" ht="105.75" customHeight="1">
      <c r="A1533" s="11"/>
      <c r="B1533" s="12"/>
      <c r="C1533" s="11"/>
      <c r="D1533" s="13"/>
      <c r="E1533" s="14"/>
      <c r="F1533" s="14"/>
      <c r="G1533" s="14"/>
      <c r="H1533" s="15"/>
      <c r="I1533" s="15"/>
      <c r="J1533" s="3"/>
      <c r="K1533" s="3"/>
      <c r="L1533" s="3"/>
      <c r="M1533" s="3"/>
      <c r="N1533" s="3"/>
      <c r="O1533" s="3"/>
      <c r="P1533" s="3"/>
      <c r="Q1533" s="3"/>
      <c r="R1533" s="3"/>
      <c r="S1533" s="3"/>
      <c r="T1533" s="3"/>
      <c r="U1533" s="3"/>
      <c r="V1533" s="3"/>
      <c r="W1533" s="3"/>
      <c r="X1533" s="3"/>
      <c r="Y1533" s="3"/>
      <c r="Z1533" s="3"/>
      <c r="AA1533" s="3"/>
    </row>
    <row r="1534" ht="105.75" customHeight="1">
      <c r="A1534" s="11"/>
      <c r="B1534" s="12"/>
      <c r="C1534" s="11"/>
      <c r="D1534" s="13"/>
      <c r="E1534" s="14"/>
      <c r="F1534" s="14"/>
      <c r="G1534" s="14"/>
      <c r="H1534" s="15"/>
      <c r="I1534" s="15"/>
      <c r="J1534" s="3"/>
      <c r="K1534" s="3"/>
      <c r="L1534" s="3"/>
      <c r="M1534" s="3"/>
      <c r="N1534" s="3"/>
      <c r="O1534" s="3"/>
      <c r="P1534" s="3"/>
      <c r="Q1534" s="3"/>
      <c r="R1534" s="3"/>
      <c r="S1534" s="3"/>
      <c r="T1534" s="3"/>
      <c r="U1534" s="3"/>
      <c r="V1534" s="3"/>
      <c r="W1534" s="3"/>
      <c r="X1534" s="3"/>
      <c r="Y1534" s="3"/>
      <c r="Z1534" s="3"/>
      <c r="AA1534" s="3"/>
    </row>
    <row r="1535" ht="105.75" customHeight="1">
      <c r="A1535" s="11"/>
      <c r="B1535" s="12"/>
      <c r="C1535" s="11"/>
      <c r="D1535" s="13"/>
      <c r="E1535" s="14"/>
      <c r="F1535" s="14"/>
      <c r="G1535" s="14"/>
      <c r="H1535" s="15"/>
      <c r="I1535" s="15"/>
      <c r="J1535" s="3"/>
      <c r="K1535" s="3"/>
      <c r="L1535" s="3"/>
      <c r="M1535" s="3"/>
      <c r="N1535" s="3"/>
      <c r="O1535" s="3"/>
      <c r="P1535" s="3"/>
      <c r="Q1535" s="3"/>
      <c r="R1535" s="3"/>
      <c r="S1535" s="3"/>
      <c r="T1535" s="3"/>
      <c r="U1535" s="3"/>
      <c r="V1535" s="3"/>
      <c r="W1535" s="3"/>
      <c r="X1535" s="3"/>
      <c r="Y1535" s="3"/>
      <c r="Z1535" s="3"/>
      <c r="AA1535" s="3"/>
    </row>
    <row r="1536" ht="105.75" customHeight="1">
      <c r="A1536" s="11"/>
      <c r="B1536" s="12"/>
      <c r="C1536" s="11"/>
      <c r="D1536" s="13"/>
      <c r="E1536" s="14"/>
      <c r="F1536" s="14"/>
      <c r="G1536" s="14"/>
      <c r="H1536" s="15"/>
      <c r="I1536" s="15"/>
      <c r="J1536" s="3"/>
      <c r="K1536" s="3"/>
      <c r="L1536" s="3"/>
      <c r="M1536" s="3"/>
      <c r="N1536" s="3"/>
      <c r="O1536" s="3"/>
      <c r="P1536" s="3"/>
      <c r="Q1536" s="3"/>
      <c r="R1536" s="3"/>
      <c r="S1536" s="3"/>
      <c r="T1536" s="3"/>
      <c r="U1536" s="3"/>
      <c r="V1536" s="3"/>
      <c r="W1536" s="3"/>
      <c r="X1536" s="3"/>
      <c r="Y1536" s="3"/>
      <c r="Z1536" s="3"/>
      <c r="AA1536" s="3"/>
    </row>
    <row r="1537" ht="105.75" customHeight="1">
      <c r="A1537" s="11"/>
      <c r="B1537" s="12"/>
      <c r="C1537" s="11"/>
      <c r="D1537" s="13"/>
      <c r="E1537" s="14"/>
      <c r="F1537" s="14"/>
      <c r="G1537" s="14"/>
      <c r="H1537" s="15"/>
      <c r="I1537" s="15"/>
      <c r="J1537" s="3"/>
      <c r="K1537" s="3"/>
      <c r="L1537" s="3"/>
      <c r="M1537" s="3"/>
      <c r="N1537" s="3"/>
      <c r="O1537" s="3"/>
      <c r="P1537" s="3"/>
      <c r="Q1537" s="3"/>
      <c r="R1537" s="3"/>
      <c r="S1537" s="3"/>
      <c r="T1537" s="3"/>
      <c r="U1537" s="3"/>
      <c r="V1537" s="3"/>
      <c r="W1537" s="3"/>
      <c r="X1537" s="3"/>
      <c r="Y1537" s="3"/>
      <c r="Z1537" s="3"/>
      <c r="AA1537" s="3"/>
    </row>
    <row r="1538" ht="105.75" customHeight="1">
      <c r="A1538" s="11"/>
      <c r="B1538" s="12"/>
      <c r="C1538" s="11"/>
      <c r="D1538" s="13"/>
      <c r="E1538" s="14"/>
      <c r="F1538" s="14"/>
      <c r="G1538" s="14"/>
      <c r="H1538" s="15"/>
      <c r="I1538" s="15"/>
      <c r="J1538" s="3"/>
      <c r="K1538" s="3"/>
      <c r="L1538" s="3"/>
      <c r="M1538" s="3"/>
      <c r="N1538" s="3"/>
      <c r="O1538" s="3"/>
      <c r="P1538" s="3"/>
      <c r="Q1538" s="3"/>
      <c r="R1538" s="3"/>
      <c r="S1538" s="3"/>
      <c r="T1538" s="3"/>
      <c r="U1538" s="3"/>
      <c r="V1538" s="3"/>
      <c r="W1538" s="3"/>
      <c r="X1538" s="3"/>
      <c r="Y1538" s="3"/>
      <c r="Z1538" s="3"/>
      <c r="AA1538" s="3"/>
    </row>
    <row r="1539" ht="105.75" customHeight="1">
      <c r="A1539" s="11"/>
      <c r="B1539" s="12"/>
      <c r="C1539" s="11"/>
      <c r="D1539" s="13"/>
      <c r="E1539" s="14"/>
      <c r="F1539" s="14"/>
      <c r="G1539" s="14"/>
      <c r="H1539" s="15"/>
      <c r="I1539" s="15"/>
      <c r="J1539" s="3"/>
      <c r="K1539" s="3"/>
      <c r="L1539" s="3"/>
      <c r="M1539" s="3"/>
      <c r="N1539" s="3"/>
      <c r="O1539" s="3"/>
      <c r="P1539" s="3"/>
      <c r="Q1539" s="3"/>
      <c r="R1539" s="3"/>
      <c r="S1539" s="3"/>
      <c r="T1539" s="3"/>
      <c r="U1539" s="3"/>
      <c r="V1539" s="3"/>
      <c r="W1539" s="3"/>
      <c r="X1539" s="3"/>
      <c r="Y1539" s="3"/>
      <c r="Z1539" s="3"/>
      <c r="AA1539" s="3"/>
    </row>
    <row r="1540" ht="105.75" customHeight="1">
      <c r="A1540" s="11"/>
      <c r="B1540" s="12"/>
      <c r="C1540" s="11"/>
      <c r="D1540" s="13"/>
      <c r="E1540" s="14"/>
      <c r="F1540" s="14"/>
      <c r="G1540" s="14"/>
      <c r="H1540" s="15"/>
      <c r="I1540" s="15"/>
      <c r="J1540" s="3"/>
      <c r="K1540" s="3"/>
      <c r="L1540" s="3"/>
      <c r="M1540" s="3"/>
      <c r="N1540" s="3"/>
      <c r="O1540" s="3"/>
      <c r="P1540" s="3"/>
      <c r="Q1540" s="3"/>
      <c r="R1540" s="3"/>
      <c r="S1540" s="3"/>
      <c r="T1540" s="3"/>
      <c r="U1540" s="3"/>
      <c r="V1540" s="3"/>
      <c r="W1540" s="3"/>
      <c r="X1540" s="3"/>
      <c r="Y1540" s="3"/>
      <c r="Z1540" s="3"/>
      <c r="AA1540" s="3"/>
    </row>
    <row r="1541" ht="105.75" customHeight="1">
      <c r="A1541" s="11"/>
      <c r="B1541" s="12"/>
      <c r="C1541" s="11"/>
      <c r="D1541" s="13"/>
      <c r="E1541" s="16"/>
      <c r="F1541" s="16"/>
      <c r="G1541" s="16"/>
      <c r="H1541" s="15"/>
      <c r="I1541" s="15"/>
      <c r="J1541" s="3"/>
      <c r="K1541" s="3"/>
      <c r="L1541" s="3"/>
      <c r="M1541" s="3"/>
      <c r="N1541" s="3"/>
      <c r="O1541" s="3"/>
      <c r="P1541" s="3"/>
      <c r="Q1541" s="3"/>
      <c r="R1541" s="3"/>
      <c r="S1541" s="3"/>
      <c r="T1541" s="3"/>
      <c r="U1541" s="3"/>
      <c r="V1541" s="3"/>
      <c r="W1541" s="3"/>
      <c r="X1541" s="3"/>
      <c r="Y1541" s="3"/>
      <c r="Z1541" s="3"/>
      <c r="AA1541" s="3"/>
    </row>
    <row r="1542" ht="105.75" customHeight="1">
      <c r="A1542" s="11"/>
      <c r="B1542" s="12"/>
      <c r="C1542" s="11"/>
      <c r="D1542" s="13"/>
      <c r="E1542" s="14"/>
      <c r="F1542" s="14"/>
      <c r="G1542" s="14"/>
      <c r="H1542" s="15"/>
      <c r="I1542" s="15"/>
      <c r="J1542" s="3"/>
      <c r="K1542" s="3"/>
      <c r="L1542" s="3"/>
      <c r="M1542" s="3"/>
      <c r="N1542" s="3"/>
      <c r="O1542" s="3"/>
      <c r="P1542" s="3"/>
      <c r="Q1542" s="3"/>
      <c r="R1542" s="3"/>
      <c r="S1542" s="3"/>
      <c r="T1542" s="3"/>
      <c r="U1542" s="3"/>
      <c r="V1542" s="3"/>
      <c r="W1542" s="3"/>
      <c r="X1542" s="3"/>
      <c r="Y1542" s="3"/>
      <c r="Z1542" s="3"/>
      <c r="AA1542" s="3"/>
    </row>
    <row r="1543" ht="105.75" customHeight="1">
      <c r="A1543" s="11"/>
      <c r="B1543" s="12"/>
      <c r="C1543" s="11"/>
      <c r="D1543" s="13"/>
      <c r="E1543" s="14"/>
      <c r="F1543" s="14"/>
      <c r="G1543" s="14"/>
      <c r="H1543" s="15"/>
      <c r="I1543" s="15"/>
      <c r="J1543" s="3"/>
      <c r="K1543" s="3"/>
      <c r="L1543" s="3"/>
      <c r="M1543" s="3"/>
      <c r="N1543" s="3"/>
      <c r="O1543" s="3"/>
      <c r="P1543" s="3"/>
      <c r="Q1543" s="3"/>
      <c r="R1543" s="3"/>
      <c r="S1543" s="3"/>
      <c r="T1543" s="3"/>
      <c r="U1543" s="3"/>
      <c r="V1543" s="3"/>
      <c r="W1543" s="3"/>
      <c r="X1543" s="3"/>
      <c r="Y1543" s="3"/>
      <c r="Z1543" s="3"/>
      <c r="AA1543" s="3"/>
    </row>
    <row r="1544" ht="105.75" customHeight="1">
      <c r="A1544" s="11"/>
      <c r="B1544" s="12"/>
      <c r="C1544" s="11"/>
      <c r="D1544" s="13"/>
      <c r="E1544" s="14"/>
      <c r="F1544" s="14"/>
      <c r="G1544" s="14"/>
      <c r="H1544" s="15"/>
      <c r="I1544" s="15"/>
      <c r="J1544" s="3"/>
      <c r="K1544" s="3"/>
      <c r="L1544" s="3"/>
      <c r="M1544" s="3"/>
      <c r="N1544" s="3"/>
      <c r="O1544" s="3"/>
      <c r="P1544" s="3"/>
      <c r="Q1544" s="3"/>
      <c r="R1544" s="3"/>
      <c r="S1544" s="3"/>
      <c r="T1544" s="3"/>
      <c r="U1544" s="3"/>
      <c r="V1544" s="3"/>
      <c r="W1544" s="3"/>
      <c r="X1544" s="3"/>
      <c r="Y1544" s="3"/>
      <c r="Z1544" s="3"/>
      <c r="AA1544" s="3"/>
    </row>
    <row r="1545" ht="105.75" customHeight="1">
      <c r="A1545" s="11"/>
      <c r="B1545" s="12"/>
      <c r="C1545" s="11"/>
      <c r="D1545" s="13"/>
      <c r="E1545" s="14"/>
      <c r="F1545" s="14"/>
      <c r="G1545" s="14"/>
      <c r="H1545" s="15"/>
      <c r="I1545" s="15"/>
      <c r="J1545" s="3"/>
      <c r="K1545" s="3"/>
      <c r="L1545" s="3"/>
      <c r="M1545" s="3"/>
      <c r="N1545" s="3"/>
      <c r="O1545" s="3"/>
      <c r="P1545" s="3"/>
      <c r="Q1545" s="3"/>
      <c r="R1545" s="3"/>
      <c r="S1545" s="3"/>
      <c r="T1545" s="3"/>
      <c r="U1545" s="3"/>
      <c r="V1545" s="3"/>
      <c r="W1545" s="3"/>
      <c r="X1545" s="3"/>
      <c r="Y1545" s="3"/>
      <c r="Z1545" s="3"/>
      <c r="AA1545" s="3"/>
    </row>
    <row r="1546" ht="105.75" customHeight="1">
      <c r="A1546" s="11"/>
      <c r="B1546" s="12"/>
      <c r="C1546" s="11"/>
      <c r="D1546" s="13"/>
      <c r="E1546" s="14"/>
      <c r="F1546" s="14"/>
      <c r="G1546" s="14"/>
      <c r="H1546" s="15"/>
      <c r="I1546" s="15"/>
      <c r="J1546" s="3"/>
      <c r="K1546" s="3"/>
      <c r="L1546" s="3"/>
      <c r="M1546" s="3"/>
      <c r="N1546" s="3"/>
      <c r="O1546" s="3"/>
      <c r="P1546" s="3"/>
      <c r="Q1546" s="3"/>
      <c r="R1546" s="3"/>
      <c r="S1546" s="3"/>
      <c r="T1546" s="3"/>
      <c r="U1546" s="3"/>
      <c r="V1546" s="3"/>
      <c r="W1546" s="3"/>
      <c r="X1546" s="3"/>
      <c r="Y1546" s="3"/>
      <c r="Z1546" s="3"/>
      <c r="AA1546" s="3"/>
    </row>
    <row r="1547" ht="105.75" customHeight="1">
      <c r="A1547" s="11"/>
      <c r="B1547" s="12"/>
      <c r="C1547" s="11"/>
      <c r="D1547" s="13"/>
      <c r="E1547" s="14"/>
      <c r="F1547" s="14"/>
      <c r="G1547" s="14"/>
      <c r="H1547" s="15"/>
      <c r="I1547" s="15"/>
      <c r="J1547" s="3"/>
      <c r="K1547" s="3"/>
      <c r="L1547" s="3"/>
      <c r="M1547" s="3"/>
      <c r="N1547" s="3"/>
      <c r="O1547" s="3"/>
      <c r="P1547" s="3"/>
      <c r="Q1547" s="3"/>
      <c r="R1547" s="3"/>
      <c r="S1547" s="3"/>
      <c r="T1547" s="3"/>
      <c r="U1547" s="3"/>
      <c r="V1547" s="3"/>
      <c r="W1547" s="3"/>
      <c r="X1547" s="3"/>
      <c r="Y1547" s="3"/>
      <c r="Z1547" s="3"/>
      <c r="AA1547" s="3"/>
    </row>
    <row r="1548" ht="105.75" customHeight="1">
      <c r="A1548" s="11"/>
      <c r="B1548" s="12"/>
      <c r="C1548" s="11"/>
      <c r="D1548" s="13"/>
      <c r="E1548" s="14"/>
      <c r="F1548" s="14"/>
      <c r="G1548" s="14"/>
      <c r="H1548" s="15"/>
      <c r="I1548" s="15"/>
      <c r="J1548" s="3"/>
      <c r="K1548" s="3"/>
      <c r="L1548" s="3"/>
      <c r="M1548" s="3"/>
      <c r="N1548" s="3"/>
      <c r="O1548" s="3"/>
      <c r="P1548" s="3"/>
      <c r="Q1548" s="3"/>
      <c r="R1548" s="3"/>
      <c r="S1548" s="3"/>
      <c r="T1548" s="3"/>
      <c r="U1548" s="3"/>
      <c r="V1548" s="3"/>
      <c r="W1548" s="3"/>
      <c r="X1548" s="3"/>
      <c r="Y1548" s="3"/>
      <c r="Z1548" s="3"/>
      <c r="AA1548" s="3"/>
    </row>
    <row r="1549" ht="105.75" customHeight="1">
      <c r="A1549" s="11"/>
      <c r="B1549" s="12"/>
      <c r="C1549" s="11"/>
      <c r="D1549" s="13"/>
      <c r="E1549" s="14"/>
      <c r="F1549" s="14"/>
      <c r="G1549" s="14"/>
      <c r="H1549" s="15"/>
      <c r="I1549" s="15"/>
      <c r="J1549" s="3"/>
      <c r="K1549" s="3"/>
      <c r="L1549" s="3"/>
      <c r="M1549" s="3"/>
      <c r="N1549" s="3"/>
      <c r="O1549" s="3"/>
      <c r="P1549" s="3"/>
      <c r="Q1549" s="3"/>
      <c r="R1549" s="3"/>
      <c r="S1549" s="3"/>
      <c r="T1549" s="3"/>
      <c r="U1549" s="3"/>
      <c r="V1549" s="3"/>
      <c r="W1549" s="3"/>
      <c r="X1549" s="3"/>
      <c r="Y1549" s="3"/>
      <c r="Z1549" s="3"/>
      <c r="AA1549" s="3"/>
    </row>
    <row r="1550" ht="105.75" customHeight="1">
      <c r="A1550" s="11"/>
      <c r="B1550" s="12"/>
      <c r="C1550" s="11"/>
      <c r="D1550" s="13"/>
      <c r="E1550" s="14"/>
      <c r="F1550" s="14"/>
      <c r="G1550" s="14"/>
      <c r="H1550" s="15"/>
      <c r="I1550" s="15"/>
      <c r="J1550" s="3"/>
      <c r="K1550" s="3"/>
      <c r="L1550" s="3"/>
      <c r="M1550" s="3"/>
      <c r="N1550" s="3"/>
      <c r="O1550" s="3"/>
      <c r="P1550" s="3"/>
      <c r="Q1550" s="3"/>
      <c r="R1550" s="3"/>
      <c r="S1550" s="3"/>
      <c r="T1550" s="3"/>
      <c r="U1550" s="3"/>
      <c r="V1550" s="3"/>
      <c r="W1550" s="3"/>
      <c r="X1550" s="3"/>
      <c r="Y1550" s="3"/>
      <c r="Z1550" s="3"/>
      <c r="AA1550" s="3"/>
    </row>
    <row r="1551" ht="105.75" customHeight="1">
      <c r="A1551" s="11"/>
      <c r="B1551" s="12"/>
      <c r="C1551" s="11"/>
      <c r="D1551" s="13"/>
      <c r="E1551" s="14"/>
      <c r="F1551" s="14"/>
      <c r="G1551" s="14"/>
      <c r="H1551" s="15"/>
      <c r="I1551" s="15"/>
      <c r="J1551" s="3"/>
      <c r="K1551" s="3"/>
      <c r="L1551" s="3"/>
      <c r="M1551" s="3"/>
      <c r="N1551" s="3"/>
      <c r="O1551" s="3"/>
      <c r="P1551" s="3"/>
      <c r="Q1551" s="3"/>
      <c r="R1551" s="3"/>
      <c r="S1551" s="3"/>
      <c r="T1551" s="3"/>
      <c r="U1551" s="3"/>
      <c r="V1551" s="3"/>
      <c r="W1551" s="3"/>
      <c r="X1551" s="3"/>
      <c r="Y1551" s="3"/>
      <c r="Z1551" s="3"/>
      <c r="AA1551" s="3"/>
    </row>
    <row r="1552" ht="105.75" customHeight="1">
      <c r="A1552" s="11"/>
      <c r="B1552" s="12"/>
      <c r="C1552" s="11"/>
      <c r="D1552" s="13"/>
      <c r="E1552" s="14"/>
      <c r="F1552" s="14"/>
      <c r="G1552" s="14"/>
      <c r="H1552" s="15"/>
      <c r="I1552" s="15"/>
      <c r="J1552" s="3"/>
      <c r="K1552" s="3"/>
      <c r="L1552" s="3"/>
      <c r="M1552" s="3"/>
      <c r="N1552" s="3"/>
      <c r="O1552" s="3"/>
      <c r="P1552" s="3"/>
      <c r="Q1552" s="3"/>
      <c r="R1552" s="3"/>
      <c r="S1552" s="3"/>
      <c r="T1552" s="3"/>
      <c r="U1552" s="3"/>
      <c r="V1552" s="3"/>
      <c r="W1552" s="3"/>
      <c r="X1552" s="3"/>
      <c r="Y1552" s="3"/>
      <c r="Z1552" s="3"/>
      <c r="AA1552" s="3"/>
    </row>
    <row r="1553" ht="105.75" customHeight="1">
      <c r="A1553" s="11"/>
      <c r="B1553" s="12"/>
      <c r="C1553" s="11"/>
      <c r="D1553" s="13"/>
      <c r="E1553" s="14"/>
      <c r="F1553" s="14"/>
      <c r="G1553" s="14"/>
      <c r="H1553" s="15"/>
      <c r="I1553" s="15"/>
      <c r="J1553" s="3"/>
      <c r="K1553" s="3"/>
      <c r="L1553" s="3"/>
      <c r="M1553" s="3"/>
      <c r="N1553" s="3"/>
      <c r="O1553" s="3"/>
      <c r="P1553" s="3"/>
      <c r="Q1553" s="3"/>
      <c r="R1553" s="3"/>
      <c r="S1553" s="3"/>
      <c r="T1553" s="3"/>
      <c r="U1553" s="3"/>
      <c r="V1553" s="3"/>
      <c r="W1553" s="3"/>
      <c r="X1553" s="3"/>
      <c r="Y1553" s="3"/>
      <c r="Z1553" s="3"/>
      <c r="AA1553" s="3"/>
    </row>
    <row r="1554" ht="105.75" customHeight="1">
      <c r="A1554" s="11"/>
      <c r="B1554" s="12"/>
      <c r="C1554" s="11"/>
      <c r="D1554" s="13"/>
      <c r="E1554" s="16"/>
      <c r="F1554" s="16"/>
      <c r="G1554" s="16"/>
      <c r="H1554" s="15"/>
      <c r="I1554" s="15"/>
      <c r="J1554" s="3"/>
      <c r="K1554" s="3"/>
      <c r="L1554" s="3"/>
      <c r="M1554" s="3"/>
      <c r="N1554" s="3"/>
      <c r="O1554" s="3"/>
      <c r="P1554" s="3"/>
      <c r="Q1554" s="3"/>
      <c r="R1554" s="3"/>
      <c r="S1554" s="3"/>
      <c r="T1554" s="3"/>
      <c r="U1554" s="3"/>
      <c r="V1554" s="3"/>
      <c r="W1554" s="3"/>
      <c r="X1554" s="3"/>
      <c r="Y1554" s="3"/>
      <c r="Z1554" s="3"/>
      <c r="AA1554" s="3"/>
    </row>
    <row r="1555" ht="105.75" customHeight="1">
      <c r="A1555" s="11"/>
      <c r="B1555" s="12"/>
      <c r="C1555" s="11"/>
      <c r="D1555" s="13"/>
      <c r="E1555" s="14"/>
      <c r="F1555" s="14"/>
      <c r="G1555" s="14"/>
      <c r="H1555" s="15"/>
      <c r="I1555" s="15"/>
      <c r="J1555" s="3"/>
      <c r="K1555" s="3"/>
      <c r="L1555" s="3"/>
      <c r="M1555" s="3"/>
      <c r="N1555" s="3"/>
      <c r="O1555" s="3"/>
      <c r="P1555" s="3"/>
      <c r="Q1555" s="3"/>
      <c r="R1555" s="3"/>
      <c r="S1555" s="3"/>
      <c r="T1555" s="3"/>
      <c r="U1555" s="3"/>
      <c r="V1555" s="3"/>
      <c r="W1555" s="3"/>
      <c r="X1555" s="3"/>
      <c r="Y1555" s="3"/>
      <c r="Z1555" s="3"/>
      <c r="AA1555" s="3"/>
    </row>
    <row r="1556" ht="105.75" customHeight="1">
      <c r="A1556" s="11"/>
      <c r="B1556" s="12"/>
      <c r="C1556" s="11"/>
      <c r="D1556" s="13"/>
      <c r="E1556" s="14"/>
      <c r="F1556" s="14"/>
      <c r="G1556" s="14"/>
      <c r="H1556" s="15"/>
      <c r="I1556" s="15"/>
      <c r="J1556" s="3"/>
      <c r="K1556" s="3"/>
      <c r="L1556" s="3"/>
      <c r="M1556" s="3"/>
      <c r="N1556" s="3"/>
      <c r="O1556" s="3"/>
      <c r="P1556" s="3"/>
      <c r="Q1556" s="3"/>
      <c r="R1556" s="3"/>
      <c r="S1556" s="3"/>
      <c r="T1556" s="3"/>
      <c r="U1556" s="3"/>
      <c r="V1556" s="3"/>
      <c r="W1556" s="3"/>
      <c r="X1556" s="3"/>
      <c r="Y1556" s="3"/>
      <c r="Z1556" s="3"/>
      <c r="AA1556" s="3"/>
    </row>
    <row r="1557" ht="105.75" customHeight="1">
      <c r="A1557" s="11"/>
      <c r="B1557" s="12"/>
      <c r="C1557" s="11"/>
      <c r="D1557" s="13"/>
      <c r="E1557" s="14"/>
      <c r="F1557" s="14"/>
      <c r="G1557" s="14"/>
      <c r="H1557" s="15"/>
      <c r="I1557" s="15"/>
      <c r="J1557" s="3"/>
      <c r="K1557" s="3"/>
      <c r="L1557" s="3"/>
      <c r="M1557" s="3"/>
      <c r="N1557" s="3"/>
      <c r="O1557" s="3"/>
      <c r="P1557" s="3"/>
      <c r="Q1557" s="3"/>
      <c r="R1557" s="3"/>
      <c r="S1557" s="3"/>
      <c r="T1557" s="3"/>
      <c r="U1557" s="3"/>
      <c r="V1557" s="3"/>
      <c r="W1557" s="3"/>
      <c r="X1557" s="3"/>
      <c r="Y1557" s="3"/>
      <c r="Z1557" s="3"/>
      <c r="AA1557" s="3"/>
    </row>
    <row r="1558" ht="105.75" customHeight="1">
      <c r="A1558" s="11"/>
      <c r="B1558" s="12"/>
      <c r="C1558" s="11"/>
      <c r="D1558" s="13"/>
      <c r="E1558" s="14"/>
      <c r="F1558" s="14"/>
      <c r="G1558" s="14"/>
      <c r="H1558" s="15"/>
      <c r="I1558" s="15"/>
      <c r="J1558" s="3"/>
      <c r="K1558" s="3"/>
      <c r="L1558" s="3"/>
      <c r="M1558" s="3"/>
      <c r="N1558" s="3"/>
      <c r="O1558" s="3"/>
      <c r="P1558" s="3"/>
      <c r="Q1558" s="3"/>
      <c r="R1558" s="3"/>
      <c r="S1558" s="3"/>
      <c r="T1558" s="3"/>
      <c r="U1558" s="3"/>
      <c r="V1558" s="3"/>
      <c r="W1558" s="3"/>
      <c r="X1558" s="3"/>
      <c r="Y1558" s="3"/>
      <c r="Z1558" s="3"/>
      <c r="AA1558" s="3"/>
    </row>
    <row r="1559" ht="105.75" customHeight="1">
      <c r="A1559" s="11"/>
      <c r="B1559" s="12"/>
      <c r="C1559" s="11"/>
      <c r="D1559" s="13"/>
      <c r="E1559" s="14"/>
      <c r="F1559" s="14"/>
      <c r="G1559" s="14"/>
      <c r="H1559" s="15"/>
      <c r="I1559" s="15"/>
      <c r="J1559" s="3"/>
      <c r="K1559" s="3"/>
      <c r="L1559" s="3"/>
      <c r="M1559" s="3"/>
      <c r="N1559" s="3"/>
      <c r="O1559" s="3"/>
      <c r="P1559" s="3"/>
      <c r="Q1559" s="3"/>
      <c r="R1559" s="3"/>
      <c r="S1559" s="3"/>
      <c r="T1559" s="3"/>
      <c r="U1559" s="3"/>
      <c r="V1559" s="3"/>
      <c r="W1559" s="3"/>
      <c r="X1559" s="3"/>
      <c r="Y1559" s="3"/>
      <c r="Z1559" s="3"/>
      <c r="AA1559" s="3"/>
    </row>
    <row r="1560" ht="105.75" customHeight="1">
      <c r="A1560" s="11"/>
      <c r="B1560" s="12"/>
      <c r="C1560" s="11"/>
      <c r="D1560" s="13"/>
      <c r="E1560" s="14"/>
      <c r="F1560" s="14"/>
      <c r="G1560" s="14"/>
      <c r="H1560" s="15"/>
      <c r="I1560" s="15"/>
      <c r="J1560" s="3"/>
      <c r="K1560" s="3"/>
      <c r="L1560" s="3"/>
      <c r="M1560" s="3"/>
      <c r="N1560" s="3"/>
      <c r="O1560" s="3"/>
      <c r="P1560" s="3"/>
      <c r="Q1560" s="3"/>
      <c r="R1560" s="3"/>
      <c r="S1560" s="3"/>
      <c r="T1560" s="3"/>
      <c r="U1560" s="3"/>
      <c r="V1560" s="3"/>
      <c r="W1560" s="3"/>
      <c r="X1560" s="3"/>
      <c r="Y1560" s="3"/>
      <c r="Z1560" s="3"/>
      <c r="AA1560" s="3"/>
    </row>
    <row r="1561" ht="105.75" customHeight="1">
      <c r="A1561" s="11"/>
      <c r="B1561" s="12"/>
      <c r="C1561" s="11"/>
      <c r="D1561" s="13"/>
      <c r="E1561" s="14"/>
      <c r="F1561" s="14"/>
      <c r="G1561" s="14"/>
      <c r="H1561" s="15"/>
      <c r="I1561" s="15"/>
      <c r="J1561" s="3"/>
      <c r="K1561" s="3"/>
      <c r="L1561" s="3"/>
      <c r="M1561" s="3"/>
      <c r="N1561" s="3"/>
      <c r="O1561" s="3"/>
      <c r="P1561" s="3"/>
      <c r="Q1561" s="3"/>
      <c r="R1561" s="3"/>
      <c r="S1561" s="3"/>
      <c r="T1561" s="3"/>
      <c r="U1561" s="3"/>
      <c r="V1561" s="3"/>
      <c r="W1561" s="3"/>
      <c r="X1561" s="3"/>
      <c r="Y1561" s="3"/>
      <c r="Z1561" s="3"/>
      <c r="AA1561" s="3"/>
    </row>
    <row r="1562" ht="105.75" customHeight="1">
      <c r="A1562" s="11"/>
      <c r="B1562" s="12"/>
      <c r="C1562" s="11"/>
      <c r="D1562" s="13"/>
      <c r="E1562" s="14"/>
      <c r="F1562" s="14"/>
      <c r="G1562" s="14"/>
      <c r="H1562" s="15"/>
      <c r="I1562" s="15"/>
      <c r="J1562" s="3"/>
      <c r="K1562" s="3"/>
      <c r="L1562" s="3"/>
      <c r="M1562" s="3"/>
      <c r="N1562" s="3"/>
      <c r="O1562" s="3"/>
      <c r="P1562" s="3"/>
      <c r="Q1562" s="3"/>
      <c r="R1562" s="3"/>
      <c r="S1562" s="3"/>
      <c r="T1562" s="3"/>
      <c r="U1562" s="3"/>
      <c r="V1562" s="3"/>
      <c r="W1562" s="3"/>
      <c r="X1562" s="3"/>
      <c r="Y1562" s="3"/>
      <c r="Z1562" s="3"/>
      <c r="AA1562" s="3"/>
    </row>
    <row r="1563" ht="105.75" customHeight="1">
      <c r="A1563" s="11"/>
      <c r="B1563" s="12"/>
      <c r="C1563" s="11"/>
      <c r="D1563" s="13"/>
      <c r="E1563" s="14"/>
      <c r="F1563" s="14"/>
      <c r="G1563" s="14"/>
      <c r="H1563" s="15"/>
      <c r="I1563" s="15"/>
      <c r="J1563" s="3"/>
      <c r="K1563" s="3"/>
      <c r="L1563" s="3"/>
      <c r="M1563" s="3"/>
      <c r="N1563" s="3"/>
      <c r="O1563" s="3"/>
      <c r="P1563" s="3"/>
      <c r="Q1563" s="3"/>
      <c r="R1563" s="3"/>
      <c r="S1563" s="3"/>
      <c r="T1563" s="3"/>
      <c r="U1563" s="3"/>
      <c r="V1563" s="3"/>
      <c r="W1563" s="3"/>
      <c r="X1563" s="3"/>
      <c r="Y1563" s="3"/>
      <c r="Z1563" s="3"/>
      <c r="AA1563" s="3"/>
    </row>
    <row r="1564" ht="105.75" customHeight="1">
      <c r="A1564" s="11"/>
      <c r="B1564" s="12"/>
      <c r="C1564" s="11"/>
      <c r="D1564" s="13"/>
      <c r="E1564" s="14"/>
      <c r="F1564" s="14"/>
      <c r="G1564" s="14"/>
      <c r="H1564" s="15"/>
      <c r="I1564" s="15"/>
      <c r="J1564" s="3"/>
      <c r="K1564" s="3"/>
      <c r="L1564" s="3"/>
      <c r="M1564" s="3"/>
      <c r="N1564" s="3"/>
      <c r="O1564" s="3"/>
      <c r="P1564" s="3"/>
      <c r="Q1564" s="3"/>
      <c r="R1564" s="3"/>
      <c r="S1564" s="3"/>
      <c r="T1564" s="3"/>
      <c r="U1564" s="3"/>
      <c r="V1564" s="3"/>
      <c r="W1564" s="3"/>
      <c r="X1564" s="3"/>
      <c r="Y1564" s="3"/>
      <c r="Z1564" s="3"/>
      <c r="AA1564" s="3"/>
    </row>
    <row r="1565" ht="105.75" customHeight="1">
      <c r="A1565" s="11"/>
      <c r="B1565" s="12"/>
      <c r="C1565" s="11"/>
      <c r="D1565" s="13"/>
      <c r="E1565" s="14"/>
      <c r="F1565" s="14"/>
      <c r="G1565" s="14"/>
      <c r="H1565" s="15"/>
      <c r="I1565" s="15"/>
      <c r="J1565" s="3"/>
      <c r="K1565" s="3"/>
      <c r="L1565" s="3"/>
      <c r="M1565" s="3"/>
      <c r="N1565" s="3"/>
      <c r="O1565" s="3"/>
      <c r="P1565" s="3"/>
      <c r="Q1565" s="3"/>
      <c r="R1565" s="3"/>
      <c r="S1565" s="3"/>
      <c r="T1565" s="3"/>
      <c r="U1565" s="3"/>
      <c r="V1565" s="3"/>
      <c r="W1565" s="3"/>
      <c r="X1565" s="3"/>
      <c r="Y1565" s="3"/>
      <c r="Z1565" s="3"/>
      <c r="AA1565" s="3"/>
    </row>
    <row r="1566" ht="105.75" customHeight="1">
      <c r="A1566" s="11"/>
      <c r="B1566" s="12"/>
      <c r="C1566" s="11"/>
      <c r="D1566" s="13"/>
      <c r="E1566" s="14"/>
      <c r="F1566" s="14"/>
      <c r="G1566" s="14"/>
      <c r="H1566" s="15"/>
      <c r="I1566" s="15"/>
      <c r="J1566" s="3"/>
      <c r="K1566" s="3"/>
      <c r="L1566" s="3"/>
      <c r="M1566" s="3"/>
      <c r="N1566" s="3"/>
      <c r="O1566" s="3"/>
      <c r="P1566" s="3"/>
      <c r="Q1566" s="3"/>
      <c r="R1566" s="3"/>
      <c r="S1566" s="3"/>
      <c r="T1566" s="3"/>
      <c r="U1566" s="3"/>
      <c r="V1566" s="3"/>
      <c r="W1566" s="3"/>
      <c r="X1566" s="3"/>
      <c r="Y1566" s="3"/>
      <c r="Z1566" s="3"/>
      <c r="AA1566" s="3"/>
    </row>
    <row r="1567" ht="105.75" customHeight="1">
      <c r="A1567" s="11"/>
      <c r="B1567" s="12"/>
      <c r="C1567" s="11"/>
      <c r="D1567" s="13"/>
      <c r="E1567" s="16"/>
      <c r="F1567" s="16"/>
      <c r="G1567" s="16"/>
      <c r="H1567" s="15"/>
      <c r="I1567" s="15"/>
      <c r="J1567" s="3"/>
      <c r="K1567" s="3"/>
      <c r="L1567" s="3"/>
      <c r="M1567" s="3"/>
      <c r="N1567" s="3"/>
      <c r="O1567" s="3"/>
      <c r="P1567" s="3"/>
      <c r="Q1567" s="3"/>
      <c r="R1567" s="3"/>
      <c r="S1567" s="3"/>
      <c r="T1567" s="3"/>
      <c r="U1567" s="3"/>
      <c r="V1567" s="3"/>
      <c r="W1567" s="3"/>
      <c r="X1567" s="3"/>
      <c r="Y1567" s="3"/>
      <c r="Z1567" s="3"/>
      <c r="AA1567" s="3"/>
    </row>
    <row r="1568" ht="105.75" customHeight="1">
      <c r="A1568" s="11"/>
      <c r="B1568" s="12"/>
      <c r="C1568" s="11"/>
      <c r="D1568" s="13"/>
      <c r="E1568" s="16"/>
      <c r="F1568" s="16"/>
      <c r="G1568" s="16"/>
      <c r="H1568" s="15"/>
      <c r="I1568" s="15"/>
      <c r="J1568" s="3"/>
      <c r="K1568" s="3"/>
      <c r="L1568" s="3"/>
      <c r="M1568" s="3"/>
      <c r="N1568" s="3"/>
      <c r="O1568" s="3"/>
      <c r="P1568" s="3"/>
      <c r="Q1568" s="3"/>
      <c r="R1568" s="3"/>
      <c r="S1568" s="3"/>
      <c r="T1568" s="3"/>
      <c r="U1568" s="3"/>
      <c r="V1568" s="3"/>
      <c r="W1568" s="3"/>
      <c r="X1568" s="3"/>
      <c r="Y1568" s="3"/>
      <c r="Z1568" s="3"/>
      <c r="AA1568" s="3"/>
    </row>
    <row r="1569" ht="105.75" customHeight="1">
      <c r="A1569" s="11"/>
      <c r="B1569" s="12"/>
      <c r="C1569" s="11"/>
      <c r="D1569" s="13"/>
      <c r="E1569" s="16"/>
      <c r="F1569" s="16"/>
      <c r="G1569" s="16"/>
      <c r="H1569" s="15"/>
      <c r="I1569" s="15"/>
      <c r="J1569" s="3"/>
      <c r="K1569" s="3"/>
      <c r="L1569" s="3"/>
      <c r="M1569" s="3"/>
      <c r="N1569" s="3"/>
      <c r="O1569" s="3"/>
      <c r="P1569" s="3"/>
      <c r="Q1569" s="3"/>
      <c r="R1569" s="3"/>
      <c r="S1569" s="3"/>
      <c r="T1569" s="3"/>
      <c r="U1569" s="3"/>
      <c r="V1569" s="3"/>
      <c r="W1569" s="3"/>
      <c r="X1569" s="3"/>
      <c r="Y1569" s="3"/>
      <c r="Z1569" s="3"/>
      <c r="AA1569" s="3"/>
    </row>
    <row r="1570" ht="105.75" customHeight="1">
      <c r="A1570" s="11"/>
      <c r="B1570" s="12"/>
      <c r="C1570" s="11"/>
      <c r="D1570" s="13"/>
      <c r="E1570" s="14"/>
      <c r="F1570" s="14"/>
      <c r="G1570" s="14"/>
      <c r="H1570" s="15"/>
      <c r="I1570" s="15"/>
      <c r="J1570" s="3"/>
      <c r="K1570" s="3"/>
      <c r="L1570" s="3"/>
      <c r="M1570" s="3"/>
      <c r="N1570" s="3"/>
      <c r="O1570" s="3"/>
      <c r="P1570" s="3"/>
      <c r="Q1570" s="3"/>
      <c r="R1570" s="3"/>
      <c r="S1570" s="3"/>
      <c r="T1570" s="3"/>
      <c r="U1570" s="3"/>
      <c r="V1570" s="3"/>
      <c r="W1570" s="3"/>
      <c r="X1570" s="3"/>
      <c r="Y1570" s="3"/>
      <c r="Z1570" s="3"/>
      <c r="AA1570" s="3"/>
    </row>
    <row r="1571" ht="105.75" customHeight="1">
      <c r="A1571" s="11"/>
      <c r="B1571" s="12"/>
      <c r="C1571" s="11"/>
      <c r="D1571" s="13"/>
      <c r="E1571" s="14"/>
      <c r="F1571" s="14"/>
      <c r="G1571" s="14"/>
      <c r="H1571" s="15"/>
      <c r="I1571" s="15"/>
      <c r="J1571" s="3"/>
      <c r="K1571" s="3"/>
      <c r="L1571" s="3"/>
      <c r="M1571" s="3"/>
      <c r="N1571" s="3"/>
      <c r="O1571" s="3"/>
      <c r="P1571" s="3"/>
      <c r="Q1571" s="3"/>
      <c r="R1571" s="3"/>
      <c r="S1571" s="3"/>
      <c r="T1571" s="3"/>
      <c r="U1571" s="3"/>
      <c r="V1571" s="3"/>
      <c r="W1571" s="3"/>
      <c r="X1571" s="3"/>
      <c r="Y1571" s="3"/>
      <c r="Z1571" s="3"/>
      <c r="AA1571" s="3"/>
    </row>
    <row r="1572" ht="105.75" customHeight="1">
      <c r="A1572" s="11"/>
      <c r="B1572" s="12"/>
      <c r="C1572" s="11"/>
      <c r="D1572" s="13"/>
      <c r="E1572" s="14"/>
      <c r="F1572" s="14"/>
      <c r="G1572" s="14"/>
      <c r="H1572" s="15"/>
      <c r="I1572" s="15"/>
      <c r="J1572" s="3"/>
      <c r="K1572" s="3"/>
      <c r="L1572" s="3"/>
      <c r="M1572" s="3"/>
      <c r="N1572" s="3"/>
      <c r="O1572" s="3"/>
      <c r="P1572" s="3"/>
      <c r="Q1572" s="3"/>
      <c r="R1572" s="3"/>
      <c r="S1572" s="3"/>
      <c r="T1572" s="3"/>
      <c r="U1572" s="3"/>
      <c r="V1572" s="3"/>
      <c r="W1572" s="3"/>
      <c r="X1572" s="3"/>
      <c r="Y1572" s="3"/>
      <c r="Z1572" s="3"/>
      <c r="AA1572" s="3"/>
    </row>
    <row r="1573" ht="105.75" customHeight="1">
      <c r="A1573" s="11"/>
      <c r="B1573" s="12"/>
      <c r="C1573" s="11"/>
      <c r="D1573" s="13"/>
      <c r="E1573" s="14"/>
      <c r="F1573" s="14"/>
      <c r="G1573" s="14"/>
      <c r="H1573" s="15"/>
      <c r="I1573" s="15"/>
      <c r="J1573" s="3"/>
      <c r="K1573" s="3"/>
      <c r="L1573" s="3"/>
      <c r="M1573" s="3"/>
      <c r="N1573" s="3"/>
      <c r="O1573" s="3"/>
      <c r="P1573" s="3"/>
      <c r="Q1573" s="3"/>
      <c r="R1573" s="3"/>
      <c r="S1573" s="3"/>
      <c r="T1573" s="3"/>
      <c r="U1573" s="3"/>
      <c r="V1573" s="3"/>
      <c r="W1573" s="3"/>
      <c r="X1573" s="3"/>
      <c r="Y1573" s="3"/>
      <c r="Z1573" s="3"/>
      <c r="AA1573" s="3"/>
    </row>
    <row r="1574" ht="105.75" customHeight="1">
      <c r="A1574" s="11"/>
      <c r="B1574" s="12"/>
      <c r="C1574" s="11"/>
      <c r="D1574" s="13"/>
      <c r="E1574" s="14"/>
      <c r="F1574" s="14"/>
      <c r="G1574" s="14"/>
      <c r="H1574" s="15"/>
      <c r="I1574" s="15"/>
      <c r="J1574" s="3"/>
      <c r="K1574" s="3"/>
      <c r="L1574" s="3"/>
      <c r="M1574" s="3"/>
      <c r="N1574" s="3"/>
      <c r="O1574" s="3"/>
      <c r="P1574" s="3"/>
      <c r="Q1574" s="3"/>
      <c r="R1574" s="3"/>
      <c r="S1574" s="3"/>
      <c r="T1574" s="3"/>
      <c r="U1574" s="3"/>
      <c r="V1574" s="3"/>
      <c r="W1574" s="3"/>
      <c r="X1574" s="3"/>
      <c r="Y1574" s="3"/>
      <c r="Z1574" s="3"/>
      <c r="AA1574" s="3"/>
    </row>
    <row r="1575" ht="105.75" customHeight="1">
      <c r="A1575" s="11"/>
      <c r="B1575" s="12"/>
      <c r="C1575" s="11"/>
      <c r="D1575" s="13"/>
      <c r="E1575" s="16"/>
      <c r="F1575" s="16"/>
      <c r="G1575" s="16"/>
      <c r="H1575" s="15"/>
      <c r="I1575" s="15"/>
      <c r="J1575" s="3"/>
      <c r="K1575" s="3"/>
      <c r="L1575" s="3"/>
      <c r="M1575" s="3"/>
      <c r="N1575" s="3"/>
      <c r="O1575" s="3"/>
      <c r="P1575" s="3"/>
      <c r="Q1575" s="3"/>
      <c r="R1575" s="3"/>
      <c r="S1575" s="3"/>
      <c r="T1575" s="3"/>
      <c r="U1575" s="3"/>
      <c r="V1575" s="3"/>
      <c r="W1575" s="3"/>
      <c r="X1575" s="3"/>
      <c r="Y1575" s="3"/>
      <c r="Z1575" s="3"/>
      <c r="AA1575" s="3"/>
    </row>
    <row r="1576" ht="105.75" customHeight="1">
      <c r="A1576" s="11"/>
      <c r="B1576" s="12"/>
      <c r="C1576" s="11"/>
      <c r="D1576" s="13"/>
      <c r="E1576" s="14"/>
      <c r="F1576" s="14"/>
      <c r="G1576" s="14"/>
      <c r="H1576" s="15"/>
      <c r="I1576" s="15"/>
      <c r="J1576" s="3"/>
      <c r="K1576" s="3"/>
      <c r="L1576" s="3"/>
      <c r="M1576" s="3"/>
      <c r="N1576" s="3"/>
      <c r="O1576" s="3"/>
      <c r="P1576" s="3"/>
      <c r="Q1576" s="3"/>
      <c r="R1576" s="3"/>
      <c r="S1576" s="3"/>
      <c r="T1576" s="3"/>
      <c r="U1576" s="3"/>
      <c r="V1576" s="3"/>
      <c r="W1576" s="3"/>
      <c r="X1576" s="3"/>
      <c r="Y1576" s="3"/>
      <c r="Z1576" s="3"/>
      <c r="AA1576" s="3"/>
    </row>
    <row r="1577" ht="105.75" customHeight="1">
      <c r="A1577" s="11"/>
      <c r="B1577" s="12"/>
      <c r="C1577" s="11"/>
      <c r="D1577" s="13"/>
      <c r="E1577" s="14"/>
      <c r="F1577" s="14"/>
      <c r="G1577" s="14"/>
      <c r="H1577" s="15"/>
      <c r="I1577" s="15"/>
      <c r="J1577" s="3"/>
      <c r="K1577" s="3"/>
      <c r="L1577" s="3"/>
      <c r="M1577" s="3"/>
      <c r="N1577" s="3"/>
      <c r="O1577" s="3"/>
      <c r="P1577" s="3"/>
      <c r="Q1577" s="3"/>
      <c r="R1577" s="3"/>
      <c r="S1577" s="3"/>
      <c r="T1577" s="3"/>
      <c r="U1577" s="3"/>
      <c r="V1577" s="3"/>
      <c r="W1577" s="3"/>
      <c r="X1577" s="3"/>
      <c r="Y1577" s="3"/>
      <c r="Z1577" s="3"/>
      <c r="AA1577" s="3"/>
    </row>
    <row r="1578" ht="105.75" customHeight="1">
      <c r="A1578" s="11"/>
      <c r="B1578" s="12"/>
      <c r="C1578" s="11"/>
      <c r="D1578" s="13"/>
      <c r="E1578" s="14"/>
      <c r="F1578" s="14"/>
      <c r="G1578" s="14"/>
      <c r="H1578" s="15"/>
      <c r="I1578" s="15"/>
      <c r="J1578" s="3"/>
      <c r="K1578" s="3"/>
      <c r="L1578" s="3"/>
      <c r="M1578" s="3"/>
      <c r="N1578" s="3"/>
      <c r="O1578" s="3"/>
      <c r="P1578" s="3"/>
      <c r="Q1578" s="3"/>
      <c r="R1578" s="3"/>
      <c r="S1578" s="3"/>
      <c r="T1578" s="3"/>
      <c r="U1578" s="3"/>
      <c r="V1578" s="3"/>
      <c r="W1578" s="3"/>
      <c r="X1578" s="3"/>
      <c r="Y1578" s="3"/>
      <c r="Z1578" s="3"/>
      <c r="AA1578" s="3"/>
    </row>
    <row r="1579" ht="105.75" customHeight="1">
      <c r="A1579" s="11"/>
      <c r="B1579" s="12"/>
      <c r="C1579" s="11"/>
      <c r="D1579" s="13"/>
      <c r="E1579" s="14"/>
      <c r="F1579" s="14"/>
      <c r="G1579" s="14"/>
      <c r="H1579" s="15"/>
      <c r="I1579" s="15"/>
      <c r="J1579" s="3"/>
      <c r="K1579" s="3"/>
      <c r="L1579" s="3"/>
      <c r="M1579" s="3"/>
      <c r="N1579" s="3"/>
      <c r="O1579" s="3"/>
      <c r="P1579" s="3"/>
      <c r="Q1579" s="3"/>
      <c r="R1579" s="3"/>
      <c r="S1579" s="3"/>
      <c r="T1579" s="3"/>
      <c r="U1579" s="3"/>
      <c r="V1579" s="3"/>
      <c r="W1579" s="3"/>
      <c r="X1579" s="3"/>
      <c r="Y1579" s="3"/>
      <c r="Z1579" s="3"/>
      <c r="AA1579" s="3"/>
    </row>
    <row r="1580" ht="105.75" customHeight="1">
      <c r="A1580" s="11"/>
      <c r="B1580" s="12"/>
      <c r="C1580" s="11"/>
      <c r="D1580" s="13"/>
      <c r="E1580" s="14"/>
      <c r="F1580" s="14"/>
      <c r="G1580" s="14"/>
      <c r="H1580" s="15"/>
      <c r="I1580" s="15"/>
      <c r="J1580" s="3"/>
      <c r="K1580" s="3"/>
      <c r="L1580" s="3"/>
      <c r="M1580" s="3"/>
      <c r="N1580" s="3"/>
      <c r="O1580" s="3"/>
      <c r="P1580" s="3"/>
      <c r="Q1580" s="3"/>
      <c r="R1580" s="3"/>
      <c r="S1580" s="3"/>
      <c r="T1580" s="3"/>
      <c r="U1580" s="3"/>
      <c r="V1580" s="3"/>
      <c r="W1580" s="3"/>
      <c r="X1580" s="3"/>
      <c r="Y1580" s="3"/>
      <c r="Z1580" s="3"/>
      <c r="AA1580" s="3"/>
    </row>
    <row r="1581" ht="105.75" customHeight="1">
      <c r="A1581" s="11"/>
      <c r="B1581" s="12"/>
      <c r="C1581" s="11"/>
      <c r="D1581" s="13"/>
      <c r="E1581" s="14"/>
      <c r="F1581" s="14"/>
      <c r="G1581" s="14"/>
      <c r="H1581" s="15"/>
      <c r="I1581" s="15"/>
      <c r="J1581" s="3"/>
      <c r="K1581" s="3"/>
      <c r="L1581" s="3"/>
      <c r="M1581" s="3"/>
      <c r="N1581" s="3"/>
      <c r="O1581" s="3"/>
      <c r="P1581" s="3"/>
      <c r="Q1581" s="3"/>
      <c r="R1581" s="3"/>
      <c r="S1581" s="3"/>
      <c r="T1581" s="3"/>
      <c r="U1581" s="3"/>
      <c r="V1581" s="3"/>
      <c r="W1581" s="3"/>
      <c r="X1581" s="3"/>
      <c r="Y1581" s="3"/>
      <c r="Z1581" s="3"/>
      <c r="AA1581" s="3"/>
    </row>
    <row r="1582" ht="105.75" customHeight="1">
      <c r="A1582" s="11"/>
      <c r="B1582" s="12"/>
      <c r="C1582" s="11"/>
      <c r="D1582" s="13"/>
      <c r="E1582" s="14"/>
      <c r="F1582" s="14"/>
      <c r="G1582" s="14"/>
      <c r="H1582" s="15"/>
      <c r="I1582" s="15"/>
      <c r="J1582" s="3"/>
      <c r="K1582" s="3"/>
      <c r="L1582" s="3"/>
      <c r="M1582" s="3"/>
      <c r="N1582" s="3"/>
      <c r="O1582" s="3"/>
      <c r="P1582" s="3"/>
      <c r="Q1582" s="3"/>
      <c r="R1582" s="3"/>
      <c r="S1582" s="3"/>
      <c r="T1582" s="3"/>
      <c r="U1582" s="3"/>
      <c r="V1582" s="3"/>
      <c r="W1582" s="3"/>
      <c r="X1582" s="3"/>
      <c r="Y1582" s="3"/>
      <c r="Z1582" s="3"/>
      <c r="AA1582" s="3"/>
    </row>
    <row r="1583" ht="105.75" customHeight="1">
      <c r="A1583" s="11"/>
      <c r="B1583" s="12"/>
      <c r="C1583" s="11"/>
      <c r="D1583" s="13"/>
      <c r="E1583" s="14"/>
      <c r="F1583" s="14"/>
      <c r="G1583" s="14"/>
      <c r="H1583" s="15"/>
      <c r="I1583" s="15"/>
      <c r="J1583" s="3"/>
      <c r="K1583" s="3"/>
      <c r="L1583" s="3"/>
      <c r="M1583" s="3"/>
      <c r="N1583" s="3"/>
      <c r="O1583" s="3"/>
      <c r="P1583" s="3"/>
      <c r="Q1583" s="3"/>
      <c r="R1583" s="3"/>
      <c r="S1583" s="3"/>
      <c r="T1583" s="3"/>
      <c r="U1583" s="3"/>
      <c r="V1583" s="3"/>
      <c r="W1583" s="3"/>
      <c r="X1583" s="3"/>
      <c r="Y1583" s="3"/>
      <c r="Z1583" s="3"/>
      <c r="AA1583" s="3"/>
    </row>
    <row r="1584" ht="105.75" customHeight="1">
      <c r="A1584" s="11"/>
      <c r="B1584" s="12"/>
      <c r="C1584" s="11"/>
      <c r="D1584" s="13"/>
      <c r="E1584" s="14"/>
      <c r="F1584" s="14"/>
      <c r="G1584" s="14"/>
      <c r="H1584" s="15"/>
      <c r="I1584" s="15"/>
      <c r="J1584" s="3"/>
      <c r="K1584" s="3"/>
      <c r="L1584" s="3"/>
      <c r="M1584" s="3"/>
      <c r="N1584" s="3"/>
      <c r="O1584" s="3"/>
      <c r="P1584" s="3"/>
      <c r="Q1584" s="3"/>
      <c r="R1584" s="3"/>
      <c r="S1584" s="3"/>
      <c r="T1584" s="3"/>
      <c r="U1584" s="3"/>
      <c r="V1584" s="3"/>
      <c r="W1584" s="3"/>
      <c r="X1584" s="3"/>
      <c r="Y1584" s="3"/>
      <c r="Z1584" s="3"/>
      <c r="AA1584" s="3"/>
    </row>
    <row r="1585" ht="105.75" customHeight="1">
      <c r="A1585" s="11"/>
      <c r="B1585" s="12"/>
      <c r="C1585" s="11"/>
      <c r="D1585" s="13"/>
      <c r="E1585" s="14"/>
      <c r="F1585" s="14"/>
      <c r="G1585" s="14"/>
      <c r="H1585" s="15"/>
      <c r="I1585" s="15"/>
      <c r="J1585" s="3"/>
      <c r="K1585" s="3"/>
      <c r="L1585" s="3"/>
      <c r="M1585" s="3"/>
      <c r="N1585" s="3"/>
      <c r="O1585" s="3"/>
      <c r="P1585" s="3"/>
      <c r="Q1585" s="3"/>
      <c r="R1585" s="3"/>
      <c r="S1585" s="3"/>
      <c r="T1585" s="3"/>
      <c r="U1585" s="3"/>
      <c r="V1585" s="3"/>
      <c r="W1585" s="3"/>
      <c r="X1585" s="3"/>
      <c r="Y1585" s="3"/>
      <c r="Z1585" s="3"/>
      <c r="AA1585" s="3"/>
    </row>
    <row r="1586" ht="105.75" customHeight="1">
      <c r="A1586" s="11"/>
      <c r="B1586" s="12"/>
      <c r="C1586" s="11"/>
      <c r="D1586" s="13"/>
      <c r="E1586" s="14"/>
      <c r="F1586" s="14"/>
      <c r="G1586" s="14"/>
      <c r="H1586" s="15"/>
      <c r="I1586" s="15"/>
      <c r="J1586" s="3"/>
      <c r="K1586" s="3"/>
      <c r="L1586" s="3"/>
      <c r="M1586" s="3"/>
      <c r="N1586" s="3"/>
      <c r="O1586" s="3"/>
      <c r="P1586" s="3"/>
      <c r="Q1586" s="3"/>
      <c r="R1586" s="3"/>
      <c r="S1586" s="3"/>
      <c r="T1586" s="3"/>
      <c r="U1586" s="3"/>
      <c r="V1586" s="3"/>
      <c r="W1586" s="3"/>
      <c r="X1586" s="3"/>
      <c r="Y1586" s="3"/>
      <c r="Z1586" s="3"/>
      <c r="AA1586" s="3"/>
    </row>
    <row r="1587" ht="105.75" customHeight="1">
      <c r="A1587" s="11"/>
      <c r="B1587" s="12"/>
      <c r="C1587" s="11"/>
      <c r="D1587" s="13"/>
      <c r="E1587" s="16"/>
      <c r="F1587" s="16"/>
      <c r="G1587" s="16"/>
      <c r="H1587" s="15"/>
      <c r="I1587" s="15"/>
      <c r="J1587" s="3"/>
      <c r="K1587" s="3"/>
      <c r="L1587" s="3"/>
      <c r="M1587" s="3"/>
      <c r="N1587" s="3"/>
      <c r="O1587" s="3"/>
      <c r="P1587" s="3"/>
      <c r="Q1587" s="3"/>
      <c r="R1587" s="3"/>
      <c r="S1587" s="3"/>
      <c r="T1587" s="3"/>
      <c r="U1587" s="3"/>
      <c r="V1587" s="3"/>
      <c r="W1587" s="3"/>
      <c r="X1587" s="3"/>
      <c r="Y1587" s="3"/>
      <c r="Z1587" s="3"/>
      <c r="AA1587" s="3"/>
    </row>
    <row r="1588" ht="105.75" customHeight="1">
      <c r="A1588" s="11"/>
      <c r="B1588" s="12"/>
      <c r="C1588" s="11"/>
      <c r="D1588" s="13"/>
      <c r="E1588" s="14"/>
      <c r="F1588" s="14"/>
      <c r="G1588" s="14"/>
      <c r="H1588" s="15"/>
      <c r="I1588" s="15"/>
      <c r="J1588" s="3"/>
      <c r="K1588" s="3"/>
      <c r="L1588" s="3"/>
      <c r="M1588" s="3"/>
      <c r="N1588" s="3"/>
      <c r="O1588" s="3"/>
      <c r="P1588" s="3"/>
      <c r="Q1588" s="3"/>
      <c r="R1588" s="3"/>
      <c r="S1588" s="3"/>
      <c r="T1588" s="3"/>
      <c r="U1588" s="3"/>
      <c r="V1588" s="3"/>
      <c r="W1588" s="3"/>
      <c r="X1588" s="3"/>
      <c r="Y1588" s="3"/>
      <c r="Z1588" s="3"/>
      <c r="AA1588" s="3"/>
    </row>
    <row r="1589" ht="105.75" customHeight="1">
      <c r="A1589" s="11"/>
      <c r="B1589" s="12"/>
      <c r="C1589" s="11"/>
      <c r="D1589" s="13"/>
      <c r="E1589" s="14"/>
      <c r="F1589" s="14"/>
      <c r="G1589" s="14"/>
      <c r="H1589" s="15"/>
      <c r="I1589" s="15"/>
      <c r="J1589" s="3"/>
      <c r="K1589" s="3"/>
      <c r="L1589" s="3"/>
      <c r="M1589" s="3"/>
      <c r="N1589" s="3"/>
      <c r="O1589" s="3"/>
      <c r="P1589" s="3"/>
      <c r="Q1589" s="3"/>
      <c r="R1589" s="3"/>
      <c r="S1589" s="3"/>
      <c r="T1589" s="3"/>
      <c r="U1589" s="3"/>
      <c r="V1589" s="3"/>
      <c r="W1589" s="3"/>
      <c r="X1589" s="3"/>
      <c r="Y1589" s="3"/>
      <c r="Z1589" s="3"/>
      <c r="AA1589" s="3"/>
    </row>
    <row r="1590" ht="105.75" customHeight="1">
      <c r="A1590" s="11"/>
      <c r="B1590" s="12"/>
      <c r="C1590" s="11"/>
      <c r="D1590" s="13"/>
      <c r="E1590" s="14"/>
      <c r="F1590" s="14"/>
      <c r="G1590" s="14"/>
      <c r="H1590" s="15"/>
      <c r="I1590" s="15"/>
      <c r="J1590" s="3"/>
      <c r="K1590" s="3"/>
      <c r="L1590" s="3"/>
      <c r="M1590" s="3"/>
      <c r="N1590" s="3"/>
      <c r="O1590" s="3"/>
      <c r="P1590" s="3"/>
      <c r="Q1590" s="3"/>
      <c r="R1590" s="3"/>
      <c r="S1590" s="3"/>
      <c r="T1590" s="3"/>
      <c r="U1590" s="3"/>
      <c r="V1590" s="3"/>
      <c r="W1590" s="3"/>
      <c r="X1590" s="3"/>
      <c r="Y1590" s="3"/>
      <c r="Z1590" s="3"/>
      <c r="AA1590" s="3"/>
    </row>
    <row r="1591" ht="105.75" customHeight="1">
      <c r="A1591" s="11"/>
      <c r="B1591" s="12"/>
      <c r="C1591" s="11"/>
      <c r="D1591" s="13"/>
      <c r="E1591" s="14"/>
      <c r="F1591" s="14"/>
      <c r="G1591" s="14"/>
      <c r="H1591" s="15"/>
      <c r="I1591" s="15"/>
      <c r="J1591" s="3"/>
      <c r="K1591" s="3"/>
      <c r="L1591" s="3"/>
      <c r="M1591" s="3"/>
      <c r="N1591" s="3"/>
      <c r="O1591" s="3"/>
      <c r="P1591" s="3"/>
      <c r="Q1591" s="3"/>
      <c r="R1591" s="3"/>
      <c r="S1591" s="3"/>
      <c r="T1591" s="3"/>
      <c r="U1591" s="3"/>
      <c r="V1591" s="3"/>
      <c r="W1591" s="3"/>
      <c r="X1591" s="3"/>
      <c r="Y1591" s="3"/>
      <c r="Z1591" s="3"/>
      <c r="AA1591" s="3"/>
    </row>
    <row r="1592" ht="105.75" customHeight="1">
      <c r="A1592" s="11"/>
      <c r="B1592" s="12"/>
      <c r="C1592" s="11"/>
      <c r="D1592" s="13"/>
      <c r="E1592" s="16"/>
      <c r="F1592" s="16"/>
      <c r="G1592" s="16"/>
      <c r="H1592" s="15"/>
      <c r="I1592" s="15"/>
      <c r="J1592" s="3"/>
      <c r="K1592" s="3"/>
      <c r="L1592" s="3"/>
      <c r="M1592" s="3"/>
      <c r="N1592" s="3"/>
      <c r="O1592" s="3"/>
      <c r="P1592" s="3"/>
      <c r="Q1592" s="3"/>
      <c r="R1592" s="3"/>
      <c r="S1592" s="3"/>
      <c r="T1592" s="3"/>
      <c r="U1592" s="3"/>
      <c r="V1592" s="3"/>
      <c r="W1592" s="3"/>
      <c r="X1592" s="3"/>
      <c r="Y1592" s="3"/>
      <c r="Z1592" s="3"/>
      <c r="AA1592" s="3"/>
    </row>
    <row r="1593" ht="105.75" customHeight="1">
      <c r="A1593" s="11"/>
      <c r="B1593" s="12"/>
      <c r="C1593" s="11"/>
      <c r="D1593" s="13"/>
      <c r="E1593" s="14"/>
      <c r="F1593" s="14"/>
      <c r="G1593" s="14"/>
      <c r="H1593" s="15"/>
      <c r="I1593" s="15"/>
      <c r="J1593" s="3"/>
      <c r="K1593" s="3"/>
      <c r="L1593" s="3"/>
      <c r="M1593" s="3"/>
      <c r="N1593" s="3"/>
      <c r="O1593" s="3"/>
      <c r="P1593" s="3"/>
      <c r="Q1593" s="3"/>
      <c r="R1593" s="3"/>
      <c r="S1593" s="3"/>
      <c r="T1593" s="3"/>
      <c r="U1593" s="3"/>
      <c r="V1593" s="3"/>
      <c r="W1593" s="3"/>
      <c r="X1593" s="3"/>
      <c r="Y1593" s="3"/>
      <c r="Z1593" s="3"/>
      <c r="AA1593" s="3"/>
    </row>
    <row r="1594" ht="105.75" customHeight="1">
      <c r="A1594" s="11"/>
      <c r="B1594" s="12"/>
      <c r="C1594" s="11"/>
      <c r="D1594" s="13"/>
      <c r="E1594" s="14"/>
      <c r="F1594" s="14"/>
      <c r="G1594" s="14"/>
      <c r="H1594" s="15"/>
      <c r="I1594" s="15"/>
      <c r="J1594" s="3"/>
      <c r="K1594" s="3"/>
      <c r="L1594" s="3"/>
      <c r="M1594" s="3"/>
      <c r="N1594" s="3"/>
      <c r="O1594" s="3"/>
      <c r="P1594" s="3"/>
      <c r="Q1594" s="3"/>
      <c r="R1594" s="3"/>
      <c r="S1594" s="3"/>
      <c r="T1594" s="3"/>
      <c r="U1594" s="3"/>
      <c r="V1594" s="3"/>
      <c r="W1594" s="3"/>
      <c r="X1594" s="3"/>
      <c r="Y1594" s="3"/>
      <c r="Z1594" s="3"/>
      <c r="AA1594" s="3"/>
    </row>
    <row r="1595" ht="105.75" customHeight="1">
      <c r="A1595" s="11"/>
      <c r="B1595" s="12"/>
      <c r="C1595" s="11"/>
      <c r="D1595" s="13"/>
      <c r="E1595" s="14"/>
      <c r="F1595" s="14"/>
      <c r="G1595" s="14"/>
      <c r="H1595" s="15"/>
      <c r="I1595" s="15"/>
      <c r="J1595" s="3"/>
      <c r="K1595" s="3"/>
      <c r="L1595" s="3"/>
      <c r="M1595" s="3"/>
      <c r="N1595" s="3"/>
      <c r="O1595" s="3"/>
      <c r="P1595" s="3"/>
      <c r="Q1595" s="3"/>
      <c r="R1595" s="3"/>
      <c r="S1595" s="3"/>
      <c r="T1595" s="3"/>
      <c r="U1595" s="3"/>
      <c r="V1595" s="3"/>
      <c r="W1595" s="3"/>
      <c r="X1595" s="3"/>
      <c r="Y1595" s="3"/>
      <c r="Z1595" s="3"/>
      <c r="AA1595" s="3"/>
    </row>
    <row r="1596" ht="105.75" customHeight="1">
      <c r="A1596" s="11"/>
      <c r="B1596" s="12"/>
      <c r="C1596" s="11"/>
      <c r="D1596" s="13"/>
      <c r="E1596" s="16"/>
      <c r="F1596" s="16"/>
      <c r="G1596" s="16"/>
      <c r="H1596" s="15"/>
      <c r="I1596" s="15"/>
      <c r="J1596" s="3"/>
      <c r="K1596" s="3"/>
      <c r="L1596" s="3"/>
      <c r="M1596" s="3"/>
      <c r="N1596" s="3"/>
      <c r="O1596" s="3"/>
      <c r="P1596" s="3"/>
      <c r="Q1596" s="3"/>
      <c r="R1596" s="3"/>
      <c r="S1596" s="3"/>
      <c r="T1596" s="3"/>
      <c r="U1596" s="3"/>
      <c r="V1596" s="3"/>
      <c r="W1596" s="3"/>
      <c r="X1596" s="3"/>
      <c r="Y1596" s="3"/>
      <c r="Z1596" s="3"/>
      <c r="AA1596" s="3"/>
    </row>
    <row r="1597" ht="105.75" customHeight="1">
      <c r="A1597" s="11"/>
      <c r="B1597" s="12"/>
      <c r="C1597" s="11"/>
      <c r="D1597" s="13"/>
      <c r="E1597" s="16"/>
      <c r="F1597" s="16"/>
      <c r="G1597" s="16"/>
      <c r="H1597" s="15"/>
      <c r="I1597" s="15"/>
      <c r="J1597" s="3"/>
      <c r="K1597" s="3"/>
      <c r="L1597" s="3"/>
      <c r="M1597" s="3"/>
      <c r="N1597" s="3"/>
      <c r="O1597" s="3"/>
      <c r="P1597" s="3"/>
      <c r="Q1597" s="3"/>
      <c r="R1597" s="3"/>
      <c r="S1597" s="3"/>
      <c r="T1597" s="3"/>
      <c r="U1597" s="3"/>
      <c r="V1597" s="3"/>
      <c r="W1597" s="3"/>
      <c r="X1597" s="3"/>
      <c r="Y1597" s="3"/>
      <c r="Z1597" s="3"/>
      <c r="AA1597" s="3"/>
    </row>
    <row r="1598" ht="105.75" customHeight="1">
      <c r="A1598" s="11"/>
      <c r="B1598" s="12"/>
      <c r="C1598" s="11"/>
      <c r="D1598" s="13"/>
      <c r="E1598" s="14"/>
      <c r="F1598" s="14"/>
      <c r="G1598" s="14"/>
      <c r="H1598" s="15"/>
      <c r="I1598" s="15"/>
      <c r="J1598" s="3"/>
      <c r="K1598" s="3"/>
      <c r="L1598" s="3"/>
      <c r="M1598" s="3"/>
      <c r="N1598" s="3"/>
      <c r="O1598" s="3"/>
      <c r="P1598" s="3"/>
      <c r="Q1598" s="3"/>
      <c r="R1598" s="3"/>
      <c r="S1598" s="3"/>
      <c r="T1598" s="3"/>
      <c r="U1598" s="3"/>
      <c r="V1598" s="3"/>
      <c r="W1598" s="3"/>
      <c r="X1598" s="3"/>
      <c r="Y1598" s="3"/>
      <c r="Z1598" s="3"/>
      <c r="AA1598" s="3"/>
    </row>
    <row r="1599" ht="105.75" customHeight="1">
      <c r="A1599" s="11"/>
      <c r="B1599" s="12"/>
      <c r="C1599" s="11"/>
      <c r="D1599" s="13"/>
      <c r="E1599" s="14"/>
      <c r="F1599" s="14"/>
      <c r="G1599" s="14"/>
      <c r="H1599" s="15"/>
      <c r="I1599" s="15"/>
      <c r="J1599" s="3"/>
      <c r="K1599" s="3"/>
      <c r="L1599" s="3"/>
      <c r="M1599" s="3"/>
      <c r="N1599" s="3"/>
      <c r="O1599" s="3"/>
      <c r="P1599" s="3"/>
      <c r="Q1599" s="3"/>
      <c r="R1599" s="3"/>
      <c r="S1599" s="3"/>
      <c r="T1599" s="3"/>
      <c r="U1599" s="3"/>
      <c r="V1599" s="3"/>
      <c r="W1599" s="3"/>
      <c r="X1599" s="3"/>
      <c r="Y1599" s="3"/>
      <c r="Z1599" s="3"/>
      <c r="AA1599" s="3"/>
    </row>
    <row r="1600" ht="105.75" customHeight="1">
      <c r="A1600" s="11"/>
      <c r="B1600" s="12"/>
      <c r="C1600" s="11"/>
      <c r="D1600" s="13"/>
      <c r="E1600" s="14"/>
      <c r="F1600" s="14"/>
      <c r="G1600" s="14"/>
      <c r="H1600" s="15"/>
      <c r="I1600" s="15"/>
      <c r="J1600" s="3"/>
      <c r="K1600" s="3"/>
      <c r="L1600" s="3"/>
      <c r="M1600" s="3"/>
      <c r="N1600" s="3"/>
      <c r="O1600" s="3"/>
      <c r="P1600" s="3"/>
      <c r="Q1600" s="3"/>
      <c r="R1600" s="3"/>
      <c r="S1600" s="3"/>
      <c r="T1600" s="3"/>
      <c r="U1600" s="3"/>
      <c r="V1600" s="3"/>
      <c r="W1600" s="3"/>
      <c r="X1600" s="3"/>
      <c r="Y1600" s="3"/>
      <c r="Z1600" s="3"/>
      <c r="AA1600" s="3"/>
    </row>
    <row r="1601" ht="105.75" customHeight="1">
      <c r="A1601" s="11"/>
      <c r="B1601" s="12"/>
      <c r="C1601" s="11"/>
      <c r="D1601" s="13"/>
      <c r="E1601" s="14"/>
      <c r="F1601" s="14"/>
      <c r="G1601" s="14"/>
      <c r="H1601" s="15"/>
      <c r="I1601" s="15"/>
      <c r="J1601" s="3"/>
      <c r="K1601" s="3"/>
      <c r="L1601" s="3"/>
      <c r="M1601" s="3"/>
      <c r="N1601" s="3"/>
      <c r="O1601" s="3"/>
      <c r="P1601" s="3"/>
      <c r="Q1601" s="3"/>
      <c r="R1601" s="3"/>
      <c r="S1601" s="3"/>
      <c r="T1601" s="3"/>
      <c r="U1601" s="3"/>
      <c r="V1601" s="3"/>
      <c r="W1601" s="3"/>
      <c r="X1601" s="3"/>
      <c r="Y1601" s="3"/>
      <c r="Z1601" s="3"/>
      <c r="AA1601" s="3"/>
    </row>
    <row r="1602" ht="105.75" customHeight="1">
      <c r="A1602" s="11"/>
      <c r="B1602" s="12"/>
      <c r="C1602" s="11"/>
      <c r="D1602" s="13"/>
      <c r="E1602" s="14"/>
      <c r="F1602" s="14"/>
      <c r="G1602" s="14"/>
      <c r="H1602" s="15"/>
      <c r="I1602" s="15"/>
      <c r="J1602" s="3"/>
      <c r="K1602" s="3"/>
      <c r="L1602" s="3"/>
      <c r="M1602" s="3"/>
      <c r="N1602" s="3"/>
      <c r="O1602" s="3"/>
      <c r="P1602" s="3"/>
      <c r="Q1602" s="3"/>
      <c r="R1602" s="3"/>
      <c r="S1602" s="3"/>
      <c r="T1602" s="3"/>
      <c r="U1602" s="3"/>
      <c r="V1602" s="3"/>
      <c r="W1602" s="3"/>
      <c r="X1602" s="3"/>
      <c r="Y1602" s="3"/>
      <c r="Z1602" s="3"/>
      <c r="AA1602" s="3"/>
    </row>
    <row r="1603" ht="105.75" customHeight="1">
      <c r="A1603" s="11"/>
      <c r="B1603" s="12"/>
      <c r="C1603" s="11"/>
      <c r="D1603" s="13"/>
      <c r="E1603" s="14"/>
      <c r="F1603" s="14"/>
      <c r="G1603" s="14"/>
      <c r="H1603" s="15"/>
      <c r="I1603" s="15"/>
      <c r="J1603" s="3"/>
      <c r="K1603" s="3"/>
      <c r="L1603" s="3"/>
      <c r="M1603" s="3"/>
      <c r="N1603" s="3"/>
      <c r="O1603" s="3"/>
      <c r="P1603" s="3"/>
      <c r="Q1603" s="3"/>
      <c r="R1603" s="3"/>
      <c r="S1603" s="3"/>
      <c r="T1603" s="3"/>
      <c r="U1603" s="3"/>
      <c r="V1603" s="3"/>
      <c r="W1603" s="3"/>
      <c r="X1603" s="3"/>
      <c r="Y1603" s="3"/>
      <c r="Z1603" s="3"/>
      <c r="AA1603" s="3"/>
    </row>
    <row r="1604" ht="105.75" customHeight="1">
      <c r="A1604" s="11"/>
      <c r="B1604" s="12"/>
      <c r="C1604" s="11"/>
      <c r="D1604" s="13"/>
      <c r="E1604" s="14"/>
      <c r="F1604" s="14"/>
      <c r="G1604" s="14"/>
      <c r="H1604" s="15"/>
      <c r="I1604" s="15"/>
      <c r="J1604" s="3"/>
      <c r="K1604" s="3"/>
      <c r="L1604" s="3"/>
      <c r="M1604" s="3"/>
      <c r="N1604" s="3"/>
      <c r="O1604" s="3"/>
      <c r="P1604" s="3"/>
      <c r="Q1604" s="3"/>
      <c r="R1604" s="3"/>
      <c r="S1604" s="3"/>
      <c r="T1604" s="3"/>
      <c r="U1604" s="3"/>
      <c r="V1604" s="3"/>
      <c r="W1604" s="3"/>
      <c r="X1604" s="3"/>
      <c r="Y1604" s="3"/>
      <c r="Z1604" s="3"/>
      <c r="AA1604" s="3"/>
    </row>
    <row r="1605" ht="105.75" customHeight="1">
      <c r="A1605" s="11"/>
      <c r="B1605" s="12"/>
      <c r="C1605" s="11"/>
      <c r="D1605" s="13"/>
      <c r="E1605" s="14"/>
      <c r="F1605" s="14"/>
      <c r="G1605" s="14"/>
      <c r="H1605" s="15"/>
      <c r="I1605" s="15"/>
      <c r="J1605" s="3"/>
      <c r="K1605" s="3"/>
      <c r="L1605" s="3"/>
      <c r="M1605" s="3"/>
      <c r="N1605" s="3"/>
      <c r="O1605" s="3"/>
      <c r="P1605" s="3"/>
      <c r="Q1605" s="3"/>
      <c r="R1605" s="3"/>
      <c r="S1605" s="3"/>
      <c r="T1605" s="3"/>
      <c r="U1605" s="3"/>
      <c r="V1605" s="3"/>
      <c r="W1605" s="3"/>
      <c r="X1605" s="3"/>
      <c r="Y1605" s="3"/>
      <c r="Z1605" s="3"/>
      <c r="AA1605" s="3"/>
    </row>
    <row r="1606" ht="105.75" customHeight="1">
      <c r="A1606" s="11"/>
      <c r="B1606" s="12"/>
      <c r="C1606" s="11"/>
      <c r="D1606" s="13"/>
      <c r="E1606" s="14"/>
      <c r="F1606" s="14"/>
      <c r="G1606" s="14"/>
      <c r="H1606" s="15"/>
      <c r="I1606" s="15"/>
      <c r="J1606" s="3"/>
      <c r="K1606" s="3"/>
      <c r="L1606" s="3"/>
      <c r="M1606" s="3"/>
      <c r="N1606" s="3"/>
      <c r="O1606" s="3"/>
      <c r="P1606" s="3"/>
      <c r="Q1606" s="3"/>
      <c r="R1606" s="3"/>
      <c r="S1606" s="3"/>
      <c r="T1606" s="3"/>
      <c r="U1606" s="3"/>
      <c r="V1606" s="3"/>
      <c r="W1606" s="3"/>
      <c r="X1606" s="3"/>
      <c r="Y1606" s="3"/>
      <c r="Z1606" s="3"/>
      <c r="AA1606" s="3"/>
    </row>
    <row r="1607" ht="105.75" customHeight="1">
      <c r="A1607" s="11"/>
      <c r="B1607" s="12"/>
      <c r="C1607" s="11"/>
      <c r="D1607" s="13"/>
      <c r="E1607" s="16"/>
      <c r="F1607" s="16"/>
      <c r="G1607" s="16"/>
      <c r="H1607" s="15"/>
      <c r="I1607" s="15"/>
      <c r="J1607" s="3"/>
      <c r="K1607" s="3"/>
      <c r="L1607" s="3"/>
      <c r="M1607" s="3"/>
      <c r="N1607" s="3"/>
      <c r="O1607" s="3"/>
      <c r="P1607" s="3"/>
      <c r="Q1607" s="3"/>
      <c r="R1607" s="3"/>
      <c r="S1607" s="3"/>
      <c r="T1607" s="3"/>
      <c r="U1607" s="3"/>
      <c r="V1607" s="3"/>
      <c r="W1607" s="3"/>
      <c r="X1607" s="3"/>
      <c r="Y1607" s="3"/>
      <c r="Z1607" s="3"/>
      <c r="AA1607" s="3"/>
    </row>
    <row r="1608" ht="105.75" customHeight="1">
      <c r="A1608" s="11"/>
      <c r="B1608" s="12"/>
      <c r="C1608" s="11"/>
      <c r="D1608" s="13"/>
      <c r="E1608" s="14"/>
      <c r="F1608" s="14"/>
      <c r="G1608" s="14"/>
      <c r="H1608" s="15"/>
      <c r="I1608" s="15"/>
      <c r="J1608" s="3"/>
      <c r="K1608" s="3"/>
      <c r="L1608" s="3"/>
      <c r="M1608" s="3"/>
      <c r="N1608" s="3"/>
      <c r="O1608" s="3"/>
      <c r="P1608" s="3"/>
      <c r="Q1608" s="3"/>
      <c r="R1608" s="3"/>
      <c r="S1608" s="3"/>
      <c r="T1608" s="3"/>
      <c r="U1608" s="3"/>
      <c r="V1608" s="3"/>
      <c r="W1608" s="3"/>
      <c r="X1608" s="3"/>
      <c r="Y1608" s="3"/>
      <c r="Z1608" s="3"/>
      <c r="AA1608" s="3"/>
    </row>
    <row r="1609" ht="105.75" customHeight="1">
      <c r="A1609" s="11"/>
      <c r="B1609" s="12"/>
      <c r="C1609" s="11"/>
      <c r="D1609" s="13"/>
      <c r="E1609" s="14"/>
      <c r="F1609" s="14"/>
      <c r="G1609" s="14"/>
      <c r="H1609" s="15"/>
      <c r="I1609" s="15"/>
      <c r="J1609" s="3"/>
      <c r="K1609" s="3"/>
      <c r="L1609" s="3"/>
      <c r="M1609" s="3"/>
      <c r="N1609" s="3"/>
      <c r="O1609" s="3"/>
      <c r="P1609" s="3"/>
      <c r="Q1609" s="3"/>
      <c r="R1609" s="3"/>
      <c r="S1609" s="3"/>
      <c r="T1609" s="3"/>
      <c r="U1609" s="3"/>
      <c r="V1609" s="3"/>
      <c r="W1609" s="3"/>
      <c r="X1609" s="3"/>
      <c r="Y1609" s="3"/>
      <c r="Z1609" s="3"/>
      <c r="AA1609" s="3"/>
    </row>
    <row r="1610" ht="105.75" customHeight="1">
      <c r="A1610" s="11"/>
      <c r="B1610" s="12"/>
      <c r="C1610" s="11"/>
      <c r="D1610" s="13"/>
      <c r="E1610" s="14"/>
      <c r="F1610" s="14"/>
      <c r="G1610" s="14"/>
      <c r="H1610" s="15"/>
      <c r="I1610" s="15"/>
      <c r="J1610" s="3"/>
      <c r="K1610" s="3"/>
      <c r="L1610" s="3"/>
      <c r="M1610" s="3"/>
      <c r="N1610" s="3"/>
      <c r="O1610" s="3"/>
      <c r="P1610" s="3"/>
      <c r="Q1610" s="3"/>
      <c r="R1610" s="3"/>
      <c r="S1610" s="3"/>
      <c r="T1610" s="3"/>
      <c r="U1610" s="3"/>
      <c r="V1610" s="3"/>
      <c r="W1610" s="3"/>
      <c r="X1610" s="3"/>
      <c r="Y1610" s="3"/>
      <c r="Z1610" s="3"/>
      <c r="AA1610" s="3"/>
    </row>
    <row r="1611" ht="105.75" customHeight="1">
      <c r="A1611" s="11"/>
      <c r="B1611" s="12"/>
      <c r="C1611" s="11"/>
      <c r="D1611" s="13"/>
      <c r="E1611" s="14"/>
      <c r="F1611" s="14"/>
      <c r="G1611" s="14"/>
      <c r="H1611" s="15"/>
      <c r="I1611" s="15"/>
      <c r="J1611" s="3"/>
      <c r="K1611" s="3"/>
      <c r="L1611" s="3"/>
      <c r="M1611" s="3"/>
      <c r="N1611" s="3"/>
      <c r="O1611" s="3"/>
      <c r="P1611" s="3"/>
      <c r="Q1611" s="3"/>
      <c r="R1611" s="3"/>
      <c r="S1611" s="3"/>
      <c r="T1611" s="3"/>
      <c r="U1611" s="3"/>
      <c r="V1611" s="3"/>
      <c r="W1611" s="3"/>
      <c r="X1611" s="3"/>
      <c r="Y1611" s="3"/>
      <c r="Z1611" s="3"/>
      <c r="AA1611" s="3"/>
    </row>
    <row r="1612" ht="105.75" customHeight="1">
      <c r="A1612" s="11"/>
      <c r="B1612" s="12"/>
      <c r="C1612" s="11"/>
      <c r="D1612" s="13"/>
      <c r="E1612" s="14"/>
      <c r="F1612" s="14"/>
      <c r="G1612" s="14"/>
      <c r="H1612" s="15"/>
      <c r="I1612" s="15"/>
      <c r="J1612" s="3"/>
      <c r="K1612" s="3"/>
      <c r="L1612" s="3"/>
      <c r="M1612" s="3"/>
      <c r="N1612" s="3"/>
      <c r="O1612" s="3"/>
      <c r="P1612" s="3"/>
      <c r="Q1612" s="3"/>
      <c r="R1612" s="3"/>
      <c r="S1612" s="3"/>
      <c r="T1612" s="3"/>
      <c r="U1612" s="3"/>
      <c r="V1612" s="3"/>
      <c r="W1612" s="3"/>
      <c r="X1612" s="3"/>
      <c r="Y1612" s="3"/>
      <c r="Z1612" s="3"/>
      <c r="AA1612" s="3"/>
    </row>
    <row r="1613" ht="105.75" customHeight="1">
      <c r="A1613" s="11"/>
      <c r="B1613" s="12"/>
      <c r="C1613" s="11"/>
      <c r="D1613" s="13"/>
      <c r="E1613" s="14"/>
      <c r="F1613" s="14"/>
      <c r="G1613" s="14"/>
      <c r="H1613" s="15"/>
      <c r="I1613" s="15"/>
      <c r="J1613" s="3"/>
      <c r="K1613" s="3"/>
      <c r="L1613" s="3"/>
      <c r="M1613" s="3"/>
      <c r="N1613" s="3"/>
      <c r="O1613" s="3"/>
      <c r="P1613" s="3"/>
      <c r="Q1613" s="3"/>
      <c r="R1613" s="3"/>
      <c r="S1613" s="3"/>
      <c r="T1613" s="3"/>
      <c r="U1613" s="3"/>
      <c r="V1613" s="3"/>
      <c r="W1613" s="3"/>
      <c r="X1613" s="3"/>
      <c r="Y1613" s="3"/>
      <c r="Z1613" s="3"/>
      <c r="AA1613" s="3"/>
    </row>
    <row r="1614" ht="105.75" customHeight="1">
      <c r="A1614" s="11"/>
      <c r="B1614" s="12"/>
      <c r="C1614" s="11"/>
      <c r="D1614" s="13"/>
      <c r="E1614" s="14"/>
      <c r="F1614" s="14"/>
      <c r="G1614" s="14"/>
      <c r="H1614" s="15"/>
      <c r="I1614" s="15"/>
      <c r="J1614" s="3"/>
      <c r="K1614" s="3"/>
      <c r="L1614" s="3"/>
      <c r="M1614" s="3"/>
      <c r="N1614" s="3"/>
      <c r="O1614" s="3"/>
      <c r="P1614" s="3"/>
      <c r="Q1614" s="3"/>
      <c r="R1614" s="3"/>
      <c r="S1614" s="3"/>
      <c r="T1614" s="3"/>
      <c r="U1614" s="3"/>
      <c r="V1614" s="3"/>
      <c r="W1614" s="3"/>
      <c r="X1614" s="3"/>
      <c r="Y1614" s="3"/>
      <c r="Z1614" s="3"/>
      <c r="AA1614" s="3"/>
    </row>
    <row r="1615" ht="105.75" customHeight="1">
      <c r="A1615" s="11"/>
      <c r="B1615" s="12"/>
      <c r="C1615" s="11"/>
      <c r="D1615" s="13"/>
      <c r="E1615" s="14"/>
      <c r="F1615" s="14"/>
      <c r="G1615" s="14"/>
      <c r="H1615" s="15"/>
      <c r="I1615" s="15"/>
      <c r="J1615" s="3"/>
      <c r="K1615" s="3"/>
      <c r="L1615" s="3"/>
      <c r="M1615" s="3"/>
      <c r="N1615" s="3"/>
      <c r="O1615" s="3"/>
      <c r="P1615" s="3"/>
      <c r="Q1615" s="3"/>
      <c r="R1615" s="3"/>
      <c r="S1615" s="3"/>
      <c r="T1615" s="3"/>
      <c r="U1615" s="3"/>
      <c r="V1615" s="3"/>
      <c r="W1615" s="3"/>
      <c r="X1615" s="3"/>
      <c r="Y1615" s="3"/>
      <c r="Z1615" s="3"/>
      <c r="AA1615" s="3"/>
    </row>
    <row r="1616" ht="105.75" customHeight="1">
      <c r="A1616" s="11"/>
      <c r="B1616" s="12"/>
      <c r="C1616" s="11"/>
      <c r="D1616" s="13"/>
      <c r="E1616" s="14"/>
      <c r="F1616" s="14"/>
      <c r="G1616" s="14"/>
      <c r="H1616" s="15"/>
      <c r="I1616" s="15"/>
      <c r="J1616" s="3"/>
      <c r="K1616" s="3"/>
      <c r="L1616" s="3"/>
      <c r="M1616" s="3"/>
      <c r="N1616" s="3"/>
      <c r="O1616" s="3"/>
      <c r="P1616" s="3"/>
      <c r="Q1616" s="3"/>
      <c r="R1616" s="3"/>
      <c r="S1616" s="3"/>
      <c r="T1616" s="3"/>
      <c r="U1616" s="3"/>
      <c r="V1616" s="3"/>
      <c r="W1616" s="3"/>
      <c r="X1616" s="3"/>
      <c r="Y1616" s="3"/>
      <c r="Z1616" s="3"/>
      <c r="AA1616" s="3"/>
    </row>
    <row r="1617" ht="105.75" customHeight="1">
      <c r="A1617" s="11"/>
      <c r="B1617" s="12"/>
      <c r="C1617" s="11"/>
      <c r="D1617" s="13"/>
      <c r="E1617" s="14"/>
      <c r="F1617" s="14"/>
      <c r="G1617" s="14"/>
      <c r="H1617" s="15"/>
      <c r="I1617" s="15"/>
      <c r="J1617" s="3"/>
      <c r="K1617" s="3"/>
      <c r="L1617" s="3"/>
      <c r="M1617" s="3"/>
      <c r="N1617" s="3"/>
      <c r="O1617" s="3"/>
      <c r="P1617" s="3"/>
      <c r="Q1617" s="3"/>
      <c r="R1617" s="3"/>
      <c r="S1617" s="3"/>
      <c r="T1617" s="3"/>
      <c r="U1617" s="3"/>
      <c r="V1617" s="3"/>
      <c r="W1617" s="3"/>
      <c r="X1617" s="3"/>
      <c r="Y1617" s="3"/>
      <c r="Z1617" s="3"/>
      <c r="AA1617" s="3"/>
    </row>
    <row r="1618" ht="105.75" customHeight="1">
      <c r="A1618" s="11"/>
      <c r="B1618" s="12"/>
      <c r="C1618" s="11"/>
      <c r="D1618" s="13"/>
      <c r="E1618" s="14"/>
      <c r="F1618" s="14"/>
      <c r="G1618" s="14"/>
      <c r="H1618" s="15"/>
      <c r="I1618" s="15"/>
      <c r="J1618" s="3"/>
      <c r="K1618" s="3"/>
      <c r="L1618" s="3"/>
      <c r="M1618" s="3"/>
      <c r="N1618" s="3"/>
      <c r="O1618" s="3"/>
      <c r="P1618" s="3"/>
      <c r="Q1618" s="3"/>
      <c r="R1618" s="3"/>
      <c r="S1618" s="3"/>
      <c r="T1618" s="3"/>
      <c r="U1618" s="3"/>
      <c r="V1618" s="3"/>
      <c r="W1618" s="3"/>
      <c r="X1618" s="3"/>
      <c r="Y1618" s="3"/>
      <c r="Z1618" s="3"/>
      <c r="AA1618" s="3"/>
    </row>
    <row r="1619" ht="105.75" customHeight="1">
      <c r="A1619" s="11"/>
      <c r="B1619" s="12"/>
      <c r="C1619" s="11"/>
      <c r="D1619" s="13"/>
      <c r="E1619" s="14"/>
      <c r="F1619" s="14"/>
      <c r="G1619" s="14"/>
      <c r="H1619" s="15"/>
      <c r="I1619" s="15"/>
      <c r="J1619" s="3"/>
      <c r="K1619" s="3"/>
      <c r="L1619" s="3"/>
      <c r="M1619" s="3"/>
      <c r="N1619" s="3"/>
      <c r="O1619" s="3"/>
      <c r="P1619" s="3"/>
      <c r="Q1619" s="3"/>
      <c r="R1619" s="3"/>
      <c r="S1619" s="3"/>
      <c r="T1619" s="3"/>
      <c r="U1619" s="3"/>
      <c r="V1619" s="3"/>
      <c r="W1619" s="3"/>
      <c r="X1619" s="3"/>
      <c r="Y1619" s="3"/>
      <c r="Z1619" s="3"/>
      <c r="AA1619" s="3"/>
    </row>
    <row r="1620" ht="105.75" customHeight="1">
      <c r="A1620" s="11"/>
      <c r="B1620" s="12"/>
      <c r="C1620" s="11"/>
      <c r="D1620" s="13"/>
      <c r="E1620" s="14"/>
      <c r="F1620" s="14"/>
      <c r="G1620" s="14"/>
      <c r="H1620" s="15"/>
      <c r="I1620" s="15"/>
      <c r="J1620" s="3"/>
      <c r="K1620" s="3"/>
      <c r="L1620" s="3"/>
      <c r="M1620" s="3"/>
      <c r="N1620" s="3"/>
      <c r="O1620" s="3"/>
      <c r="P1620" s="3"/>
      <c r="Q1620" s="3"/>
      <c r="R1620" s="3"/>
      <c r="S1620" s="3"/>
      <c r="T1620" s="3"/>
      <c r="U1620" s="3"/>
      <c r="V1620" s="3"/>
      <c r="W1620" s="3"/>
      <c r="X1620" s="3"/>
      <c r="Y1620" s="3"/>
      <c r="Z1620" s="3"/>
      <c r="AA1620" s="3"/>
    </row>
    <row r="1621" ht="105.75" customHeight="1">
      <c r="A1621" s="11"/>
      <c r="B1621" s="12"/>
      <c r="C1621" s="11"/>
      <c r="D1621" s="13"/>
      <c r="E1621" s="14"/>
      <c r="F1621" s="14"/>
      <c r="G1621" s="14"/>
      <c r="H1621" s="15"/>
      <c r="I1621" s="15"/>
      <c r="J1621" s="3"/>
      <c r="K1621" s="3"/>
      <c r="L1621" s="3"/>
      <c r="M1621" s="3"/>
      <c r="N1621" s="3"/>
      <c r="O1621" s="3"/>
      <c r="P1621" s="3"/>
      <c r="Q1621" s="3"/>
      <c r="R1621" s="3"/>
      <c r="S1621" s="3"/>
      <c r="T1621" s="3"/>
      <c r="U1621" s="3"/>
      <c r="V1621" s="3"/>
      <c r="W1621" s="3"/>
      <c r="X1621" s="3"/>
      <c r="Y1621" s="3"/>
      <c r="Z1621" s="3"/>
      <c r="AA1621" s="3"/>
    </row>
    <row r="1622" ht="105.75" customHeight="1">
      <c r="A1622" s="11"/>
      <c r="B1622" s="12"/>
      <c r="C1622" s="11"/>
      <c r="D1622" s="13"/>
      <c r="E1622" s="14"/>
      <c r="F1622" s="14"/>
      <c r="G1622" s="14"/>
      <c r="H1622" s="15"/>
      <c r="I1622" s="15"/>
      <c r="J1622" s="3"/>
      <c r="K1622" s="3"/>
      <c r="L1622" s="3"/>
      <c r="M1622" s="3"/>
      <c r="N1622" s="3"/>
      <c r="O1622" s="3"/>
      <c r="P1622" s="3"/>
      <c r="Q1622" s="3"/>
      <c r="R1622" s="3"/>
      <c r="S1622" s="3"/>
      <c r="T1622" s="3"/>
      <c r="U1622" s="3"/>
      <c r="V1622" s="3"/>
      <c r="W1622" s="3"/>
      <c r="X1622" s="3"/>
      <c r="Y1622" s="3"/>
      <c r="Z1622" s="3"/>
      <c r="AA1622" s="3"/>
    </row>
    <row r="1623" ht="105.75" customHeight="1">
      <c r="A1623" s="11"/>
      <c r="B1623" s="12"/>
      <c r="C1623" s="11"/>
      <c r="D1623" s="13"/>
      <c r="E1623" s="14"/>
      <c r="F1623" s="14"/>
      <c r="G1623" s="14"/>
      <c r="H1623" s="15"/>
      <c r="I1623" s="15"/>
      <c r="J1623" s="3"/>
      <c r="K1623" s="3"/>
      <c r="L1623" s="3"/>
      <c r="M1623" s="3"/>
      <c r="N1623" s="3"/>
      <c r="O1623" s="3"/>
      <c r="P1623" s="3"/>
      <c r="Q1623" s="3"/>
      <c r="R1623" s="3"/>
      <c r="S1623" s="3"/>
      <c r="T1623" s="3"/>
      <c r="U1623" s="3"/>
      <c r="V1623" s="3"/>
      <c r="W1623" s="3"/>
      <c r="X1623" s="3"/>
      <c r="Y1623" s="3"/>
      <c r="Z1623" s="3"/>
      <c r="AA1623" s="3"/>
    </row>
    <row r="1624" ht="105.75" customHeight="1">
      <c r="A1624" s="11"/>
      <c r="B1624" s="12"/>
      <c r="C1624" s="11"/>
      <c r="D1624" s="13"/>
      <c r="E1624" s="14"/>
      <c r="F1624" s="14"/>
      <c r="G1624" s="14"/>
      <c r="H1624" s="15"/>
      <c r="I1624" s="15"/>
      <c r="J1624" s="3"/>
      <c r="K1624" s="3"/>
      <c r="L1624" s="3"/>
      <c r="M1624" s="3"/>
      <c r="N1624" s="3"/>
      <c r="O1624" s="3"/>
      <c r="P1624" s="3"/>
      <c r="Q1624" s="3"/>
      <c r="R1624" s="3"/>
      <c r="S1624" s="3"/>
      <c r="T1624" s="3"/>
      <c r="U1624" s="3"/>
      <c r="V1624" s="3"/>
      <c r="W1624" s="3"/>
      <c r="X1624" s="3"/>
      <c r="Y1624" s="3"/>
      <c r="Z1624" s="3"/>
      <c r="AA1624" s="3"/>
    </row>
    <row r="1625" ht="105.75" customHeight="1">
      <c r="A1625" s="11"/>
      <c r="B1625" s="12"/>
      <c r="C1625" s="11"/>
      <c r="D1625" s="13"/>
      <c r="E1625" s="14"/>
      <c r="F1625" s="14"/>
      <c r="G1625" s="14"/>
      <c r="H1625" s="15"/>
      <c r="I1625" s="15"/>
      <c r="J1625" s="3"/>
      <c r="K1625" s="3"/>
      <c r="L1625" s="3"/>
      <c r="M1625" s="3"/>
      <c r="N1625" s="3"/>
      <c r="O1625" s="3"/>
      <c r="P1625" s="3"/>
      <c r="Q1625" s="3"/>
      <c r="R1625" s="3"/>
      <c r="S1625" s="3"/>
      <c r="T1625" s="3"/>
      <c r="U1625" s="3"/>
      <c r="V1625" s="3"/>
      <c r="W1625" s="3"/>
      <c r="X1625" s="3"/>
      <c r="Y1625" s="3"/>
      <c r="Z1625" s="3"/>
      <c r="AA1625" s="3"/>
    </row>
    <row r="1626" ht="105.75" customHeight="1">
      <c r="A1626" s="11"/>
      <c r="B1626" s="12"/>
      <c r="C1626" s="11"/>
      <c r="D1626" s="13"/>
      <c r="E1626" s="16"/>
      <c r="F1626" s="16"/>
      <c r="G1626" s="16"/>
      <c r="H1626" s="15"/>
      <c r="I1626" s="15"/>
      <c r="J1626" s="3"/>
      <c r="K1626" s="3"/>
      <c r="L1626" s="3"/>
      <c r="M1626" s="3"/>
      <c r="N1626" s="3"/>
      <c r="O1626" s="3"/>
      <c r="P1626" s="3"/>
      <c r="Q1626" s="3"/>
      <c r="R1626" s="3"/>
      <c r="S1626" s="3"/>
      <c r="T1626" s="3"/>
      <c r="U1626" s="3"/>
      <c r="V1626" s="3"/>
      <c r="W1626" s="3"/>
      <c r="X1626" s="3"/>
      <c r="Y1626" s="3"/>
      <c r="Z1626" s="3"/>
      <c r="AA1626" s="3"/>
    </row>
    <row r="1627" ht="105.75" customHeight="1">
      <c r="A1627" s="11"/>
      <c r="B1627" s="12"/>
      <c r="C1627" s="11"/>
      <c r="D1627" s="13"/>
      <c r="E1627" s="14"/>
      <c r="F1627" s="14"/>
      <c r="G1627" s="14"/>
      <c r="H1627" s="15"/>
      <c r="I1627" s="15"/>
      <c r="J1627" s="3"/>
      <c r="K1627" s="3"/>
      <c r="L1627" s="3"/>
      <c r="M1627" s="3"/>
      <c r="N1627" s="3"/>
      <c r="O1627" s="3"/>
      <c r="P1627" s="3"/>
      <c r="Q1627" s="3"/>
      <c r="R1627" s="3"/>
      <c r="S1627" s="3"/>
      <c r="T1627" s="3"/>
      <c r="U1627" s="3"/>
      <c r="V1627" s="3"/>
      <c r="W1627" s="3"/>
      <c r="X1627" s="3"/>
      <c r="Y1627" s="3"/>
      <c r="Z1627" s="3"/>
      <c r="AA1627" s="3"/>
    </row>
    <row r="1628" ht="105.75" customHeight="1">
      <c r="A1628" s="11"/>
      <c r="B1628" s="12"/>
      <c r="C1628" s="11"/>
      <c r="D1628" s="13"/>
      <c r="E1628" s="14"/>
      <c r="F1628" s="14"/>
      <c r="G1628" s="14"/>
      <c r="H1628" s="15"/>
      <c r="I1628" s="15"/>
      <c r="J1628" s="3"/>
      <c r="K1628" s="3"/>
      <c r="L1628" s="3"/>
      <c r="M1628" s="3"/>
      <c r="N1628" s="3"/>
      <c r="O1628" s="3"/>
      <c r="P1628" s="3"/>
      <c r="Q1628" s="3"/>
      <c r="R1628" s="3"/>
      <c r="S1628" s="3"/>
      <c r="T1628" s="3"/>
      <c r="U1628" s="3"/>
      <c r="V1628" s="3"/>
      <c r="W1628" s="3"/>
      <c r="X1628" s="3"/>
      <c r="Y1628" s="3"/>
      <c r="Z1628" s="3"/>
      <c r="AA1628" s="3"/>
    </row>
    <row r="1629" ht="105.75" customHeight="1">
      <c r="A1629" s="11"/>
      <c r="B1629" s="12"/>
      <c r="C1629" s="11"/>
      <c r="D1629" s="13"/>
      <c r="E1629" s="14"/>
      <c r="F1629" s="14"/>
      <c r="G1629" s="14"/>
      <c r="H1629" s="15"/>
      <c r="I1629" s="15"/>
      <c r="J1629" s="3"/>
      <c r="K1629" s="3"/>
      <c r="L1629" s="3"/>
      <c r="M1629" s="3"/>
      <c r="N1629" s="3"/>
      <c r="O1629" s="3"/>
      <c r="P1629" s="3"/>
      <c r="Q1629" s="3"/>
      <c r="R1629" s="3"/>
      <c r="S1629" s="3"/>
      <c r="T1629" s="3"/>
      <c r="U1629" s="3"/>
      <c r="V1629" s="3"/>
      <c r="W1629" s="3"/>
      <c r="X1629" s="3"/>
      <c r="Y1629" s="3"/>
      <c r="Z1629" s="3"/>
      <c r="AA1629" s="3"/>
    </row>
    <row r="1630" ht="105.75" customHeight="1">
      <c r="A1630" s="11"/>
      <c r="B1630" s="12"/>
      <c r="C1630" s="11"/>
      <c r="D1630" s="13"/>
      <c r="E1630" s="14"/>
      <c r="F1630" s="14"/>
      <c r="G1630" s="14"/>
      <c r="H1630" s="15"/>
      <c r="I1630" s="15"/>
      <c r="J1630" s="3"/>
      <c r="K1630" s="3"/>
      <c r="L1630" s="3"/>
      <c r="M1630" s="3"/>
      <c r="N1630" s="3"/>
      <c r="O1630" s="3"/>
      <c r="P1630" s="3"/>
      <c r="Q1630" s="3"/>
      <c r="R1630" s="3"/>
      <c r="S1630" s="3"/>
      <c r="T1630" s="3"/>
      <c r="U1630" s="3"/>
      <c r="V1630" s="3"/>
      <c r="W1630" s="3"/>
      <c r="X1630" s="3"/>
      <c r="Y1630" s="3"/>
      <c r="Z1630" s="3"/>
      <c r="AA1630" s="3"/>
    </row>
    <row r="1631" ht="105.75" customHeight="1">
      <c r="A1631" s="11"/>
      <c r="B1631" s="12"/>
      <c r="C1631" s="11"/>
      <c r="D1631" s="13"/>
      <c r="E1631" s="14"/>
      <c r="F1631" s="14"/>
      <c r="G1631" s="14"/>
      <c r="H1631" s="15"/>
      <c r="I1631" s="15"/>
      <c r="J1631" s="3"/>
      <c r="K1631" s="3"/>
      <c r="L1631" s="3"/>
      <c r="M1631" s="3"/>
      <c r="N1631" s="3"/>
      <c r="O1631" s="3"/>
      <c r="P1631" s="3"/>
      <c r="Q1631" s="3"/>
      <c r="R1631" s="3"/>
      <c r="S1631" s="3"/>
      <c r="T1631" s="3"/>
      <c r="U1631" s="3"/>
      <c r="V1631" s="3"/>
      <c r="W1631" s="3"/>
      <c r="X1631" s="3"/>
      <c r="Y1631" s="3"/>
      <c r="Z1631" s="3"/>
      <c r="AA1631" s="3"/>
    </row>
    <row r="1632" ht="105.75" customHeight="1">
      <c r="A1632" s="11"/>
      <c r="B1632" s="12"/>
      <c r="C1632" s="11"/>
      <c r="D1632" s="13"/>
      <c r="E1632" s="16"/>
      <c r="F1632" s="16"/>
      <c r="G1632" s="16"/>
      <c r="H1632" s="15"/>
      <c r="I1632" s="15"/>
      <c r="J1632" s="3"/>
      <c r="K1632" s="3"/>
      <c r="L1632" s="3"/>
      <c r="M1632" s="3"/>
      <c r="N1632" s="3"/>
      <c r="O1632" s="3"/>
      <c r="P1632" s="3"/>
      <c r="Q1632" s="3"/>
      <c r="R1632" s="3"/>
      <c r="S1632" s="3"/>
      <c r="T1632" s="3"/>
      <c r="U1632" s="3"/>
      <c r="V1632" s="3"/>
      <c r="W1632" s="3"/>
      <c r="X1632" s="3"/>
      <c r="Y1632" s="3"/>
      <c r="Z1632" s="3"/>
      <c r="AA1632" s="3"/>
    </row>
    <row r="1633" ht="105.75" customHeight="1">
      <c r="A1633" s="11"/>
      <c r="B1633" s="12"/>
      <c r="C1633" s="11"/>
      <c r="D1633" s="13"/>
      <c r="E1633" s="16"/>
      <c r="F1633" s="16"/>
      <c r="G1633" s="16"/>
      <c r="H1633" s="15"/>
      <c r="I1633" s="15"/>
      <c r="J1633" s="3"/>
      <c r="K1633" s="3"/>
      <c r="L1633" s="3"/>
      <c r="M1633" s="3"/>
      <c r="N1633" s="3"/>
      <c r="O1633" s="3"/>
      <c r="P1633" s="3"/>
      <c r="Q1633" s="3"/>
      <c r="R1633" s="3"/>
      <c r="S1633" s="3"/>
      <c r="T1633" s="3"/>
      <c r="U1633" s="3"/>
      <c r="V1633" s="3"/>
      <c r="W1633" s="3"/>
      <c r="X1633" s="3"/>
      <c r="Y1633" s="3"/>
      <c r="Z1633" s="3"/>
      <c r="AA1633" s="3"/>
    </row>
    <row r="1634" ht="105.75" customHeight="1">
      <c r="A1634" s="11"/>
      <c r="B1634" s="12"/>
      <c r="C1634" s="11"/>
      <c r="D1634" s="13"/>
      <c r="E1634" s="14"/>
      <c r="F1634" s="14"/>
      <c r="G1634" s="14"/>
      <c r="H1634" s="15"/>
      <c r="I1634" s="15"/>
      <c r="J1634" s="3"/>
      <c r="K1634" s="3"/>
      <c r="L1634" s="3"/>
      <c r="M1634" s="3"/>
      <c r="N1634" s="3"/>
      <c r="O1634" s="3"/>
      <c r="P1634" s="3"/>
      <c r="Q1634" s="3"/>
      <c r="R1634" s="3"/>
      <c r="S1634" s="3"/>
      <c r="T1634" s="3"/>
      <c r="U1634" s="3"/>
      <c r="V1634" s="3"/>
      <c r="W1634" s="3"/>
      <c r="X1634" s="3"/>
      <c r="Y1634" s="3"/>
      <c r="Z1634" s="3"/>
      <c r="AA1634" s="3"/>
    </row>
    <row r="1635" ht="105.75" customHeight="1">
      <c r="A1635" s="11"/>
      <c r="B1635" s="12"/>
      <c r="C1635" s="11"/>
      <c r="D1635" s="13"/>
      <c r="E1635" s="16"/>
      <c r="F1635" s="16"/>
      <c r="G1635" s="16"/>
      <c r="H1635" s="15"/>
      <c r="I1635" s="15"/>
      <c r="J1635" s="3"/>
      <c r="K1635" s="3"/>
      <c r="L1635" s="3"/>
      <c r="M1635" s="3"/>
      <c r="N1635" s="3"/>
      <c r="O1635" s="3"/>
      <c r="P1635" s="3"/>
      <c r="Q1635" s="3"/>
      <c r="R1635" s="3"/>
      <c r="S1635" s="3"/>
      <c r="T1635" s="3"/>
      <c r="U1635" s="3"/>
      <c r="V1635" s="3"/>
      <c r="W1635" s="3"/>
      <c r="X1635" s="3"/>
      <c r="Y1635" s="3"/>
      <c r="Z1635" s="3"/>
      <c r="AA1635" s="3"/>
    </row>
    <row r="1636" ht="105.75" customHeight="1">
      <c r="A1636" s="11"/>
      <c r="B1636" s="12"/>
      <c r="C1636" s="11"/>
      <c r="D1636" s="13"/>
      <c r="E1636" s="14"/>
      <c r="F1636" s="14"/>
      <c r="G1636" s="14"/>
      <c r="H1636" s="15"/>
      <c r="I1636" s="15"/>
      <c r="J1636" s="3"/>
      <c r="K1636" s="3"/>
      <c r="L1636" s="3"/>
      <c r="M1636" s="3"/>
      <c r="N1636" s="3"/>
      <c r="O1636" s="3"/>
      <c r="P1636" s="3"/>
      <c r="Q1636" s="3"/>
      <c r="R1636" s="3"/>
      <c r="S1636" s="3"/>
      <c r="T1636" s="3"/>
      <c r="U1636" s="3"/>
      <c r="V1636" s="3"/>
      <c r="W1636" s="3"/>
      <c r="X1636" s="3"/>
      <c r="Y1636" s="3"/>
      <c r="Z1636" s="3"/>
      <c r="AA1636" s="3"/>
    </row>
    <row r="1637" ht="105.75" customHeight="1">
      <c r="A1637" s="11"/>
      <c r="B1637" s="12"/>
      <c r="C1637" s="11"/>
      <c r="D1637" s="13"/>
      <c r="E1637" s="14"/>
      <c r="F1637" s="14"/>
      <c r="G1637" s="14"/>
      <c r="H1637" s="15"/>
      <c r="I1637" s="15"/>
      <c r="J1637" s="3"/>
      <c r="K1637" s="3"/>
      <c r="L1637" s="3"/>
      <c r="M1637" s="3"/>
      <c r="N1637" s="3"/>
      <c r="O1637" s="3"/>
      <c r="P1637" s="3"/>
      <c r="Q1637" s="3"/>
      <c r="R1637" s="3"/>
      <c r="S1637" s="3"/>
      <c r="T1637" s="3"/>
      <c r="U1637" s="3"/>
      <c r="V1637" s="3"/>
      <c r="W1637" s="3"/>
      <c r="X1637" s="3"/>
      <c r="Y1637" s="3"/>
      <c r="Z1637" s="3"/>
      <c r="AA1637" s="3"/>
    </row>
    <row r="1638" ht="105.75" customHeight="1">
      <c r="A1638" s="11"/>
      <c r="B1638" s="12"/>
      <c r="C1638" s="11"/>
      <c r="D1638" s="13"/>
      <c r="E1638" s="14"/>
      <c r="F1638" s="14"/>
      <c r="G1638" s="14"/>
      <c r="H1638" s="15"/>
      <c r="I1638" s="15"/>
      <c r="J1638" s="3"/>
      <c r="K1638" s="3"/>
      <c r="L1638" s="3"/>
      <c r="M1638" s="3"/>
      <c r="N1638" s="3"/>
      <c r="O1638" s="3"/>
      <c r="P1638" s="3"/>
      <c r="Q1638" s="3"/>
      <c r="R1638" s="3"/>
      <c r="S1638" s="3"/>
      <c r="T1638" s="3"/>
      <c r="U1638" s="3"/>
      <c r="V1638" s="3"/>
      <c r="W1638" s="3"/>
      <c r="X1638" s="3"/>
      <c r="Y1638" s="3"/>
      <c r="Z1638" s="3"/>
      <c r="AA1638" s="3"/>
    </row>
    <row r="1639" ht="105.75" customHeight="1">
      <c r="A1639" s="11"/>
      <c r="B1639" s="12"/>
      <c r="C1639" s="11"/>
      <c r="D1639" s="13"/>
      <c r="E1639" s="14"/>
      <c r="F1639" s="14"/>
      <c r="G1639" s="14"/>
      <c r="H1639" s="15"/>
      <c r="I1639" s="15"/>
      <c r="J1639" s="3"/>
      <c r="K1639" s="3"/>
      <c r="L1639" s="3"/>
      <c r="M1639" s="3"/>
      <c r="N1639" s="3"/>
      <c r="O1639" s="3"/>
      <c r="P1639" s="3"/>
      <c r="Q1639" s="3"/>
      <c r="R1639" s="3"/>
      <c r="S1639" s="3"/>
      <c r="T1639" s="3"/>
      <c r="U1639" s="3"/>
      <c r="V1639" s="3"/>
      <c r="W1639" s="3"/>
      <c r="X1639" s="3"/>
      <c r="Y1639" s="3"/>
      <c r="Z1639" s="3"/>
      <c r="AA1639" s="3"/>
    </row>
    <row r="1640" ht="105.75" customHeight="1">
      <c r="A1640" s="11"/>
      <c r="B1640" s="12"/>
      <c r="C1640" s="11"/>
      <c r="D1640" s="13"/>
      <c r="E1640" s="14"/>
      <c r="F1640" s="14"/>
      <c r="G1640" s="14"/>
      <c r="H1640" s="15"/>
      <c r="I1640" s="15"/>
      <c r="J1640" s="3"/>
      <c r="K1640" s="3"/>
      <c r="L1640" s="3"/>
      <c r="M1640" s="3"/>
      <c r="N1640" s="3"/>
      <c r="O1640" s="3"/>
      <c r="P1640" s="3"/>
      <c r="Q1640" s="3"/>
      <c r="R1640" s="3"/>
      <c r="S1640" s="3"/>
      <c r="T1640" s="3"/>
      <c r="U1640" s="3"/>
      <c r="V1640" s="3"/>
      <c r="W1640" s="3"/>
      <c r="X1640" s="3"/>
      <c r="Y1640" s="3"/>
      <c r="Z1640" s="3"/>
      <c r="AA1640" s="3"/>
    </row>
    <row r="1641" ht="105.75" customHeight="1">
      <c r="A1641" s="11"/>
      <c r="B1641" s="12"/>
      <c r="C1641" s="11"/>
      <c r="D1641" s="13"/>
      <c r="E1641" s="14"/>
      <c r="F1641" s="14"/>
      <c r="G1641" s="14"/>
      <c r="H1641" s="15"/>
      <c r="I1641" s="15"/>
      <c r="J1641" s="3"/>
      <c r="K1641" s="3"/>
      <c r="L1641" s="3"/>
      <c r="M1641" s="3"/>
      <c r="N1641" s="3"/>
      <c r="O1641" s="3"/>
      <c r="P1641" s="3"/>
      <c r="Q1641" s="3"/>
      <c r="R1641" s="3"/>
      <c r="S1641" s="3"/>
      <c r="T1641" s="3"/>
      <c r="U1641" s="3"/>
      <c r="V1641" s="3"/>
      <c r="W1641" s="3"/>
      <c r="X1641" s="3"/>
      <c r="Y1641" s="3"/>
      <c r="Z1641" s="3"/>
      <c r="AA1641" s="3"/>
    </row>
    <row r="1642" ht="105.75" customHeight="1">
      <c r="A1642" s="11"/>
      <c r="B1642" s="12"/>
      <c r="C1642" s="11"/>
      <c r="D1642" s="13"/>
      <c r="E1642" s="14"/>
      <c r="F1642" s="14"/>
      <c r="G1642" s="14"/>
      <c r="H1642" s="15"/>
      <c r="I1642" s="15"/>
      <c r="J1642" s="3"/>
      <c r="K1642" s="3"/>
      <c r="L1642" s="3"/>
      <c r="M1642" s="3"/>
      <c r="N1642" s="3"/>
      <c r="O1642" s="3"/>
      <c r="P1642" s="3"/>
      <c r="Q1642" s="3"/>
      <c r="R1642" s="3"/>
      <c r="S1642" s="3"/>
      <c r="T1642" s="3"/>
      <c r="U1642" s="3"/>
      <c r="V1642" s="3"/>
      <c r="W1642" s="3"/>
      <c r="X1642" s="3"/>
      <c r="Y1642" s="3"/>
      <c r="Z1642" s="3"/>
      <c r="AA1642" s="3"/>
    </row>
    <row r="1643" ht="105.75" customHeight="1">
      <c r="A1643" s="11"/>
      <c r="B1643" s="12"/>
      <c r="C1643" s="11"/>
      <c r="D1643" s="13"/>
      <c r="E1643" s="16"/>
      <c r="F1643" s="16"/>
      <c r="G1643" s="16"/>
      <c r="H1643" s="15"/>
      <c r="I1643" s="15"/>
      <c r="J1643" s="3"/>
      <c r="K1643" s="3"/>
      <c r="L1643" s="3"/>
      <c r="M1643" s="3"/>
      <c r="N1643" s="3"/>
      <c r="O1643" s="3"/>
      <c r="P1643" s="3"/>
      <c r="Q1643" s="3"/>
      <c r="R1643" s="3"/>
      <c r="S1643" s="3"/>
      <c r="T1643" s="3"/>
      <c r="U1643" s="3"/>
      <c r="V1643" s="3"/>
      <c r="W1643" s="3"/>
      <c r="X1643" s="3"/>
      <c r="Y1643" s="3"/>
      <c r="Z1643" s="3"/>
      <c r="AA1643" s="3"/>
    </row>
    <row r="1644" ht="105.75" customHeight="1">
      <c r="A1644" s="11"/>
      <c r="B1644" s="12"/>
      <c r="C1644" s="11"/>
      <c r="D1644" s="13"/>
      <c r="E1644" s="14"/>
      <c r="F1644" s="14"/>
      <c r="G1644" s="14"/>
      <c r="H1644" s="15"/>
      <c r="I1644" s="15"/>
      <c r="J1644" s="3"/>
      <c r="K1644" s="3"/>
      <c r="L1644" s="3"/>
      <c r="M1644" s="3"/>
      <c r="N1644" s="3"/>
      <c r="O1644" s="3"/>
      <c r="P1644" s="3"/>
      <c r="Q1644" s="3"/>
      <c r="R1644" s="3"/>
      <c r="S1644" s="3"/>
      <c r="T1644" s="3"/>
      <c r="U1644" s="3"/>
      <c r="V1644" s="3"/>
      <c r="W1644" s="3"/>
      <c r="X1644" s="3"/>
      <c r="Y1644" s="3"/>
      <c r="Z1644" s="3"/>
      <c r="AA1644" s="3"/>
    </row>
    <row r="1645" ht="105.75" customHeight="1">
      <c r="A1645" s="11"/>
      <c r="B1645" s="12"/>
      <c r="C1645" s="11"/>
      <c r="D1645" s="13"/>
      <c r="E1645" s="14"/>
      <c r="F1645" s="14"/>
      <c r="G1645" s="14"/>
      <c r="H1645" s="15"/>
      <c r="I1645" s="15"/>
      <c r="J1645" s="3"/>
      <c r="K1645" s="3"/>
      <c r="L1645" s="3"/>
      <c r="M1645" s="3"/>
      <c r="N1645" s="3"/>
      <c r="O1645" s="3"/>
      <c r="P1645" s="3"/>
      <c r="Q1645" s="3"/>
      <c r="R1645" s="3"/>
      <c r="S1645" s="3"/>
      <c r="T1645" s="3"/>
      <c r="U1645" s="3"/>
      <c r="V1645" s="3"/>
      <c r="W1645" s="3"/>
      <c r="X1645" s="3"/>
      <c r="Y1645" s="3"/>
      <c r="Z1645" s="3"/>
      <c r="AA1645" s="3"/>
    </row>
    <row r="1646" ht="105.75" customHeight="1">
      <c r="A1646" s="11"/>
      <c r="B1646" s="12"/>
      <c r="C1646" s="11"/>
      <c r="D1646" s="13"/>
      <c r="E1646" s="14"/>
      <c r="F1646" s="14"/>
      <c r="G1646" s="14"/>
      <c r="H1646" s="15"/>
      <c r="I1646" s="15"/>
      <c r="J1646" s="3"/>
      <c r="K1646" s="3"/>
      <c r="L1646" s="3"/>
      <c r="M1646" s="3"/>
      <c r="N1646" s="3"/>
      <c r="O1646" s="3"/>
      <c r="P1646" s="3"/>
      <c r="Q1646" s="3"/>
      <c r="R1646" s="3"/>
      <c r="S1646" s="3"/>
      <c r="T1646" s="3"/>
      <c r="U1646" s="3"/>
      <c r="V1646" s="3"/>
      <c r="W1646" s="3"/>
      <c r="X1646" s="3"/>
      <c r="Y1646" s="3"/>
      <c r="Z1646" s="3"/>
      <c r="AA1646" s="3"/>
    </row>
    <row r="1647" ht="105.75" customHeight="1">
      <c r="A1647" s="11"/>
      <c r="B1647" s="12"/>
      <c r="C1647" s="11"/>
      <c r="D1647" s="13"/>
      <c r="E1647" s="14"/>
      <c r="F1647" s="14"/>
      <c r="G1647" s="14"/>
      <c r="H1647" s="15"/>
      <c r="I1647" s="15"/>
      <c r="J1647" s="3"/>
      <c r="K1647" s="3"/>
      <c r="L1647" s="3"/>
      <c r="M1647" s="3"/>
      <c r="N1647" s="3"/>
      <c r="O1647" s="3"/>
      <c r="P1647" s="3"/>
      <c r="Q1647" s="3"/>
      <c r="R1647" s="3"/>
      <c r="S1647" s="3"/>
      <c r="T1647" s="3"/>
      <c r="U1647" s="3"/>
      <c r="V1647" s="3"/>
      <c r="W1647" s="3"/>
      <c r="X1647" s="3"/>
      <c r="Y1647" s="3"/>
      <c r="Z1647" s="3"/>
      <c r="AA1647" s="3"/>
    </row>
    <row r="1648" ht="105.75" customHeight="1">
      <c r="A1648" s="11"/>
      <c r="B1648" s="12"/>
      <c r="C1648" s="11"/>
      <c r="D1648" s="13"/>
      <c r="E1648" s="16"/>
      <c r="F1648" s="16"/>
      <c r="G1648" s="16"/>
      <c r="H1648" s="15"/>
      <c r="I1648" s="15"/>
      <c r="J1648" s="3"/>
      <c r="K1648" s="3"/>
      <c r="L1648" s="3"/>
      <c r="M1648" s="3"/>
      <c r="N1648" s="3"/>
      <c r="O1648" s="3"/>
      <c r="P1648" s="3"/>
      <c r="Q1648" s="3"/>
      <c r="R1648" s="3"/>
      <c r="S1648" s="3"/>
      <c r="T1648" s="3"/>
      <c r="U1648" s="3"/>
      <c r="V1648" s="3"/>
      <c r="W1648" s="3"/>
      <c r="X1648" s="3"/>
      <c r="Y1648" s="3"/>
      <c r="Z1648" s="3"/>
      <c r="AA1648" s="3"/>
    </row>
    <row r="1649" ht="105.75" customHeight="1">
      <c r="A1649" s="11"/>
      <c r="B1649" s="12"/>
      <c r="C1649" s="11"/>
      <c r="D1649" s="13"/>
      <c r="E1649" s="14"/>
      <c r="F1649" s="14"/>
      <c r="G1649" s="14"/>
      <c r="H1649" s="15"/>
      <c r="I1649" s="15"/>
      <c r="J1649" s="3"/>
      <c r="K1649" s="3"/>
      <c r="L1649" s="3"/>
      <c r="M1649" s="3"/>
      <c r="N1649" s="3"/>
      <c r="O1649" s="3"/>
      <c r="P1649" s="3"/>
      <c r="Q1649" s="3"/>
      <c r="R1649" s="3"/>
      <c r="S1649" s="3"/>
      <c r="T1649" s="3"/>
      <c r="U1649" s="3"/>
      <c r="V1649" s="3"/>
      <c r="W1649" s="3"/>
      <c r="X1649" s="3"/>
      <c r="Y1649" s="3"/>
      <c r="Z1649" s="3"/>
      <c r="AA1649" s="3"/>
    </row>
    <row r="1650" ht="105.75" customHeight="1">
      <c r="A1650" s="11"/>
      <c r="B1650" s="12"/>
      <c r="C1650" s="11"/>
      <c r="D1650" s="13"/>
      <c r="E1650" s="14"/>
      <c r="F1650" s="14"/>
      <c r="G1650" s="14"/>
      <c r="H1650" s="15"/>
      <c r="I1650" s="15"/>
      <c r="J1650" s="3"/>
      <c r="K1650" s="3"/>
      <c r="L1650" s="3"/>
      <c r="M1650" s="3"/>
      <c r="N1650" s="3"/>
      <c r="O1650" s="3"/>
      <c r="P1650" s="3"/>
      <c r="Q1650" s="3"/>
      <c r="R1650" s="3"/>
      <c r="S1650" s="3"/>
      <c r="T1650" s="3"/>
      <c r="U1650" s="3"/>
      <c r="V1650" s="3"/>
      <c r="W1650" s="3"/>
      <c r="X1650" s="3"/>
      <c r="Y1650" s="3"/>
      <c r="Z1650" s="3"/>
      <c r="AA1650" s="3"/>
    </row>
    <row r="1651" ht="105.75" customHeight="1">
      <c r="A1651" s="11"/>
      <c r="B1651" s="12"/>
      <c r="C1651" s="11"/>
      <c r="D1651" s="13"/>
      <c r="E1651" s="16"/>
      <c r="F1651" s="16"/>
      <c r="G1651" s="16"/>
      <c r="H1651" s="15"/>
      <c r="I1651" s="15"/>
      <c r="J1651" s="3"/>
      <c r="K1651" s="3"/>
      <c r="L1651" s="3"/>
      <c r="M1651" s="3"/>
      <c r="N1651" s="3"/>
      <c r="O1651" s="3"/>
      <c r="P1651" s="3"/>
      <c r="Q1651" s="3"/>
      <c r="R1651" s="3"/>
      <c r="S1651" s="3"/>
      <c r="T1651" s="3"/>
      <c r="U1651" s="3"/>
      <c r="V1651" s="3"/>
      <c r="W1651" s="3"/>
      <c r="X1651" s="3"/>
      <c r="Y1651" s="3"/>
      <c r="Z1651" s="3"/>
      <c r="AA1651" s="3"/>
    </row>
    <row r="1652" ht="105.75" customHeight="1">
      <c r="A1652" s="11"/>
      <c r="B1652" s="12"/>
      <c r="C1652" s="11"/>
      <c r="D1652" s="13"/>
      <c r="E1652" s="14"/>
      <c r="F1652" s="14"/>
      <c r="G1652" s="14"/>
      <c r="H1652" s="15"/>
      <c r="I1652" s="15"/>
      <c r="J1652" s="3"/>
      <c r="K1652" s="3"/>
      <c r="L1652" s="3"/>
      <c r="M1652" s="3"/>
      <c r="N1652" s="3"/>
      <c r="O1652" s="3"/>
      <c r="P1652" s="3"/>
      <c r="Q1652" s="3"/>
      <c r="R1652" s="3"/>
      <c r="S1652" s="3"/>
      <c r="T1652" s="3"/>
      <c r="U1652" s="3"/>
      <c r="V1652" s="3"/>
      <c r="W1652" s="3"/>
      <c r="X1652" s="3"/>
      <c r="Y1652" s="3"/>
      <c r="Z1652" s="3"/>
      <c r="AA1652" s="3"/>
    </row>
    <row r="1653" ht="105.75" customHeight="1">
      <c r="A1653" s="11"/>
      <c r="B1653" s="12"/>
      <c r="C1653" s="11"/>
      <c r="D1653" s="13"/>
      <c r="E1653" s="14"/>
      <c r="F1653" s="14"/>
      <c r="G1653" s="14"/>
      <c r="H1653" s="15"/>
      <c r="I1653" s="15"/>
      <c r="J1653" s="3"/>
      <c r="K1653" s="3"/>
      <c r="L1653" s="3"/>
      <c r="M1653" s="3"/>
      <c r="N1653" s="3"/>
      <c r="O1653" s="3"/>
      <c r="P1653" s="3"/>
      <c r="Q1653" s="3"/>
      <c r="R1653" s="3"/>
      <c r="S1653" s="3"/>
      <c r="T1653" s="3"/>
      <c r="U1653" s="3"/>
      <c r="V1653" s="3"/>
      <c r="W1653" s="3"/>
      <c r="X1653" s="3"/>
      <c r="Y1653" s="3"/>
      <c r="Z1653" s="3"/>
      <c r="AA1653" s="3"/>
    </row>
    <row r="1654" ht="105.75" customHeight="1">
      <c r="A1654" s="11"/>
      <c r="B1654" s="12"/>
      <c r="C1654" s="11"/>
      <c r="D1654" s="13"/>
      <c r="E1654" s="14"/>
      <c r="F1654" s="14"/>
      <c r="G1654" s="14"/>
      <c r="H1654" s="15"/>
      <c r="I1654" s="15"/>
      <c r="J1654" s="3"/>
      <c r="K1654" s="3"/>
      <c r="L1654" s="3"/>
      <c r="M1654" s="3"/>
      <c r="N1654" s="3"/>
      <c r="O1654" s="3"/>
      <c r="P1654" s="3"/>
      <c r="Q1654" s="3"/>
      <c r="R1654" s="3"/>
      <c r="S1654" s="3"/>
      <c r="T1654" s="3"/>
      <c r="U1654" s="3"/>
      <c r="V1654" s="3"/>
      <c r="W1654" s="3"/>
      <c r="X1654" s="3"/>
      <c r="Y1654" s="3"/>
      <c r="Z1654" s="3"/>
      <c r="AA1654" s="3"/>
    </row>
    <row r="1655" ht="105.75" customHeight="1">
      <c r="A1655" s="11"/>
      <c r="B1655" s="12"/>
      <c r="C1655" s="11"/>
      <c r="D1655" s="13"/>
      <c r="E1655" s="14"/>
      <c r="F1655" s="14"/>
      <c r="G1655" s="14"/>
      <c r="H1655" s="15"/>
      <c r="I1655" s="15"/>
      <c r="J1655" s="3"/>
      <c r="K1655" s="3"/>
      <c r="L1655" s="3"/>
      <c r="M1655" s="3"/>
      <c r="N1655" s="3"/>
      <c r="O1655" s="3"/>
      <c r="P1655" s="3"/>
      <c r="Q1655" s="3"/>
      <c r="R1655" s="3"/>
      <c r="S1655" s="3"/>
      <c r="T1655" s="3"/>
      <c r="U1655" s="3"/>
      <c r="V1655" s="3"/>
      <c r="W1655" s="3"/>
      <c r="X1655" s="3"/>
      <c r="Y1655" s="3"/>
      <c r="Z1655" s="3"/>
      <c r="AA1655" s="3"/>
    </row>
    <row r="1656" ht="105.75" customHeight="1">
      <c r="A1656" s="11"/>
      <c r="B1656" s="12"/>
      <c r="C1656" s="11"/>
      <c r="D1656" s="13"/>
      <c r="E1656" s="14"/>
      <c r="F1656" s="14"/>
      <c r="G1656" s="14"/>
      <c r="H1656" s="15"/>
      <c r="I1656" s="15"/>
      <c r="J1656" s="3"/>
      <c r="K1656" s="3"/>
      <c r="L1656" s="3"/>
      <c r="M1656" s="3"/>
      <c r="N1656" s="3"/>
      <c r="O1656" s="3"/>
      <c r="P1656" s="3"/>
      <c r="Q1656" s="3"/>
      <c r="R1656" s="3"/>
      <c r="S1656" s="3"/>
      <c r="T1656" s="3"/>
      <c r="U1656" s="3"/>
      <c r="V1656" s="3"/>
      <c r="W1656" s="3"/>
      <c r="X1656" s="3"/>
      <c r="Y1656" s="3"/>
      <c r="Z1656" s="3"/>
      <c r="AA1656" s="3"/>
    </row>
    <row r="1657" ht="105.75" customHeight="1">
      <c r="A1657" s="11"/>
      <c r="B1657" s="12"/>
      <c r="C1657" s="11"/>
      <c r="D1657" s="13"/>
      <c r="E1657" s="14"/>
      <c r="F1657" s="14"/>
      <c r="G1657" s="14"/>
      <c r="H1657" s="15"/>
      <c r="I1657" s="15"/>
      <c r="J1657" s="3"/>
      <c r="K1657" s="3"/>
      <c r="L1657" s="3"/>
      <c r="M1657" s="3"/>
      <c r="N1657" s="3"/>
      <c r="O1657" s="3"/>
      <c r="P1657" s="3"/>
      <c r="Q1657" s="3"/>
      <c r="R1657" s="3"/>
      <c r="S1657" s="3"/>
      <c r="T1657" s="3"/>
      <c r="U1657" s="3"/>
      <c r="V1657" s="3"/>
      <c r="W1657" s="3"/>
      <c r="X1657" s="3"/>
      <c r="Y1657" s="3"/>
      <c r="Z1657" s="3"/>
      <c r="AA1657" s="3"/>
    </row>
    <row r="1658" ht="105.75" customHeight="1">
      <c r="A1658" s="11"/>
      <c r="B1658" s="12"/>
      <c r="C1658" s="11"/>
      <c r="D1658" s="13"/>
      <c r="E1658" s="14"/>
      <c r="F1658" s="14"/>
      <c r="G1658" s="14"/>
      <c r="H1658" s="15"/>
      <c r="I1658" s="15"/>
      <c r="J1658" s="3"/>
      <c r="K1658" s="3"/>
      <c r="L1658" s="3"/>
      <c r="M1658" s="3"/>
      <c r="N1658" s="3"/>
      <c r="O1658" s="3"/>
      <c r="P1658" s="3"/>
      <c r="Q1658" s="3"/>
      <c r="R1658" s="3"/>
      <c r="S1658" s="3"/>
      <c r="T1658" s="3"/>
      <c r="U1658" s="3"/>
      <c r="V1658" s="3"/>
      <c r="W1658" s="3"/>
      <c r="X1658" s="3"/>
      <c r="Y1658" s="3"/>
      <c r="Z1658" s="3"/>
      <c r="AA1658" s="3"/>
    </row>
    <row r="1659" ht="105.75" customHeight="1">
      <c r="A1659" s="11"/>
      <c r="B1659" s="12"/>
      <c r="C1659" s="11"/>
      <c r="D1659" s="13"/>
      <c r="E1659" s="14"/>
      <c r="F1659" s="14"/>
      <c r="G1659" s="14"/>
      <c r="H1659" s="15"/>
      <c r="I1659" s="15"/>
      <c r="J1659" s="3"/>
      <c r="K1659" s="3"/>
      <c r="L1659" s="3"/>
      <c r="M1659" s="3"/>
      <c r="N1659" s="3"/>
      <c r="O1659" s="3"/>
      <c r="P1659" s="3"/>
      <c r="Q1659" s="3"/>
      <c r="R1659" s="3"/>
      <c r="S1659" s="3"/>
      <c r="T1659" s="3"/>
      <c r="U1659" s="3"/>
      <c r="V1659" s="3"/>
      <c r="W1659" s="3"/>
      <c r="X1659" s="3"/>
      <c r="Y1659" s="3"/>
      <c r="Z1659" s="3"/>
      <c r="AA1659" s="3"/>
    </row>
    <row r="1660" ht="105.75" customHeight="1">
      <c r="A1660" s="11"/>
      <c r="B1660" s="12"/>
      <c r="C1660" s="11"/>
      <c r="D1660" s="13"/>
      <c r="E1660" s="14"/>
      <c r="F1660" s="14"/>
      <c r="G1660" s="14"/>
      <c r="H1660" s="15"/>
      <c r="I1660" s="15"/>
      <c r="J1660" s="3"/>
      <c r="K1660" s="3"/>
      <c r="L1660" s="3"/>
      <c r="M1660" s="3"/>
      <c r="N1660" s="3"/>
      <c r="O1660" s="3"/>
      <c r="P1660" s="3"/>
      <c r="Q1660" s="3"/>
      <c r="R1660" s="3"/>
      <c r="S1660" s="3"/>
      <c r="T1660" s="3"/>
      <c r="U1660" s="3"/>
      <c r="V1660" s="3"/>
      <c r="W1660" s="3"/>
      <c r="X1660" s="3"/>
      <c r="Y1660" s="3"/>
      <c r="Z1660" s="3"/>
      <c r="AA1660" s="3"/>
    </row>
    <row r="1661" ht="105.75" customHeight="1">
      <c r="A1661" s="11"/>
      <c r="B1661" s="12"/>
      <c r="C1661" s="11"/>
      <c r="D1661" s="13"/>
      <c r="E1661" s="14"/>
      <c r="F1661" s="14"/>
      <c r="G1661" s="14"/>
      <c r="H1661" s="15"/>
      <c r="I1661" s="15"/>
      <c r="J1661" s="3"/>
      <c r="K1661" s="3"/>
      <c r="L1661" s="3"/>
      <c r="M1661" s="3"/>
      <c r="N1661" s="3"/>
      <c r="O1661" s="3"/>
      <c r="P1661" s="3"/>
      <c r="Q1661" s="3"/>
      <c r="R1661" s="3"/>
      <c r="S1661" s="3"/>
      <c r="T1661" s="3"/>
      <c r="U1661" s="3"/>
      <c r="V1661" s="3"/>
      <c r="W1661" s="3"/>
      <c r="X1661" s="3"/>
      <c r="Y1661" s="3"/>
      <c r="Z1661" s="3"/>
      <c r="AA1661" s="3"/>
    </row>
    <row r="1662" ht="105.75" customHeight="1">
      <c r="A1662" s="11"/>
      <c r="B1662" s="12"/>
      <c r="C1662" s="11"/>
      <c r="D1662" s="13"/>
      <c r="E1662" s="14"/>
      <c r="F1662" s="14"/>
      <c r="G1662" s="14"/>
      <c r="H1662" s="15"/>
      <c r="I1662" s="15"/>
      <c r="J1662" s="3"/>
      <c r="K1662" s="3"/>
      <c r="L1662" s="3"/>
      <c r="M1662" s="3"/>
      <c r="N1662" s="3"/>
      <c r="O1662" s="3"/>
      <c r="P1662" s="3"/>
      <c r="Q1662" s="3"/>
      <c r="R1662" s="3"/>
      <c r="S1662" s="3"/>
      <c r="T1662" s="3"/>
      <c r="U1662" s="3"/>
      <c r="V1662" s="3"/>
      <c r="W1662" s="3"/>
      <c r="X1662" s="3"/>
      <c r="Y1662" s="3"/>
      <c r="Z1662" s="3"/>
      <c r="AA1662" s="3"/>
    </row>
    <row r="1663" ht="105.75" customHeight="1">
      <c r="A1663" s="11"/>
      <c r="B1663" s="12"/>
      <c r="C1663" s="11"/>
      <c r="D1663" s="13"/>
      <c r="E1663" s="14"/>
      <c r="F1663" s="14"/>
      <c r="G1663" s="14"/>
      <c r="H1663" s="15"/>
      <c r="I1663" s="15"/>
      <c r="J1663" s="3"/>
      <c r="K1663" s="3"/>
      <c r="L1663" s="3"/>
      <c r="M1663" s="3"/>
      <c r="N1663" s="3"/>
      <c r="O1663" s="3"/>
      <c r="P1663" s="3"/>
      <c r="Q1663" s="3"/>
      <c r="R1663" s="3"/>
      <c r="S1663" s="3"/>
      <c r="T1663" s="3"/>
      <c r="U1663" s="3"/>
      <c r="V1663" s="3"/>
      <c r="W1663" s="3"/>
      <c r="X1663" s="3"/>
      <c r="Y1663" s="3"/>
      <c r="Z1663" s="3"/>
      <c r="AA1663" s="3"/>
    </row>
    <row r="1664" ht="105.75" customHeight="1">
      <c r="A1664" s="11"/>
      <c r="B1664" s="12"/>
      <c r="C1664" s="11"/>
      <c r="D1664" s="13"/>
      <c r="E1664" s="14"/>
      <c r="F1664" s="14"/>
      <c r="G1664" s="14"/>
      <c r="H1664" s="15"/>
      <c r="I1664" s="15"/>
      <c r="J1664" s="3"/>
      <c r="K1664" s="3"/>
      <c r="L1664" s="3"/>
      <c r="M1664" s="3"/>
      <c r="N1664" s="3"/>
      <c r="O1664" s="3"/>
      <c r="P1664" s="3"/>
      <c r="Q1664" s="3"/>
      <c r="R1664" s="3"/>
      <c r="S1664" s="3"/>
      <c r="T1664" s="3"/>
      <c r="U1664" s="3"/>
      <c r="V1664" s="3"/>
      <c r="W1664" s="3"/>
      <c r="X1664" s="3"/>
      <c r="Y1664" s="3"/>
      <c r="Z1664" s="3"/>
      <c r="AA1664" s="3"/>
    </row>
    <row r="1665" ht="105.75" customHeight="1">
      <c r="A1665" s="11"/>
      <c r="B1665" s="12"/>
      <c r="C1665" s="11"/>
      <c r="D1665" s="13"/>
      <c r="E1665" s="16"/>
      <c r="F1665" s="16"/>
      <c r="G1665" s="16"/>
      <c r="H1665" s="15"/>
      <c r="I1665" s="15"/>
      <c r="J1665" s="3"/>
      <c r="K1665" s="3"/>
      <c r="L1665" s="3"/>
      <c r="M1665" s="3"/>
      <c r="N1665" s="3"/>
      <c r="O1665" s="3"/>
      <c r="P1665" s="3"/>
      <c r="Q1665" s="3"/>
      <c r="R1665" s="3"/>
      <c r="S1665" s="3"/>
      <c r="T1665" s="3"/>
      <c r="U1665" s="3"/>
      <c r="V1665" s="3"/>
      <c r="W1665" s="3"/>
      <c r="X1665" s="3"/>
      <c r="Y1665" s="3"/>
      <c r="Z1665" s="3"/>
      <c r="AA1665" s="3"/>
    </row>
    <row r="1666" ht="105.75" customHeight="1">
      <c r="A1666" s="11"/>
      <c r="B1666" s="12"/>
      <c r="C1666" s="11"/>
      <c r="D1666" s="13"/>
      <c r="E1666" s="14"/>
      <c r="F1666" s="14"/>
      <c r="G1666" s="14"/>
      <c r="H1666" s="15"/>
      <c r="I1666" s="15"/>
      <c r="J1666" s="3"/>
      <c r="K1666" s="3"/>
      <c r="L1666" s="3"/>
      <c r="M1666" s="3"/>
      <c r="N1666" s="3"/>
      <c r="O1666" s="3"/>
      <c r="P1666" s="3"/>
      <c r="Q1666" s="3"/>
      <c r="R1666" s="3"/>
      <c r="S1666" s="3"/>
      <c r="T1666" s="3"/>
      <c r="U1666" s="3"/>
      <c r="V1666" s="3"/>
      <c r="W1666" s="3"/>
      <c r="X1666" s="3"/>
      <c r="Y1666" s="3"/>
      <c r="Z1666" s="3"/>
      <c r="AA1666" s="3"/>
    </row>
    <row r="1667" ht="105.75" customHeight="1">
      <c r="A1667" s="11"/>
      <c r="B1667" s="12"/>
      <c r="C1667" s="11"/>
      <c r="D1667" s="13"/>
      <c r="E1667" s="14"/>
      <c r="F1667" s="14"/>
      <c r="G1667" s="14"/>
      <c r="H1667" s="15"/>
      <c r="I1667" s="15"/>
      <c r="J1667" s="3"/>
      <c r="K1667" s="3"/>
      <c r="L1667" s="3"/>
      <c r="M1667" s="3"/>
      <c r="N1667" s="3"/>
      <c r="O1667" s="3"/>
      <c r="P1667" s="3"/>
      <c r="Q1667" s="3"/>
      <c r="R1667" s="3"/>
      <c r="S1667" s="3"/>
      <c r="T1667" s="3"/>
      <c r="U1667" s="3"/>
      <c r="V1667" s="3"/>
      <c r="W1667" s="3"/>
      <c r="X1667" s="3"/>
      <c r="Y1667" s="3"/>
      <c r="Z1667" s="3"/>
      <c r="AA1667" s="3"/>
    </row>
    <row r="1668" ht="105.75" customHeight="1">
      <c r="A1668" s="11"/>
      <c r="B1668" s="12"/>
      <c r="C1668" s="11"/>
      <c r="D1668" s="13"/>
      <c r="E1668" s="16"/>
      <c r="F1668" s="16"/>
      <c r="G1668" s="16"/>
      <c r="H1668" s="15"/>
      <c r="I1668" s="15"/>
      <c r="J1668" s="3"/>
      <c r="K1668" s="3"/>
      <c r="L1668" s="3"/>
      <c r="M1668" s="3"/>
      <c r="N1668" s="3"/>
      <c r="O1668" s="3"/>
      <c r="P1668" s="3"/>
      <c r="Q1668" s="3"/>
      <c r="R1668" s="3"/>
      <c r="S1668" s="3"/>
      <c r="T1668" s="3"/>
      <c r="U1668" s="3"/>
      <c r="V1668" s="3"/>
      <c r="W1668" s="3"/>
      <c r="X1668" s="3"/>
      <c r="Y1668" s="3"/>
      <c r="Z1668" s="3"/>
      <c r="AA1668" s="3"/>
    </row>
    <row r="1669" ht="105.75" customHeight="1">
      <c r="A1669" s="11"/>
      <c r="B1669" s="12"/>
      <c r="C1669" s="11"/>
      <c r="D1669" s="13"/>
      <c r="E1669" s="14"/>
      <c r="F1669" s="14"/>
      <c r="G1669" s="14"/>
      <c r="H1669" s="15"/>
      <c r="I1669" s="15"/>
      <c r="J1669" s="3"/>
      <c r="K1669" s="3"/>
      <c r="L1669" s="3"/>
      <c r="M1669" s="3"/>
      <c r="N1669" s="3"/>
      <c r="O1669" s="3"/>
      <c r="P1669" s="3"/>
      <c r="Q1669" s="3"/>
      <c r="R1669" s="3"/>
      <c r="S1669" s="3"/>
      <c r="T1669" s="3"/>
      <c r="U1669" s="3"/>
      <c r="V1669" s="3"/>
      <c r="W1669" s="3"/>
      <c r="X1669" s="3"/>
      <c r="Y1669" s="3"/>
      <c r="Z1669" s="3"/>
      <c r="AA1669" s="3"/>
    </row>
    <row r="1670" ht="105.75" customHeight="1">
      <c r="A1670" s="11"/>
      <c r="B1670" s="12"/>
      <c r="C1670" s="11"/>
      <c r="D1670" s="13"/>
      <c r="E1670" s="14"/>
      <c r="F1670" s="14"/>
      <c r="G1670" s="14"/>
      <c r="H1670" s="15"/>
      <c r="I1670" s="15"/>
      <c r="J1670" s="3"/>
      <c r="K1670" s="3"/>
      <c r="L1670" s="3"/>
      <c r="M1670" s="3"/>
      <c r="N1670" s="3"/>
      <c r="O1670" s="3"/>
      <c r="P1670" s="3"/>
      <c r="Q1670" s="3"/>
      <c r="R1670" s="3"/>
      <c r="S1670" s="3"/>
      <c r="T1670" s="3"/>
      <c r="U1670" s="3"/>
      <c r="V1670" s="3"/>
      <c r="W1670" s="3"/>
      <c r="X1670" s="3"/>
      <c r="Y1670" s="3"/>
      <c r="Z1670" s="3"/>
      <c r="AA1670" s="3"/>
    </row>
    <row r="1671" ht="105.75" customHeight="1">
      <c r="A1671" s="11"/>
      <c r="B1671" s="12"/>
      <c r="C1671" s="11"/>
      <c r="D1671" s="13"/>
      <c r="E1671" s="14"/>
      <c r="F1671" s="14"/>
      <c r="G1671" s="14"/>
      <c r="H1671" s="15"/>
      <c r="I1671" s="15"/>
      <c r="J1671" s="3"/>
      <c r="K1671" s="3"/>
      <c r="L1671" s="3"/>
      <c r="M1671" s="3"/>
      <c r="N1671" s="3"/>
      <c r="O1671" s="3"/>
      <c r="P1671" s="3"/>
      <c r="Q1671" s="3"/>
      <c r="R1671" s="3"/>
      <c r="S1671" s="3"/>
      <c r="T1671" s="3"/>
      <c r="U1671" s="3"/>
      <c r="V1671" s="3"/>
      <c r="W1671" s="3"/>
      <c r="X1671" s="3"/>
      <c r="Y1671" s="3"/>
      <c r="Z1671" s="3"/>
      <c r="AA1671" s="3"/>
    </row>
    <row r="1672" ht="105.75" customHeight="1">
      <c r="A1672" s="11"/>
      <c r="B1672" s="12"/>
      <c r="C1672" s="11"/>
      <c r="D1672" s="13"/>
      <c r="E1672" s="14"/>
      <c r="F1672" s="14"/>
      <c r="G1672" s="14"/>
      <c r="H1672" s="15"/>
      <c r="I1672" s="15"/>
      <c r="J1672" s="3"/>
      <c r="K1672" s="3"/>
      <c r="L1672" s="3"/>
      <c r="M1672" s="3"/>
      <c r="N1672" s="3"/>
      <c r="O1672" s="3"/>
      <c r="P1672" s="3"/>
      <c r="Q1672" s="3"/>
      <c r="R1672" s="3"/>
      <c r="S1672" s="3"/>
      <c r="T1672" s="3"/>
      <c r="U1672" s="3"/>
      <c r="V1672" s="3"/>
      <c r="W1672" s="3"/>
      <c r="X1672" s="3"/>
      <c r="Y1672" s="3"/>
      <c r="Z1672" s="3"/>
      <c r="AA1672" s="3"/>
    </row>
    <row r="1673" ht="105.75" customHeight="1">
      <c r="A1673" s="11"/>
      <c r="B1673" s="12"/>
      <c r="C1673" s="11"/>
      <c r="D1673" s="13"/>
      <c r="E1673" s="14"/>
      <c r="F1673" s="14"/>
      <c r="G1673" s="14"/>
      <c r="H1673" s="15"/>
      <c r="I1673" s="15"/>
      <c r="J1673" s="3"/>
      <c r="K1673" s="3"/>
      <c r="L1673" s="3"/>
      <c r="M1673" s="3"/>
      <c r="N1673" s="3"/>
      <c r="O1673" s="3"/>
      <c r="P1673" s="3"/>
      <c r="Q1673" s="3"/>
      <c r="R1673" s="3"/>
      <c r="S1673" s="3"/>
      <c r="T1673" s="3"/>
      <c r="U1673" s="3"/>
      <c r="V1673" s="3"/>
      <c r="W1673" s="3"/>
      <c r="X1673" s="3"/>
      <c r="Y1673" s="3"/>
      <c r="Z1673" s="3"/>
      <c r="AA1673" s="3"/>
    </row>
    <row r="1674" ht="105.75" customHeight="1">
      <c r="A1674" s="11"/>
      <c r="B1674" s="12"/>
      <c r="C1674" s="11"/>
      <c r="D1674" s="13"/>
      <c r="E1674" s="14"/>
      <c r="F1674" s="14"/>
      <c r="G1674" s="14"/>
      <c r="H1674" s="15"/>
      <c r="I1674" s="15"/>
      <c r="J1674" s="3"/>
      <c r="K1674" s="3"/>
      <c r="L1674" s="3"/>
      <c r="M1674" s="3"/>
      <c r="N1674" s="3"/>
      <c r="O1674" s="3"/>
      <c r="P1674" s="3"/>
      <c r="Q1674" s="3"/>
      <c r="R1674" s="3"/>
      <c r="S1674" s="3"/>
      <c r="T1674" s="3"/>
      <c r="U1674" s="3"/>
      <c r="V1674" s="3"/>
      <c r="W1674" s="3"/>
      <c r="X1674" s="3"/>
      <c r="Y1674" s="3"/>
      <c r="Z1674" s="3"/>
      <c r="AA1674" s="3"/>
    </row>
    <row r="1675" ht="105.75" customHeight="1">
      <c r="A1675" s="11"/>
      <c r="B1675" s="12"/>
      <c r="C1675" s="11"/>
      <c r="D1675" s="13"/>
      <c r="E1675" s="14"/>
      <c r="F1675" s="14"/>
      <c r="G1675" s="14"/>
      <c r="H1675" s="15"/>
      <c r="I1675" s="15"/>
      <c r="J1675" s="3"/>
      <c r="K1675" s="3"/>
      <c r="L1675" s="3"/>
      <c r="M1675" s="3"/>
      <c r="N1675" s="3"/>
      <c r="O1675" s="3"/>
      <c r="P1675" s="3"/>
      <c r="Q1675" s="3"/>
      <c r="R1675" s="3"/>
      <c r="S1675" s="3"/>
      <c r="T1675" s="3"/>
      <c r="U1675" s="3"/>
      <c r="V1675" s="3"/>
      <c r="W1675" s="3"/>
      <c r="X1675" s="3"/>
      <c r="Y1675" s="3"/>
      <c r="Z1675" s="3"/>
      <c r="AA1675" s="3"/>
    </row>
    <row r="1676" ht="105.75" customHeight="1">
      <c r="A1676" s="11"/>
      <c r="B1676" s="12"/>
      <c r="C1676" s="11"/>
      <c r="D1676" s="13"/>
      <c r="E1676" s="14"/>
      <c r="F1676" s="14"/>
      <c r="G1676" s="14"/>
      <c r="H1676" s="15"/>
      <c r="I1676" s="15"/>
      <c r="J1676" s="3"/>
      <c r="K1676" s="3"/>
      <c r="L1676" s="3"/>
      <c r="M1676" s="3"/>
      <c r="N1676" s="3"/>
      <c r="O1676" s="3"/>
      <c r="P1676" s="3"/>
      <c r="Q1676" s="3"/>
      <c r="R1676" s="3"/>
      <c r="S1676" s="3"/>
      <c r="T1676" s="3"/>
      <c r="U1676" s="3"/>
      <c r="V1676" s="3"/>
      <c r="W1676" s="3"/>
      <c r="X1676" s="3"/>
      <c r="Y1676" s="3"/>
      <c r="Z1676" s="3"/>
      <c r="AA1676" s="3"/>
    </row>
    <row r="1677" ht="105.75" customHeight="1">
      <c r="A1677" s="11"/>
      <c r="B1677" s="12"/>
      <c r="C1677" s="11"/>
      <c r="D1677" s="13"/>
      <c r="E1677" s="14"/>
      <c r="F1677" s="14"/>
      <c r="G1677" s="14"/>
      <c r="H1677" s="15"/>
      <c r="I1677" s="15"/>
      <c r="J1677" s="3"/>
      <c r="K1677" s="3"/>
      <c r="L1677" s="3"/>
      <c r="M1677" s="3"/>
      <c r="N1677" s="3"/>
      <c r="O1677" s="3"/>
      <c r="P1677" s="3"/>
      <c r="Q1677" s="3"/>
      <c r="R1677" s="3"/>
      <c r="S1677" s="3"/>
      <c r="T1677" s="3"/>
      <c r="U1677" s="3"/>
      <c r="V1677" s="3"/>
      <c r="W1677" s="3"/>
      <c r="X1677" s="3"/>
      <c r="Y1677" s="3"/>
      <c r="Z1677" s="3"/>
      <c r="AA1677" s="3"/>
    </row>
    <row r="1678" ht="105.75" customHeight="1">
      <c r="A1678" s="11"/>
      <c r="B1678" s="12"/>
      <c r="C1678" s="11"/>
      <c r="D1678" s="13"/>
      <c r="E1678" s="16"/>
      <c r="F1678" s="16"/>
      <c r="G1678" s="16"/>
      <c r="H1678" s="15"/>
      <c r="I1678" s="15"/>
      <c r="J1678" s="3"/>
      <c r="K1678" s="3"/>
      <c r="L1678" s="3"/>
      <c r="M1678" s="3"/>
      <c r="N1678" s="3"/>
      <c r="O1678" s="3"/>
      <c r="P1678" s="3"/>
      <c r="Q1678" s="3"/>
      <c r="R1678" s="3"/>
      <c r="S1678" s="3"/>
      <c r="T1678" s="3"/>
      <c r="U1678" s="3"/>
      <c r="V1678" s="3"/>
      <c r="W1678" s="3"/>
      <c r="X1678" s="3"/>
      <c r="Y1678" s="3"/>
      <c r="Z1678" s="3"/>
      <c r="AA1678" s="3"/>
    </row>
    <row r="1679" ht="105.75" customHeight="1">
      <c r="A1679" s="11"/>
      <c r="B1679" s="12"/>
      <c r="C1679" s="11"/>
      <c r="D1679" s="13"/>
      <c r="E1679" s="16"/>
      <c r="F1679" s="16"/>
      <c r="G1679" s="16"/>
      <c r="H1679" s="15"/>
      <c r="I1679" s="15"/>
      <c r="J1679" s="3"/>
      <c r="K1679" s="3"/>
      <c r="L1679" s="3"/>
      <c r="M1679" s="3"/>
      <c r="N1679" s="3"/>
      <c r="O1679" s="3"/>
      <c r="P1679" s="3"/>
      <c r="Q1679" s="3"/>
      <c r="R1679" s="3"/>
      <c r="S1679" s="3"/>
      <c r="T1679" s="3"/>
      <c r="U1679" s="3"/>
      <c r="V1679" s="3"/>
      <c r="W1679" s="3"/>
      <c r="X1679" s="3"/>
      <c r="Y1679" s="3"/>
      <c r="Z1679" s="3"/>
      <c r="AA1679" s="3"/>
    </row>
    <row r="1680" ht="105.75" customHeight="1">
      <c r="A1680" s="11"/>
      <c r="B1680" s="12"/>
      <c r="C1680" s="11"/>
      <c r="D1680" s="13"/>
      <c r="E1680" s="14"/>
      <c r="F1680" s="14"/>
      <c r="G1680" s="14"/>
      <c r="H1680" s="15"/>
      <c r="I1680" s="15"/>
      <c r="J1680" s="3"/>
      <c r="K1680" s="3"/>
      <c r="L1680" s="3"/>
      <c r="M1680" s="3"/>
      <c r="N1680" s="3"/>
      <c r="O1680" s="3"/>
      <c r="P1680" s="3"/>
      <c r="Q1680" s="3"/>
      <c r="R1680" s="3"/>
      <c r="S1680" s="3"/>
      <c r="T1680" s="3"/>
      <c r="U1680" s="3"/>
      <c r="V1680" s="3"/>
      <c r="W1680" s="3"/>
      <c r="X1680" s="3"/>
      <c r="Y1680" s="3"/>
      <c r="Z1680" s="3"/>
      <c r="AA1680" s="3"/>
    </row>
    <row r="1681" ht="105.75" customHeight="1">
      <c r="A1681" s="11"/>
      <c r="B1681" s="12"/>
      <c r="C1681" s="11"/>
      <c r="D1681" s="13"/>
      <c r="E1681" s="14"/>
      <c r="F1681" s="14"/>
      <c r="G1681" s="14"/>
      <c r="H1681" s="15"/>
      <c r="I1681" s="15"/>
      <c r="J1681" s="3"/>
      <c r="K1681" s="3"/>
      <c r="L1681" s="3"/>
      <c r="M1681" s="3"/>
      <c r="N1681" s="3"/>
      <c r="O1681" s="3"/>
      <c r="P1681" s="3"/>
      <c r="Q1681" s="3"/>
      <c r="R1681" s="3"/>
      <c r="S1681" s="3"/>
      <c r="T1681" s="3"/>
      <c r="U1681" s="3"/>
      <c r="V1681" s="3"/>
      <c r="W1681" s="3"/>
      <c r="X1681" s="3"/>
      <c r="Y1681" s="3"/>
      <c r="Z1681" s="3"/>
      <c r="AA1681" s="3"/>
    </row>
    <row r="1682" ht="105.75" customHeight="1">
      <c r="A1682" s="11"/>
      <c r="B1682" s="12"/>
      <c r="C1682" s="11"/>
      <c r="D1682" s="13"/>
      <c r="E1682" s="14"/>
      <c r="F1682" s="14"/>
      <c r="G1682" s="14"/>
      <c r="H1682" s="15"/>
      <c r="I1682" s="15"/>
      <c r="J1682" s="3"/>
      <c r="K1682" s="3"/>
      <c r="L1682" s="3"/>
      <c r="M1682" s="3"/>
      <c r="N1682" s="3"/>
      <c r="O1682" s="3"/>
      <c r="P1682" s="3"/>
      <c r="Q1682" s="3"/>
      <c r="R1682" s="3"/>
      <c r="S1682" s="3"/>
      <c r="T1682" s="3"/>
      <c r="U1682" s="3"/>
      <c r="V1682" s="3"/>
      <c r="W1682" s="3"/>
      <c r="X1682" s="3"/>
      <c r="Y1682" s="3"/>
      <c r="Z1682" s="3"/>
      <c r="AA1682" s="3"/>
    </row>
    <row r="1683" ht="105.75" customHeight="1">
      <c r="A1683" s="11"/>
      <c r="B1683" s="12"/>
      <c r="C1683" s="11"/>
      <c r="D1683" s="13"/>
      <c r="E1683" s="14"/>
      <c r="F1683" s="14"/>
      <c r="G1683" s="14"/>
      <c r="H1683" s="15"/>
      <c r="I1683" s="15"/>
      <c r="J1683" s="3"/>
      <c r="K1683" s="3"/>
      <c r="L1683" s="3"/>
      <c r="M1683" s="3"/>
      <c r="N1683" s="3"/>
      <c r="O1683" s="3"/>
      <c r="P1683" s="3"/>
      <c r="Q1683" s="3"/>
      <c r="R1683" s="3"/>
      <c r="S1683" s="3"/>
      <c r="T1683" s="3"/>
      <c r="U1683" s="3"/>
      <c r="V1683" s="3"/>
      <c r="W1683" s="3"/>
      <c r="X1683" s="3"/>
      <c r="Y1683" s="3"/>
      <c r="Z1683" s="3"/>
      <c r="AA1683" s="3"/>
    </row>
    <row r="1684" ht="105.75" customHeight="1">
      <c r="A1684" s="11"/>
      <c r="B1684" s="12"/>
      <c r="C1684" s="11"/>
      <c r="D1684" s="13"/>
      <c r="E1684" s="16"/>
      <c r="F1684" s="16"/>
      <c r="G1684" s="16"/>
      <c r="H1684" s="15"/>
      <c r="I1684" s="15"/>
      <c r="J1684" s="3"/>
      <c r="K1684" s="3"/>
      <c r="L1684" s="3"/>
      <c r="M1684" s="3"/>
      <c r="N1684" s="3"/>
      <c r="O1684" s="3"/>
      <c r="P1684" s="3"/>
      <c r="Q1684" s="3"/>
      <c r="R1684" s="3"/>
      <c r="S1684" s="3"/>
      <c r="T1684" s="3"/>
      <c r="U1684" s="3"/>
      <c r="V1684" s="3"/>
      <c r="W1684" s="3"/>
      <c r="X1684" s="3"/>
      <c r="Y1684" s="3"/>
      <c r="Z1684" s="3"/>
      <c r="AA1684" s="3"/>
    </row>
    <row r="1685" ht="105.75" customHeight="1">
      <c r="A1685" s="11"/>
      <c r="B1685" s="12"/>
      <c r="C1685" s="11"/>
      <c r="D1685" s="13"/>
      <c r="E1685" s="14"/>
      <c r="F1685" s="14"/>
      <c r="G1685" s="14"/>
      <c r="H1685" s="15"/>
      <c r="I1685" s="15"/>
      <c r="J1685" s="3"/>
      <c r="K1685" s="3"/>
      <c r="L1685" s="3"/>
      <c r="M1685" s="3"/>
      <c r="N1685" s="3"/>
      <c r="O1685" s="3"/>
      <c r="P1685" s="3"/>
      <c r="Q1685" s="3"/>
      <c r="R1685" s="3"/>
      <c r="S1685" s="3"/>
      <c r="T1685" s="3"/>
      <c r="U1685" s="3"/>
      <c r="V1685" s="3"/>
      <c r="W1685" s="3"/>
      <c r="X1685" s="3"/>
      <c r="Y1685" s="3"/>
      <c r="Z1685" s="3"/>
      <c r="AA1685" s="3"/>
    </row>
    <row r="1686" ht="105.75" customHeight="1">
      <c r="A1686" s="11"/>
      <c r="B1686" s="12"/>
      <c r="C1686" s="11"/>
      <c r="D1686" s="13"/>
      <c r="E1686" s="14"/>
      <c r="F1686" s="14"/>
      <c r="G1686" s="14"/>
      <c r="H1686" s="15"/>
      <c r="I1686" s="15"/>
      <c r="J1686" s="3"/>
      <c r="K1686" s="3"/>
      <c r="L1686" s="3"/>
      <c r="M1686" s="3"/>
      <c r="N1686" s="3"/>
      <c r="O1686" s="3"/>
      <c r="P1686" s="3"/>
      <c r="Q1686" s="3"/>
      <c r="R1686" s="3"/>
      <c r="S1686" s="3"/>
      <c r="T1686" s="3"/>
      <c r="U1686" s="3"/>
      <c r="V1686" s="3"/>
      <c r="W1686" s="3"/>
      <c r="X1686" s="3"/>
      <c r="Y1686" s="3"/>
      <c r="Z1686" s="3"/>
      <c r="AA1686" s="3"/>
    </row>
    <row r="1687" ht="105.75" customHeight="1">
      <c r="A1687" s="11"/>
      <c r="B1687" s="12"/>
      <c r="C1687" s="11"/>
      <c r="D1687" s="13"/>
      <c r="E1687" s="14"/>
      <c r="F1687" s="14"/>
      <c r="G1687" s="14"/>
      <c r="H1687" s="15"/>
      <c r="I1687" s="15"/>
      <c r="J1687" s="3"/>
      <c r="K1687" s="3"/>
      <c r="L1687" s="3"/>
      <c r="M1687" s="3"/>
      <c r="N1687" s="3"/>
      <c r="O1687" s="3"/>
      <c r="P1687" s="3"/>
      <c r="Q1687" s="3"/>
      <c r="R1687" s="3"/>
      <c r="S1687" s="3"/>
      <c r="T1687" s="3"/>
      <c r="U1687" s="3"/>
      <c r="V1687" s="3"/>
      <c r="W1687" s="3"/>
      <c r="X1687" s="3"/>
      <c r="Y1687" s="3"/>
      <c r="Z1687" s="3"/>
      <c r="AA1687" s="3"/>
    </row>
    <row r="1688" ht="105.75" customHeight="1">
      <c r="A1688" s="11"/>
      <c r="B1688" s="12"/>
      <c r="C1688" s="11"/>
      <c r="D1688" s="13"/>
      <c r="E1688" s="14"/>
      <c r="F1688" s="14"/>
      <c r="G1688" s="14"/>
      <c r="H1688" s="15"/>
      <c r="I1688" s="15"/>
      <c r="J1688" s="3"/>
      <c r="K1688" s="3"/>
      <c r="L1688" s="3"/>
      <c r="M1688" s="3"/>
      <c r="N1688" s="3"/>
      <c r="O1688" s="3"/>
      <c r="P1688" s="3"/>
      <c r="Q1688" s="3"/>
      <c r="R1688" s="3"/>
      <c r="S1688" s="3"/>
      <c r="T1688" s="3"/>
      <c r="U1688" s="3"/>
      <c r="V1688" s="3"/>
      <c r="W1688" s="3"/>
      <c r="X1688" s="3"/>
      <c r="Y1688" s="3"/>
      <c r="Z1688" s="3"/>
      <c r="AA1688" s="3"/>
    </row>
    <row r="1689" ht="105.75" customHeight="1">
      <c r="A1689" s="11"/>
      <c r="B1689" s="12"/>
      <c r="C1689" s="11"/>
      <c r="D1689" s="13"/>
      <c r="E1689" s="14"/>
      <c r="F1689" s="14"/>
      <c r="G1689" s="14"/>
      <c r="H1689" s="15"/>
      <c r="I1689" s="15"/>
      <c r="J1689" s="3"/>
      <c r="K1689" s="3"/>
      <c r="L1689" s="3"/>
      <c r="M1689" s="3"/>
      <c r="N1689" s="3"/>
      <c r="O1689" s="3"/>
      <c r="P1689" s="3"/>
      <c r="Q1689" s="3"/>
      <c r="R1689" s="3"/>
      <c r="S1689" s="3"/>
      <c r="T1689" s="3"/>
      <c r="U1689" s="3"/>
      <c r="V1689" s="3"/>
      <c r="W1689" s="3"/>
      <c r="X1689" s="3"/>
      <c r="Y1689" s="3"/>
      <c r="Z1689" s="3"/>
      <c r="AA1689" s="3"/>
    </row>
    <row r="1690" ht="105.75" customHeight="1">
      <c r="A1690" s="11"/>
      <c r="B1690" s="12"/>
      <c r="C1690" s="11"/>
      <c r="D1690" s="13"/>
      <c r="E1690" s="14"/>
      <c r="F1690" s="14"/>
      <c r="G1690" s="14"/>
      <c r="H1690" s="15"/>
      <c r="I1690" s="15"/>
      <c r="J1690" s="3"/>
      <c r="K1690" s="3"/>
      <c r="L1690" s="3"/>
      <c r="M1690" s="3"/>
      <c r="N1690" s="3"/>
      <c r="O1690" s="3"/>
      <c r="P1690" s="3"/>
      <c r="Q1690" s="3"/>
      <c r="R1690" s="3"/>
      <c r="S1690" s="3"/>
      <c r="T1690" s="3"/>
      <c r="U1690" s="3"/>
      <c r="V1690" s="3"/>
      <c r="W1690" s="3"/>
      <c r="X1690" s="3"/>
      <c r="Y1690" s="3"/>
      <c r="Z1690" s="3"/>
      <c r="AA1690" s="3"/>
    </row>
    <row r="1691" ht="105.75" customHeight="1">
      <c r="A1691" s="11"/>
      <c r="B1691" s="12"/>
      <c r="C1691" s="11"/>
      <c r="D1691" s="13"/>
      <c r="E1691" s="14"/>
      <c r="F1691" s="14"/>
      <c r="G1691" s="14"/>
      <c r="H1691" s="15"/>
      <c r="I1691" s="15"/>
      <c r="J1691" s="3"/>
      <c r="K1691" s="3"/>
      <c r="L1691" s="3"/>
      <c r="M1691" s="3"/>
      <c r="N1691" s="3"/>
      <c r="O1691" s="3"/>
      <c r="P1691" s="3"/>
      <c r="Q1691" s="3"/>
      <c r="R1691" s="3"/>
      <c r="S1691" s="3"/>
      <c r="T1691" s="3"/>
      <c r="U1691" s="3"/>
      <c r="V1691" s="3"/>
      <c r="W1691" s="3"/>
      <c r="X1691" s="3"/>
      <c r="Y1691" s="3"/>
      <c r="Z1691" s="3"/>
      <c r="AA1691" s="3"/>
    </row>
    <row r="1692" ht="105.75" customHeight="1">
      <c r="A1692" s="11"/>
      <c r="B1692" s="12"/>
      <c r="C1692" s="11"/>
      <c r="D1692" s="13"/>
      <c r="E1692" s="14"/>
      <c r="F1692" s="14"/>
      <c r="G1692" s="14"/>
      <c r="H1692" s="15"/>
      <c r="I1692" s="15"/>
      <c r="J1692" s="3"/>
      <c r="K1692" s="3"/>
      <c r="L1692" s="3"/>
      <c r="M1692" s="3"/>
      <c r="N1692" s="3"/>
      <c r="O1692" s="3"/>
      <c r="P1692" s="3"/>
      <c r="Q1692" s="3"/>
      <c r="R1692" s="3"/>
      <c r="S1692" s="3"/>
      <c r="T1692" s="3"/>
      <c r="U1692" s="3"/>
      <c r="V1692" s="3"/>
      <c r="W1692" s="3"/>
      <c r="X1692" s="3"/>
      <c r="Y1692" s="3"/>
      <c r="Z1692" s="3"/>
      <c r="AA1692" s="3"/>
    </row>
    <row r="1693" ht="105.75" customHeight="1">
      <c r="A1693" s="11"/>
      <c r="B1693" s="12"/>
      <c r="C1693" s="11"/>
      <c r="D1693" s="13"/>
      <c r="E1693" s="14"/>
      <c r="F1693" s="14"/>
      <c r="G1693" s="14"/>
      <c r="H1693" s="15"/>
      <c r="I1693" s="15"/>
      <c r="J1693" s="3"/>
      <c r="K1693" s="3"/>
      <c r="L1693" s="3"/>
      <c r="M1693" s="3"/>
      <c r="N1693" s="3"/>
      <c r="O1693" s="3"/>
      <c r="P1693" s="3"/>
      <c r="Q1693" s="3"/>
      <c r="R1693" s="3"/>
      <c r="S1693" s="3"/>
      <c r="T1693" s="3"/>
      <c r="U1693" s="3"/>
      <c r="V1693" s="3"/>
      <c r="W1693" s="3"/>
      <c r="X1693" s="3"/>
      <c r="Y1693" s="3"/>
      <c r="Z1693" s="3"/>
      <c r="AA1693" s="3"/>
    </row>
    <row r="1694" ht="105.75" customHeight="1">
      <c r="A1694" s="11"/>
      <c r="B1694" s="12"/>
      <c r="C1694" s="11"/>
      <c r="D1694" s="13"/>
      <c r="E1694" s="14"/>
      <c r="F1694" s="14"/>
      <c r="G1694" s="14"/>
      <c r="H1694" s="15"/>
      <c r="I1694" s="15"/>
      <c r="J1694" s="3"/>
      <c r="K1694" s="3"/>
      <c r="L1694" s="3"/>
      <c r="M1694" s="3"/>
      <c r="N1694" s="3"/>
      <c r="O1694" s="3"/>
      <c r="P1694" s="3"/>
      <c r="Q1694" s="3"/>
      <c r="R1694" s="3"/>
      <c r="S1694" s="3"/>
      <c r="T1694" s="3"/>
      <c r="U1694" s="3"/>
      <c r="V1694" s="3"/>
      <c r="W1694" s="3"/>
      <c r="X1694" s="3"/>
      <c r="Y1694" s="3"/>
      <c r="Z1694" s="3"/>
      <c r="AA1694" s="3"/>
    </row>
    <row r="1695" ht="105.75" customHeight="1">
      <c r="A1695" s="11"/>
      <c r="B1695" s="12"/>
      <c r="C1695" s="11"/>
      <c r="D1695" s="13"/>
      <c r="E1695" s="14"/>
      <c r="F1695" s="14"/>
      <c r="G1695" s="14"/>
      <c r="H1695" s="15"/>
      <c r="I1695" s="15"/>
      <c r="J1695" s="3"/>
      <c r="K1695" s="3"/>
      <c r="L1695" s="3"/>
      <c r="M1695" s="3"/>
      <c r="N1695" s="3"/>
      <c r="O1695" s="3"/>
      <c r="P1695" s="3"/>
      <c r="Q1695" s="3"/>
      <c r="R1695" s="3"/>
      <c r="S1695" s="3"/>
      <c r="T1695" s="3"/>
      <c r="U1695" s="3"/>
      <c r="V1695" s="3"/>
      <c r="W1695" s="3"/>
      <c r="X1695" s="3"/>
      <c r="Y1695" s="3"/>
      <c r="Z1695" s="3"/>
      <c r="AA1695" s="3"/>
    </row>
    <row r="1696" ht="105.75" customHeight="1">
      <c r="A1696" s="11"/>
      <c r="B1696" s="12"/>
      <c r="C1696" s="11"/>
      <c r="D1696" s="13"/>
      <c r="E1696" s="14"/>
      <c r="F1696" s="14"/>
      <c r="G1696" s="14"/>
      <c r="H1696" s="15"/>
      <c r="I1696" s="15"/>
      <c r="J1696" s="3"/>
      <c r="K1696" s="3"/>
      <c r="L1696" s="3"/>
      <c r="M1696" s="3"/>
      <c r="N1696" s="3"/>
      <c r="O1696" s="3"/>
      <c r="P1696" s="3"/>
      <c r="Q1696" s="3"/>
      <c r="R1696" s="3"/>
      <c r="S1696" s="3"/>
      <c r="T1696" s="3"/>
      <c r="U1696" s="3"/>
      <c r="V1696" s="3"/>
      <c r="W1696" s="3"/>
      <c r="X1696" s="3"/>
      <c r="Y1696" s="3"/>
      <c r="Z1696" s="3"/>
      <c r="AA1696" s="3"/>
    </row>
    <row r="1697" ht="105.75" customHeight="1">
      <c r="A1697" s="11"/>
      <c r="B1697" s="12"/>
      <c r="C1697" s="11"/>
      <c r="D1697" s="13"/>
      <c r="E1697" s="14"/>
      <c r="F1697" s="14"/>
      <c r="G1697" s="14"/>
      <c r="H1697" s="15"/>
      <c r="I1697" s="15"/>
      <c r="J1697" s="3"/>
      <c r="K1697" s="3"/>
      <c r="L1697" s="3"/>
      <c r="M1697" s="3"/>
      <c r="N1697" s="3"/>
      <c r="O1697" s="3"/>
      <c r="P1697" s="3"/>
      <c r="Q1697" s="3"/>
      <c r="R1697" s="3"/>
      <c r="S1697" s="3"/>
      <c r="T1697" s="3"/>
      <c r="U1697" s="3"/>
      <c r="V1697" s="3"/>
      <c r="W1697" s="3"/>
      <c r="X1697" s="3"/>
      <c r="Y1697" s="3"/>
      <c r="Z1697" s="3"/>
      <c r="AA1697" s="3"/>
    </row>
    <row r="1698" ht="105.75" customHeight="1">
      <c r="A1698" s="11"/>
      <c r="B1698" s="12"/>
      <c r="C1698" s="11"/>
      <c r="D1698" s="13"/>
      <c r="E1698" s="16"/>
      <c r="F1698" s="16"/>
      <c r="G1698" s="16"/>
      <c r="H1698" s="15"/>
      <c r="I1698" s="15"/>
      <c r="J1698" s="3"/>
      <c r="K1698" s="3"/>
      <c r="L1698" s="3"/>
      <c r="M1698" s="3"/>
      <c r="N1698" s="3"/>
      <c r="O1698" s="3"/>
      <c r="P1698" s="3"/>
      <c r="Q1698" s="3"/>
      <c r="R1698" s="3"/>
      <c r="S1698" s="3"/>
      <c r="T1698" s="3"/>
      <c r="U1698" s="3"/>
      <c r="V1698" s="3"/>
      <c r="W1698" s="3"/>
      <c r="X1698" s="3"/>
      <c r="Y1698" s="3"/>
      <c r="Z1698" s="3"/>
      <c r="AA1698" s="3"/>
    </row>
    <row r="1699" ht="105.75" customHeight="1">
      <c r="A1699" s="11"/>
      <c r="B1699" s="12"/>
      <c r="C1699" s="11"/>
      <c r="D1699" s="13"/>
      <c r="E1699" s="16"/>
      <c r="F1699" s="16"/>
      <c r="G1699" s="16"/>
      <c r="H1699" s="15"/>
      <c r="I1699" s="15"/>
      <c r="J1699" s="3"/>
      <c r="K1699" s="3"/>
      <c r="L1699" s="3"/>
      <c r="M1699" s="3"/>
      <c r="N1699" s="3"/>
      <c r="O1699" s="3"/>
      <c r="P1699" s="3"/>
      <c r="Q1699" s="3"/>
      <c r="R1699" s="3"/>
      <c r="S1699" s="3"/>
      <c r="T1699" s="3"/>
      <c r="U1699" s="3"/>
      <c r="V1699" s="3"/>
      <c r="W1699" s="3"/>
      <c r="X1699" s="3"/>
      <c r="Y1699" s="3"/>
      <c r="Z1699" s="3"/>
      <c r="AA1699" s="3"/>
    </row>
    <row r="1700" ht="105.75" customHeight="1">
      <c r="A1700" s="11"/>
      <c r="B1700" s="12"/>
      <c r="C1700" s="11"/>
      <c r="D1700" s="13"/>
      <c r="E1700" s="14"/>
      <c r="F1700" s="14"/>
      <c r="G1700" s="14"/>
      <c r="H1700" s="15"/>
      <c r="I1700" s="15"/>
      <c r="J1700" s="3"/>
      <c r="K1700" s="3"/>
      <c r="L1700" s="3"/>
      <c r="M1700" s="3"/>
      <c r="N1700" s="3"/>
      <c r="O1700" s="3"/>
      <c r="P1700" s="3"/>
      <c r="Q1700" s="3"/>
      <c r="R1700" s="3"/>
      <c r="S1700" s="3"/>
      <c r="T1700" s="3"/>
      <c r="U1700" s="3"/>
      <c r="V1700" s="3"/>
      <c r="W1700" s="3"/>
      <c r="X1700" s="3"/>
      <c r="Y1700" s="3"/>
      <c r="Z1700" s="3"/>
      <c r="AA1700" s="3"/>
    </row>
    <row r="1701" ht="105.75" customHeight="1">
      <c r="A1701" s="11"/>
      <c r="B1701" s="12"/>
      <c r="C1701" s="11"/>
      <c r="D1701" s="13"/>
      <c r="E1701" s="14"/>
      <c r="F1701" s="14"/>
      <c r="G1701" s="14"/>
      <c r="H1701" s="15"/>
      <c r="I1701" s="15"/>
      <c r="J1701" s="3"/>
      <c r="K1701" s="3"/>
      <c r="L1701" s="3"/>
      <c r="M1701" s="3"/>
      <c r="N1701" s="3"/>
      <c r="O1701" s="3"/>
      <c r="P1701" s="3"/>
      <c r="Q1701" s="3"/>
      <c r="R1701" s="3"/>
      <c r="S1701" s="3"/>
      <c r="T1701" s="3"/>
      <c r="U1701" s="3"/>
      <c r="V1701" s="3"/>
      <c r="W1701" s="3"/>
      <c r="X1701" s="3"/>
      <c r="Y1701" s="3"/>
      <c r="Z1701" s="3"/>
      <c r="AA1701" s="3"/>
    </row>
    <row r="1702" ht="105.75" customHeight="1">
      <c r="A1702" s="11"/>
      <c r="B1702" s="12"/>
      <c r="C1702" s="11"/>
      <c r="D1702" s="13"/>
      <c r="E1702" s="14"/>
      <c r="F1702" s="14"/>
      <c r="G1702" s="14"/>
      <c r="H1702" s="15"/>
      <c r="I1702" s="15"/>
      <c r="J1702" s="3"/>
      <c r="K1702" s="3"/>
      <c r="L1702" s="3"/>
      <c r="M1702" s="3"/>
      <c r="N1702" s="3"/>
      <c r="O1702" s="3"/>
      <c r="P1702" s="3"/>
      <c r="Q1702" s="3"/>
      <c r="R1702" s="3"/>
      <c r="S1702" s="3"/>
      <c r="T1702" s="3"/>
      <c r="U1702" s="3"/>
      <c r="V1702" s="3"/>
      <c r="W1702" s="3"/>
      <c r="X1702" s="3"/>
      <c r="Y1702" s="3"/>
      <c r="Z1702" s="3"/>
      <c r="AA1702" s="3"/>
    </row>
    <row r="1703" ht="105.75" customHeight="1">
      <c r="A1703" s="11"/>
      <c r="B1703" s="12"/>
      <c r="C1703" s="11"/>
      <c r="D1703" s="13"/>
      <c r="E1703" s="14"/>
      <c r="F1703" s="14"/>
      <c r="G1703" s="14"/>
      <c r="H1703" s="15"/>
      <c r="I1703" s="15"/>
      <c r="J1703" s="3"/>
      <c r="K1703" s="3"/>
      <c r="L1703" s="3"/>
      <c r="M1703" s="3"/>
      <c r="N1703" s="3"/>
      <c r="O1703" s="3"/>
      <c r="P1703" s="3"/>
      <c r="Q1703" s="3"/>
      <c r="R1703" s="3"/>
      <c r="S1703" s="3"/>
      <c r="T1703" s="3"/>
      <c r="U1703" s="3"/>
      <c r="V1703" s="3"/>
      <c r="W1703" s="3"/>
      <c r="X1703" s="3"/>
      <c r="Y1703" s="3"/>
      <c r="Z1703" s="3"/>
      <c r="AA1703" s="3"/>
    </row>
    <row r="1704" ht="105.75" customHeight="1">
      <c r="A1704" s="11"/>
      <c r="B1704" s="12"/>
      <c r="C1704" s="11"/>
      <c r="D1704" s="13"/>
      <c r="E1704" s="14"/>
      <c r="F1704" s="14"/>
      <c r="G1704" s="14"/>
      <c r="H1704" s="15"/>
      <c r="I1704" s="15"/>
      <c r="J1704" s="3"/>
      <c r="K1704" s="3"/>
      <c r="L1704" s="3"/>
      <c r="M1704" s="3"/>
      <c r="N1704" s="3"/>
      <c r="O1704" s="3"/>
      <c r="P1704" s="3"/>
      <c r="Q1704" s="3"/>
      <c r="R1704" s="3"/>
      <c r="S1704" s="3"/>
      <c r="T1704" s="3"/>
      <c r="U1704" s="3"/>
      <c r="V1704" s="3"/>
      <c r="W1704" s="3"/>
      <c r="X1704" s="3"/>
      <c r="Y1704" s="3"/>
      <c r="Z1704" s="3"/>
      <c r="AA1704" s="3"/>
    </row>
    <row r="1705" ht="105.75" customHeight="1">
      <c r="A1705" s="11"/>
      <c r="B1705" s="12"/>
      <c r="C1705" s="11"/>
      <c r="D1705" s="13"/>
      <c r="E1705" s="16"/>
      <c r="F1705" s="16"/>
      <c r="G1705" s="16"/>
      <c r="H1705" s="15"/>
      <c r="I1705" s="15"/>
      <c r="J1705" s="3"/>
      <c r="K1705" s="3"/>
      <c r="L1705" s="3"/>
      <c r="M1705" s="3"/>
      <c r="N1705" s="3"/>
      <c r="O1705" s="3"/>
      <c r="P1705" s="3"/>
      <c r="Q1705" s="3"/>
      <c r="R1705" s="3"/>
      <c r="S1705" s="3"/>
      <c r="T1705" s="3"/>
      <c r="U1705" s="3"/>
      <c r="V1705" s="3"/>
      <c r="W1705" s="3"/>
      <c r="X1705" s="3"/>
      <c r="Y1705" s="3"/>
      <c r="Z1705" s="3"/>
      <c r="AA1705" s="3"/>
    </row>
    <row r="1706" ht="105.75" customHeight="1">
      <c r="A1706" s="11"/>
      <c r="B1706" s="12"/>
      <c r="C1706" s="11"/>
      <c r="D1706" s="13"/>
      <c r="E1706" s="14"/>
      <c r="F1706" s="14"/>
      <c r="G1706" s="14"/>
      <c r="H1706" s="15"/>
      <c r="I1706" s="15"/>
      <c r="J1706" s="3"/>
      <c r="K1706" s="3"/>
      <c r="L1706" s="3"/>
      <c r="M1706" s="3"/>
      <c r="N1706" s="3"/>
      <c r="O1706" s="3"/>
      <c r="P1706" s="3"/>
      <c r="Q1706" s="3"/>
      <c r="R1706" s="3"/>
      <c r="S1706" s="3"/>
      <c r="T1706" s="3"/>
      <c r="U1706" s="3"/>
      <c r="V1706" s="3"/>
      <c r="W1706" s="3"/>
      <c r="X1706" s="3"/>
      <c r="Y1706" s="3"/>
      <c r="Z1706" s="3"/>
      <c r="AA1706" s="3"/>
    </row>
    <row r="1707" ht="105.75" customHeight="1">
      <c r="A1707" s="11"/>
      <c r="B1707" s="12"/>
      <c r="C1707" s="11"/>
      <c r="D1707" s="13"/>
      <c r="E1707" s="16"/>
      <c r="F1707" s="16"/>
      <c r="G1707" s="16"/>
      <c r="H1707" s="15"/>
      <c r="I1707" s="15"/>
      <c r="J1707" s="3"/>
      <c r="K1707" s="3"/>
      <c r="L1707" s="3"/>
      <c r="M1707" s="3"/>
      <c r="N1707" s="3"/>
      <c r="O1707" s="3"/>
      <c r="P1707" s="3"/>
      <c r="Q1707" s="3"/>
      <c r="R1707" s="3"/>
      <c r="S1707" s="3"/>
      <c r="T1707" s="3"/>
      <c r="U1707" s="3"/>
      <c r="V1707" s="3"/>
      <c r="W1707" s="3"/>
      <c r="X1707" s="3"/>
      <c r="Y1707" s="3"/>
      <c r="Z1707" s="3"/>
      <c r="AA1707" s="3"/>
    </row>
    <row r="1708" ht="105.75" customHeight="1">
      <c r="A1708" s="11"/>
      <c r="B1708" s="12"/>
      <c r="C1708" s="11"/>
      <c r="D1708" s="13"/>
      <c r="E1708" s="14"/>
      <c r="F1708" s="14"/>
      <c r="G1708" s="14"/>
      <c r="H1708" s="15"/>
      <c r="I1708" s="15"/>
      <c r="J1708" s="3"/>
      <c r="K1708" s="3"/>
      <c r="L1708" s="3"/>
      <c r="M1708" s="3"/>
      <c r="N1708" s="3"/>
      <c r="O1708" s="3"/>
      <c r="P1708" s="3"/>
      <c r="Q1708" s="3"/>
      <c r="R1708" s="3"/>
      <c r="S1708" s="3"/>
      <c r="T1708" s="3"/>
      <c r="U1708" s="3"/>
      <c r="V1708" s="3"/>
      <c r="W1708" s="3"/>
      <c r="X1708" s="3"/>
      <c r="Y1708" s="3"/>
      <c r="Z1708" s="3"/>
      <c r="AA1708" s="3"/>
    </row>
    <row r="1709" ht="105.75" customHeight="1">
      <c r="A1709" s="11"/>
      <c r="B1709" s="12"/>
      <c r="C1709" s="11"/>
      <c r="D1709" s="13"/>
      <c r="E1709" s="14"/>
      <c r="F1709" s="14"/>
      <c r="G1709" s="14"/>
      <c r="H1709" s="15"/>
      <c r="I1709" s="15"/>
      <c r="J1709" s="3"/>
      <c r="K1709" s="3"/>
      <c r="L1709" s="3"/>
      <c r="M1709" s="3"/>
      <c r="N1709" s="3"/>
      <c r="O1709" s="3"/>
      <c r="P1709" s="3"/>
      <c r="Q1709" s="3"/>
      <c r="R1709" s="3"/>
      <c r="S1709" s="3"/>
      <c r="T1709" s="3"/>
      <c r="U1709" s="3"/>
      <c r="V1709" s="3"/>
      <c r="W1709" s="3"/>
      <c r="X1709" s="3"/>
      <c r="Y1709" s="3"/>
      <c r="Z1709" s="3"/>
      <c r="AA1709" s="3"/>
    </row>
    <row r="1710" ht="105.75" customHeight="1">
      <c r="A1710" s="11"/>
      <c r="B1710" s="12"/>
      <c r="C1710" s="11"/>
      <c r="D1710" s="13"/>
      <c r="E1710" s="14"/>
      <c r="F1710" s="14"/>
      <c r="G1710" s="14"/>
      <c r="H1710" s="15"/>
      <c r="I1710" s="15"/>
      <c r="J1710" s="3"/>
      <c r="K1710" s="3"/>
      <c r="L1710" s="3"/>
      <c r="M1710" s="3"/>
      <c r="N1710" s="3"/>
      <c r="O1710" s="3"/>
      <c r="P1710" s="3"/>
      <c r="Q1710" s="3"/>
      <c r="R1710" s="3"/>
      <c r="S1710" s="3"/>
      <c r="T1710" s="3"/>
      <c r="U1710" s="3"/>
      <c r="V1710" s="3"/>
      <c r="W1710" s="3"/>
      <c r="X1710" s="3"/>
      <c r="Y1710" s="3"/>
      <c r="Z1710" s="3"/>
      <c r="AA1710" s="3"/>
    </row>
    <row r="1711" ht="105.75" customHeight="1">
      <c r="A1711" s="11"/>
      <c r="B1711" s="12"/>
      <c r="C1711" s="11"/>
      <c r="D1711" s="13"/>
      <c r="E1711" s="16"/>
      <c r="F1711" s="16"/>
      <c r="G1711" s="16"/>
      <c r="H1711" s="15"/>
      <c r="I1711" s="15"/>
      <c r="J1711" s="3"/>
      <c r="K1711" s="3"/>
      <c r="L1711" s="3"/>
      <c r="M1711" s="3"/>
      <c r="N1711" s="3"/>
      <c r="O1711" s="3"/>
      <c r="P1711" s="3"/>
      <c r="Q1711" s="3"/>
      <c r="R1711" s="3"/>
      <c r="S1711" s="3"/>
      <c r="T1711" s="3"/>
      <c r="U1711" s="3"/>
      <c r="V1711" s="3"/>
      <c r="W1711" s="3"/>
      <c r="X1711" s="3"/>
      <c r="Y1711" s="3"/>
      <c r="Z1711" s="3"/>
      <c r="AA1711" s="3"/>
    </row>
    <row r="1712" ht="105.75" customHeight="1">
      <c r="A1712" s="11"/>
      <c r="B1712" s="12"/>
      <c r="C1712" s="11"/>
      <c r="D1712" s="13"/>
      <c r="E1712" s="14"/>
      <c r="F1712" s="14"/>
      <c r="G1712" s="14"/>
      <c r="H1712" s="15"/>
      <c r="I1712" s="15"/>
      <c r="J1712" s="3"/>
      <c r="K1712" s="3"/>
      <c r="L1712" s="3"/>
      <c r="M1712" s="3"/>
      <c r="N1712" s="3"/>
      <c r="O1712" s="3"/>
      <c r="P1712" s="3"/>
      <c r="Q1712" s="3"/>
      <c r="R1712" s="3"/>
      <c r="S1712" s="3"/>
      <c r="T1712" s="3"/>
      <c r="U1712" s="3"/>
      <c r="V1712" s="3"/>
      <c r="W1712" s="3"/>
      <c r="X1712" s="3"/>
      <c r="Y1712" s="3"/>
      <c r="Z1712" s="3"/>
      <c r="AA1712" s="3"/>
    </row>
    <row r="1713" ht="105.75" customHeight="1">
      <c r="A1713" s="11"/>
      <c r="B1713" s="12"/>
      <c r="C1713" s="11"/>
      <c r="D1713" s="13"/>
      <c r="E1713" s="14"/>
      <c r="F1713" s="14"/>
      <c r="G1713" s="14"/>
      <c r="H1713" s="15"/>
      <c r="I1713" s="15"/>
      <c r="J1713" s="3"/>
      <c r="K1713" s="3"/>
      <c r="L1713" s="3"/>
      <c r="M1713" s="3"/>
      <c r="N1713" s="3"/>
      <c r="O1713" s="3"/>
      <c r="P1713" s="3"/>
      <c r="Q1713" s="3"/>
      <c r="R1713" s="3"/>
      <c r="S1713" s="3"/>
      <c r="T1713" s="3"/>
      <c r="U1713" s="3"/>
      <c r="V1713" s="3"/>
      <c r="W1713" s="3"/>
      <c r="X1713" s="3"/>
      <c r="Y1713" s="3"/>
      <c r="Z1713" s="3"/>
      <c r="AA1713" s="3"/>
    </row>
    <row r="1714" ht="105.75" customHeight="1">
      <c r="A1714" s="11"/>
      <c r="B1714" s="12"/>
      <c r="C1714" s="11"/>
      <c r="D1714" s="13"/>
      <c r="E1714" s="14"/>
      <c r="F1714" s="14"/>
      <c r="G1714" s="14"/>
      <c r="H1714" s="15"/>
      <c r="I1714" s="15"/>
      <c r="J1714" s="3"/>
      <c r="K1714" s="3"/>
      <c r="L1714" s="3"/>
      <c r="M1714" s="3"/>
      <c r="N1714" s="3"/>
      <c r="O1714" s="3"/>
      <c r="P1714" s="3"/>
      <c r="Q1714" s="3"/>
      <c r="R1714" s="3"/>
      <c r="S1714" s="3"/>
      <c r="T1714" s="3"/>
      <c r="U1714" s="3"/>
      <c r="V1714" s="3"/>
      <c r="W1714" s="3"/>
      <c r="X1714" s="3"/>
      <c r="Y1714" s="3"/>
      <c r="Z1714" s="3"/>
      <c r="AA1714" s="3"/>
    </row>
    <row r="1715" ht="105.75" customHeight="1">
      <c r="A1715" s="11"/>
      <c r="B1715" s="12"/>
      <c r="C1715" s="11"/>
      <c r="D1715" s="13"/>
      <c r="E1715" s="14"/>
      <c r="F1715" s="14"/>
      <c r="G1715" s="14"/>
      <c r="H1715" s="15"/>
      <c r="I1715" s="15"/>
      <c r="J1715" s="3"/>
      <c r="K1715" s="3"/>
      <c r="L1715" s="3"/>
      <c r="M1715" s="3"/>
      <c r="N1715" s="3"/>
      <c r="O1715" s="3"/>
      <c r="P1715" s="3"/>
      <c r="Q1715" s="3"/>
      <c r="R1715" s="3"/>
      <c r="S1715" s="3"/>
      <c r="T1715" s="3"/>
      <c r="U1715" s="3"/>
      <c r="V1715" s="3"/>
      <c r="W1715" s="3"/>
      <c r="X1715" s="3"/>
      <c r="Y1715" s="3"/>
      <c r="Z1715" s="3"/>
      <c r="AA1715" s="3"/>
    </row>
    <row r="1716" ht="105.75" customHeight="1">
      <c r="A1716" s="11"/>
      <c r="B1716" s="12"/>
      <c r="C1716" s="11"/>
      <c r="D1716" s="13"/>
      <c r="E1716" s="14"/>
      <c r="F1716" s="14"/>
      <c r="G1716" s="14"/>
      <c r="H1716" s="15"/>
      <c r="I1716" s="15"/>
      <c r="J1716" s="3"/>
      <c r="K1716" s="3"/>
      <c r="L1716" s="3"/>
      <c r="M1716" s="3"/>
      <c r="N1716" s="3"/>
      <c r="O1716" s="3"/>
      <c r="P1716" s="3"/>
      <c r="Q1716" s="3"/>
      <c r="R1716" s="3"/>
      <c r="S1716" s="3"/>
      <c r="T1716" s="3"/>
      <c r="U1716" s="3"/>
      <c r="V1716" s="3"/>
      <c r="W1716" s="3"/>
      <c r="X1716" s="3"/>
      <c r="Y1716" s="3"/>
      <c r="Z1716" s="3"/>
      <c r="AA1716" s="3"/>
    </row>
    <row r="1717" ht="105.75" customHeight="1">
      <c r="A1717" s="11"/>
      <c r="B1717" s="12"/>
      <c r="C1717" s="11"/>
      <c r="D1717" s="13"/>
      <c r="E1717" s="14"/>
      <c r="F1717" s="14"/>
      <c r="G1717" s="14"/>
      <c r="H1717" s="15"/>
      <c r="I1717" s="15"/>
      <c r="J1717" s="3"/>
      <c r="K1717" s="3"/>
      <c r="L1717" s="3"/>
      <c r="M1717" s="3"/>
      <c r="N1717" s="3"/>
      <c r="O1717" s="3"/>
      <c r="P1717" s="3"/>
      <c r="Q1717" s="3"/>
      <c r="R1717" s="3"/>
      <c r="S1717" s="3"/>
      <c r="T1717" s="3"/>
      <c r="U1717" s="3"/>
      <c r="V1717" s="3"/>
      <c r="W1717" s="3"/>
      <c r="X1717" s="3"/>
      <c r="Y1717" s="3"/>
      <c r="Z1717" s="3"/>
      <c r="AA1717" s="3"/>
    </row>
    <row r="1718" ht="105.75" customHeight="1">
      <c r="A1718" s="11"/>
      <c r="B1718" s="12"/>
      <c r="C1718" s="11"/>
      <c r="D1718" s="13"/>
      <c r="E1718" s="14"/>
      <c r="F1718" s="14"/>
      <c r="G1718" s="14"/>
      <c r="H1718" s="15"/>
      <c r="I1718" s="15"/>
      <c r="J1718" s="3"/>
      <c r="K1718" s="3"/>
      <c r="L1718" s="3"/>
      <c r="M1718" s="3"/>
      <c r="N1718" s="3"/>
      <c r="O1718" s="3"/>
      <c r="P1718" s="3"/>
      <c r="Q1718" s="3"/>
      <c r="R1718" s="3"/>
      <c r="S1718" s="3"/>
      <c r="T1718" s="3"/>
      <c r="U1718" s="3"/>
      <c r="V1718" s="3"/>
      <c r="W1718" s="3"/>
      <c r="X1718" s="3"/>
      <c r="Y1718" s="3"/>
      <c r="Z1718" s="3"/>
      <c r="AA1718" s="3"/>
    </row>
    <row r="1719" ht="105.75" customHeight="1">
      <c r="A1719" s="11"/>
      <c r="B1719" s="12"/>
      <c r="C1719" s="11"/>
      <c r="D1719" s="13"/>
      <c r="E1719" s="14"/>
      <c r="F1719" s="14"/>
      <c r="G1719" s="14"/>
      <c r="H1719" s="15"/>
      <c r="I1719" s="15"/>
      <c r="J1719" s="3"/>
      <c r="K1719" s="3"/>
      <c r="L1719" s="3"/>
      <c r="M1719" s="3"/>
      <c r="N1719" s="3"/>
      <c r="O1719" s="3"/>
      <c r="P1719" s="3"/>
      <c r="Q1719" s="3"/>
      <c r="R1719" s="3"/>
      <c r="S1719" s="3"/>
      <c r="T1719" s="3"/>
      <c r="U1719" s="3"/>
      <c r="V1719" s="3"/>
      <c r="W1719" s="3"/>
      <c r="X1719" s="3"/>
      <c r="Y1719" s="3"/>
      <c r="Z1719" s="3"/>
      <c r="AA1719" s="3"/>
    </row>
    <row r="1720" ht="105.75" customHeight="1">
      <c r="A1720" s="11"/>
      <c r="B1720" s="12"/>
      <c r="C1720" s="11"/>
      <c r="D1720" s="13"/>
      <c r="E1720" s="14"/>
      <c r="F1720" s="14"/>
      <c r="G1720" s="14"/>
      <c r="H1720" s="15"/>
      <c r="I1720" s="15"/>
      <c r="J1720" s="3"/>
      <c r="K1720" s="3"/>
      <c r="L1720" s="3"/>
      <c r="M1720" s="3"/>
      <c r="N1720" s="3"/>
      <c r="O1720" s="3"/>
      <c r="P1720" s="3"/>
      <c r="Q1720" s="3"/>
      <c r="R1720" s="3"/>
      <c r="S1720" s="3"/>
      <c r="T1720" s="3"/>
      <c r="U1720" s="3"/>
      <c r="V1720" s="3"/>
      <c r="W1720" s="3"/>
      <c r="X1720" s="3"/>
      <c r="Y1720" s="3"/>
      <c r="Z1720" s="3"/>
      <c r="AA1720" s="3"/>
    </row>
    <row r="1721" ht="105.75" customHeight="1">
      <c r="A1721" s="11"/>
      <c r="B1721" s="12"/>
      <c r="C1721" s="11"/>
      <c r="D1721" s="13"/>
      <c r="E1721" s="14"/>
      <c r="F1721" s="14"/>
      <c r="G1721" s="14"/>
      <c r="H1721" s="15"/>
      <c r="I1721" s="15"/>
      <c r="J1721" s="3"/>
      <c r="K1721" s="3"/>
      <c r="L1721" s="3"/>
      <c r="M1721" s="3"/>
      <c r="N1721" s="3"/>
      <c r="O1721" s="3"/>
      <c r="P1721" s="3"/>
      <c r="Q1721" s="3"/>
      <c r="R1721" s="3"/>
      <c r="S1721" s="3"/>
      <c r="T1721" s="3"/>
      <c r="U1721" s="3"/>
      <c r="V1721" s="3"/>
      <c r="W1721" s="3"/>
      <c r="X1721" s="3"/>
      <c r="Y1721" s="3"/>
      <c r="Z1721" s="3"/>
      <c r="AA1721" s="3"/>
    </row>
    <row r="1722" ht="105.75" customHeight="1">
      <c r="A1722" s="11"/>
      <c r="B1722" s="12"/>
      <c r="C1722" s="11"/>
      <c r="D1722" s="13"/>
      <c r="E1722" s="16"/>
      <c r="F1722" s="16"/>
      <c r="G1722" s="16"/>
      <c r="H1722" s="15"/>
      <c r="I1722" s="15"/>
      <c r="J1722" s="3"/>
      <c r="K1722" s="3"/>
      <c r="L1722" s="3"/>
      <c r="M1722" s="3"/>
      <c r="N1722" s="3"/>
      <c r="O1722" s="3"/>
      <c r="P1722" s="3"/>
      <c r="Q1722" s="3"/>
      <c r="R1722" s="3"/>
      <c r="S1722" s="3"/>
      <c r="T1722" s="3"/>
      <c r="U1722" s="3"/>
      <c r="V1722" s="3"/>
      <c r="W1722" s="3"/>
      <c r="X1722" s="3"/>
      <c r="Y1722" s="3"/>
      <c r="Z1722" s="3"/>
      <c r="AA1722" s="3"/>
    </row>
    <row r="1723" ht="105.75" customHeight="1">
      <c r="A1723" s="11"/>
      <c r="B1723" s="12"/>
      <c r="C1723" s="11"/>
      <c r="D1723" s="13"/>
      <c r="E1723" s="16"/>
      <c r="F1723" s="16"/>
      <c r="G1723" s="16"/>
      <c r="H1723" s="15"/>
      <c r="I1723" s="15"/>
      <c r="J1723" s="3"/>
      <c r="K1723" s="3"/>
      <c r="L1723" s="3"/>
      <c r="M1723" s="3"/>
      <c r="N1723" s="3"/>
      <c r="O1723" s="3"/>
      <c r="P1723" s="3"/>
      <c r="Q1723" s="3"/>
      <c r="R1723" s="3"/>
      <c r="S1723" s="3"/>
      <c r="T1723" s="3"/>
      <c r="U1723" s="3"/>
      <c r="V1723" s="3"/>
      <c r="W1723" s="3"/>
      <c r="X1723" s="3"/>
      <c r="Y1723" s="3"/>
      <c r="Z1723" s="3"/>
      <c r="AA1723" s="3"/>
    </row>
    <row r="1724" ht="105.75" customHeight="1">
      <c r="A1724" s="11"/>
      <c r="B1724" s="12"/>
      <c r="C1724" s="11"/>
      <c r="D1724" s="13"/>
      <c r="E1724" s="14"/>
      <c r="F1724" s="14"/>
      <c r="G1724" s="14"/>
      <c r="H1724" s="15"/>
      <c r="I1724" s="15"/>
      <c r="J1724" s="3"/>
      <c r="K1724" s="3"/>
      <c r="L1724" s="3"/>
      <c r="M1724" s="3"/>
      <c r="N1724" s="3"/>
      <c r="O1724" s="3"/>
      <c r="P1724" s="3"/>
      <c r="Q1724" s="3"/>
      <c r="R1724" s="3"/>
      <c r="S1724" s="3"/>
      <c r="T1724" s="3"/>
      <c r="U1724" s="3"/>
      <c r="V1724" s="3"/>
      <c r="W1724" s="3"/>
      <c r="X1724" s="3"/>
      <c r="Y1724" s="3"/>
      <c r="Z1724" s="3"/>
      <c r="AA1724" s="3"/>
    </row>
    <row r="1725" ht="105.75" customHeight="1">
      <c r="A1725" s="11"/>
      <c r="B1725" s="12"/>
      <c r="C1725" s="11"/>
      <c r="D1725" s="13"/>
      <c r="E1725" s="14"/>
      <c r="F1725" s="14"/>
      <c r="G1725" s="14"/>
      <c r="H1725" s="15"/>
      <c r="I1725" s="15"/>
      <c r="J1725" s="3"/>
      <c r="K1725" s="3"/>
      <c r="L1725" s="3"/>
      <c r="M1725" s="3"/>
      <c r="N1725" s="3"/>
      <c r="O1725" s="3"/>
      <c r="P1725" s="3"/>
      <c r="Q1725" s="3"/>
      <c r="R1725" s="3"/>
      <c r="S1725" s="3"/>
      <c r="T1725" s="3"/>
      <c r="U1725" s="3"/>
      <c r="V1725" s="3"/>
      <c r="W1725" s="3"/>
      <c r="X1725" s="3"/>
      <c r="Y1725" s="3"/>
      <c r="Z1725" s="3"/>
      <c r="AA1725" s="3"/>
    </row>
    <row r="1726" ht="105.75" customHeight="1">
      <c r="A1726" s="11"/>
      <c r="B1726" s="12"/>
      <c r="C1726" s="11"/>
      <c r="D1726" s="13"/>
      <c r="E1726" s="14"/>
      <c r="F1726" s="14"/>
      <c r="G1726" s="14"/>
      <c r="H1726" s="15"/>
      <c r="I1726" s="15"/>
      <c r="J1726" s="3"/>
      <c r="K1726" s="3"/>
      <c r="L1726" s="3"/>
      <c r="M1726" s="3"/>
      <c r="N1726" s="3"/>
      <c r="O1726" s="3"/>
      <c r="P1726" s="3"/>
      <c r="Q1726" s="3"/>
      <c r="R1726" s="3"/>
      <c r="S1726" s="3"/>
      <c r="T1726" s="3"/>
      <c r="U1726" s="3"/>
      <c r="V1726" s="3"/>
      <c r="W1726" s="3"/>
      <c r="X1726" s="3"/>
      <c r="Y1726" s="3"/>
      <c r="Z1726" s="3"/>
      <c r="AA1726" s="3"/>
    </row>
    <row r="1727" ht="105.75" customHeight="1">
      <c r="A1727" s="11"/>
      <c r="B1727" s="12"/>
      <c r="C1727" s="11"/>
      <c r="D1727" s="13"/>
      <c r="E1727" s="14"/>
      <c r="F1727" s="14"/>
      <c r="G1727" s="14"/>
      <c r="H1727" s="15"/>
      <c r="I1727" s="15"/>
      <c r="J1727" s="3"/>
      <c r="K1727" s="3"/>
      <c r="L1727" s="3"/>
      <c r="M1727" s="3"/>
      <c r="N1727" s="3"/>
      <c r="O1727" s="3"/>
      <c r="P1727" s="3"/>
      <c r="Q1727" s="3"/>
      <c r="R1727" s="3"/>
      <c r="S1727" s="3"/>
      <c r="T1727" s="3"/>
      <c r="U1727" s="3"/>
      <c r="V1727" s="3"/>
      <c r="W1727" s="3"/>
      <c r="X1727" s="3"/>
      <c r="Y1727" s="3"/>
      <c r="Z1727" s="3"/>
      <c r="AA1727" s="3"/>
    </row>
    <row r="1728" ht="105.75" customHeight="1">
      <c r="A1728" s="11"/>
      <c r="B1728" s="12"/>
      <c r="C1728" s="11"/>
      <c r="D1728" s="13"/>
      <c r="E1728" s="14"/>
      <c r="F1728" s="14"/>
      <c r="G1728" s="14"/>
      <c r="H1728" s="15"/>
      <c r="I1728" s="15"/>
      <c r="J1728" s="3"/>
      <c r="K1728" s="3"/>
      <c r="L1728" s="3"/>
      <c r="M1728" s="3"/>
      <c r="N1728" s="3"/>
      <c r="O1728" s="3"/>
      <c r="P1728" s="3"/>
      <c r="Q1728" s="3"/>
      <c r="R1728" s="3"/>
      <c r="S1728" s="3"/>
      <c r="T1728" s="3"/>
      <c r="U1728" s="3"/>
      <c r="V1728" s="3"/>
      <c r="W1728" s="3"/>
      <c r="X1728" s="3"/>
      <c r="Y1728" s="3"/>
      <c r="Z1728" s="3"/>
      <c r="AA1728" s="3"/>
    </row>
    <row r="1729" ht="105.75" customHeight="1">
      <c r="A1729" s="11"/>
      <c r="B1729" s="12"/>
      <c r="C1729" s="11"/>
      <c r="D1729" s="13"/>
      <c r="E1729" s="14"/>
      <c r="F1729" s="14"/>
      <c r="G1729" s="14"/>
      <c r="H1729" s="15"/>
      <c r="I1729" s="15"/>
      <c r="J1729" s="3"/>
      <c r="K1729" s="3"/>
      <c r="L1729" s="3"/>
      <c r="M1729" s="3"/>
      <c r="N1729" s="3"/>
      <c r="O1729" s="3"/>
      <c r="P1729" s="3"/>
      <c r="Q1729" s="3"/>
      <c r="R1729" s="3"/>
      <c r="S1729" s="3"/>
      <c r="T1729" s="3"/>
      <c r="U1729" s="3"/>
      <c r="V1729" s="3"/>
      <c r="W1729" s="3"/>
      <c r="X1729" s="3"/>
      <c r="Y1729" s="3"/>
      <c r="Z1729" s="3"/>
      <c r="AA1729" s="3"/>
    </row>
    <row r="1730" ht="105.75" customHeight="1">
      <c r="A1730" s="11"/>
      <c r="B1730" s="12"/>
      <c r="C1730" s="11"/>
      <c r="D1730" s="13"/>
      <c r="E1730" s="14"/>
      <c r="F1730" s="14"/>
      <c r="G1730" s="14"/>
      <c r="H1730" s="15"/>
      <c r="I1730" s="15"/>
      <c r="J1730" s="3"/>
      <c r="K1730" s="3"/>
      <c r="L1730" s="3"/>
      <c r="M1730" s="3"/>
      <c r="N1730" s="3"/>
      <c r="O1730" s="3"/>
      <c r="P1730" s="3"/>
      <c r="Q1730" s="3"/>
      <c r="R1730" s="3"/>
      <c r="S1730" s="3"/>
      <c r="T1730" s="3"/>
      <c r="U1730" s="3"/>
      <c r="V1730" s="3"/>
      <c r="W1730" s="3"/>
      <c r="X1730" s="3"/>
      <c r="Y1730" s="3"/>
      <c r="Z1730" s="3"/>
      <c r="AA1730" s="3"/>
    </row>
    <row r="1731" ht="105.75" customHeight="1">
      <c r="A1731" s="11"/>
      <c r="B1731" s="12"/>
      <c r="C1731" s="11"/>
      <c r="D1731" s="13"/>
      <c r="E1731" s="14"/>
      <c r="F1731" s="14"/>
      <c r="G1731" s="14"/>
      <c r="H1731" s="15"/>
      <c r="I1731" s="15"/>
      <c r="J1731" s="3"/>
      <c r="K1731" s="3"/>
      <c r="L1731" s="3"/>
      <c r="M1731" s="3"/>
      <c r="N1731" s="3"/>
      <c r="O1731" s="3"/>
      <c r="P1731" s="3"/>
      <c r="Q1731" s="3"/>
      <c r="R1731" s="3"/>
      <c r="S1731" s="3"/>
      <c r="T1731" s="3"/>
      <c r="U1731" s="3"/>
      <c r="V1731" s="3"/>
      <c r="W1731" s="3"/>
      <c r="X1731" s="3"/>
      <c r="Y1731" s="3"/>
      <c r="Z1731" s="3"/>
      <c r="AA1731" s="3"/>
    </row>
    <row r="1732" ht="105.75" customHeight="1">
      <c r="A1732" s="11"/>
      <c r="B1732" s="12"/>
      <c r="C1732" s="11"/>
      <c r="D1732" s="13"/>
      <c r="E1732" s="14"/>
      <c r="F1732" s="14"/>
      <c r="G1732" s="14"/>
      <c r="H1732" s="15"/>
      <c r="I1732" s="15"/>
      <c r="J1732" s="3"/>
      <c r="K1732" s="3"/>
      <c r="L1732" s="3"/>
      <c r="M1732" s="3"/>
      <c r="N1732" s="3"/>
      <c r="O1732" s="3"/>
      <c r="P1732" s="3"/>
      <c r="Q1732" s="3"/>
      <c r="R1732" s="3"/>
      <c r="S1732" s="3"/>
      <c r="T1732" s="3"/>
      <c r="U1732" s="3"/>
      <c r="V1732" s="3"/>
      <c r="W1732" s="3"/>
      <c r="X1732" s="3"/>
      <c r="Y1732" s="3"/>
      <c r="Z1732" s="3"/>
      <c r="AA1732" s="3"/>
    </row>
    <row r="1733" ht="105.75" customHeight="1">
      <c r="A1733" s="11"/>
      <c r="B1733" s="12"/>
      <c r="C1733" s="11"/>
      <c r="D1733" s="13"/>
      <c r="E1733" s="14"/>
      <c r="F1733" s="14"/>
      <c r="G1733" s="14"/>
      <c r="H1733" s="15"/>
      <c r="I1733" s="15"/>
      <c r="J1733" s="3"/>
      <c r="K1733" s="3"/>
      <c r="L1733" s="3"/>
      <c r="M1733" s="3"/>
      <c r="N1733" s="3"/>
      <c r="O1733" s="3"/>
      <c r="P1733" s="3"/>
      <c r="Q1733" s="3"/>
      <c r="R1733" s="3"/>
      <c r="S1733" s="3"/>
      <c r="T1733" s="3"/>
      <c r="U1733" s="3"/>
      <c r="V1733" s="3"/>
      <c r="W1733" s="3"/>
      <c r="X1733" s="3"/>
      <c r="Y1733" s="3"/>
      <c r="Z1733" s="3"/>
      <c r="AA1733" s="3"/>
    </row>
    <row r="1734" ht="105.75" customHeight="1">
      <c r="A1734" s="11"/>
      <c r="B1734" s="12"/>
      <c r="C1734" s="11"/>
      <c r="D1734" s="13"/>
      <c r="E1734" s="14"/>
      <c r="F1734" s="14"/>
      <c r="G1734" s="14"/>
      <c r="H1734" s="15"/>
      <c r="I1734" s="15"/>
      <c r="J1734" s="3"/>
      <c r="K1734" s="3"/>
      <c r="L1734" s="3"/>
      <c r="M1734" s="3"/>
      <c r="N1734" s="3"/>
      <c r="O1734" s="3"/>
      <c r="P1734" s="3"/>
      <c r="Q1734" s="3"/>
      <c r="R1734" s="3"/>
      <c r="S1734" s="3"/>
      <c r="T1734" s="3"/>
      <c r="U1734" s="3"/>
      <c r="V1734" s="3"/>
      <c r="W1734" s="3"/>
      <c r="X1734" s="3"/>
      <c r="Y1734" s="3"/>
      <c r="Z1734" s="3"/>
      <c r="AA1734" s="3"/>
    </row>
    <row r="1735" ht="105.75" customHeight="1">
      <c r="A1735" s="11"/>
      <c r="B1735" s="12"/>
      <c r="C1735" s="11"/>
      <c r="D1735" s="13"/>
      <c r="E1735" s="16"/>
      <c r="F1735" s="16"/>
      <c r="G1735" s="16"/>
      <c r="H1735" s="15"/>
      <c r="I1735" s="15"/>
      <c r="J1735" s="3"/>
      <c r="K1735" s="3"/>
      <c r="L1735" s="3"/>
      <c r="M1735" s="3"/>
      <c r="N1735" s="3"/>
      <c r="O1735" s="3"/>
      <c r="P1735" s="3"/>
      <c r="Q1735" s="3"/>
      <c r="R1735" s="3"/>
      <c r="S1735" s="3"/>
      <c r="T1735" s="3"/>
      <c r="U1735" s="3"/>
      <c r="V1735" s="3"/>
      <c r="W1735" s="3"/>
      <c r="X1735" s="3"/>
      <c r="Y1735" s="3"/>
      <c r="Z1735" s="3"/>
      <c r="AA1735" s="3"/>
    </row>
    <row r="1736" ht="105.75" customHeight="1">
      <c r="A1736" s="11"/>
      <c r="B1736" s="12"/>
      <c r="C1736" s="11"/>
      <c r="D1736" s="13"/>
      <c r="E1736" s="14"/>
      <c r="F1736" s="14"/>
      <c r="G1736" s="14"/>
      <c r="H1736" s="15"/>
      <c r="I1736" s="15"/>
      <c r="J1736" s="3"/>
      <c r="K1736" s="3"/>
      <c r="L1736" s="3"/>
      <c r="M1736" s="3"/>
      <c r="N1736" s="3"/>
      <c r="O1736" s="3"/>
      <c r="P1736" s="3"/>
      <c r="Q1736" s="3"/>
      <c r="R1736" s="3"/>
      <c r="S1736" s="3"/>
      <c r="T1736" s="3"/>
      <c r="U1736" s="3"/>
      <c r="V1736" s="3"/>
      <c r="W1736" s="3"/>
      <c r="X1736" s="3"/>
      <c r="Y1736" s="3"/>
      <c r="Z1736" s="3"/>
      <c r="AA1736" s="3"/>
    </row>
    <row r="1737" ht="105.75" customHeight="1">
      <c r="A1737" s="11"/>
      <c r="B1737" s="12"/>
      <c r="C1737" s="11"/>
      <c r="D1737" s="13"/>
      <c r="E1737" s="14"/>
      <c r="F1737" s="14"/>
      <c r="G1737" s="14"/>
      <c r="H1737" s="15"/>
      <c r="I1737" s="15"/>
      <c r="J1737" s="3"/>
      <c r="K1737" s="3"/>
      <c r="L1737" s="3"/>
      <c r="M1737" s="3"/>
      <c r="N1737" s="3"/>
      <c r="O1737" s="3"/>
      <c r="P1737" s="3"/>
      <c r="Q1737" s="3"/>
      <c r="R1737" s="3"/>
      <c r="S1737" s="3"/>
      <c r="T1737" s="3"/>
      <c r="U1737" s="3"/>
      <c r="V1737" s="3"/>
      <c r="W1737" s="3"/>
      <c r="X1737" s="3"/>
      <c r="Y1737" s="3"/>
      <c r="Z1737" s="3"/>
      <c r="AA1737" s="3"/>
    </row>
    <row r="1738" ht="105.75" customHeight="1">
      <c r="A1738" s="11"/>
      <c r="B1738" s="12"/>
      <c r="C1738" s="11"/>
      <c r="D1738" s="13"/>
      <c r="E1738" s="14"/>
      <c r="F1738" s="14"/>
      <c r="G1738" s="14"/>
      <c r="H1738" s="15"/>
      <c r="I1738" s="15"/>
      <c r="J1738" s="3"/>
      <c r="K1738" s="3"/>
      <c r="L1738" s="3"/>
      <c r="M1738" s="3"/>
      <c r="N1738" s="3"/>
      <c r="O1738" s="3"/>
      <c r="P1738" s="3"/>
      <c r="Q1738" s="3"/>
      <c r="R1738" s="3"/>
      <c r="S1738" s="3"/>
      <c r="T1738" s="3"/>
      <c r="U1738" s="3"/>
      <c r="V1738" s="3"/>
      <c r="W1738" s="3"/>
      <c r="X1738" s="3"/>
      <c r="Y1738" s="3"/>
      <c r="Z1738" s="3"/>
      <c r="AA1738" s="3"/>
    </row>
    <row r="1739" ht="105.75" customHeight="1">
      <c r="A1739" s="11"/>
      <c r="B1739" s="12"/>
      <c r="C1739" s="11"/>
      <c r="D1739" s="13"/>
      <c r="E1739" s="14"/>
      <c r="F1739" s="14"/>
      <c r="G1739" s="14"/>
      <c r="H1739" s="15"/>
      <c r="I1739" s="15"/>
      <c r="J1739" s="3"/>
      <c r="K1739" s="3"/>
      <c r="L1739" s="3"/>
      <c r="M1739" s="3"/>
      <c r="N1739" s="3"/>
      <c r="O1739" s="3"/>
      <c r="P1739" s="3"/>
      <c r="Q1739" s="3"/>
      <c r="R1739" s="3"/>
      <c r="S1739" s="3"/>
      <c r="T1739" s="3"/>
      <c r="U1739" s="3"/>
      <c r="V1739" s="3"/>
      <c r="W1739" s="3"/>
      <c r="X1739" s="3"/>
      <c r="Y1739" s="3"/>
      <c r="Z1739" s="3"/>
      <c r="AA1739" s="3"/>
    </row>
    <row r="1740" ht="105.75" customHeight="1">
      <c r="A1740" s="11"/>
      <c r="B1740" s="12"/>
      <c r="C1740" s="11"/>
      <c r="D1740" s="13"/>
      <c r="E1740" s="14"/>
      <c r="F1740" s="14"/>
      <c r="G1740" s="14"/>
      <c r="H1740" s="15"/>
      <c r="I1740" s="15"/>
      <c r="J1740" s="3"/>
      <c r="K1740" s="3"/>
      <c r="L1740" s="3"/>
      <c r="M1740" s="3"/>
      <c r="N1740" s="3"/>
      <c r="O1740" s="3"/>
      <c r="P1740" s="3"/>
      <c r="Q1740" s="3"/>
      <c r="R1740" s="3"/>
      <c r="S1740" s="3"/>
      <c r="T1740" s="3"/>
      <c r="U1740" s="3"/>
      <c r="V1740" s="3"/>
      <c r="W1740" s="3"/>
      <c r="X1740" s="3"/>
      <c r="Y1740" s="3"/>
      <c r="Z1740" s="3"/>
      <c r="AA1740" s="3"/>
    </row>
    <row r="1741" ht="105.75" customHeight="1">
      <c r="A1741" s="11"/>
      <c r="B1741" s="12"/>
      <c r="C1741" s="11"/>
      <c r="D1741" s="13"/>
      <c r="E1741" s="14"/>
      <c r="F1741" s="14"/>
      <c r="G1741" s="14"/>
      <c r="H1741" s="15"/>
      <c r="I1741" s="15"/>
      <c r="J1741" s="3"/>
      <c r="K1741" s="3"/>
      <c r="L1741" s="3"/>
      <c r="M1741" s="3"/>
      <c r="N1741" s="3"/>
      <c r="O1741" s="3"/>
      <c r="P1741" s="3"/>
      <c r="Q1741" s="3"/>
      <c r="R1741" s="3"/>
      <c r="S1741" s="3"/>
      <c r="T1741" s="3"/>
      <c r="U1741" s="3"/>
      <c r="V1741" s="3"/>
      <c r="W1741" s="3"/>
      <c r="X1741" s="3"/>
      <c r="Y1741" s="3"/>
      <c r="Z1741" s="3"/>
      <c r="AA1741" s="3"/>
    </row>
    <row r="1742" ht="105.75" customHeight="1">
      <c r="A1742" s="11"/>
      <c r="B1742" s="12"/>
      <c r="C1742" s="11"/>
      <c r="D1742" s="13"/>
      <c r="E1742" s="14"/>
      <c r="F1742" s="14"/>
      <c r="G1742" s="14"/>
      <c r="H1742" s="15"/>
      <c r="I1742" s="15"/>
      <c r="J1742" s="3"/>
      <c r="K1742" s="3"/>
      <c r="L1742" s="3"/>
      <c r="M1742" s="3"/>
      <c r="N1742" s="3"/>
      <c r="O1742" s="3"/>
      <c r="P1742" s="3"/>
      <c r="Q1742" s="3"/>
      <c r="R1742" s="3"/>
      <c r="S1742" s="3"/>
      <c r="T1742" s="3"/>
      <c r="U1742" s="3"/>
      <c r="V1742" s="3"/>
      <c r="W1742" s="3"/>
      <c r="X1742" s="3"/>
      <c r="Y1742" s="3"/>
      <c r="Z1742" s="3"/>
      <c r="AA1742" s="3"/>
    </row>
    <row r="1743" ht="105.75" customHeight="1">
      <c r="A1743" s="11"/>
      <c r="B1743" s="12"/>
      <c r="C1743" s="11"/>
      <c r="D1743" s="13"/>
      <c r="E1743" s="14"/>
      <c r="F1743" s="14"/>
      <c r="G1743" s="14"/>
      <c r="H1743" s="15"/>
      <c r="I1743" s="15"/>
      <c r="J1743" s="3"/>
      <c r="K1743" s="3"/>
      <c r="L1743" s="3"/>
      <c r="M1743" s="3"/>
      <c r="N1743" s="3"/>
      <c r="O1743" s="3"/>
      <c r="P1743" s="3"/>
      <c r="Q1743" s="3"/>
      <c r="R1743" s="3"/>
      <c r="S1743" s="3"/>
      <c r="T1743" s="3"/>
      <c r="U1743" s="3"/>
      <c r="V1743" s="3"/>
      <c r="W1743" s="3"/>
      <c r="X1743" s="3"/>
      <c r="Y1743" s="3"/>
      <c r="Z1743" s="3"/>
      <c r="AA1743" s="3"/>
    </row>
    <row r="1744" ht="105.75" customHeight="1">
      <c r="A1744" s="11"/>
      <c r="B1744" s="12"/>
      <c r="C1744" s="11"/>
      <c r="D1744" s="13"/>
      <c r="E1744" s="14"/>
      <c r="F1744" s="14"/>
      <c r="G1744" s="14"/>
      <c r="H1744" s="15"/>
      <c r="I1744" s="15"/>
      <c r="J1744" s="3"/>
      <c r="K1744" s="3"/>
      <c r="L1744" s="3"/>
      <c r="M1744" s="3"/>
      <c r="N1744" s="3"/>
      <c r="O1744" s="3"/>
      <c r="P1744" s="3"/>
      <c r="Q1744" s="3"/>
      <c r="R1744" s="3"/>
      <c r="S1744" s="3"/>
      <c r="T1744" s="3"/>
      <c r="U1744" s="3"/>
      <c r="V1744" s="3"/>
      <c r="W1744" s="3"/>
      <c r="X1744" s="3"/>
      <c r="Y1744" s="3"/>
      <c r="Z1744" s="3"/>
      <c r="AA1744" s="3"/>
    </row>
    <row r="1745" ht="105.75" customHeight="1">
      <c r="A1745" s="11"/>
      <c r="B1745" s="12"/>
      <c r="C1745" s="11"/>
      <c r="D1745" s="13"/>
      <c r="E1745" s="14"/>
      <c r="F1745" s="14"/>
      <c r="G1745" s="14"/>
      <c r="H1745" s="15"/>
      <c r="I1745" s="15"/>
      <c r="J1745" s="3"/>
      <c r="K1745" s="3"/>
      <c r="L1745" s="3"/>
      <c r="M1745" s="3"/>
      <c r="N1745" s="3"/>
      <c r="O1745" s="3"/>
      <c r="P1745" s="3"/>
      <c r="Q1745" s="3"/>
      <c r="R1745" s="3"/>
      <c r="S1745" s="3"/>
      <c r="T1745" s="3"/>
      <c r="U1745" s="3"/>
      <c r="V1745" s="3"/>
      <c r="W1745" s="3"/>
      <c r="X1745" s="3"/>
      <c r="Y1745" s="3"/>
      <c r="Z1745" s="3"/>
      <c r="AA1745" s="3"/>
    </row>
    <row r="1746" ht="105.75" customHeight="1">
      <c r="A1746" s="11"/>
      <c r="B1746" s="12"/>
      <c r="C1746" s="11"/>
      <c r="D1746" s="13"/>
      <c r="E1746" s="14"/>
      <c r="F1746" s="14"/>
      <c r="G1746" s="14"/>
      <c r="H1746" s="15"/>
      <c r="I1746" s="15"/>
      <c r="J1746" s="3"/>
      <c r="K1746" s="3"/>
      <c r="L1746" s="3"/>
      <c r="M1746" s="3"/>
      <c r="N1746" s="3"/>
      <c r="O1746" s="3"/>
      <c r="P1746" s="3"/>
      <c r="Q1746" s="3"/>
      <c r="R1746" s="3"/>
      <c r="S1746" s="3"/>
      <c r="T1746" s="3"/>
      <c r="U1746" s="3"/>
      <c r="V1746" s="3"/>
      <c r="W1746" s="3"/>
      <c r="X1746" s="3"/>
      <c r="Y1746" s="3"/>
      <c r="Z1746" s="3"/>
      <c r="AA1746" s="3"/>
    </row>
    <row r="1747" ht="105.75" customHeight="1">
      <c r="A1747" s="11"/>
      <c r="B1747" s="12"/>
      <c r="C1747" s="11"/>
      <c r="D1747" s="13"/>
      <c r="E1747" s="14"/>
      <c r="F1747" s="14"/>
      <c r="G1747" s="14"/>
      <c r="H1747" s="15"/>
      <c r="I1747" s="15"/>
      <c r="J1747" s="3"/>
      <c r="K1747" s="3"/>
      <c r="L1747" s="3"/>
      <c r="M1747" s="3"/>
      <c r="N1747" s="3"/>
      <c r="O1747" s="3"/>
      <c r="P1747" s="3"/>
      <c r="Q1747" s="3"/>
      <c r="R1747" s="3"/>
      <c r="S1747" s="3"/>
      <c r="T1747" s="3"/>
      <c r="U1747" s="3"/>
      <c r="V1747" s="3"/>
      <c r="W1747" s="3"/>
      <c r="X1747" s="3"/>
      <c r="Y1747" s="3"/>
      <c r="Z1747" s="3"/>
      <c r="AA1747" s="3"/>
    </row>
    <row r="1748" ht="105.75" customHeight="1">
      <c r="A1748" s="11"/>
      <c r="B1748" s="12"/>
      <c r="C1748" s="11"/>
      <c r="D1748" s="13"/>
      <c r="E1748" s="14"/>
      <c r="F1748" s="14"/>
      <c r="G1748" s="14"/>
      <c r="H1748" s="15"/>
      <c r="I1748" s="15"/>
      <c r="J1748" s="3"/>
      <c r="K1748" s="3"/>
      <c r="L1748" s="3"/>
      <c r="M1748" s="3"/>
      <c r="N1748" s="3"/>
      <c r="O1748" s="3"/>
      <c r="P1748" s="3"/>
      <c r="Q1748" s="3"/>
      <c r="R1748" s="3"/>
      <c r="S1748" s="3"/>
      <c r="T1748" s="3"/>
      <c r="U1748" s="3"/>
      <c r="V1748" s="3"/>
      <c r="W1748" s="3"/>
      <c r="X1748" s="3"/>
      <c r="Y1748" s="3"/>
      <c r="Z1748" s="3"/>
      <c r="AA1748" s="3"/>
    </row>
    <row r="1749" ht="105.75" customHeight="1">
      <c r="A1749" s="11"/>
      <c r="B1749" s="12"/>
      <c r="C1749" s="11"/>
      <c r="D1749" s="13"/>
      <c r="E1749" s="14"/>
      <c r="F1749" s="14"/>
      <c r="G1749" s="14"/>
      <c r="H1749" s="15"/>
      <c r="I1749" s="15"/>
      <c r="J1749" s="3"/>
      <c r="K1749" s="3"/>
      <c r="L1749" s="3"/>
      <c r="M1749" s="3"/>
      <c r="N1749" s="3"/>
      <c r="O1749" s="3"/>
      <c r="P1749" s="3"/>
      <c r="Q1749" s="3"/>
      <c r="R1749" s="3"/>
      <c r="S1749" s="3"/>
      <c r="T1749" s="3"/>
      <c r="U1749" s="3"/>
      <c r="V1749" s="3"/>
      <c r="W1749" s="3"/>
      <c r="X1749" s="3"/>
      <c r="Y1749" s="3"/>
      <c r="Z1749" s="3"/>
      <c r="AA1749" s="3"/>
    </row>
    <row r="1750" ht="105.75" customHeight="1">
      <c r="A1750" s="11"/>
      <c r="B1750" s="12"/>
      <c r="C1750" s="11"/>
      <c r="D1750" s="13"/>
      <c r="E1750" s="14"/>
      <c r="F1750" s="14"/>
      <c r="G1750" s="14"/>
      <c r="H1750" s="15"/>
      <c r="I1750" s="15"/>
      <c r="J1750" s="3"/>
      <c r="K1750" s="3"/>
      <c r="L1750" s="3"/>
      <c r="M1750" s="3"/>
      <c r="N1750" s="3"/>
      <c r="O1750" s="3"/>
      <c r="P1750" s="3"/>
      <c r="Q1750" s="3"/>
      <c r="R1750" s="3"/>
      <c r="S1750" s="3"/>
      <c r="T1750" s="3"/>
      <c r="U1750" s="3"/>
      <c r="V1750" s="3"/>
      <c r="W1750" s="3"/>
      <c r="X1750" s="3"/>
      <c r="Y1750" s="3"/>
      <c r="Z1750" s="3"/>
      <c r="AA1750" s="3"/>
    </row>
    <row r="1751" ht="105.75" customHeight="1">
      <c r="A1751" s="11"/>
      <c r="B1751" s="12"/>
      <c r="C1751" s="11"/>
      <c r="D1751" s="13"/>
      <c r="E1751" s="14"/>
      <c r="F1751" s="14"/>
      <c r="G1751" s="14"/>
      <c r="H1751" s="15"/>
      <c r="I1751" s="15"/>
      <c r="J1751" s="3"/>
      <c r="K1751" s="3"/>
      <c r="L1751" s="3"/>
      <c r="M1751" s="3"/>
      <c r="N1751" s="3"/>
      <c r="O1751" s="3"/>
      <c r="P1751" s="3"/>
      <c r="Q1751" s="3"/>
      <c r="R1751" s="3"/>
      <c r="S1751" s="3"/>
      <c r="T1751" s="3"/>
      <c r="U1751" s="3"/>
      <c r="V1751" s="3"/>
      <c r="W1751" s="3"/>
      <c r="X1751" s="3"/>
      <c r="Y1751" s="3"/>
      <c r="Z1751" s="3"/>
      <c r="AA1751" s="3"/>
    </row>
    <row r="1752" ht="105.75" customHeight="1">
      <c r="A1752" s="11"/>
      <c r="B1752" s="12"/>
      <c r="C1752" s="11"/>
      <c r="D1752" s="13"/>
      <c r="E1752" s="14"/>
      <c r="F1752" s="14"/>
      <c r="G1752" s="14"/>
      <c r="H1752" s="15"/>
      <c r="I1752" s="15"/>
      <c r="J1752" s="3"/>
      <c r="K1752" s="3"/>
      <c r="L1752" s="3"/>
      <c r="M1752" s="3"/>
      <c r="N1752" s="3"/>
      <c r="O1752" s="3"/>
      <c r="P1752" s="3"/>
      <c r="Q1752" s="3"/>
      <c r="R1752" s="3"/>
      <c r="S1752" s="3"/>
      <c r="T1752" s="3"/>
      <c r="U1752" s="3"/>
      <c r="V1752" s="3"/>
      <c r="W1752" s="3"/>
      <c r="X1752" s="3"/>
      <c r="Y1752" s="3"/>
      <c r="Z1752" s="3"/>
      <c r="AA1752" s="3"/>
    </row>
    <row r="1753" ht="105.75" customHeight="1">
      <c r="A1753" s="11"/>
      <c r="B1753" s="12"/>
      <c r="C1753" s="11"/>
      <c r="D1753" s="13"/>
      <c r="E1753" s="14"/>
      <c r="F1753" s="14"/>
      <c r="G1753" s="14"/>
      <c r="H1753" s="15"/>
      <c r="I1753" s="15"/>
      <c r="J1753" s="3"/>
      <c r="K1753" s="3"/>
      <c r="L1753" s="3"/>
      <c r="M1753" s="3"/>
      <c r="N1753" s="3"/>
      <c r="O1753" s="3"/>
      <c r="P1753" s="3"/>
      <c r="Q1753" s="3"/>
      <c r="R1753" s="3"/>
      <c r="S1753" s="3"/>
      <c r="T1753" s="3"/>
      <c r="U1753" s="3"/>
      <c r="V1753" s="3"/>
      <c r="W1753" s="3"/>
      <c r="X1753" s="3"/>
      <c r="Y1753" s="3"/>
      <c r="Z1753" s="3"/>
      <c r="AA1753" s="3"/>
    </row>
    <row r="1754" ht="105.75" customHeight="1">
      <c r="A1754" s="11"/>
      <c r="B1754" s="12"/>
      <c r="C1754" s="11"/>
      <c r="D1754" s="13"/>
      <c r="E1754" s="14"/>
      <c r="F1754" s="14"/>
      <c r="G1754" s="14"/>
      <c r="H1754" s="15"/>
      <c r="I1754" s="15"/>
      <c r="J1754" s="3"/>
      <c r="K1754" s="3"/>
      <c r="L1754" s="3"/>
      <c r="M1754" s="3"/>
      <c r="N1754" s="3"/>
      <c r="O1754" s="3"/>
      <c r="P1754" s="3"/>
      <c r="Q1754" s="3"/>
      <c r="R1754" s="3"/>
      <c r="S1754" s="3"/>
      <c r="T1754" s="3"/>
      <c r="U1754" s="3"/>
      <c r="V1754" s="3"/>
      <c r="W1754" s="3"/>
      <c r="X1754" s="3"/>
      <c r="Y1754" s="3"/>
      <c r="Z1754" s="3"/>
      <c r="AA1754" s="3"/>
    </row>
    <row r="1755" ht="105.75" customHeight="1">
      <c r="A1755" s="11"/>
      <c r="B1755" s="12"/>
      <c r="C1755" s="11"/>
      <c r="D1755" s="13"/>
      <c r="E1755" s="14"/>
      <c r="F1755" s="14"/>
      <c r="G1755" s="14"/>
      <c r="H1755" s="15"/>
      <c r="I1755" s="15"/>
      <c r="J1755" s="3"/>
      <c r="K1755" s="3"/>
      <c r="L1755" s="3"/>
      <c r="M1755" s="3"/>
      <c r="N1755" s="3"/>
      <c r="O1755" s="3"/>
      <c r="P1755" s="3"/>
      <c r="Q1755" s="3"/>
      <c r="R1755" s="3"/>
      <c r="S1755" s="3"/>
      <c r="T1755" s="3"/>
      <c r="U1755" s="3"/>
      <c r="V1755" s="3"/>
      <c r="W1755" s="3"/>
      <c r="X1755" s="3"/>
      <c r="Y1755" s="3"/>
      <c r="Z1755" s="3"/>
      <c r="AA1755" s="3"/>
    </row>
    <row r="1756" ht="105.75" customHeight="1">
      <c r="A1756" s="11"/>
      <c r="B1756" s="12"/>
      <c r="C1756" s="11"/>
      <c r="D1756" s="13"/>
      <c r="E1756" s="16"/>
      <c r="F1756" s="16"/>
      <c r="G1756" s="16"/>
      <c r="H1756" s="15"/>
      <c r="I1756" s="15"/>
      <c r="J1756" s="3"/>
      <c r="K1756" s="3"/>
      <c r="L1756" s="3"/>
      <c r="M1756" s="3"/>
      <c r="N1756" s="3"/>
      <c r="O1756" s="3"/>
      <c r="P1756" s="3"/>
      <c r="Q1756" s="3"/>
      <c r="R1756" s="3"/>
      <c r="S1756" s="3"/>
      <c r="T1756" s="3"/>
      <c r="U1756" s="3"/>
      <c r="V1756" s="3"/>
      <c r="W1756" s="3"/>
      <c r="X1756" s="3"/>
      <c r="Y1756" s="3"/>
      <c r="Z1756" s="3"/>
      <c r="AA1756" s="3"/>
    </row>
    <row r="1757" ht="105.75" customHeight="1">
      <c r="A1757" s="11"/>
      <c r="B1757" s="12"/>
      <c r="C1757" s="11"/>
      <c r="D1757" s="13"/>
      <c r="E1757" s="14"/>
      <c r="F1757" s="14"/>
      <c r="G1757" s="14"/>
      <c r="H1757" s="15"/>
      <c r="I1757" s="15"/>
      <c r="J1757" s="3"/>
      <c r="K1757" s="3"/>
      <c r="L1757" s="3"/>
      <c r="M1757" s="3"/>
      <c r="N1757" s="3"/>
      <c r="O1757" s="3"/>
      <c r="P1757" s="3"/>
      <c r="Q1757" s="3"/>
      <c r="R1757" s="3"/>
      <c r="S1757" s="3"/>
      <c r="T1757" s="3"/>
      <c r="U1757" s="3"/>
      <c r="V1757" s="3"/>
      <c r="W1757" s="3"/>
      <c r="X1757" s="3"/>
      <c r="Y1757" s="3"/>
      <c r="Z1757" s="3"/>
      <c r="AA1757" s="3"/>
    </row>
    <row r="1758" ht="105.75" customHeight="1">
      <c r="A1758" s="11"/>
      <c r="B1758" s="12"/>
      <c r="C1758" s="11"/>
      <c r="D1758" s="13"/>
      <c r="E1758" s="14"/>
      <c r="F1758" s="14"/>
      <c r="G1758" s="14"/>
      <c r="H1758" s="15"/>
      <c r="I1758" s="15"/>
      <c r="J1758" s="3"/>
      <c r="K1758" s="3"/>
      <c r="L1758" s="3"/>
      <c r="M1758" s="3"/>
      <c r="N1758" s="3"/>
      <c r="O1758" s="3"/>
      <c r="P1758" s="3"/>
      <c r="Q1758" s="3"/>
      <c r="R1758" s="3"/>
      <c r="S1758" s="3"/>
      <c r="T1758" s="3"/>
      <c r="U1758" s="3"/>
      <c r="V1758" s="3"/>
      <c r="W1758" s="3"/>
      <c r="X1758" s="3"/>
      <c r="Y1758" s="3"/>
      <c r="Z1758" s="3"/>
      <c r="AA1758" s="3"/>
    </row>
    <row r="1759" ht="105.75" customHeight="1">
      <c r="A1759" s="11"/>
      <c r="B1759" s="12"/>
      <c r="C1759" s="11"/>
      <c r="D1759" s="13"/>
      <c r="E1759" s="14"/>
      <c r="F1759" s="14"/>
      <c r="G1759" s="14"/>
      <c r="H1759" s="15"/>
      <c r="I1759" s="15"/>
      <c r="J1759" s="3"/>
      <c r="K1759" s="3"/>
      <c r="L1759" s="3"/>
      <c r="M1759" s="3"/>
      <c r="N1759" s="3"/>
      <c r="O1759" s="3"/>
      <c r="P1759" s="3"/>
      <c r="Q1759" s="3"/>
      <c r="R1759" s="3"/>
      <c r="S1759" s="3"/>
      <c r="T1759" s="3"/>
      <c r="U1759" s="3"/>
      <c r="V1759" s="3"/>
      <c r="W1759" s="3"/>
      <c r="X1759" s="3"/>
      <c r="Y1759" s="3"/>
      <c r="Z1759" s="3"/>
      <c r="AA1759" s="3"/>
    </row>
    <row r="1760" ht="105.75" customHeight="1">
      <c r="A1760" s="11"/>
      <c r="B1760" s="12"/>
      <c r="C1760" s="11"/>
      <c r="D1760" s="13"/>
      <c r="E1760" s="14"/>
      <c r="F1760" s="14"/>
      <c r="G1760" s="14"/>
      <c r="H1760" s="15"/>
      <c r="I1760" s="15"/>
      <c r="J1760" s="3"/>
      <c r="K1760" s="3"/>
      <c r="L1760" s="3"/>
      <c r="M1760" s="3"/>
      <c r="N1760" s="3"/>
      <c r="O1760" s="3"/>
      <c r="P1760" s="3"/>
      <c r="Q1760" s="3"/>
      <c r="R1760" s="3"/>
      <c r="S1760" s="3"/>
      <c r="T1760" s="3"/>
      <c r="U1760" s="3"/>
      <c r="V1760" s="3"/>
      <c r="W1760" s="3"/>
      <c r="X1760" s="3"/>
      <c r="Y1760" s="3"/>
      <c r="Z1760" s="3"/>
      <c r="AA1760" s="3"/>
    </row>
    <row r="1761" ht="105.75" customHeight="1">
      <c r="A1761" s="11"/>
      <c r="B1761" s="12"/>
      <c r="C1761" s="11"/>
      <c r="D1761" s="13"/>
      <c r="E1761" s="14"/>
      <c r="F1761" s="14"/>
      <c r="G1761" s="14"/>
      <c r="H1761" s="15"/>
      <c r="I1761" s="15"/>
      <c r="J1761" s="3"/>
      <c r="K1761" s="3"/>
      <c r="L1761" s="3"/>
      <c r="M1761" s="3"/>
      <c r="N1761" s="3"/>
      <c r="O1761" s="3"/>
      <c r="P1761" s="3"/>
      <c r="Q1761" s="3"/>
      <c r="R1761" s="3"/>
      <c r="S1761" s="3"/>
      <c r="T1761" s="3"/>
      <c r="U1761" s="3"/>
      <c r="V1761" s="3"/>
      <c r="W1761" s="3"/>
      <c r="X1761" s="3"/>
      <c r="Y1761" s="3"/>
      <c r="Z1761" s="3"/>
      <c r="AA1761" s="3"/>
    </row>
    <row r="1762" ht="105.75" customHeight="1">
      <c r="A1762" s="11"/>
      <c r="B1762" s="12"/>
      <c r="C1762" s="11"/>
      <c r="D1762" s="13"/>
      <c r="E1762" s="14"/>
      <c r="F1762" s="14"/>
      <c r="G1762" s="14"/>
      <c r="H1762" s="15"/>
      <c r="I1762" s="15"/>
      <c r="J1762" s="3"/>
      <c r="K1762" s="3"/>
      <c r="L1762" s="3"/>
      <c r="M1762" s="3"/>
      <c r="N1762" s="3"/>
      <c r="O1762" s="3"/>
      <c r="P1762" s="3"/>
      <c r="Q1762" s="3"/>
      <c r="R1762" s="3"/>
      <c r="S1762" s="3"/>
      <c r="T1762" s="3"/>
      <c r="U1762" s="3"/>
      <c r="V1762" s="3"/>
      <c r="W1762" s="3"/>
      <c r="X1762" s="3"/>
      <c r="Y1762" s="3"/>
      <c r="Z1762" s="3"/>
      <c r="AA1762" s="3"/>
    </row>
    <row r="1763" ht="105.75" customHeight="1">
      <c r="A1763" s="11"/>
      <c r="B1763" s="12"/>
      <c r="C1763" s="11"/>
      <c r="D1763" s="13"/>
      <c r="E1763" s="16"/>
      <c r="F1763" s="16"/>
      <c r="G1763" s="16"/>
      <c r="H1763" s="15"/>
      <c r="I1763" s="15"/>
      <c r="J1763" s="3"/>
      <c r="K1763" s="3"/>
      <c r="L1763" s="3"/>
      <c r="M1763" s="3"/>
      <c r="N1763" s="3"/>
      <c r="O1763" s="3"/>
      <c r="P1763" s="3"/>
      <c r="Q1763" s="3"/>
      <c r="R1763" s="3"/>
      <c r="S1763" s="3"/>
      <c r="T1763" s="3"/>
      <c r="U1763" s="3"/>
      <c r="V1763" s="3"/>
      <c r="W1763" s="3"/>
      <c r="X1763" s="3"/>
      <c r="Y1763" s="3"/>
      <c r="Z1763" s="3"/>
      <c r="AA1763" s="3"/>
    </row>
    <row r="1764" ht="105.75" customHeight="1">
      <c r="A1764" s="11"/>
      <c r="B1764" s="12"/>
      <c r="C1764" s="11"/>
      <c r="D1764" s="13"/>
      <c r="E1764" s="16"/>
      <c r="F1764" s="16"/>
      <c r="G1764" s="16"/>
      <c r="H1764" s="15"/>
      <c r="I1764" s="15"/>
      <c r="J1764" s="3"/>
      <c r="K1764" s="3"/>
      <c r="L1764" s="3"/>
      <c r="M1764" s="3"/>
      <c r="N1764" s="3"/>
      <c r="O1764" s="3"/>
      <c r="P1764" s="3"/>
      <c r="Q1764" s="3"/>
      <c r="R1764" s="3"/>
      <c r="S1764" s="3"/>
      <c r="T1764" s="3"/>
      <c r="U1764" s="3"/>
      <c r="V1764" s="3"/>
      <c r="W1764" s="3"/>
      <c r="X1764" s="3"/>
      <c r="Y1764" s="3"/>
      <c r="Z1764" s="3"/>
      <c r="AA1764" s="3"/>
    </row>
    <row r="1765" ht="105.75" customHeight="1">
      <c r="A1765" s="11"/>
      <c r="B1765" s="12"/>
      <c r="C1765" s="11"/>
      <c r="D1765" s="13"/>
      <c r="E1765" s="14"/>
      <c r="F1765" s="14"/>
      <c r="G1765" s="14"/>
      <c r="H1765" s="15"/>
      <c r="I1765" s="15"/>
      <c r="J1765" s="3"/>
      <c r="K1765" s="3"/>
      <c r="L1765" s="3"/>
      <c r="M1765" s="3"/>
      <c r="N1765" s="3"/>
      <c r="O1765" s="3"/>
      <c r="P1765" s="3"/>
      <c r="Q1765" s="3"/>
      <c r="R1765" s="3"/>
      <c r="S1765" s="3"/>
      <c r="T1765" s="3"/>
      <c r="U1765" s="3"/>
      <c r="V1765" s="3"/>
      <c r="W1765" s="3"/>
      <c r="X1765" s="3"/>
      <c r="Y1765" s="3"/>
      <c r="Z1765" s="3"/>
      <c r="AA1765" s="3"/>
    </row>
    <row r="1766" ht="105.75" customHeight="1">
      <c r="A1766" s="11"/>
      <c r="B1766" s="12"/>
      <c r="C1766" s="11"/>
      <c r="D1766" s="13"/>
      <c r="E1766" s="14"/>
      <c r="F1766" s="14"/>
      <c r="G1766" s="14"/>
      <c r="H1766" s="15"/>
      <c r="I1766" s="15"/>
      <c r="J1766" s="3"/>
      <c r="K1766" s="3"/>
      <c r="L1766" s="3"/>
      <c r="M1766" s="3"/>
      <c r="N1766" s="3"/>
      <c r="O1766" s="3"/>
      <c r="P1766" s="3"/>
      <c r="Q1766" s="3"/>
      <c r="R1766" s="3"/>
      <c r="S1766" s="3"/>
      <c r="T1766" s="3"/>
      <c r="U1766" s="3"/>
      <c r="V1766" s="3"/>
      <c r="W1766" s="3"/>
      <c r="X1766" s="3"/>
      <c r="Y1766" s="3"/>
      <c r="Z1766" s="3"/>
      <c r="AA1766" s="3"/>
    </row>
    <row r="1767" ht="105.75" customHeight="1">
      <c r="A1767" s="11"/>
      <c r="B1767" s="12"/>
      <c r="C1767" s="11"/>
      <c r="D1767" s="13"/>
      <c r="E1767" s="14"/>
      <c r="F1767" s="14"/>
      <c r="G1767" s="14"/>
      <c r="H1767" s="15"/>
      <c r="I1767" s="15"/>
      <c r="J1767" s="3"/>
      <c r="K1767" s="3"/>
      <c r="L1767" s="3"/>
      <c r="M1767" s="3"/>
      <c r="N1767" s="3"/>
      <c r="O1767" s="3"/>
      <c r="P1767" s="3"/>
      <c r="Q1767" s="3"/>
      <c r="R1767" s="3"/>
      <c r="S1767" s="3"/>
      <c r="T1767" s="3"/>
      <c r="U1767" s="3"/>
      <c r="V1767" s="3"/>
      <c r="W1767" s="3"/>
      <c r="X1767" s="3"/>
      <c r="Y1767" s="3"/>
      <c r="Z1767" s="3"/>
      <c r="AA1767" s="3"/>
    </row>
    <row r="1768" ht="105.75" customHeight="1">
      <c r="A1768" s="11"/>
      <c r="B1768" s="12"/>
      <c r="C1768" s="11"/>
      <c r="D1768" s="13"/>
      <c r="E1768" s="14"/>
      <c r="F1768" s="14"/>
      <c r="G1768" s="14"/>
      <c r="H1768" s="15"/>
      <c r="I1768" s="15"/>
      <c r="J1768" s="3"/>
      <c r="K1768" s="3"/>
      <c r="L1768" s="3"/>
      <c r="M1768" s="3"/>
      <c r="N1768" s="3"/>
      <c r="O1768" s="3"/>
      <c r="P1768" s="3"/>
      <c r="Q1768" s="3"/>
      <c r="R1768" s="3"/>
      <c r="S1768" s="3"/>
      <c r="T1768" s="3"/>
      <c r="U1768" s="3"/>
      <c r="V1768" s="3"/>
      <c r="W1768" s="3"/>
      <c r="X1768" s="3"/>
      <c r="Y1768" s="3"/>
      <c r="Z1768" s="3"/>
      <c r="AA1768" s="3"/>
    </row>
    <row r="1769" ht="105.75" customHeight="1">
      <c r="A1769" s="11"/>
      <c r="B1769" s="12"/>
      <c r="C1769" s="11"/>
      <c r="D1769" s="13"/>
      <c r="E1769" s="14"/>
      <c r="F1769" s="14"/>
      <c r="G1769" s="14"/>
      <c r="H1769" s="15"/>
      <c r="I1769" s="15"/>
      <c r="J1769" s="3"/>
      <c r="K1769" s="3"/>
      <c r="L1769" s="3"/>
      <c r="M1769" s="3"/>
      <c r="N1769" s="3"/>
      <c r="O1769" s="3"/>
      <c r="P1769" s="3"/>
      <c r="Q1769" s="3"/>
      <c r="R1769" s="3"/>
      <c r="S1769" s="3"/>
      <c r="T1769" s="3"/>
      <c r="U1769" s="3"/>
      <c r="V1769" s="3"/>
      <c r="W1769" s="3"/>
      <c r="X1769" s="3"/>
      <c r="Y1769" s="3"/>
      <c r="Z1769" s="3"/>
      <c r="AA1769" s="3"/>
    </row>
    <row r="1770" ht="105.75" customHeight="1">
      <c r="A1770" s="11"/>
      <c r="B1770" s="12"/>
      <c r="C1770" s="11"/>
      <c r="D1770" s="13"/>
      <c r="E1770" s="14"/>
      <c r="F1770" s="14"/>
      <c r="G1770" s="14"/>
      <c r="H1770" s="15"/>
      <c r="I1770" s="15"/>
      <c r="J1770" s="3"/>
      <c r="K1770" s="3"/>
      <c r="L1770" s="3"/>
      <c r="M1770" s="3"/>
      <c r="N1770" s="3"/>
      <c r="O1770" s="3"/>
      <c r="P1770" s="3"/>
      <c r="Q1770" s="3"/>
      <c r="R1770" s="3"/>
      <c r="S1770" s="3"/>
      <c r="T1770" s="3"/>
      <c r="U1770" s="3"/>
      <c r="V1770" s="3"/>
      <c r="W1770" s="3"/>
      <c r="X1770" s="3"/>
      <c r="Y1770" s="3"/>
      <c r="Z1770" s="3"/>
      <c r="AA1770" s="3"/>
    </row>
    <row r="1771" ht="105.75" customHeight="1">
      <c r="A1771" s="11"/>
      <c r="B1771" s="12"/>
      <c r="C1771" s="11"/>
      <c r="D1771" s="13"/>
      <c r="E1771" s="14"/>
      <c r="F1771" s="14"/>
      <c r="G1771" s="14"/>
      <c r="H1771" s="15"/>
      <c r="I1771" s="15"/>
      <c r="J1771" s="3"/>
      <c r="K1771" s="3"/>
      <c r="L1771" s="3"/>
      <c r="M1771" s="3"/>
      <c r="N1771" s="3"/>
      <c r="O1771" s="3"/>
      <c r="P1771" s="3"/>
      <c r="Q1771" s="3"/>
      <c r="R1771" s="3"/>
      <c r="S1771" s="3"/>
      <c r="T1771" s="3"/>
      <c r="U1771" s="3"/>
      <c r="V1771" s="3"/>
      <c r="W1771" s="3"/>
      <c r="X1771" s="3"/>
      <c r="Y1771" s="3"/>
      <c r="Z1771" s="3"/>
      <c r="AA1771" s="3"/>
    </row>
    <row r="1772" ht="105.75" customHeight="1">
      <c r="A1772" s="11"/>
      <c r="B1772" s="12"/>
      <c r="C1772" s="11"/>
      <c r="D1772" s="13"/>
      <c r="E1772" s="14"/>
      <c r="F1772" s="14"/>
      <c r="G1772" s="14"/>
      <c r="H1772" s="15"/>
      <c r="I1772" s="15"/>
      <c r="J1772" s="3"/>
      <c r="K1772" s="3"/>
      <c r="L1772" s="3"/>
      <c r="M1772" s="3"/>
      <c r="N1772" s="3"/>
      <c r="O1772" s="3"/>
      <c r="P1772" s="3"/>
      <c r="Q1772" s="3"/>
      <c r="R1772" s="3"/>
      <c r="S1772" s="3"/>
      <c r="T1772" s="3"/>
      <c r="U1772" s="3"/>
      <c r="V1772" s="3"/>
      <c r="W1772" s="3"/>
      <c r="X1772" s="3"/>
      <c r="Y1772" s="3"/>
      <c r="Z1772" s="3"/>
      <c r="AA1772" s="3"/>
    </row>
    <row r="1773" ht="105.75" customHeight="1">
      <c r="A1773" s="11"/>
      <c r="B1773" s="12"/>
      <c r="C1773" s="11"/>
      <c r="D1773" s="13"/>
      <c r="E1773" s="14"/>
      <c r="F1773" s="14"/>
      <c r="G1773" s="14"/>
      <c r="H1773" s="15"/>
      <c r="I1773" s="15"/>
      <c r="J1773" s="3"/>
      <c r="K1773" s="3"/>
      <c r="L1773" s="3"/>
      <c r="M1773" s="3"/>
      <c r="N1773" s="3"/>
      <c r="O1773" s="3"/>
      <c r="P1773" s="3"/>
      <c r="Q1773" s="3"/>
      <c r="R1773" s="3"/>
      <c r="S1773" s="3"/>
      <c r="T1773" s="3"/>
      <c r="U1773" s="3"/>
      <c r="V1773" s="3"/>
      <c r="W1773" s="3"/>
      <c r="X1773" s="3"/>
      <c r="Y1773" s="3"/>
      <c r="Z1773" s="3"/>
      <c r="AA1773" s="3"/>
    </row>
    <row r="1774" ht="105.75" customHeight="1">
      <c r="A1774" s="11"/>
      <c r="B1774" s="12"/>
      <c r="C1774" s="11"/>
      <c r="D1774" s="13"/>
      <c r="E1774" s="14"/>
      <c r="F1774" s="14"/>
      <c r="G1774" s="14"/>
      <c r="H1774" s="15"/>
      <c r="I1774" s="15"/>
      <c r="J1774" s="3"/>
      <c r="K1774" s="3"/>
      <c r="L1774" s="3"/>
      <c r="M1774" s="3"/>
      <c r="N1774" s="3"/>
      <c r="O1774" s="3"/>
      <c r="P1774" s="3"/>
      <c r="Q1774" s="3"/>
      <c r="R1774" s="3"/>
      <c r="S1774" s="3"/>
      <c r="T1774" s="3"/>
      <c r="U1774" s="3"/>
      <c r="V1774" s="3"/>
      <c r="W1774" s="3"/>
      <c r="X1774" s="3"/>
      <c r="Y1774" s="3"/>
      <c r="Z1774" s="3"/>
      <c r="AA1774" s="3"/>
    </row>
    <row r="1775" ht="105.75" customHeight="1">
      <c r="A1775" s="11"/>
      <c r="B1775" s="12"/>
      <c r="C1775" s="11"/>
      <c r="D1775" s="13"/>
      <c r="E1775" s="14"/>
      <c r="F1775" s="14"/>
      <c r="G1775" s="14"/>
      <c r="H1775" s="15"/>
      <c r="I1775" s="15"/>
      <c r="J1775" s="3"/>
      <c r="K1775" s="3"/>
      <c r="L1775" s="3"/>
      <c r="M1775" s="3"/>
      <c r="N1775" s="3"/>
      <c r="O1775" s="3"/>
      <c r="P1775" s="3"/>
      <c r="Q1775" s="3"/>
      <c r="R1775" s="3"/>
      <c r="S1775" s="3"/>
      <c r="T1775" s="3"/>
      <c r="U1775" s="3"/>
      <c r="V1775" s="3"/>
      <c r="W1775" s="3"/>
      <c r="X1775" s="3"/>
      <c r="Y1775" s="3"/>
      <c r="Z1775" s="3"/>
      <c r="AA1775" s="3"/>
    </row>
    <row r="1776" ht="105.75" customHeight="1">
      <c r="A1776" s="11"/>
      <c r="B1776" s="12"/>
      <c r="C1776" s="11"/>
      <c r="D1776" s="13"/>
      <c r="E1776" s="14"/>
      <c r="F1776" s="14"/>
      <c r="G1776" s="14"/>
      <c r="H1776" s="15"/>
      <c r="I1776" s="15"/>
      <c r="J1776" s="3"/>
      <c r="K1776" s="3"/>
      <c r="L1776" s="3"/>
      <c r="M1776" s="3"/>
      <c r="N1776" s="3"/>
      <c r="O1776" s="3"/>
      <c r="P1776" s="3"/>
      <c r="Q1776" s="3"/>
      <c r="R1776" s="3"/>
      <c r="S1776" s="3"/>
      <c r="T1776" s="3"/>
      <c r="U1776" s="3"/>
      <c r="V1776" s="3"/>
      <c r="W1776" s="3"/>
      <c r="X1776" s="3"/>
      <c r="Y1776" s="3"/>
      <c r="Z1776" s="3"/>
      <c r="AA1776" s="3"/>
    </row>
    <row r="1777" ht="105.75" customHeight="1">
      <c r="A1777" s="11"/>
      <c r="B1777" s="12"/>
      <c r="C1777" s="11"/>
      <c r="D1777" s="13"/>
      <c r="E1777" s="14"/>
      <c r="F1777" s="14"/>
      <c r="G1777" s="14"/>
      <c r="H1777" s="15"/>
      <c r="I1777" s="15"/>
      <c r="J1777" s="3"/>
      <c r="K1777" s="3"/>
      <c r="L1777" s="3"/>
      <c r="M1777" s="3"/>
      <c r="N1777" s="3"/>
      <c r="O1777" s="3"/>
      <c r="P1777" s="3"/>
      <c r="Q1777" s="3"/>
      <c r="R1777" s="3"/>
      <c r="S1777" s="3"/>
      <c r="T1777" s="3"/>
      <c r="U1777" s="3"/>
      <c r="V1777" s="3"/>
      <c r="W1777" s="3"/>
      <c r="X1777" s="3"/>
      <c r="Y1777" s="3"/>
      <c r="Z1777" s="3"/>
      <c r="AA1777" s="3"/>
    </row>
    <row r="1778" ht="105.75" customHeight="1">
      <c r="A1778" s="11"/>
      <c r="B1778" s="12"/>
      <c r="C1778" s="11"/>
      <c r="D1778" s="13"/>
      <c r="E1778" s="14"/>
      <c r="F1778" s="14"/>
      <c r="G1778" s="14"/>
      <c r="H1778" s="15"/>
      <c r="I1778" s="15"/>
      <c r="J1778" s="3"/>
      <c r="K1778" s="3"/>
      <c r="L1778" s="3"/>
      <c r="M1778" s="3"/>
      <c r="N1778" s="3"/>
      <c r="O1778" s="3"/>
      <c r="P1778" s="3"/>
      <c r="Q1778" s="3"/>
      <c r="R1778" s="3"/>
      <c r="S1778" s="3"/>
      <c r="T1778" s="3"/>
      <c r="U1778" s="3"/>
      <c r="V1778" s="3"/>
      <c r="W1778" s="3"/>
      <c r="X1778" s="3"/>
      <c r="Y1778" s="3"/>
      <c r="Z1778" s="3"/>
      <c r="AA1778" s="3"/>
    </row>
    <row r="1779" ht="105.75" customHeight="1">
      <c r="A1779" s="11"/>
      <c r="B1779" s="12"/>
      <c r="C1779" s="11"/>
      <c r="D1779" s="13"/>
      <c r="E1779" s="14"/>
      <c r="F1779" s="14"/>
      <c r="G1779" s="14"/>
      <c r="H1779" s="15"/>
      <c r="I1779" s="15"/>
      <c r="J1779" s="3"/>
      <c r="K1779" s="3"/>
      <c r="L1779" s="3"/>
      <c r="M1779" s="3"/>
      <c r="N1779" s="3"/>
      <c r="O1779" s="3"/>
      <c r="P1779" s="3"/>
      <c r="Q1779" s="3"/>
      <c r="R1779" s="3"/>
      <c r="S1779" s="3"/>
      <c r="T1779" s="3"/>
      <c r="U1779" s="3"/>
      <c r="V1779" s="3"/>
      <c r="W1779" s="3"/>
      <c r="X1779" s="3"/>
      <c r="Y1779" s="3"/>
      <c r="Z1779" s="3"/>
      <c r="AA1779" s="3"/>
    </row>
    <row r="1780" ht="105.75" customHeight="1">
      <c r="A1780" s="11"/>
      <c r="B1780" s="12"/>
      <c r="C1780" s="11"/>
      <c r="D1780" s="13"/>
      <c r="E1780" s="14"/>
      <c r="F1780" s="14"/>
      <c r="G1780" s="14"/>
      <c r="H1780" s="15"/>
      <c r="I1780" s="15"/>
      <c r="J1780" s="3"/>
      <c r="K1780" s="3"/>
      <c r="L1780" s="3"/>
      <c r="M1780" s="3"/>
      <c r="N1780" s="3"/>
      <c r="O1780" s="3"/>
      <c r="P1780" s="3"/>
      <c r="Q1780" s="3"/>
      <c r="R1780" s="3"/>
      <c r="S1780" s="3"/>
      <c r="T1780" s="3"/>
      <c r="U1780" s="3"/>
      <c r="V1780" s="3"/>
      <c r="W1780" s="3"/>
      <c r="X1780" s="3"/>
      <c r="Y1780" s="3"/>
      <c r="Z1780" s="3"/>
      <c r="AA1780" s="3"/>
    </row>
    <row r="1781" ht="105.75" customHeight="1">
      <c r="A1781" s="11"/>
      <c r="B1781" s="12"/>
      <c r="C1781" s="11"/>
      <c r="D1781" s="13"/>
      <c r="E1781" s="14"/>
      <c r="F1781" s="14"/>
      <c r="G1781" s="14"/>
      <c r="H1781" s="15"/>
      <c r="I1781" s="15"/>
      <c r="J1781" s="3"/>
      <c r="K1781" s="3"/>
      <c r="L1781" s="3"/>
      <c r="M1781" s="3"/>
      <c r="N1781" s="3"/>
      <c r="O1781" s="3"/>
      <c r="P1781" s="3"/>
      <c r="Q1781" s="3"/>
      <c r="R1781" s="3"/>
      <c r="S1781" s="3"/>
      <c r="T1781" s="3"/>
      <c r="U1781" s="3"/>
      <c r="V1781" s="3"/>
      <c r="W1781" s="3"/>
      <c r="X1781" s="3"/>
      <c r="Y1781" s="3"/>
      <c r="Z1781" s="3"/>
      <c r="AA1781" s="3"/>
    </row>
    <row r="1782" ht="105.75" customHeight="1">
      <c r="A1782" s="11"/>
      <c r="B1782" s="12"/>
      <c r="C1782" s="11"/>
      <c r="D1782" s="13"/>
      <c r="E1782" s="14"/>
      <c r="F1782" s="14"/>
      <c r="G1782" s="14"/>
      <c r="H1782" s="15"/>
      <c r="I1782" s="15"/>
      <c r="J1782" s="3"/>
      <c r="K1782" s="3"/>
      <c r="L1782" s="3"/>
      <c r="M1782" s="3"/>
      <c r="N1782" s="3"/>
      <c r="O1782" s="3"/>
      <c r="P1782" s="3"/>
      <c r="Q1782" s="3"/>
      <c r="R1782" s="3"/>
      <c r="S1782" s="3"/>
      <c r="T1782" s="3"/>
      <c r="U1782" s="3"/>
      <c r="V1782" s="3"/>
      <c r="W1782" s="3"/>
      <c r="X1782" s="3"/>
      <c r="Y1782" s="3"/>
      <c r="Z1782" s="3"/>
      <c r="AA1782" s="3"/>
    </row>
    <row r="1783" ht="105.75" customHeight="1">
      <c r="A1783" s="11"/>
      <c r="B1783" s="12"/>
      <c r="C1783" s="11"/>
      <c r="D1783" s="13"/>
      <c r="E1783" s="14"/>
      <c r="F1783" s="14"/>
      <c r="G1783" s="14"/>
      <c r="H1783" s="15"/>
      <c r="I1783" s="15"/>
      <c r="J1783" s="3"/>
      <c r="K1783" s="3"/>
      <c r="L1783" s="3"/>
      <c r="M1783" s="3"/>
      <c r="N1783" s="3"/>
      <c r="O1783" s="3"/>
      <c r="P1783" s="3"/>
      <c r="Q1783" s="3"/>
      <c r="R1783" s="3"/>
      <c r="S1783" s="3"/>
      <c r="T1783" s="3"/>
      <c r="U1783" s="3"/>
      <c r="V1783" s="3"/>
      <c r="W1783" s="3"/>
      <c r="X1783" s="3"/>
      <c r="Y1783" s="3"/>
      <c r="Z1783" s="3"/>
      <c r="AA1783" s="3"/>
    </row>
    <row r="1784" ht="105.75" customHeight="1">
      <c r="A1784" s="11"/>
      <c r="B1784" s="12"/>
      <c r="C1784" s="11"/>
      <c r="D1784" s="13"/>
      <c r="E1784" s="14"/>
      <c r="F1784" s="14"/>
      <c r="G1784" s="14"/>
      <c r="H1784" s="15"/>
      <c r="I1784" s="15"/>
      <c r="J1784" s="3"/>
      <c r="K1784" s="3"/>
      <c r="L1784" s="3"/>
      <c r="M1784" s="3"/>
      <c r="N1784" s="3"/>
      <c r="O1784" s="3"/>
      <c r="P1784" s="3"/>
      <c r="Q1784" s="3"/>
      <c r="R1784" s="3"/>
      <c r="S1784" s="3"/>
      <c r="T1784" s="3"/>
      <c r="U1784" s="3"/>
      <c r="V1784" s="3"/>
      <c r="W1784" s="3"/>
      <c r="X1784" s="3"/>
      <c r="Y1784" s="3"/>
      <c r="Z1784" s="3"/>
      <c r="AA1784" s="3"/>
    </row>
    <row r="1785" ht="105.75" customHeight="1">
      <c r="A1785" s="11"/>
      <c r="B1785" s="12"/>
      <c r="C1785" s="11"/>
      <c r="D1785" s="13"/>
      <c r="E1785" s="16"/>
      <c r="F1785" s="16"/>
      <c r="G1785" s="16"/>
      <c r="H1785" s="15"/>
      <c r="I1785" s="15"/>
      <c r="J1785" s="3"/>
      <c r="K1785" s="3"/>
      <c r="L1785" s="3"/>
      <c r="M1785" s="3"/>
      <c r="N1785" s="3"/>
      <c r="O1785" s="3"/>
      <c r="P1785" s="3"/>
      <c r="Q1785" s="3"/>
      <c r="R1785" s="3"/>
      <c r="S1785" s="3"/>
      <c r="T1785" s="3"/>
      <c r="U1785" s="3"/>
      <c r="V1785" s="3"/>
      <c r="W1785" s="3"/>
      <c r="X1785" s="3"/>
      <c r="Y1785" s="3"/>
      <c r="Z1785" s="3"/>
      <c r="AA1785" s="3"/>
    </row>
    <row r="1786" ht="105.75" customHeight="1">
      <c r="A1786" s="11"/>
      <c r="B1786" s="12"/>
      <c r="C1786" s="11"/>
      <c r="D1786" s="13"/>
      <c r="E1786" s="14"/>
      <c r="F1786" s="14"/>
      <c r="G1786" s="14"/>
      <c r="H1786" s="15"/>
      <c r="I1786" s="15"/>
      <c r="J1786" s="3"/>
      <c r="K1786" s="3"/>
      <c r="L1786" s="3"/>
      <c r="M1786" s="3"/>
      <c r="N1786" s="3"/>
      <c r="O1786" s="3"/>
      <c r="P1786" s="3"/>
      <c r="Q1786" s="3"/>
      <c r="R1786" s="3"/>
      <c r="S1786" s="3"/>
      <c r="T1786" s="3"/>
      <c r="U1786" s="3"/>
      <c r="V1786" s="3"/>
      <c r="W1786" s="3"/>
      <c r="X1786" s="3"/>
      <c r="Y1786" s="3"/>
      <c r="Z1786" s="3"/>
      <c r="AA1786" s="3"/>
    </row>
    <row r="1787" ht="105.75" customHeight="1">
      <c r="A1787" s="11"/>
      <c r="B1787" s="12"/>
      <c r="C1787" s="11"/>
      <c r="D1787" s="13"/>
      <c r="E1787" s="14"/>
      <c r="F1787" s="14"/>
      <c r="G1787" s="14"/>
      <c r="H1787" s="15"/>
      <c r="I1787" s="15"/>
      <c r="J1787" s="3"/>
      <c r="K1787" s="3"/>
      <c r="L1787" s="3"/>
      <c r="M1787" s="3"/>
      <c r="N1787" s="3"/>
      <c r="O1787" s="3"/>
      <c r="P1787" s="3"/>
      <c r="Q1787" s="3"/>
      <c r="R1787" s="3"/>
      <c r="S1787" s="3"/>
      <c r="T1787" s="3"/>
      <c r="U1787" s="3"/>
      <c r="V1787" s="3"/>
      <c r="W1787" s="3"/>
      <c r="X1787" s="3"/>
      <c r="Y1787" s="3"/>
      <c r="Z1787" s="3"/>
      <c r="AA1787" s="3"/>
    </row>
    <row r="1788" ht="105.75" customHeight="1">
      <c r="A1788" s="11"/>
      <c r="B1788" s="12"/>
      <c r="C1788" s="11"/>
      <c r="D1788" s="13"/>
      <c r="E1788" s="14"/>
      <c r="F1788" s="14"/>
      <c r="G1788" s="14"/>
      <c r="H1788" s="15"/>
      <c r="I1788" s="15"/>
      <c r="J1788" s="3"/>
      <c r="K1788" s="3"/>
      <c r="L1788" s="3"/>
      <c r="M1788" s="3"/>
      <c r="N1788" s="3"/>
      <c r="O1788" s="3"/>
      <c r="P1788" s="3"/>
      <c r="Q1788" s="3"/>
      <c r="R1788" s="3"/>
      <c r="S1788" s="3"/>
      <c r="T1788" s="3"/>
      <c r="U1788" s="3"/>
      <c r="V1788" s="3"/>
      <c r="W1788" s="3"/>
      <c r="X1788" s="3"/>
      <c r="Y1788" s="3"/>
      <c r="Z1788" s="3"/>
      <c r="AA1788" s="3"/>
    </row>
    <row r="1789" ht="105.75" customHeight="1">
      <c r="A1789" s="11"/>
      <c r="B1789" s="12"/>
      <c r="C1789" s="11"/>
      <c r="D1789" s="13"/>
      <c r="E1789" s="14"/>
      <c r="F1789" s="14"/>
      <c r="G1789" s="14"/>
      <c r="H1789" s="15"/>
      <c r="I1789" s="15"/>
      <c r="J1789" s="3"/>
      <c r="K1789" s="3"/>
      <c r="L1789" s="3"/>
      <c r="M1789" s="3"/>
      <c r="N1789" s="3"/>
      <c r="O1789" s="3"/>
      <c r="P1789" s="3"/>
      <c r="Q1789" s="3"/>
      <c r="R1789" s="3"/>
      <c r="S1789" s="3"/>
      <c r="T1789" s="3"/>
      <c r="U1789" s="3"/>
      <c r="V1789" s="3"/>
      <c r="W1789" s="3"/>
      <c r="X1789" s="3"/>
      <c r="Y1789" s="3"/>
      <c r="Z1789" s="3"/>
      <c r="AA1789" s="3"/>
    </row>
    <row r="1790" ht="105.75" customHeight="1">
      <c r="A1790" s="11"/>
      <c r="B1790" s="12"/>
      <c r="C1790" s="11"/>
      <c r="D1790" s="13"/>
      <c r="E1790" s="14"/>
      <c r="F1790" s="14"/>
      <c r="G1790" s="14"/>
      <c r="H1790" s="15"/>
      <c r="I1790" s="15"/>
      <c r="J1790" s="3"/>
      <c r="K1790" s="3"/>
      <c r="L1790" s="3"/>
      <c r="M1790" s="3"/>
      <c r="N1790" s="3"/>
      <c r="O1790" s="3"/>
      <c r="P1790" s="3"/>
      <c r="Q1790" s="3"/>
      <c r="R1790" s="3"/>
      <c r="S1790" s="3"/>
      <c r="T1790" s="3"/>
      <c r="U1790" s="3"/>
      <c r="V1790" s="3"/>
      <c r="W1790" s="3"/>
      <c r="X1790" s="3"/>
      <c r="Y1790" s="3"/>
      <c r="Z1790" s="3"/>
      <c r="AA1790" s="3"/>
    </row>
    <row r="1791" ht="105.75" customHeight="1">
      <c r="A1791" s="11"/>
      <c r="B1791" s="12"/>
      <c r="C1791" s="11"/>
      <c r="D1791" s="13"/>
      <c r="E1791" s="14"/>
      <c r="F1791" s="14"/>
      <c r="G1791" s="14"/>
      <c r="H1791" s="15"/>
      <c r="I1791" s="15"/>
      <c r="J1791" s="3"/>
      <c r="K1791" s="3"/>
      <c r="L1791" s="3"/>
      <c r="M1791" s="3"/>
      <c r="N1791" s="3"/>
      <c r="O1791" s="3"/>
      <c r="P1791" s="3"/>
      <c r="Q1791" s="3"/>
      <c r="R1791" s="3"/>
      <c r="S1791" s="3"/>
      <c r="T1791" s="3"/>
      <c r="U1791" s="3"/>
      <c r="V1791" s="3"/>
      <c r="W1791" s="3"/>
      <c r="X1791" s="3"/>
      <c r="Y1791" s="3"/>
      <c r="Z1791" s="3"/>
      <c r="AA1791" s="3"/>
    </row>
    <row r="1792" ht="105.75" customHeight="1">
      <c r="A1792" s="11"/>
      <c r="B1792" s="12"/>
      <c r="C1792" s="11"/>
      <c r="D1792" s="13"/>
      <c r="E1792" s="14"/>
      <c r="F1792" s="14"/>
      <c r="G1792" s="14"/>
      <c r="H1792" s="15"/>
      <c r="I1792" s="15"/>
      <c r="J1792" s="3"/>
      <c r="K1792" s="3"/>
      <c r="L1792" s="3"/>
      <c r="M1792" s="3"/>
      <c r="N1792" s="3"/>
      <c r="O1792" s="3"/>
      <c r="P1792" s="3"/>
      <c r="Q1792" s="3"/>
      <c r="R1792" s="3"/>
      <c r="S1792" s="3"/>
      <c r="T1792" s="3"/>
      <c r="U1792" s="3"/>
      <c r="V1792" s="3"/>
      <c r="W1792" s="3"/>
      <c r="X1792" s="3"/>
      <c r="Y1792" s="3"/>
      <c r="Z1792" s="3"/>
      <c r="AA1792" s="3"/>
    </row>
    <row r="1793" ht="105.75" customHeight="1">
      <c r="A1793" s="11"/>
      <c r="B1793" s="12"/>
      <c r="C1793" s="11"/>
      <c r="D1793" s="13"/>
      <c r="E1793" s="14"/>
      <c r="F1793" s="14"/>
      <c r="G1793" s="14"/>
      <c r="H1793" s="15"/>
      <c r="I1793" s="15"/>
      <c r="J1793" s="3"/>
      <c r="K1793" s="3"/>
      <c r="L1793" s="3"/>
      <c r="M1793" s="3"/>
      <c r="N1793" s="3"/>
      <c r="O1793" s="3"/>
      <c r="P1793" s="3"/>
      <c r="Q1793" s="3"/>
      <c r="R1793" s="3"/>
      <c r="S1793" s="3"/>
      <c r="T1793" s="3"/>
      <c r="U1793" s="3"/>
      <c r="V1793" s="3"/>
      <c r="W1793" s="3"/>
      <c r="X1793" s="3"/>
      <c r="Y1793" s="3"/>
      <c r="Z1793" s="3"/>
      <c r="AA1793" s="3"/>
    </row>
    <row r="1794" ht="105.75" customHeight="1">
      <c r="A1794" s="11"/>
      <c r="B1794" s="12"/>
      <c r="C1794" s="11"/>
      <c r="D1794" s="13"/>
      <c r="E1794" s="14"/>
      <c r="F1794" s="14"/>
      <c r="G1794" s="14"/>
      <c r="H1794" s="15"/>
      <c r="I1794" s="15"/>
      <c r="J1794" s="3"/>
      <c r="K1794" s="3"/>
      <c r="L1794" s="3"/>
      <c r="M1794" s="3"/>
      <c r="N1794" s="3"/>
      <c r="O1794" s="3"/>
      <c r="P1794" s="3"/>
      <c r="Q1794" s="3"/>
      <c r="R1794" s="3"/>
      <c r="S1794" s="3"/>
      <c r="T1794" s="3"/>
      <c r="U1794" s="3"/>
      <c r="V1794" s="3"/>
      <c r="W1794" s="3"/>
      <c r="X1794" s="3"/>
      <c r="Y1794" s="3"/>
      <c r="Z1794" s="3"/>
      <c r="AA1794" s="3"/>
    </row>
    <row r="1795" ht="105.75" customHeight="1">
      <c r="A1795" s="11"/>
      <c r="B1795" s="12"/>
      <c r="C1795" s="11"/>
      <c r="D1795" s="13"/>
      <c r="E1795" s="14"/>
      <c r="F1795" s="14"/>
      <c r="G1795" s="14"/>
      <c r="H1795" s="15"/>
      <c r="I1795" s="15"/>
      <c r="J1795" s="3"/>
      <c r="K1795" s="3"/>
      <c r="L1795" s="3"/>
      <c r="M1795" s="3"/>
      <c r="N1795" s="3"/>
      <c r="O1795" s="3"/>
      <c r="P1795" s="3"/>
      <c r="Q1795" s="3"/>
      <c r="R1795" s="3"/>
      <c r="S1795" s="3"/>
      <c r="T1795" s="3"/>
      <c r="U1795" s="3"/>
      <c r="V1795" s="3"/>
      <c r="W1795" s="3"/>
      <c r="X1795" s="3"/>
      <c r="Y1795" s="3"/>
      <c r="Z1795" s="3"/>
      <c r="AA1795" s="3"/>
    </row>
    <row r="1796" ht="105.75" customHeight="1">
      <c r="A1796" s="11"/>
      <c r="B1796" s="12"/>
      <c r="C1796" s="11"/>
      <c r="D1796" s="13"/>
      <c r="E1796" s="14"/>
      <c r="F1796" s="14"/>
      <c r="G1796" s="14"/>
      <c r="H1796" s="15"/>
      <c r="I1796" s="15"/>
      <c r="J1796" s="3"/>
      <c r="K1796" s="3"/>
      <c r="L1796" s="3"/>
      <c r="M1796" s="3"/>
      <c r="N1796" s="3"/>
      <c r="O1796" s="3"/>
      <c r="P1796" s="3"/>
      <c r="Q1796" s="3"/>
      <c r="R1796" s="3"/>
      <c r="S1796" s="3"/>
      <c r="T1796" s="3"/>
      <c r="U1796" s="3"/>
      <c r="V1796" s="3"/>
      <c r="W1796" s="3"/>
      <c r="X1796" s="3"/>
      <c r="Y1796" s="3"/>
      <c r="Z1796" s="3"/>
      <c r="AA1796" s="3"/>
    </row>
    <row r="1797" ht="105.75" customHeight="1">
      <c r="A1797" s="11"/>
      <c r="B1797" s="12"/>
      <c r="C1797" s="11"/>
      <c r="D1797" s="13"/>
      <c r="E1797" s="14"/>
      <c r="F1797" s="14"/>
      <c r="G1797" s="14"/>
      <c r="H1797" s="15"/>
      <c r="I1797" s="15"/>
      <c r="J1797" s="3"/>
      <c r="K1797" s="3"/>
      <c r="L1797" s="3"/>
      <c r="M1797" s="3"/>
      <c r="N1797" s="3"/>
      <c r="O1797" s="3"/>
      <c r="P1797" s="3"/>
      <c r="Q1797" s="3"/>
      <c r="R1797" s="3"/>
      <c r="S1797" s="3"/>
      <c r="T1797" s="3"/>
      <c r="U1797" s="3"/>
      <c r="V1797" s="3"/>
      <c r="W1797" s="3"/>
      <c r="X1797" s="3"/>
      <c r="Y1797" s="3"/>
      <c r="Z1797" s="3"/>
      <c r="AA1797" s="3"/>
    </row>
    <row r="1798" ht="105.75" customHeight="1">
      <c r="A1798" s="11"/>
      <c r="B1798" s="12"/>
      <c r="C1798" s="11"/>
      <c r="D1798" s="13"/>
      <c r="E1798" s="16"/>
      <c r="F1798" s="16"/>
      <c r="G1798" s="16"/>
      <c r="H1798" s="15"/>
      <c r="I1798" s="15"/>
      <c r="J1798" s="3"/>
      <c r="K1798" s="3"/>
      <c r="L1798" s="3"/>
      <c r="M1798" s="3"/>
      <c r="N1798" s="3"/>
      <c r="O1798" s="3"/>
      <c r="P1798" s="3"/>
      <c r="Q1798" s="3"/>
      <c r="R1798" s="3"/>
      <c r="S1798" s="3"/>
      <c r="T1798" s="3"/>
      <c r="U1798" s="3"/>
      <c r="V1798" s="3"/>
      <c r="W1798" s="3"/>
      <c r="X1798" s="3"/>
      <c r="Y1798" s="3"/>
      <c r="Z1798" s="3"/>
      <c r="AA1798" s="3"/>
    </row>
    <row r="1799" ht="105.75" customHeight="1">
      <c r="A1799" s="11"/>
      <c r="B1799" s="12"/>
      <c r="C1799" s="11"/>
      <c r="D1799" s="13"/>
      <c r="E1799" s="14"/>
      <c r="F1799" s="14"/>
      <c r="G1799" s="14"/>
      <c r="H1799" s="15"/>
      <c r="I1799" s="15"/>
      <c r="J1799" s="3"/>
      <c r="K1799" s="3"/>
      <c r="L1799" s="3"/>
      <c r="M1799" s="3"/>
      <c r="N1799" s="3"/>
      <c r="O1799" s="3"/>
      <c r="P1799" s="3"/>
      <c r="Q1799" s="3"/>
      <c r="R1799" s="3"/>
      <c r="S1799" s="3"/>
      <c r="T1799" s="3"/>
      <c r="U1799" s="3"/>
      <c r="V1799" s="3"/>
      <c r="W1799" s="3"/>
      <c r="X1799" s="3"/>
      <c r="Y1799" s="3"/>
      <c r="Z1799" s="3"/>
      <c r="AA1799" s="3"/>
    </row>
    <row r="1800" ht="105.75" customHeight="1">
      <c r="A1800" s="11"/>
      <c r="B1800" s="12"/>
      <c r="C1800" s="11"/>
      <c r="D1800" s="13"/>
      <c r="E1800" s="14"/>
      <c r="F1800" s="14"/>
      <c r="G1800" s="14"/>
      <c r="H1800" s="15"/>
      <c r="I1800" s="15"/>
      <c r="J1800" s="3"/>
      <c r="K1800" s="3"/>
      <c r="L1800" s="3"/>
      <c r="M1800" s="3"/>
      <c r="N1800" s="3"/>
      <c r="O1800" s="3"/>
      <c r="P1800" s="3"/>
      <c r="Q1800" s="3"/>
      <c r="R1800" s="3"/>
      <c r="S1800" s="3"/>
      <c r="T1800" s="3"/>
      <c r="U1800" s="3"/>
      <c r="V1800" s="3"/>
      <c r="W1800" s="3"/>
      <c r="X1800" s="3"/>
      <c r="Y1800" s="3"/>
      <c r="Z1800" s="3"/>
      <c r="AA1800" s="3"/>
    </row>
    <row r="1801" ht="105.75" customHeight="1">
      <c r="A1801" s="11"/>
      <c r="B1801" s="12"/>
      <c r="C1801" s="11"/>
      <c r="D1801" s="13"/>
      <c r="E1801" s="14"/>
      <c r="F1801" s="14"/>
      <c r="G1801" s="14"/>
      <c r="H1801" s="15"/>
      <c r="I1801" s="15"/>
      <c r="J1801" s="3"/>
      <c r="K1801" s="3"/>
      <c r="L1801" s="3"/>
      <c r="M1801" s="3"/>
      <c r="N1801" s="3"/>
      <c r="O1801" s="3"/>
      <c r="P1801" s="3"/>
      <c r="Q1801" s="3"/>
      <c r="R1801" s="3"/>
      <c r="S1801" s="3"/>
      <c r="T1801" s="3"/>
      <c r="U1801" s="3"/>
      <c r="V1801" s="3"/>
      <c r="W1801" s="3"/>
      <c r="X1801" s="3"/>
      <c r="Y1801" s="3"/>
      <c r="Z1801" s="3"/>
      <c r="AA1801" s="3"/>
    </row>
    <row r="1802" ht="105.75" customHeight="1">
      <c r="A1802" s="11"/>
      <c r="B1802" s="12"/>
      <c r="C1802" s="11"/>
      <c r="D1802" s="13"/>
      <c r="E1802" s="14"/>
      <c r="F1802" s="14"/>
      <c r="G1802" s="14"/>
      <c r="H1802" s="15"/>
      <c r="I1802" s="15"/>
      <c r="J1802" s="3"/>
      <c r="K1802" s="3"/>
      <c r="L1802" s="3"/>
      <c r="M1802" s="3"/>
      <c r="N1802" s="3"/>
      <c r="O1802" s="3"/>
      <c r="P1802" s="3"/>
      <c r="Q1802" s="3"/>
      <c r="R1802" s="3"/>
      <c r="S1802" s="3"/>
      <c r="T1802" s="3"/>
      <c r="U1802" s="3"/>
      <c r="V1802" s="3"/>
      <c r="W1802" s="3"/>
      <c r="X1802" s="3"/>
      <c r="Y1802" s="3"/>
      <c r="Z1802" s="3"/>
      <c r="AA1802" s="3"/>
    </row>
    <row r="1803" ht="105.75" customHeight="1">
      <c r="A1803" s="11"/>
      <c r="B1803" s="12"/>
      <c r="C1803" s="11"/>
      <c r="D1803" s="13"/>
      <c r="E1803" s="14"/>
      <c r="F1803" s="14"/>
      <c r="G1803" s="14"/>
      <c r="H1803" s="15"/>
      <c r="I1803" s="15"/>
      <c r="J1803" s="3"/>
      <c r="K1803" s="3"/>
      <c r="L1803" s="3"/>
      <c r="M1803" s="3"/>
      <c r="N1803" s="3"/>
      <c r="O1803" s="3"/>
      <c r="P1803" s="3"/>
      <c r="Q1803" s="3"/>
      <c r="R1803" s="3"/>
      <c r="S1803" s="3"/>
      <c r="T1803" s="3"/>
      <c r="U1803" s="3"/>
      <c r="V1803" s="3"/>
      <c r="W1803" s="3"/>
      <c r="X1803" s="3"/>
      <c r="Y1803" s="3"/>
      <c r="Z1803" s="3"/>
      <c r="AA1803" s="3"/>
    </row>
    <row r="1804" ht="105.75" customHeight="1">
      <c r="A1804" s="11"/>
      <c r="B1804" s="12"/>
      <c r="C1804" s="11"/>
      <c r="D1804" s="13"/>
      <c r="E1804" s="14"/>
      <c r="F1804" s="14"/>
      <c r="G1804" s="14"/>
      <c r="H1804" s="15"/>
      <c r="I1804" s="15"/>
      <c r="J1804" s="3"/>
      <c r="K1804" s="3"/>
      <c r="L1804" s="3"/>
      <c r="M1804" s="3"/>
      <c r="N1804" s="3"/>
      <c r="O1804" s="3"/>
      <c r="P1804" s="3"/>
      <c r="Q1804" s="3"/>
      <c r="R1804" s="3"/>
      <c r="S1804" s="3"/>
      <c r="T1804" s="3"/>
      <c r="U1804" s="3"/>
      <c r="V1804" s="3"/>
      <c r="W1804" s="3"/>
      <c r="X1804" s="3"/>
      <c r="Y1804" s="3"/>
      <c r="Z1804" s="3"/>
      <c r="AA1804" s="3"/>
    </row>
    <row r="1805" ht="105.75" customHeight="1">
      <c r="A1805" s="11"/>
      <c r="B1805" s="12"/>
      <c r="C1805" s="11"/>
      <c r="D1805" s="13"/>
      <c r="E1805" s="14"/>
      <c r="F1805" s="14"/>
      <c r="G1805" s="14"/>
      <c r="H1805" s="15"/>
      <c r="I1805" s="15"/>
      <c r="J1805" s="3"/>
      <c r="K1805" s="3"/>
      <c r="L1805" s="3"/>
      <c r="M1805" s="3"/>
      <c r="N1805" s="3"/>
      <c r="O1805" s="3"/>
      <c r="P1805" s="3"/>
      <c r="Q1805" s="3"/>
      <c r="R1805" s="3"/>
      <c r="S1805" s="3"/>
      <c r="T1805" s="3"/>
      <c r="U1805" s="3"/>
      <c r="V1805" s="3"/>
      <c r="W1805" s="3"/>
      <c r="X1805" s="3"/>
      <c r="Y1805" s="3"/>
      <c r="Z1805" s="3"/>
      <c r="AA1805" s="3"/>
    </row>
    <row r="1806" ht="105.75" customHeight="1">
      <c r="A1806" s="11"/>
      <c r="B1806" s="12"/>
      <c r="C1806" s="11"/>
      <c r="D1806" s="13"/>
      <c r="E1806" s="14"/>
      <c r="F1806" s="14"/>
      <c r="G1806" s="14"/>
      <c r="H1806" s="15"/>
      <c r="I1806" s="15"/>
      <c r="J1806" s="3"/>
      <c r="K1806" s="3"/>
      <c r="L1806" s="3"/>
      <c r="M1806" s="3"/>
      <c r="N1806" s="3"/>
      <c r="O1806" s="3"/>
      <c r="P1806" s="3"/>
      <c r="Q1806" s="3"/>
      <c r="R1806" s="3"/>
      <c r="S1806" s="3"/>
      <c r="T1806" s="3"/>
      <c r="U1806" s="3"/>
      <c r="V1806" s="3"/>
      <c r="W1806" s="3"/>
      <c r="X1806" s="3"/>
      <c r="Y1806" s="3"/>
      <c r="Z1806" s="3"/>
      <c r="AA1806" s="3"/>
    </row>
    <row r="1807" ht="105.75" customHeight="1">
      <c r="A1807" s="11"/>
      <c r="B1807" s="12"/>
      <c r="C1807" s="11"/>
      <c r="D1807" s="13"/>
      <c r="E1807" s="14"/>
      <c r="F1807" s="14"/>
      <c r="G1807" s="14"/>
      <c r="H1807" s="15"/>
      <c r="I1807" s="15"/>
      <c r="J1807" s="3"/>
      <c r="K1807" s="3"/>
      <c r="L1807" s="3"/>
      <c r="M1807" s="3"/>
      <c r="N1807" s="3"/>
      <c r="O1807" s="3"/>
      <c r="P1807" s="3"/>
      <c r="Q1807" s="3"/>
      <c r="R1807" s="3"/>
      <c r="S1807" s="3"/>
      <c r="T1807" s="3"/>
      <c r="U1807" s="3"/>
      <c r="V1807" s="3"/>
      <c r="W1807" s="3"/>
      <c r="X1807" s="3"/>
      <c r="Y1807" s="3"/>
      <c r="Z1807" s="3"/>
      <c r="AA1807" s="3"/>
    </row>
    <row r="1808" ht="105.75" customHeight="1">
      <c r="A1808" s="11"/>
      <c r="B1808" s="12"/>
      <c r="C1808" s="11"/>
      <c r="D1808" s="13"/>
      <c r="E1808" s="14"/>
      <c r="F1808" s="14"/>
      <c r="G1808" s="14"/>
      <c r="H1808" s="15"/>
      <c r="I1808" s="15"/>
      <c r="J1808" s="3"/>
      <c r="K1808" s="3"/>
      <c r="L1808" s="3"/>
      <c r="M1808" s="3"/>
      <c r="N1808" s="3"/>
      <c r="O1808" s="3"/>
      <c r="P1808" s="3"/>
      <c r="Q1808" s="3"/>
      <c r="R1808" s="3"/>
      <c r="S1808" s="3"/>
      <c r="T1808" s="3"/>
      <c r="U1808" s="3"/>
      <c r="V1808" s="3"/>
      <c r="W1808" s="3"/>
      <c r="X1808" s="3"/>
      <c r="Y1808" s="3"/>
      <c r="Z1808" s="3"/>
      <c r="AA1808" s="3"/>
    </row>
    <row r="1809" ht="105.75" customHeight="1">
      <c r="A1809" s="11"/>
      <c r="B1809" s="12"/>
      <c r="C1809" s="11"/>
      <c r="D1809" s="13"/>
      <c r="E1809" s="14"/>
      <c r="F1809" s="14"/>
      <c r="G1809" s="14"/>
      <c r="H1809" s="15"/>
      <c r="I1809" s="15"/>
      <c r="J1809" s="3"/>
      <c r="K1809" s="3"/>
      <c r="L1809" s="3"/>
      <c r="M1809" s="3"/>
      <c r="N1809" s="3"/>
      <c r="O1809" s="3"/>
      <c r="P1809" s="3"/>
      <c r="Q1809" s="3"/>
      <c r="R1809" s="3"/>
      <c r="S1809" s="3"/>
      <c r="T1809" s="3"/>
      <c r="U1809" s="3"/>
      <c r="V1809" s="3"/>
      <c r="W1809" s="3"/>
      <c r="X1809" s="3"/>
      <c r="Y1809" s="3"/>
      <c r="Z1809" s="3"/>
      <c r="AA1809" s="3"/>
    </row>
    <row r="1810" ht="105.75" customHeight="1">
      <c r="A1810" s="11"/>
      <c r="B1810" s="12"/>
      <c r="C1810" s="11"/>
      <c r="D1810" s="13"/>
      <c r="E1810" s="14"/>
      <c r="F1810" s="14"/>
      <c r="G1810" s="14"/>
      <c r="H1810" s="15"/>
      <c r="I1810" s="15"/>
      <c r="J1810" s="3"/>
      <c r="K1810" s="3"/>
      <c r="L1810" s="3"/>
      <c r="M1810" s="3"/>
      <c r="N1810" s="3"/>
      <c r="O1810" s="3"/>
      <c r="P1810" s="3"/>
      <c r="Q1810" s="3"/>
      <c r="R1810" s="3"/>
      <c r="S1810" s="3"/>
      <c r="T1810" s="3"/>
      <c r="U1810" s="3"/>
      <c r="V1810" s="3"/>
      <c r="W1810" s="3"/>
      <c r="X1810" s="3"/>
      <c r="Y1810" s="3"/>
      <c r="Z1810" s="3"/>
      <c r="AA1810" s="3"/>
    </row>
    <row r="1811" ht="105.75" customHeight="1">
      <c r="A1811" s="11"/>
      <c r="B1811" s="12"/>
      <c r="C1811" s="11"/>
      <c r="D1811" s="13"/>
      <c r="E1811" s="14"/>
      <c r="F1811" s="14"/>
      <c r="G1811" s="14"/>
      <c r="H1811" s="15"/>
      <c r="I1811" s="15"/>
      <c r="J1811" s="3"/>
      <c r="K1811" s="3"/>
      <c r="L1811" s="3"/>
      <c r="M1811" s="3"/>
      <c r="N1811" s="3"/>
      <c r="O1811" s="3"/>
      <c r="P1811" s="3"/>
      <c r="Q1811" s="3"/>
      <c r="R1811" s="3"/>
      <c r="S1811" s="3"/>
      <c r="T1811" s="3"/>
      <c r="U1811" s="3"/>
      <c r="V1811" s="3"/>
      <c r="W1811" s="3"/>
      <c r="X1811" s="3"/>
      <c r="Y1811" s="3"/>
      <c r="Z1811" s="3"/>
      <c r="AA1811" s="3"/>
    </row>
    <row r="1812" ht="105.75" customHeight="1">
      <c r="A1812" s="11"/>
      <c r="B1812" s="12"/>
      <c r="C1812" s="11"/>
      <c r="D1812" s="13"/>
      <c r="E1812" s="16"/>
      <c r="F1812" s="16"/>
      <c r="G1812" s="16"/>
      <c r="H1812" s="15"/>
      <c r="I1812" s="15"/>
      <c r="J1812" s="3"/>
      <c r="K1812" s="3"/>
      <c r="L1812" s="3"/>
      <c r="M1812" s="3"/>
      <c r="N1812" s="3"/>
      <c r="O1812" s="3"/>
      <c r="P1812" s="3"/>
      <c r="Q1812" s="3"/>
      <c r="R1812" s="3"/>
      <c r="S1812" s="3"/>
      <c r="T1812" s="3"/>
      <c r="U1812" s="3"/>
      <c r="V1812" s="3"/>
      <c r="W1812" s="3"/>
      <c r="X1812" s="3"/>
      <c r="Y1812" s="3"/>
      <c r="Z1812" s="3"/>
      <c r="AA1812" s="3"/>
    </row>
    <row r="1813" ht="105.75" customHeight="1">
      <c r="A1813" s="11"/>
      <c r="B1813" s="12"/>
      <c r="C1813" s="11"/>
      <c r="D1813" s="13"/>
      <c r="E1813" s="14"/>
      <c r="F1813" s="14"/>
      <c r="G1813" s="14"/>
      <c r="H1813" s="15"/>
      <c r="I1813" s="15"/>
      <c r="J1813" s="3"/>
      <c r="K1813" s="3"/>
      <c r="L1813" s="3"/>
      <c r="M1813" s="3"/>
      <c r="N1813" s="3"/>
      <c r="O1813" s="3"/>
      <c r="P1813" s="3"/>
      <c r="Q1813" s="3"/>
      <c r="R1813" s="3"/>
      <c r="S1813" s="3"/>
      <c r="T1813" s="3"/>
      <c r="U1813" s="3"/>
      <c r="V1813" s="3"/>
      <c r="W1813" s="3"/>
      <c r="X1813" s="3"/>
      <c r="Y1813" s="3"/>
      <c r="Z1813" s="3"/>
      <c r="AA1813" s="3"/>
    </row>
    <row r="1814" ht="105.75" customHeight="1">
      <c r="A1814" s="11"/>
      <c r="B1814" s="12"/>
      <c r="C1814" s="11"/>
      <c r="D1814" s="13"/>
      <c r="E1814" s="14"/>
      <c r="F1814" s="14"/>
      <c r="G1814" s="14"/>
      <c r="H1814" s="15"/>
      <c r="I1814" s="15"/>
      <c r="J1814" s="3"/>
      <c r="K1814" s="3"/>
      <c r="L1814" s="3"/>
      <c r="M1814" s="3"/>
      <c r="N1814" s="3"/>
      <c r="O1814" s="3"/>
      <c r="P1814" s="3"/>
      <c r="Q1814" s="3"/>
      <c r="R1814" s="3"/>
      <c r="S1814" s="3"/>
      <c r="T1814" s="3"/>
      <c r="U1814" s="3"/>
      <c r="V1814" s="3"/>
      <c r="W1814" s="3"/>
      <c r="X1814" s="3"/>
      <c r="Y1814" s="3"/>
      <c r="Z1814" s="3"/>
      <c r="AA1814" s="3"/>
    </row>
    <row r="1815" ht="105.75" customHeight="1">
      <c r="A1815" s="11"/>
      <c r="B1815" s="12"/>
      <c r="C1815" s="11"/>
      <c r="D1815" s="13"/>
      <c r="E1815" s="14"/>
      <c r="F1815" s="14"/>
      <c r="G1815" s="14"/>
      <c r="H1815" s="15"/>
      <c r="I1815" s="15"/>
      <c r="J1815" s="3"/>
      <c r="K1815" s="3"/>
      <c r="L1815" s="3"/>
      <c r="M1815" s="3"/>
      <c r="N1815" s="3"/>
      <c r="O1815" s="3"/>
      <c r="P1815" s="3"/>
      <c r="Q1815" s="3"/>
      <c r="R1815" s="3"/>
      <c r="S1815" s="3"/>
      <c r="T1815" s="3"/>
      <c r="U1815" s="3"/>
      <c r="V1815" s="3"/>
      <c r="W1815" s="3"/>
      <c r="X1815" s="3"/>
      <c r="Y1815" s="3"/>
      <c r="Z1815" s="3"/>
      <c r="AA1815" s="3"/>
    </row>
    <row r="1816" ht="105.75" customHeight="1">
      <c r="A1816" s="11"/>
      <c r="B1816" s="12"/>
      <c r="C1816" s="11"/>
      <c r="D1816" s="13"/>
      <c r="E1816" s="14"/>
      <c r="F1816" s="14"/>
      <c r="G1816" s="14"/>
      <c r="H1816" s="15"/>
      <c r="I1816" s="15"/>
      <c r="J1816" s="3"/>
      <c r="K1816" s="3"/>
      <c r="L1816" s="3"/>
      <c r="M1816" s="3"/>
      <c r="N1816" s="3"/>
      <c r="O1816" s="3"/>
      <c r="P1816" s="3"/>
      <c r="Q1816" s="3"/>
      <c r="R1816" s="3"/>
      <c r="S1816" s="3"/>
      <c r="T1816" s="3"/>
      <c r="U1816" s="3"/>
      <c r="V1816" s="3"/>
      <c r="W1816" s="3"/>
      <c r="X1816" s="3"/>
      <c r="Y1816" s="3"/>
      <c r="Z1816" s="3"/>
      <c r="AA1816" s="3"/>
    </row>
    <row r="1817" ht="105.75" customHeight="1">
      <c r="A1817" s="11"/>
      <c r="B1817" s="12"/>
      <c r="C1817" s="11"/>
      <c r="D1817" s="13"/>
      <c r="E1817" s="16"/>
      <c r="F1817" s="16"/>
      <c r="G1817" s="16"/>
      <c r="H1817" s="15"/>
      <c r="I1817" s="15"/>
      <c r="J1817" s="3"/>
      <c r="K1817" s="3"/>
      <c r="L1817" s="3"/>
      <c r="M1817" s="3"/>
      <c r="N1817" s="3"/>
      <c r="O1817" s="3"/>
      <c r="P1817" s="3"/>
      <c r="Q1817" s="3"/>
      <c r="R1817" s="3"/>
      <c r="S1817" s="3"/>
      <c r="T1817" s="3"/>
      <c r="U1817" s="3"/>
      <c r="V1817" s="3"/>
      <c r="W1817" s="3"/>
      <c r="X1817" s="3"/>
      <c r="Y1817" s="3"/>
      <c r="Z1817" s="3"/>
      <c r="AA1817" s="3"/>
    </row>
    <row r="1818" ht="105.75" customHeight="1">
      <c r="A1818" s="11"/>
      <c r="B1818" s="12"/>
      <c r="C1818" s="11"/>
      <c r="D1818" s="13"/>
      <c r="E1818" s="14"/>
      <c r="F1818" s="14"/>
      <c r="G1818" s="14"/>
      <c r="H1818" s="15"/>
      <c r="I1818" s="15"/>
      <c r="J1818" s="3"/>
      <c r="K1818" s="3"/>
      <c r="L1818" s="3"/>
      <c r="M1818" s="3"/>
      <c r="N1818" s="3"/>
      <c r="O1818" s="3"/>
      <c r="P1818" s="3"/>
      <c r="Q1818" s="3"/>
      <c r="R1818" s="3"/>
      <c r="S1818" s="3"/>
      <c r="T1818" s="3"/>
      <c r="U1818" s="3"/>
      <c r="V1818" s="3"/>
      <c r="W1818" s="3"/>
      <c r="X1818" s="3"/>
      <c r="Y1818" s="3"/>
      <c r="Z1818" s="3"/>
      <c r="AA1818" s="3"/>
    </row>
    <row r="1819" ht="105.75" customHeight="1">
      <c r="A1819" s="11"/>
      <c r="B1819" s="12"/>
      <c r="C1819" s="11"/>
      <c r="D1819" s="13"/>
      <c r="E1819" s="14"/>
      <c r="F1819" s="14"/>
      <c r="G1819" s="14"/>
      <c r="H1819" s="15"/>
      <c r="I1819" s="15"/>
      <c r="J1819" s="3"/>
      <c r="K1819" s="3"/>
      <c r="L1819" s="3"/>
      <c r="M1819" s="3"/>
      <c r="N1819" s="3"/>
      <c r="O1819" s="3"/>
      <c r="P1819" s="3"/>
      <c r="Q1819" s="3"/>
      <c r="R1819" s="3"/>
      <c r="S1819" s="3"/>
      <c r="T1819" s="3"/>
      <c r="U1819" s="3"/>
      <c r="V1819" s="3"/>
      <c r="W1819" s="3"/>
      <c r="X1819" s="3"/>
      <c r="Y1819" s="3"/>
      <c r="Z1819" s="3"/>
      <c r="AA1819" s="3"/>
    </row>
    <row r="1820" ht="105.75" customHeight="1">
      <c r="A1820" s="11"/>
      <c r="B1820" s="12"/>
      <c r="C1820" s="11"/>
      <c r="D1820" s="13"/>
      <c r="E1820" s="14"/>
      <c r="F1820" s="14"/>
      <c r="G1820" s="14"/>
      <c r="H1820" s="15"/>
      <c r="I1820" s="15"/>
      <c r="J1820" s="3"/>
      <c r="K1820" s="3"/>
      <c r="L1820" s="3"/>
      <c r="M1820" s="3"/>
      <c r="N1820" s="3"/>
      <c r="O1820" s="3"/>
      <c r="P1820" s="3"/>
      <c r="Q1820" s="3"/>
      <c r="R1820" s="3"/>
      <c r="S1820" s="3"/>
      <c r="T1820" s="3"/>
      <c r="U1820" s="3"/>
      <c r="V1820" s="3"/>
      <c r="W1820" s="3"/>
      <c r="X1820" s="3"/>
      <c r="Y1820" s="3"/>
      <c r="Z1820" s="3"/>
      <c r="AA1820" s="3"/>
    </row>
    <row r="1821" ht="105.75" customHeight="1">
      <c r="A1821" s="11"/>
      <c r="B1821" s="12"/>
      <c r="C1821" s="11"/>
      <c r="D1821" s="13"/>
      <c r="E1821" s="14"/>
      <c r="F1821" s="14"/>
      <c r="G1821" s="14"/>
      <c r="H1821" s="15"/>
      <c r="I1821" s="15"/>
      <c r="J1821" s="3"/>
      <c r="K1821" s="3"/>
      <c r="L1821" s="3"/>
      <c r="M1821" s="3"/>
      <c r="N1821" s="3"/>
      <c r="O1821" s="3"/>
      <c r="P1821" s="3"/>
      <c r="Q1821" s="3"/>
      <c r="R1821" s="3"/>
      <c r="S1821" s="3"/>
      <c r="T1821" s="3"/>
      <c r="U1821" s="3"/>
      <c r="V1821" s="3"/>
      <c r="W1821" s="3"/>
      <c r="X1821" s="3"/>
      <c r="Y1821" s="3"/>
      <c r="Z1821" s="3"/>
      <c r="AA1821" s="3"/>
    </row>
    <row r="1822" ht="105.75" customHeight="1">
      <c r="A1822" s="11"/>
      <c r="B1822" s="12"/>
      <c r="C1822" s="11"/>
      <c r="D1822" s="13"/>
      <c r="E1822" s="14"/>
      <c r="F1822" s="14"/>
      <c r="G1822" s="14"/>
      <c r="H1822" s="15"/>
      <c r="I1822" s="15"/>
      <c r="J1822" s="3"/>
      <c r="K1822" s="3"/>
      <c r="L1822" s="3"/>
      <c r="M1822" s="3"/>
      <c r="N1822" s="3"/>
      <c r="O1822" s="3"/>
      <c r="P1822" s="3"/>
      <c r="Q1822" s="3"/>
      <c r="R1822" s="3"/>
      <c r="S1822" s="3"/>
      <c r="T1822" s="3"/>
      <c r="U1822" s="3"/>
      <c r="V1822" s="3"/>
      <c r="W1822" s="3"/>
      <c r="X1822" s="3"/>
      <c r="Y1822" s="3"/>
      <c r="Z1822" s="3"/>
      <c r="AA1822" s="3"/>
    </row>
    <row r="1823" ht="105.75" customHeight="1">
      <c r="A1823" s="11"/>
      <c r="B1823" s="12"/>
      <c r="C1823" s="11"/>
      <c r="D1823" s="13"/>
      <c r="E1823" s="14"/>
      <c r="F1823" s="14"/>
      <c r="G1823" s="14"/>
      <c r="H1823" s="15"/>
      <c r="I1823" s="15"/>
      <c r="J1823" s="3"/>
      <c r="K1823" s="3"/>
      <c r="L1823" s="3"/>
      <c r="M1823" s="3"/>
      <c r="N1823" s="3"/>
      <c r="O1823" s="3"/>
      <c r="P1823" s="3"/>
      <c r="Q1823" s="3"/>
      <c r="R1823" s="3"/>
      <c r="S1823" s="3"/>
      <c r="T1823" s="3"/>
      <c r="U1823" s="3"/>
      <c r="V1823" s="3"/>
      <c r="W1823" s="3"/>
      <c r="X1823" s="3"/>
      <c r="Y1823" s="3"/>
      <c r="Z1823" s="3"/>
      <c r="AA1823" s="3"/>
    </row>
    <row r="1824" ht="105.75" customHeight="1">
      <c r="A1824" s="11"/>
      <c r="B1824" s="12"/>
      <c r="C1824" s="11"/>
      <c r="D1824" s="13"/>
      <c r="E1824" s="14"/>
      <c r="F1824" s="14"/>
      <c r="G1824" s="14"/>
      <c r="H1824" s="15"/>
      <c r="I1824" s="15"/>
      <c r="J1824" s="3"/>
      <c r="K1824" s="3"/>
      <c r="L1824" s="3"/>
      <c r="M1824" s="3"/>
      <c r="N1824" s="3"/>
      <c r="O1824" s="3"/>
      <c r="P1824" s="3"/>
      <c r="Q1824" s="3"/>
      <c r="R1824" s="3"/>
      <c r="S1824" s="3"/>
      <c r="T1824" s="3"/>
      <c r="U1824" s="3"/>
      <c r="V1824" s="3"/>
      <c r="W1824" s="3"/>
      <c r="X1824" s="3"/>
      <c r="Y1824" s="3"/>
      <c r="Z1824" s="3"/>
      <c r="AA1824" s="3"/>
    </row>
    <row r="1825" ht="105.75" customHeight="1">
      <c r="A1825" s="11"/>
      <c r="B1825" s="12"/>
      <c r="C1825" s="11"/>
      <c r="D1825" s="13"/>
      <c r="E1825" s="14"/>
      <c r="F1825" s="14"/>
      <c r="G1825" s="14"/>
      <c r="H1825" s="15"/>
      <c r="I1825" s="15"/>
      <c r="J1825" s="3"/>
      <c r="K1825" s="3"/>
      <c r="L1825" s="3"/>
      <c r="M1825" s="3"/>
      <c r="N1825" s="3"/>
      <c r="O1825" s="3"/>
      <c r="P1825" s="3"/>
      <c r="Q1825" s="3"/>
      <c r="R1825" s="3"/>
      <c r="S1825" s="3"/>
      <c r="T1825" s="3"/>
      <c r="U1825" s="3"/>
      <c r="V1825" s="3"/>
      <c r="W1825" s="3"/>
      <c r="X1825" s="3"/>
      <c r="Y1825" s="3"/>
      <c r="Z1825" s="3"/>
      <c r="AA1825" s="3"/>
    </row>
    <row r="1826" ht="105.75" customHeight="1">
      <c r="A1826" s="11"/>
      <c r="B1826" s="12"/>
      <c r="C1826" s="11"/>
      <c r="D1826" s="13"/>
      <c r="E1826" s="16"/>
      <c r="F1826" s="16"/>
      <c r="G1826" s="16"/>
      <c r="H1826" s="15"/>
      <c r="I1826" s="15"/>
      <c r="J1826" s="3"/>
      <c r="K1826" s="3"/>
      <c r="L1826" s="3"/>
      <c r="M1826" s="3"/>
      <c r="N1826" s="3"/>
      <c r="O1826" s="3"/>
      <c r="P1826" s="3"/>
      <c r="Q1826" s="3"/>
      <c r="R1826" s="3"/>
      <c r="S1826" s="3"/>
      <c r="T1826" s="3"/>
      <c r="U1826" s="3"/>
      <c r="V1826" s="3"/>
      <c r="W1826" s="3"/>
      <c r="X1826" s="3"/>
      <c r="Y1826" s="3"/>
      <c r="Z1826" s="3"/>
      <c r="AA1826" s="3"/>
    </row>
    <row r="1827" ht="105.75" customHeight="1">
      <c r="A1827" s="11"/>
      <c r="B1827" s="12"/>
      <c r="C1827" s="11"/>
      <c r="D1827" s="13"/>
      <c r="E1827" s="14"/>
      <c r="F1827" s="14"/>
      <c r="G1827" s="14"/>
      <c r="H1827" s="15"/>
      <c r="I1827" s="15"/>
      <c r="J1827" s="3"/>
      <c r="K1827" s="3"/>
      <c r="L1827" s="3"/>
      <c r="M1827" s="3"/>
      <c r="N1827" s="3"/>
      <c r="O1827" s="3"/>
      <c r="P1827" s="3"/>
      <c r="Q1827" s="3"/>
      <c r="R1827" s="3"/>
      <c r="S1827" s="3"/>
      <c r="T1827" s="3"/>
      <c r="U1827" s="3"/>
      <c r="V1827" s="3"/>
      <c r="W1827" s="3"/>
      <c r="X1827" s="3"/>
      <c r="Y1827" s="3"/>
      <c r="Z1827" s="3"/>
      <c r="AA1827" s="3"/>
    </row>
    <row r="1828" ht="105.75" customHeight="1">
      <c r="A1828" s="11"/>
      <c r="B1828" s="12"/>
      <c r="C1828" s="11"/>
      <c r="D1828" s="13"/>
      <c r="E1828" s="14"/>
      <c r="F1828" s="14"/>
      <c r="G1828" s="14"/>
      <c r="H1828" s="15"/>
      <c r="I1828" s="15"/>
      <c r="J1828" s="3"/>
      <c r="K1828" s="3"/>
      <c r="L1828" s="3"/>
      <c r="M1828" s="3"/>
      <c r="N1828" s="3"/>
      <c r="O1828" s="3"/>
      <c r="P1828" s="3"/>
      <c r="Q1828" s="3"/>
      <c r="R1828" s="3"/>
      <c r="S1828" s="3"/>
      <c r="T1828" s="3"/>
      <c r="U1828" s="3"/>
      <c r="V1828" s="3"/>
      <c r="W1828" s="3"/>
      <c r="X1828" s="3"/>
      <c r="Y1828" s="3"/>
      <c r="Z1828" s="3"/>
      <c r="AA1828" s="3"/>
    </row>
    <row r="1829" ht="105.75" customHeight="1">
      <c r="A1829" s="11"/>
      <c r="B1829" s="12"/>
      <c r="C1829" s="11"/>
      <c r="D1829" s="13"/>
      <c r="E1829" s="14"/>
      <c r="F1829" s="14"/>
      <c r="G1829" s="14"/>
      <c r="H1829" s="15"/>
      <c r="I1829" s="15"/>
      <c r="J1829" s="3"/>
      <c r="K1829" s="3"/>
      <c r="L1829" s="3"/>
      <c r="M1829" s="3"/>
      <c r="N1829" s="3"/>
      <c r="O1829" s="3"/>
      <c r="P1829" s="3"/>
      <c r="Q1829" s="3"/>
      <c r="R1829" s="3"/>
      <c r="S1829" s="3"/>
      <c r="T1829" s="3"/>
      <c r="U1829" s="3"/>
      <c r="V1829" s="3"/>
      <c r="W1829" s="3"/>
      <c r="X1829" s="3"/>
      <c r="Y1829" s="3"/>
      <c r="Z1829" s="3"/>
      <c r="AA1829" s="3"/>
    </row>
    <row r="1830" ht="105.75" customHeight="1">
      <c r="A1830" s="11"/>
      <c r="B1830" s="12"/>
      <c r="C1830" s="11"/>
      <c r="D1830" s="13"/>
      <c r="E1830" s="14"/>
      <c r="F1830" s="14"/>
      <c r="G1830" s="14"/>
      <c r="H1830" s="15"/>
      <c r="I1830" s="15"/>
      <c r="J1830" s="3"/>
      <c r="K1830" s="3"/>
      <c r="L1830" s="3"/>
      <c r="M1830" s="3"/>
      <c r="N1830" s="3"/>
      <c r="O1830" s="3"/>
      <c r="P1830" s="3"/>
      <c r="Q1830" s="3"/>
      <c r="R1830" s="3"/>
      <c r="S1830" s="3"/>
      <c r="T1830" s="3"/>
      <c r="U1830" s="3"/>
      <c r="V1830" s="3"/>
      <c r="W1830" s="3"/>
      <c r="X1830" s="3"/>
      <c r="Y1830" s="3"/>
      <c r="Z1830" s="3"/>
      <c r="AA1830" s="3"/>
    </row>
    <row r="1831" ht="105.75" customHeight="1">
      <c r="A1831" s="11"/>
      <c r="B1831" s="12"/>
      <c r="C1831" s="11"/>
      <c r="D1831" s="13"/>
      <c r="E1831" s="16"/>
      <c r="F1831" s="16"/>
      <c r="G1831" s="16"/>
      <c r="H1831" s="15"/>
      <c r="I1831" s="15"/>
      <c r="J1831" s="3"/>
      <c r="K1831" s="3"/>
      <c r="L1831" s="3"/>
      <c r="M1831" s="3"/>
      <c r="N1831" s="3"/>
      <c r="O1831" s="3"/>
      <c r="P1831" s="3"/>
      <c r="Q1831" s="3"/>
      <c r="R1831" s="3"/>
      <c r="S1831" s="3"/>
      <c r="T1831" s="3"/>
      <c r="U1831" s="3"/>
      <c r="V1831" s="3"/>
      <c r="W1831" s="3"/>
      <c r="X1831" s="3"/>
      <c r="Y1831" s="3"/>
      <c r="Z1831" s="3"/>
      <c r="AA1831" s="3"/>
    </row>
    <row r="1832" ht="105.75" customHeight="1">
      <c r="A1832" s="11"/>
      <c r="B1832" s="12"/>
      <c r="C1832" s="11"/>
      <c r="D1832" s="13"/>
      <c r="E1832" s="16"/>
      <c r="F1832" s="16"/>
      <c r="G1832" s="16"/>
      <c r="H1832" s="15"/>
      <c r="I1832" s="15"/>
      <c r="J1832" s="3"/>
      <c r="K1832" s="3"/>
      <c r="L1832" s="3"/>
      <c r="M1832" s="3"/>
      <c r="N1832" s="3"/>
      <c r="O1832" s="3"/>
      <c r="P1832" s="3"/>
      <c r="Q1832" s="3"/>
      <c r="R1832" s="3"/>
      <c r="S1832" s="3"/>
      <c r="T1832" s="3"/>
      <c r="U1832" s="3"/>
      <c r="V1832" s="3"/>
      <c r="W1832" s="3"/>
      <c r="X1832" s="3"/>
      <c r="Y1832" s="3"/>
      <c r="Z1832" s="3"/>
      <c r="AA1832" s="3"/>
    </row>
    <row r="1833" ht="105.75" customHeight="1">
      <c r="A1833" s="11"/>
      <c r="B1833" s="12"/>
      <c r="C1833" s="11"/>
      <c r="D1833" s="13"/>
      <c r="E1833" s="14"/>
      <c r="F1833" s="14"/>
      <c r="G1833" s="14"/>
      <c r="H1833" s="15"/>
      <c r="I1833" s="15"/>
      <c r="J1833" s="3"/>
      <c r="K1833" s="3"/>
      <c r="L1833" s="3"/>
      <c r="M1833" s="3"/>
      <c r="N1833" s="3"/>
      <c r="O1833" s="3"/>
      <c r="P1833" s="3"/>
      <c r="Q1833" s="3"/>
      <c r="R1833" s="3"/>
      <c r="S1833" s="3"/>
      <c r="T1833" s="3"/>
      <c r="U1833" s="3"/>
      <c r="V1833" s="3"/>
      <c r="W1833" s="3"/>
      <c r="X1833" s="3"/>
      <c r="Y1833" s="3"/>
      <c r="Z1833" s="3"/>
      <c r="AA1833" s="3"/>
    </row>
    <row r="1834" ht="105.75" customHeight="1">
      <c r="A1834" s="11"/>
      <c r="B1834" s="12"/>
      <c r="C1834" s="11"/>
      <c r="D1834" s="13"/>
      <c r="E1834" s="14"/>
      <c r="F1834" s="14"/>
      <c r="G1834" s="14"/>
      <c r="H1834" s="15"/>
      <c r="I1834" s="15"/>
      <c r="J1834" s="3"/>
      <c r="K1834" s="3"/>
      <c r="L1834" s="3"/>
      <c r="M1834" s="3"/>
      <c r="N1834" s="3"/>
      <c r="O1834" s="3"/>
      <c r="P1834" s="3"/>
      <c r="Q1834" s="3"/>
      <c r="R1834" s="3"/>
      <c r="S1834" s="3"/>
      <c r="T1834" s="3"/>
      <c r="U1834" s="3"/>
      <c r="V1834" s="3"/>
      <c r="W1834" s="3"/>
      <c r="X1834" s="3"/>
      <c r="Y1834" s="3"/>
      <c r="Z1834" s="3"/>
      <c r="AA1834" s="3"/>
    </row>
    <row r="1835" ht="105.75" customHeight="1">
      <c r="A1835" s="11"/>
      <c r="B1835" s="12"/>
      <c r="C1835" s="11"/>
      <c r="D1835" s="13"/>
      <c r="E1835" s="14"/>
      <c r="F1835" s="14"/>
      <c r="G1835" s="14"/>
      <c r="H1835" s="15"/>
      <c r="I1835" s="15"/>
      <c r="J1835" s="3"/>
      <c r="K1835" s="3"/>
      <c r="L1835" s="3"/>
      <c r="M1835" s="3"/>
      <c r="N1835" s="3"/>
      <c r="O1835" s="3"/>
      <c r="P1835" s="3"/>
      <c r="Q1835" s="3"/>
      <c r="R1835" s="3"/>
      <c r="S1835" s="3"/>
      <c r="T1835" s="3"/>
      <c r="U1835" s="3"/>
      <c r="V1835" s="3"/>
      <c r="W1835" s="3"/>
      <c r="X1835" s="3"/>
      <c r="Y1835" s="3"/>
      <c r="Z1835" s="3"/>
      <c r="AA1835" s="3"/>
    </row>
    <row r="1836" ht="105.75" customHeight="1">
      <c r="A1836" s="11"/>
      <c r="B1836" s="12"/>
      <c r="C1836" s="11"/>
      <c r="D1836" s="13"/>
      <c r="E1836" s="14"/>
      <c r="F1836" s="14"/>
      <c r="G1836" s="14"/>
      <c r="H1836" s="15"/>
      <c r="I1836" s="15"/>
      <c r="J1836" s="3"/>
      <c r="K1836" s="3"/>
      <c r="L1836" s="3"/>
      <c r="M1836" s="3"/>
      <c r="N1836" s="3"/>
      <c r="O1836" s="3"/>
      <c r="P1836" s="3"/>
      <c r="Q1836" s="3"/>
      <c r="R1836" s="3"/>
      <c r="S1836" s="3"/>
      <c r="T1836" s="3"/>
      <c r="U1836" s="3"/>
      <c r="V1836" s="3"/>
      <c r="W1836" s="3"/>
      <c r="X1836" s="3"/>
      <c r="Y1836" s="3"/>
      <c r="Z1836" s="3"/>
      <c r="AA1836" s="3"/>
    </row>
    <row r="1837" ht="105.75" customHeight="1">
      <c r="A1837" s="11"/>
      <c r="B1837" s="12"/>
      <c r="C1837" s="11"/>
      <c r="D1837" s="13"/>
      <c r="E1837" s="14"/>
      <c r="F1837" s="14"/>
      <c r="G1837" s="14"/>
      <c r="H1837" s="15"/>
      <c r="I1837" s="15"/>
      <c r="J1837" s="3"/>
      <c r="K1837" s="3"/>
      <c r="L1837" s="3"/>
      <c r="M1837" s="3"/>
      <c r="N1837" s="3"/>
      <c r="O1837" s="3"/>
      <c r="P1837" s="3"/>
      <c r="Q1837" s="3"/>
      <c r="R1837" s="3"/>
      <c r="S1837" s="3"/>
      <c r="T1837" s="3"/>
      <c r="U1837" s="3"/>
      <c r="V1837" s="3"/>
      <c r="W1837" s="3"/>
      <c r="X1837" s="3"/>
      <c r="Y1837" s="3"/>
      <c r="Z1837" s="3"/>
      <c r="AA1837" s="3"/>
    </row>
    <row r="1838" ht="105.75" customHeight="1">
      <c r="A1838" s="11"/>
      <c r="B1838" s="12"/>
      <c r="C1838" s="11"/>
      <c r="D1838" s="13"/>
      <c r="E1838" s="14"/>
      <c r="F1838" s="14"/>
      <c r="G1838" s="14"/>
      <c r="H1838" s="15"/>
      <c r="I1838" s="15"/>
      <c r="J1838" s="3"/>
      <c r="K1838" s="3"/>
      <c r="L1838" s="3"/>
      <c r="M1838" s="3"/>
      <c r="N1838" s="3"/>
      <c r="O1838" s="3"/>
      <c r="P1838" s="3"/>
      <c r="Q1838" s="3"/>
      <c r="R1838" s="3"/>
      <c r="S1838" s="3"/>
      <c r="T1838" s="3"/>
      <c r="U1838" s="3"/>
      <c r="V1838" s="3"/>
      <c r="W1838" s="3"/>
      <c r="X1838" s="3"/>
      <c r="Y1838" s="3"/>
      <c r="Z1838" s="3"/>
      <c r="AA1838" s="3"/>
    </row>
    <row r="1839" ht="105.75" customHeight="1">
      <c r="A1839" s="11"/>
      <c r="B1839" s="12"/>
      <c r="C1839" s="11"/>
      <c r="D1839" s="13"/>
      <c r="E1839" s="14"/>
      <c r="F1839" s="14"/>
      <c r="G1839" s="14"/>
      <c r="H1839" s="15"/>
      <c r="I1839" s="15"/>
      <c r="J1839" s="3"/>
      <c r="K1839" s="3"/>
      <c r="L1839" s="3"/>
      <c r="M1839" s="3"/>
      <c r="N1839" s="3"/>
      <c r="O1839" s="3"/>
      <c r="P1839" s="3"/>
      <c r="Q1839" s="3"/>
      <c r="R1839" s="3"/>
      <c r="S1839" s="3"/>
      <c r="T1839" s="3"/>
      <c r="U1839" s="3"/>
      <c r="V1839" s="3"/>
      <c r="W1839" s="3"/>
      <c r="X1839" s="3"/>
      <c r="Y1839" s="3"/>
      <c r="Z1839" s="3"/>
      <c r="AA1839" s="3"/>
    </row>
    <row r="1840" ht="105.75" customHeight="1">
      <c r="A1840" s="11"/>
      <c r="B1840" s="12"/>
      <c r="C1840" s="11"/>
      <c r="D1840" s="13"/>
      <c r="E1840" s="14"/>
      <c r="F1840" s="14"/>
      <c r="G1840" s="14"/>
      <c r="H1840" s="15"/>
      <c r="I1840" s="15"/>
      <c r="J1840" s="3"/>
      <c r="K1840" s="3"/>
      <c r="L1840" s="3"/>
      <c r="M1840" s="3"/>
      <c r="N1840" s="3"/>
      <c r="O1840" s="3"/>
      <c r="P1840" s="3"/>
      <c r="Q1840" s="3"/>
      <c r="R1840" s="3"/>
      <c r="S1840" s="3"/>
      <c r="T1840" s="3"/>
      <c r="U1840" s="3"/>
      <c r="V1840" s="3"/>
      <c r="W1840" s="3"/>
      <c r="X1840" s="3"/>
      <c r="Y1840" s="3"/>
      <c r="Z1840" s="3"/>
      <c r="AA1840" s="3"/>
    </row>
    <row r="1841" ht="105.75" customHeight="1">
      <c r="A1841" s="11"/>
      <c r="B1841" s="12"/>
      <c r="C1841" s="11"/>
      <c r="D1841" s="13"/>
      <c r="E1841" s="14"/>
      <c r="F1841" s="14"/>
      <c r="G1841" s="14"/>
      <c r="H1841" s="15"/>
      <c r="I1841" s="15"/>
      <c r="J1841" s="3"/>
      <c r="K1841" s="3"/>
      <c r="L1841" s="3"/>
      <c r="M1841" s="3"/>
      <c r="N1841" s="3"/>
      <c r="O1841" s="3"/>
      <c r="P1841" s="3"/>
      <c r="Q1841" s="3"/>
      <c r="R1841" s="3"/>
      <c r="S1841" s="3"/>
      <c r="T1841" s="3"/>
      <c r="U1841" s="3"/>
      <c r="V1841" s="3"/>
      <c r="W1841" s="3"/>
      <c r="X1841" s="3"/>
      <c r="Y1841" s="3"/>
      <c r="Z1841" s="3"/>
      <c r="AA1841" s="3"/>
    </row>
    <row r="1842" ht="105.75" customHeight="1">
      <c r="A1842" s="11"/>
      <c r="B1842" s="12"/>
      <c r="C1842" s="11"/>
      <c r="D1842" s="13"/>
      <c r="E1842" s="14"/>
      <c r="F1842" s="14"/>
      <c r="G1842" s="14"/>
      <c r="H1842" s="15"/>
      <c r="I1842" s="15"/>
      <c r="J1842" s="3"/>
      <c r="K1842" s="3"/>
      <c r="L1842" s="3"/>
      <c r="M1842" s="3"/>
      <c r="N1842" s="3"/>
      <c r="O1842" s="3"/>
      <c r="P1842" s="3"/>
      <c r="Q1842" s="3"/>
      <c r="R1842" s="3"/>
      <c r="S1842" s="3"/>
      <c r="T1842" s="3"/>
      <c r="U1842" s="3"/>
      <c r="V1842" s="3"/>
      <c r="W1842" s="3"/>
      <c r="X1842" s="3"/>
      <c r="Y1842" s="3"/>
      <c r="Z1842" s="3"/>
      <c r="AA1842" s="3"/>
    </row>
    <row r="1843" ht="105.75" customHeight="1">
      <c r="A1843" s="11"/>
      <c r="B1843" s="12"/>
      <c r="C1843" s="11"/>
      <c r="D1843" s="13"/>
      <c r="E1843" s="14"/>
      <c r="F1843" s="14"/>
      <c r="G1843" s="14"/>
      <c r="H1843" s="15"/>
      <c r="I1843" s="15"/>
      <c r="J1843" s="3"/>
      <c r="K1843" s="3"/>
      <c r="L1843" s="3"/>
      <c r="M1843" s="3"/>
      <c r="N1843" s="3"/>
      <c r="O1843" s="3"/>
      <c r="P1843" s="3"/>
      <c r="Q1843" s="3"/>
      <c r="R1843" s="3"/>
      <c r="S1843" s="3"/>
      <c r="T1843" s="3"/>
      <c r="U1843" s="3"/>
      <c r="V1843" s="3"/>
      <c r="W1843" s="3"/>
      <c r="X1843" s="3"/>
      <c r="Y1843" s="3"/>
      <c r="Z1843" s="3"/>
      <c r="AA1843" s="3"/>
    </row>
    <row r="1844" ht="105.75" customHeight="1">
      <c r="A1844" s="11"/>
      <c r="B1844" s="12"/>
      <c r="C1844" s="11"/>
      <c r="D1844" s="13"/>
      <c r="E1844" s="14"/>
      <c r="F1844" s="14"/>
      <c r="G1844" s="14"/>
      <c r="H1844" s="15"/>
      <c r="I1844" s="15"/>
      <c r="J1844" s="3"/>
      <c r="K1844" s="3"/>
      <c r="L1844" s="3"/>
      <c r="M1844" s="3"/>
      <c r="N1844" s="3"/>
      <c r="O1844" s="3"/>
      <c r="P1844" s="3"/>
      <c r="Q1844" s="3"/>
      <c r="R1844" s="3"/>
      <c r="S1844" s="3"/>
      <c r="T1844" s="3"/>
      <c r="U1844" s="3"/>
      <c r="V1844" s="3"/>
      <c r="W1844" s="3"/>
      <c r="X1844" s="3"/>
      <c r="Y1844" s="3"/>
      <c r="Z1844" s="3"/>
      <c r="AA1844" s="3"/>
    </row>
    <row r="1845" ht="105.75" customHeight="1">
      <c r="A1845" s="11"/>
      <c r="B1845" s="12"/>
      <c r="C1845" s="11"/>
      <c r="D1845" s="13"/>
      <c r="E1845" s="14"/>
      <c r="F1845" s="14"/>
      <c r="G1845" s="14"/>
      <c r="H1845" s="15"/>
      <c r="I1845" s="15"/>
      <c r="J1845" s="3"/>
      <c r="K1845" s="3"/>
      <c r="L1845" s="3"/>
      <c r="M1845" s="3"/>
      <c r="N1845" s="3"/>
      <c r="O1845" s="3"/>
      <c r="P1845" s="3"/>
      <c r="Q1845" s="3"/>
      <c r="R1845" s="3"/>
      <c r="S1845" s="3"/>
      <c r="T1845" s="3"/>
      <c r="U1845" s="3"/>
      <c r="V1845" s="3"/>
      <c r="W1845" s="3"/>
      <c r="X1845" s="3"/>
      <c r="Y1845" s="3"/>
      <c r="Z1845" s="3"/>
      <c r="AA1845" s="3"/>
    </row>
    <row r="1846" ht="105.75" customHeight="1">
      <c r="A1846" s="11"/>
      <c r="B1846" s="12"/>
      <c r="C1846" s="11"/>
      <c r="D1846" s="13"/>
      <c r="E1846" s="14"/>
      <c r="F1846" s="14"/>
      <c r="G1846" s="14"/>
      <c r="H1846" s="15"/>
      <c r="I1846" s="15"/>
      <c r="J1846" s="3"/>
      <c r="K1846" s="3"/>
      <c r="L1846" s="3"/>
      <c r="M1846" s="3"/>
      <c r="N1846" s="3"/>
      <c r="O1846" s="3"/>
      <c r="P1846" s="3"/>
      <c r="Q1846" s="3"/>
      <c r="R1846" s="3"/>
      <c r="S1846" s="3"/>
      <c r="T1846" s="3"/>
      <c r="U1846" s="3"/>
      <c r="V1846" s="3"/>
      <c r="W1846" s="3"/>
      <c r="X1846" s="3"/>
      <c r="Y1846" s="3"/>
      <c r="Z1846" s="3"/>
      <c r="AA1846" s="3"/>
    </row>
    <row r="1847" ht="105.75" customHeight="1">
      <c r="A1847" s="11"/>
      <c r="B1847" s="12"/>
      <c r="C1847" s="11"/>
      <c r="D1847" s="13"/>
      <c r="E1847" s="14"/>
      <c r="F1847" s="14"/>
      <c r="G1847" s="14"/>
      <c r="H1847" s="15"/>
      <c r="I1847" s="15"/>
      <c r="J1847" s="3"/>
      <c r="K1847" s="3"/>
      <c r="L1847" s="3"/>
      <c r="M1847" s="3"/>
      <c r="N1847" s="3"/>
      <c r="O1847" s="3"/>
      <c r="P1847" s="3"/>
      <c r="Q1847" s="3"/>
      <c r="R1847" s="3"/>
      <c r="S1847" s="3"/>
      <c r="T1847" s="3"/>
      <c r="U1847" s="3"/>
      <c r="V1847" s="3"/>
      <c r="W1847" s="3"/>
      <c r="X1847" s="3"/>
      <c r="Y1847" s="3"/>
      <c r="Z1847" s="3"/>
      <c r="AA1847" s="3"/>
    </row>
    <row r="1848" ht="105.75" customHeight="1">
      <c r="A1848" s="11"/>
      <c r="B1848" s="12"/>
      <c r="C1848" s="11"/>
      <c r="D1848" s="13"/>
      <c r="E1848" s="14"/>
      <c r="F1848" s="14"/>
      <c r="G1848" s="14"/>
      <c r="H1848" s="15"/>
      <c r="I1848" s="15"/>
      <c r="J1848" s="3"/>
      <c r="K1848" s="3"/>
      <c r="L1848" s="3"/>
      <c r="M1848" s="3"/>
      <c r="N1848" s="3"/>
      <c r="O1848" s="3"/>
      <c r="P1848" s="3"/>
      <c r="Q1848" s="3"/>
      <c r="R1848" s="3"/>
      <c r="S1848" s="3"/>
      <c r="T1848" s="3"/>
      <c r="U1848" s="3"/>
      <c r="V1848" s="3"/>
      <c r="W1848" s="3"/>
      <c r="X1848" s="3"/>
      <c r="Y1848" s="3"/>
      <c r="Z1848" s="3"/>
      <c r="AA1848" s="3"/>
    </row>
    <row r="1849" ht="105.75" customHeight="1">
      <c r="A1849" s="11"/>
      <c r="B1849" s="12"/>
      <c r="C1849" s="11"/>
      <c r="D1849" s="13"/>
      <c r="E1849" s="14"/>
      <c r="F1849" s="14"/>
      <c r="G1849" s="14"/>
      <c r="H1849" s="15"/>
      <c r="I1849" s="15"/>
      <c r="J1849" s="3"/>
      <c r="K1849" s="3"/>
      <c r="L1849" s="3"/>
      <c r="M1849" s="3"/>
      <c r="N1849" s="3"/>
      <c r="O1849" s="3"/>
      <c r="P1849" s="3"/>
      <c r="Q1849" s="3"/>
      <c r="R1849" s="3"/>
      <c r="S1849" s="3"/>
      <c r="T1849" s="3"/>
      <c r="U1849" s="3"/>
      <c r="V1849" s="3"/>
      <c r="W1849" s="3"/>
      <c r="X1849" s="3"/>
      <c r="Y1849" s="3"/>
      <c r="Z1849" s="3"/>
      <c r="AA1849" s="3"/>
    </row>
    <row r="1850" ht="105.75" customHeight="1">
      <c r="A1850" s="11"/>
      <c r="B1850" s="12"/>
      <c r="C1850" s="11"/>
      <c r="D1850" s="13"/>
      <c r="E1850" s="14"/>
      <c r="F1850" s="14"/>
      <c r="G1850" s="14"/>
      <c r="H1850" s="15"/>
      <c r="I1850" s="15"/>
      <c r="J1850" s="3"/>
      <c r="K1850" s="3"/>
      <c r="L1850" s="3"/>
      <c r="M1850" s="3"/>
      <c r="N1850" s="3"/>
      <c r="O1850" s="3"/>
      <c r="P1850" s="3"/>
      <c r="Q1850" s="3"/>
      <c r="R1850" s="3"/>
      <c r="S1850" s="3"/>
      <c r="T1850" s="3"/>
      <c r="U1850" s="3"/>
      <c r="V1850" s="3"/>
      <c r="W1850" s="3"/>
      <c r="X1850" s="3"/>
      <c r="Y1850" s="3"/>
      <c r="Z1850" s="3"/>
      <c r="AA1850" s="3"/>
    </row>
    <row r="1851" ht="105.75" customHeight="1">
      <c r="A1851" s="11"/>
      <c r="B1851" s="12"/>
      <c r="C1851" s="11"/>
      <c r="D1851" s="13"/>
      <c r="E1851" s="14"/>
      <c r="F1851" s="14"/>
      <c r="G1851" s="14"/>
      <c r="H1851" s="15"/>
      <c r="I1851" s="15"/>
      <c r="J1851" s="3"/>
      <c r="K1851" s="3"/>
      <c r="L1851" s="3"/>
      <c r="M1851" s="3"/>
      <c r="N1851" s="3"/>
      <c r="O1851" s="3"/>
      <c r="P1851" s="3"/>
      <c r="Q1851" s="3"/>
      <c r="R1851" s="3"/>
      <c r="S1851" s="3"/>
      <c r="T1851" s="3"/>
      <c r="U1851" s="3"/>
      <c r="V1851" s="3"/>
      <c r="W1851" s="3"/>
      <c r="X1851" s="3"/>
      <c r="Y1851" s="3"/>
      <c r="Z1851" s="3"/>
      <c r="AA1851" s="3"/>
    </row>
    <row r="1852" ht="105.75" customHeight="1">
      <c r="A1852" s="11"/>
      <c r="B1852" s="12"/>
      <c r="C1852" s="11"/>
      <c r="D1852" s="13"/>
      <c r="E1852" s="14"/>
      <c r="F1852" s="14"/>
      <c r="G1852" s="14"/>
      <c r="H1852" s="15"/>
      <c r="I1852" s="15"/>
      <c r="J1852" s="3"/>
      <c r="K1852" s="3"/>
      <c r="L1852" s="3"/>
      <c r="M1852" s="3"/>
      <c r="N1852" s="3"/>
      <c r="O1852" s="3"/>
      <c r="P1852" s="3"/>
      <c r="Q1852" s="3"/>
      <c r="R1852" s="3"/>
      <c r="S1852" s="3"/>
      <c r="T1852" s="3"/>
      <c r="U1852" s="3"/>
      <c r="V1852" s="3"/>
      <c r="W1852" s="3"/>
      <c r="X1852" s="3"/>
      <c r="Y1852" s="3"/>
      <c r="Z1852" s="3"/>
      <c r="AA1852" s="3"/>
    </row>
    <row r="1853" ht="105.75" customHeight="1">
      <c r="A1853" s="11"/>
      <c r="B1853" s="12"/>
      <c r="C1853" s="11"/>
      <c r="D1853" s="13"/>
      <c r="E1853" s="14"/>
      <c r="F1853" s="14"/>
      <c r="G1853" s="14"/>
      <c r="H1853" s="15"/>
      <c r="I1853" s="15"/>
      <c r="J1853" s="3"/>
      <c r="K1853" s="3"/>
      <c r="L1853" s="3"/>
      <c r="M1853" s="3"/>
      <c r="N1853" s="3"/>
      <c r="O1853" s="3"/>
      <c r="P1853" s="3"/>
      <c r="Q1853" s="3"/>
      <c r="R1853" s="3"/>
      <c r="S1853" s="3"/>
      <c r="T1853" s="3"/>
      <c r="U1853" s="3"/>
      <c r="V1853" s="3"/>
      <c r="W1853" s="3"/>
      <c r="X1853" s="3"/>
      <c r="Y1853" s="3"/>
      <c r="Z1853" s="3"/>
      <c r="AA1853" s="3"/>
    </row>
    <row r="1854" ht="105.75" customHeight="1">
      <c r="A1854" s="11"/>
      <c r="B1854" s="12"/>
      <c r="C1854" s="11"/>
      <c r="D1854" s="13"/>
      <c r="E1854" s="14"/>
      <c r="F1854" s="14"/>
      <c r="G1854" s="14"/>
      <c r="H1854" s="15"/>
      <c r="I1854" s="15"/>
      <c r="J1854" s="3"/>
      <c r="K1854" s="3"/>
      <c r="L1854" s="3"/>
      <c r="M1854" s="3"/>
      <c r="N1854" s="3"/>
      <c r="O1854" s="3"/>
      <c r="P1854" s="3"/>
      <c r="Q1854" s="3"/>
      <c r="R1854" s="3"/>
      <c r="S1854" s="3"/>
      <c r="T1854" s="3"/>
      <c r="U1854" s="3"/>
      <c r="V1854" s="3"/>
      <c r="W1854" s="3"/>
      <c r="X1854" s="3"/>
      <c r="Y1854" s="3"/>
      <c r="Z1854" s="3"/>
      <c r="AA1854" s="3"/>
    </row>
    <row r="1855" ht="105.75" customHeight="1">
      <c r="A1855" s="11"/>
      <c r="B1855" s="12"/>
      <c r="C1855" s="11"/>
      <c r="D1855" s="13"/>
      <c r="E1855" s="14"/>
      <c r="F1855" s="14"/>
      <c r="G1855" s="14"/>
      <c r="H1855" s="15"/>
      <c r="I1855" s="15"/>
      <c r="J1855" s="3"/>
      <c r="K1855" s="3"/>
      <c r="L1855" s="3"/>
      <c r="M1855" s="3"/>
      <c r="N1855" s="3"/>
      <c r="O1855" s="3"/>
      <c r="P1855" s="3"/>
      <c r="Q1855" s="3"/>
      <c r="R1855" s="3"/>
      <c r="S1855" s="3"/>
      <c r="T1855" s="3"/>
      <c r="U1855" s="3"/>
      <c r="V1855" s="3"/>
      <c r="W1855" s="3"/>
      <c r="X1855" s="3"/>
      <c r="Y1855" s="3"/>
      <c r="Z1855" s="3"/>
      <c r="AA1855" s="3"/>
    </row>
    <row r="1856" ht="105.75" customHeight="1">
      <c r="A1856" s="11"/>
      <c r="B1856" s="12"/>
      <c r="C1856" s="11"/>
      <c r="D1856" s="13"/>
      <c r="E1856" s="14"/>
      <c r="F1856" s="14"/>
      <c r="G1856" s="14"/>
      <c r="H1856" s="15"/>
      <c r="I1856" s="15"/>
      <c r="J1856" s="3"/>
      <c r="K1856" s="3"/>
      <c r="L1856" s="3"/>
      <c r="M1856" s="3"/>
      <c r="N1856" s="3"/>
      <c r="O1856" s="3"/>
      <c r="P1856" s="3"/>
      <c r="Q1856" s="3"/>
      <c r="R1856" s="3"/>
      <c r="S1856" s="3"/>
      <c r="T1856" s="3"/>
      <c r="U1856" s="3"/>
      <c r="V1856" s="3"/>
      <c r="W1856" s="3"/>
      <c r="X1856" s="3"/>
      <c r="Y1856" s="3"/>
      <c r="Z1856" s="3"/>
      <c r="AA1856" s="3"/>
    </row>
    <row r="1857" ht="105.75" customHeight="1">
      <c r="A1857" s="11"/>
      <c r="B1857" s="12"/>
      <c r="C1857" s="11"/>
      <c r="D1857" s="13"/>
      <c r="E1857" s="14"/>
      <c r="F1857" s="14"/>
      <c r="G1857" s="14"/>
      <c r="H1857" s="15"/>
      <c r="I1857" s="15"/>
      <c r="J1857" s="3"/>
      <c r="K1857" s="3"/>
      <c r="L1857" s="3"/>
      <c r="M1857" s="3"/>
      <c r="N1857" s="3"/>
      <c r="O1857" s="3"/>
      <c r="P1857" s="3"/>
      <c r="Q1857" s="3"/>
      <c r="R1857" s="3"/>
      <c r="S1857" s="3"/>
      <c r="T1857" s="3"/>
      <c r="U1857" s="3"/>
      <c r="V1857" s="3"/>
      <c r="W1857" s="3"/>
      <c r="X1857" s="3"/>
      <c r="Y1857" s="3"/>
      <c r="Z1857" s="3"/>
      <c r="AA1857" s="3"/>
    </row>
    <row r="1858" ht="105.75" customHeight="1">
      <c r="A1858" s="11"/>
      <c r="B1858" s="12"/>
      <c r="C1858" s="11"/>
      <c r="D1858" s="13"/>
      <c r="E1858" s="14"/>
      <c r="F1858" s="14"/>
      <c r="G1858" s="14"/>
      <c r="H1858" s="15"/>
      <c r="I1858" s="15"/>
      <c r="J1858" s="3"/>
      <c r="K1858" s="3"/>
      <c r="L1858" s="3"/>
      <c r="M1858" s="3"/>
      <c r="N1858" s="3"/>
      <c r="O1858" s="3"/>
      <c r="P1858" s="3"/>
      <c r="Q1858" s="3"/>
      <c r="R1858" s="3"/>
      <c r="S1858" s="3"/>
      <c r="T1858" s="3"/>
      <c r="U1858" s="3"/>
      <c r="V1858" s="3"/>
      <c r="W1858" s="3"/>
      <c r="X1858" s="3"/>
      <c r="Y1858" s="3"/>
      <c r="Z1858" s="3"/>
      <c r="AA1858" s="3"/>
    </row>
    <row r="1859" ht="105.75" customHeight="1">
      <c r="A1859" s="11"/>
      <c r="B1859" s="12"/>
      <c r="C1859" s="11"/>
      <c r="D1859" s="13"/>
      <c r="E1859" s="16"/>
      <c r="F1859" s="16"/>
      <c r="G1859" s="16"/>
      <c r="H1859" s="15"/>
      <c r="I1859" s="15"/>
      <c r="J1859" s="3"/>
      <c r="K1859" s="3"/>
      <c r="L1859" s="3"/>
      <c r="M1859" s="3"/>
      <c r="N1859" s="3"/>
      <c r="O1859" s="3"/>
      <c r="P1859" s="3"/>
      <c r="Q1859" s="3"/>
      <c r="R1859" s="3"/>
      <c r="S1859" s="3"/>
      <c r="T1859" s="3"/>
      <c r="U1859" s="3"/>
      <c r="V1859" s="3"/>
      <c r="W1859" s="3"/>
      <c r="X1859" s="3"/>
      <c r="Y1859" s="3"/>
      <c r="Z1859" s="3"/>
      <c r="AA1859" s="3"/>
    </row>
    <row r="1860" ht="105.75" customHeight="1">
      <c r="A1860" s="11"/>
      <c r="B1860" s="12"/>
      <c r="C1860" s="11"/>
      <c r="D1860" s="13"/>
      <c r="E1860" s="16"/>
      <c r="F1860" s="16"/>
      <c r="G1860" s="16"/>
      <c r="H1860" s="15"/>
      <c r="I1860" s="15"/>
      <c r="J1860" s="3"/>
      <c r="K1860" s="3"/>
      <c r="L1860" s="3"/>
      <c r="M1860" s="3"/>
      <c r="N1860" s="3"/>
      <c r="O1860" s="3"/>
      <c r="P1860" s="3"/>
      <c r="Q1860" s="3"/>
      <c r="R1860" s="3"/>
      <c r="S1860" s="3"/>
      <c r="T1860" s="3"/>
      <c r="U1860" s="3"/>
      <c r="V1860" s="3"/>
      <c r="W1860" s="3"/>
      <c r="X1860" s="3"/>
      <c r="Y1860" s="3"/>
      <c r="Z1860" s="3"/>
      <c r="AA1860" s="3"/>
    </row>
    <row r="1861" ht="105.75" customHeight="1">
      <c r="A1861" s="11"/>
      <c r="B1861" s="12"/>
      <c r="C1861" s="11"/>
      <c r="D1861" s="13"/>
      <c r="E1861" s="14"/>
      <c r="F1861" s="14"/>
      <c r="G1861" s="14"/>
      <c r="H1861" s="15"/>
      <c r="I1861" s="15"/>
      <c r="J1861" s="3"/>
      <c r="K1861" s="3"/>
      <c r="L1861" s="3"/>
      <c r="M1861" s="3"/>
      <c r="N1861" s="3"/>
      <c r="O1861" s="3"/>
      <c r="P1861" s="3"/>
      <c r="Q1861" s="3"/>
      <c r="R1861" s="3"/>
      <c r="S1861" s="3"/>
      <c r="T1861" s="3"/>
      <c r="U1861" s="3"/>
      <c r="V1861" s="3"/>
      <c r="W1861" s="3"/>
      <c r="X1861" s="3"/>
      <c r="Y1861" s="3"/>
      <c r="Z1861" s="3"/>
      <c r="AA1861" s="3"/>
    </row>
    <row r="1862" ht="105.75" customHeight="1">
      <c r="A1862" s="11"/>
      <c r="B1862" s="12"/>
      <c r="C1862" s="11"/>
      <c r="D1862" s="13"/>
      <c r="E1862" s="14"/>
      <c r="F1862" s="14"/>
      <c r="G1862" s="14"/>
      <c r="H1862" s="15"/>
      <c r="I1862" s="15"/>
      <c r="J1862" s="3"/>
      <c r="K1862" s="3"/>
      <c r="L1862" s="3"/>
      <c r="M1862" s="3"/>
      <c r="N1862" s="3"/>
      <c r="O1862" s="3"/>
      <c r="P1862" s="3"/>
      <c r="Q1862" s="3"/>
      <c r="R1862" s="3"/>
      <c r="S1862" s="3"/>
      <c r="T1862" s="3"/>
      <c r="U1862" s="3"/>
      <c r="V1862" s="3"/>
      <c r="W1862" s="3"/>
      <c r="X1862" s="3"/>
      <c r="Y1862" s="3"/>
      <c r="Z1862" s="3"/>
      <c r="AA1862" s="3"/>
    </row>
    <row r="1863" ht="105.75" customHeight="1">
      <c r="A1863" s="11"/>
      <c r="B1863" s="12"/>
      <c r="C1863" s="11"/>
      <c r="D1863" s="13"/>
      <c r="E1863" s="14"/>
      <c r="F1863" s="14"/>
      <c r="G1863" s="14"/>
      <c r="H1863" s="15"/>
      <c r="I1863" s="15"/>
      <c r="J1863" s="3"/>
      <c r="K1863" s="3"/>
      <c r="L1863" s="3"/>
      <c r="M1863" s="3"/>
      <c r="N1863" s="3"/>
      <c r="O1863" s="3"/>
      <c r="P1863" s="3"/>
      <c r="Q1863" s="3"/>
      <c r="R1863" s="3"/>
      <c r="S1863" s="3"/>
      <c r="T1863" s="3"/>
      <c r="U1863" s="3"/>
      <c r="V1863" s="3"/>
      <c r="W1863" s="3"/>
      <c r="X1863" s="3"/>
      <c r="Y1863" s="3"/>
      <c r="Z1863" s="3"/>
      <c r="AA1863" s="3"/>
    </row>
    <row r="1864" ht="105.75" customHeight="1">
      <c r="A1864" s="11"/>
      <c r="B1864" s="12"/>
      <c r="C1864" s="11"/>
      <c r="D1864" s="13"/>
      <c r="E1864" s="14"/>
      <c r="F1864" s="14"/>
      <c r="G1864" s="14"/>
      <c r="H1864" s="15"/>
      <c r="I1864" s="15"/>
      <c r="J1864" s="3"/>
      <c r="K1864" s="3"/>
      <c r="L1864" s="3"/>
      <c r="M1864" s="3"/>
      <c r="N1864" s="3"/>
      <c r="O1864" s="3"/>
      <c r="P1864" s="3"/>
      <c r="Q1864" s="3"/>
      <c r="R1864" s="3"/>
      <c r="S1864" s="3"/>
      <c r="T1864" s="3"/>
      <c r="U1864" s="3"/>
      <c r="V1864" s="3"/>
      <c r="W1864" s="3"/>
      <c r="X1864" s="3"/>
      <c r="Y1864" s="3"/>
      <c r="Z1864" s="3"/>
      <c r="AA1864" s="3"/>
    </row>
    <row r="1865" ht="105.75" customHeight="1">
      <c r="A1865" s="11"/>
      <c r="B1865" s="12"/>
      <c r="C1865" s="11"/>
      <c r="D1865" s="13"/>
      <c r="E1865" s="14"/>
      <c r="F1865" s="14"/>
      <c r="G1865" s="14"/>
      <c r="H1865" s="15"/>
      <c r="I1865" s="15"/>
      <c r="J1865" s="3"/>
      <c r="K1865" s="3"/>
      <c r="L1865" s="3"/>
      <c r="M1865" s="3"/>
      <c r="N1865" s="3"/>
      <c r="O1865" s="3"/>
      <c r="P1865" s="3"/>
      <c r="Q1865" s="3"/>
      <c r="R1865" s="3"/>
      <c r="S1865" s="3"/>
      <c r="T1865" s="3"/>
      <c r="U1865" s="3"/>
      <c r="V1865" s="3"/>
      <c r="W1865" s="3"/>
      <c r="X1865" s="3"/>
      <c r="Y1865" s="3"/>
      <c r="Z1865" s="3"/>
      <c r="AA1865" s="3"/>
    </row>
    <row r="1866" ht="105.75" customHeight="1">
      <c r="A1866" s="11"/>
      <c r="B1866" s="12"/>
      <c r="C1866" s="11"/>
      <c r="D1866" s="13"/>
      <c r="E1866" s="14"/>
      <c r="F1866" s="14"/>
      <c r="G1866" s="14"/>
      <c r="H1866" s="15"/>
      <c r="I1866" s="15"/>
      <c r="J1866" s="3"/>
      <c r="K1866" s="3"/>
      <c r="L1866" s="3"/>
      <c r="M1866" s="3"/>
      <c r="N1866" s="3"/>
      <c r="O1866" s="3"/>
      <c r="P1866" s="3"/>
      <c r="Q1866" s="3"/>
      <c r="R1866" s="3"/>
      <c r="S1866" s="3"/>
      <c r="T1866" s="3"/>
      <c r="U1866" s="3"/>
      <c r="V1866" s="3"/>
      <c r="W1866" s="3"/>
      <c r="X1866" s="3"/>
      <c r="Y1866" s="3"/>
      <c r="Z1866" s="3"/>
      <c r="AA1866" s="3"/>
    </row>
    <row r="1867" ht="105.75" customHeight="1">
      <c r="A1867" s="11"/>
      <c r="B1867" s="12"/>
      <c r="C1867" s="11"/>
      <c r="D1867" s="13"/>
      <c r="E1867" s="14"/>
      <c r="F1867" s="14"/>
      <c r="G1867" s="14"/>
      <c r="H1867" s="15"/>
      <c r="I1867" s="15"/>
      <c r="J1867" s="3"/>
      <c r="K1867" s="3"/>
      <c r="L1867" s="3"/>
      <c r="M1867" s="3"/>
      <c r="N1867" s="3"/>
      <c r="O1867" s="3"/>
      <c r="P1867" s="3"/>
      <c r="Q1867" s="3"/>
      <c r="R1867" s="3"/>
      <c r="S1867" s="3"/>
      <c r="T1867" s="3"/>
      <c r="U1867" s="3"/>
      <c r="V1867" s="3"/>
      <c r="W1867" s="3"/>
      <c r="X1867" s="3"/>
      <c r="Y1867" s="3"/>
      <c r="Z1867" s="3"/>
      <c r="AA1867" s="3"/>
    </row>
    <row r="1868" ht="105.75" customHeight="1">
      <c r="A1868" s="11"/>
      <c r="B1868" s="12"/>
      <c r="C1868" s="11"/>
      <c r="D1868" s="13"/>
      <c r="E1868" s="14"/>
      <c r="F1868" s="14"/>
      <c r="G1868" s="14"/>
      <c r="H1868" s="15"/>
      <c r="I1868" s="15"/>
      <c r="J1868" s="3"/>
      <c r="K1868" s="3"/>
      <c r="L1868" s="3"/>
      <c r="M1868" s="3"/>
      <c r="N1868" s="3"/>
      <c r="O1868" s="3"/>
      <c r="P1868" s="3"/>
      <c r="Q1868" s="3"/>
      <c r="R1868" s="3"/>
      <c r="S1868" s="3"/>
      <c r="T1868" s="3"/>
      <c r="U1868" s="3"/>
      <c r="V1868" s="3"/>
      <c r="W1868" s="3"/>
      <c r="X1868" s="3"/>
      <c r="Y1868" s="3"/>
      <c r="Z1868" s="3"/>
      <c r="AA1868" s="3"/>
    </row>
    <row r="1869" ht="105.75" customHeight="1">
      <c r="A1869" s="11"/>
      <c r="B1869" s="12"/>
      <c r="C1869" s="11"/>
      <c r="D1869" s="13"/>
      <c r="E1869" s="14"/>
      <c r="F1869" s="14"/>
      <c r="G1869" s="14"/>
      <c r="H1869" s="15"/>
      <c r="I1869" s="15"/>
      <c r="J1869" s="3"/>
      <c r="K1869" s="3"/>
      <c r="L1869" s="3"/>
      <c r="M1869" s="3"/>
      <c r="N1869" s="3"/>
      <c r="O1869" s="3"/>
      <c r="P1869" s="3"/>
      <c r="Q1869" s="3"/>
      <c r="R1869" s="3"/>
      <c r="S1869" s="3"/>
      <c r="T1869" s="3"/>
      <c r="U1869" s="3"/>
      <c r="V1869" s="3"/>
      <c r="W1869" s="3"/>
      <c r="X1869" s="3"/>
      <c r="Y1869" s="3"/>
      <c r="Z1869" s="3"/>
      <c r="AA1869" s="3"/>
    </row>
    <row r="1870" ht="105.75" customHeight="1">
      <c r="A1870" s="11"/>
      <c r="B1870" s="12"/>
      <c r="C1870" s="11"/>
      <c r="D1870" s="13"/>
      <c r="E1870" s="14"/>
      <c r="F1870" s="14"/>
      <c r="G1870" s="14"/>
      <c r="H1870" s="15"/>
      <c r="I1870" s="15"/>
      <c r="J1870" s="3"/>
      <c r="K1870" s="3"/>
      <c r="L1870" s="3"/>
      <c r="M1870" s="3"/>
      <c r="N1870" s="3"/>
      <c r="O1870" s="3"/>
      <c r="P1870" s="3"/>
      <c r="Q1870" s="3"/>
      <c r="R1870" s="3"/>
      <c r="S1870" s="3"/>
      <c r="T1870" s="3"/>
      <c r="U1870" s="3"/>
      <c r="V1870" s="3"/>
      <c r="W1870" s="3"/>
      <c r="X1870" s="3"/>
      <c r="Y1870" s="3"/>
      <c r="Z1870" s="3"/>
      <c r="AA1870" s="3"/>
    </row>
    <row r="1871" ht="105.75" customHeight="1">
      <c r="A1871" s="11"/>
      <c r="B1871" s="12"/>
      <c r="C1871" s="11"/>
      <c r="D1871" s="13"/>
      <c r="E1871" s="14"/>
      <c r="F1871" s="14"/>
      <c r="G1871" s="14"/>
      <c r="H1871" s="15"/>
      <c r="I1871" s="15"/>
      <c r="J1871" s="3"/>
      <c r="K1871" s="3"/>
      <c r="L1871" s="3"/>
      <c r="M1871" s="3"/>
      <c r="N1871" s="3"/>
      <c r="O1871" s="3"/>
      <c r="P1871" s="3"/>
      <c r="Q1871" s="3"/>
      <c r="R1871" s="3"/>
      <c r="S1871" s="3"/>
      <c r="T1871" s="3"/>
      <c r="U1871" s="3"/>
      <c r="V1871" s="3"/>
      <c r="W1871" s="3"/>
      <c r="X1871" s="3"/>
      <c r="Y1871" s="3"/>
      <c r="Z1871" s="3"/>
      <c r="AA1871" s="3"/>
    </row>
    <row r="1872" ht="105.75" customHeight="1">
      <c r="A1872" s="11"/>
      <c r="B1872" s="12"/>
      <c r="C1872" s="11"/>
      <c r="D1872" s="13"/>
      <c r="E1872" s="16"/>
      <c r="F1872" s="16"/>
      <c r="G1872" s="16"/>
      <c r="H1872" s="15"/>
      <c r="I1872" s="15"/>
      <c r="J1872" s="3"/>
      <c r="K1872" s="3"/>
      <c r="L1872" s="3"/>
      <c r="M1872" s="3"/>
      <c r="N1872" s="3"/>
      <c r="O1872" s="3"/>
      <c r="P1872" s="3"/>
      <c r="Q1872" s="3"/>
      <c r="R1872" s="3"/>
      <c r="S1872" s="3"/>
      <c r="T1872" s="3"/>
      <c r="U1872" s="3"/>
      <c r="V1872" s="3"/>
      <c r="W1872" s="3"/>
      <c r="X1872" s="3"/>
      <c r="Y1872" s="3"/>
      <c r="Z1872" s="3"/>
      <c r="AA1872" s="3"/>
    </row>
    <row r="1873" ht="105.75" customHeight="1">
      <c r="A1873" s="11"/>
      <c r="B1873" s="12"/>
      <c r="C1873" s="11"/>
      <c r="D1873" s="13"/>
      <c r="E1873" s="14"/>
      <c r="F1873" s="14"/>
      <c r="G1873" s="14"/>
      <c r="H1873" s="15"/>
      <c r="I1873" s="15"/>
      <c r="J1873" s="3"/>
      <c r="K1873" s="3"/>
      <c r="L1873" s="3"/>
      <c r="M1873" s="3"/>
      <c r="N1873" s="3"/>
      <c r="O1873" s="3"/>
      <c r="P1873" s="3"/>
      <c r="Q1873" s="3"/>
      <c r="R1873" s="3"/>
      <c r="S1873" s="3"/>
      <c r="T1873" s="3"/>
      <c r="U1873" s="3"/>
      <c r="V1873" s="3"/>
      <c r="W1873" s="3"/>
      <c r="X1873" s="3"/>
      <c r="Y1873" s="3"/>
      <c r="Z1873" s="3"/>
      <c r="AA1873" s="3"/>
    </row>
    <row r="1874" ht="105.75" customHeight="1">
      <c r="A1874" s="11"/>
      <c r="B1874" s="12"/>
      <c r="C1874" s="11"/>
      <c r="D1874" s="13"/>
      <c r="E1874" s="14"/>
      <c r="F1874" s="14"/>
      <c r="G1874" s="14"/>
      <c r="H1874" s="15"/>
      <c r="I1874" s="15"/>
      <c r="J1874" s="3"/>
      <c r="K1874" s="3"/>
      <c r="L1874" s="3"/>
      <c r="M1874" s="3"/>
      <c r="N1874" s="3"/>
      <c r="O1874" s="3"/>
      <c r="P1874" s="3"/>
      <c r="Q1874" s="3"/>
      <c r="R1874" s="3"/>
      <c r="S1874" s="3"/>
      <c r="T1874" s="3"/>
      <c r="U1874" s="3"/>
      <c r="V1874" s="3"/>
      <c r="W1874" s="3"/>
      <c r="X1874" s="3"/>
      <c r="Y1874" s="3"/>
      <c r="Z1874" s="3"/>
      <c r="AA1874" s="3"/>
    </row>
    <row r="1875" ht="105.75" customHeight="1">
      <c r="A1875" s="11"/>
      <c r="B1875" s="12"/>
      <c r="C1875" s="11"/>
      <c r="D1875" s="13"/>
      <c r="E1875" s="14"/>
      <c r="F1875" s="14"/>
      <c r="G1875" s="14"/>
      <c r="H1875" s="15"/>
      <c r="I1875" s="15"/>
      <c r="J1875" s="3"/>
      <c r="K1875" s="3"/>
      <c r="L1875" s="3"/>
      <c r="M1875" s="3"/>
      <c r="N1875" s="3"/>
      <c r="O1875" s="3"/>
      <c r="P1875" s="3"/>
      <c r="Q1875" s="3"/>
      <c r="R1875" s="3"/>
      <c r="S1875" s="3"/>
      <c r="T1875" s="3"/>
      <c r="U1875" s="3"/>
      <c r="V1875" s="3"/>
      <c r="W1875" s="3"/>
      <c r="X1875" s="3"/>
      <c r="Y1875" s="3"/>
      <c r="Z1875" s="3"/>
      <c r="AA1875" s="3"/>
    </row>
    <row r="1876" ht="105.75" customHeight="1">
      <c r="A1876" s="11"/>
      <c r="B1876" s="12"/>
      <c r="C1876" s="11"/>
      <c r="D1876" s="13"/>
      <c r="E1876" s="14"/>
      <c r="F1876" s="14"/>
      <c r="G1876" s="14"/>
      <c r="H1876" s="15"/>
      <c r="I1876" s="15"/>
      <c r="J1876" s="3"/>
      <c r="K1876" s="3"/>
      <c r="L1876" s="3"/>
      <c r="M1876" s="3"/>
      <c r="N1876" s="3"/>
      <c r="O1876" s="3"/>
      <c r="P1876" s="3"/>
      <c r="Q1876" s="3"/>
      <c r="R1876" s="3"/>
      <c r="S1876" s="3"/>
      <c r="T1876" s="3"/>
      <c r="U1876" s="3"/>
      <c r="V1876" s="3"/>
      <c r="W1876" s="3"/>
      <c r="X1876" s="3"/>
      <c r="Y1876" s="3"/>
      <c r="Z1876" s="3"/>
      <c r="AA1876" s="3"/>
    </row>
    <row r="1877" ht="105.75" customHeight="1">
      <c r="A1877" s="11"/>
      <c r="B1877" s="12"/>
      <c r="C1877" s="11"/>
      <c r="D1877" s="13"/>
      <c r="E1877" s="14"/>
      <c r="F1877" s="14"/>
      <c r="G1877" s="14"/>
      <c r="H1877" s="15"/>
      <c r="I1877" s="15"/>
      <c r="J1877" s="3"/>
      <c r="K1877" s="3"/>
      <c r="L1877" s="3"/>
      <c r="M1877" s="3"/>
      <c r="N1877" s="3"/>
      <c r="O1877" s="3"/>
      <c r="P1877" s="3"/>
      <c r="Q1877" s="3"/>
      <c r="R1877" s="3"/>
      <c r="S1877" s="3"/>
      <c r="T1877" s="3"/>
      <c r="U1877" s="3"/>
      <c r="V1877" s="3"/>
      <c r="W1877" s="3"/>
      <c r="X1877" s="3"/>
      <c r="Y1877" s="3"/>
      <c r="Z1877" s="3"/>
      <c r="AA1877" s="3"/>
    </row>
    <row r="1878" ht="105.75" customHeight="1">
      <c r="A1878" s="11"/>
      <c r="B1878" s="12"/>
      <c r="C1878" s="11"/>
      <c r="D1878" s="13"/>
      <c r="E1878" s="14"/>
      <c r="F1878" s="14"/>
      <c r="G1878" s="14"/>
      <c r="H1878" s="15"/>
      <c r="I1878" s="15"/>
      <c r="J1878" s="3"/>
      <c r="K1878" s="3"/>
      <c r="L1878" s="3"/>
      <c r="M1878" s="3"/>
      <c r="N1878" s="3"/>
      <c r="O1878" s="3"/>
      <c r="P1878" s="3"/>
      <c r="Q1878" s="3"/>
      <c r="R1878" s="3"/>
      <c r="S1878" s="3"/>
      <c r="T1878" s="3"/>
      <c r="U1878" s="3"/>
      <c r="V1878" s="3"/>
      <c r="W1878" s="3"/>
      <c r="X1878" s="3"/>
      <c r="Y1878" s="3"/>
      <c r="Z1878" s="3"/>
      <c r="AA1878" s="3"/>
    </row>
    <row r="1879" ht="105.75" customHeight="1">
      <c r="A1879" s="11"/>
      <c r="B1879" s="12"/>
      <c r="C1879" s="11"/>
      <c r="D1879" s="13"/>
      <c r="E1879" s="14"/>
      <c r="F1879" s="14"/>
      <c r="G1879" s="14"/>
      <c r="H1879" s="15"/>
      <c r="I1879" s="15"/>
      <c r="J1879" s="3"/>
      <c r="K1879" s="3"/>
      <c r="L1879" s="3"/>
      <c r="M1879" s="3"/>
      <c r="N1879" s="3"/>
      <c r="O1879" s="3"/>
      <c r="P1879" s="3"/>
      <c r="Q1879" s="3"/>
      <c r="R1879" s="3"/>
      <c r="S1879" s="3"/>
      <c r="T1879" s="3"/>
      <c r="U1879" s="3"/>
      <c r="V1879" s="3"/>
      <c r="W1879" s="3"/>
      <c r="X1879" s="3"/>
      <c r="Y1879" s="3"/>
      <c r="Z1879" s="3"/>
      <c r="AA1879" s="3"/>
    </row>
    <row r="1880" ht="105.75" customHeight="1">
      <c r="A1880" s="11"/>
      <c r="B1880" s="12"/>
      <c r="C1880" s="11"/>
      <c r="D1880" s="13"/>
      <c r="E1880" s="14"/>
      <c r="F1880" s="14"/>
      <c r="G1880" s="14"/>
      <c r="H1880" s="15"/>
      <c r="I1880" s="15"/>
      <c r="J1880" s="3"/>
      <c r="K1880" s="3"/>
      <c r="L1880" s="3"/>
      <c r="M1880" s="3"/>
      <c r="N1880" s="3"/>
      <c r="O1880" s="3"/>
      <c r="P1880" s="3"/>
      <c r="Q1880" s="3"/>
      <c r="R1880" s="3"/>
      <c r="S1880" s="3"/>
      <c r="T1880" s="3"/>
      <c r="U1880" s="3"/>
      <c r="V1880" s="3"/>
      <c r="W1880" s="3"/>
      <c r="X1880" s="3"/>
      <c r="Y1880" s="3"/>
      <c r="Z1880" s="3"/>
      <c r="AA1880" s="3"/>
    </row>
    <row r="1881" ht="105.75" customHeight="1">
      <c r="A1881" s="11"/>
      <c r="B1881" s="12"/>
      <c r="C1881" s="11"/>
      <c r="D1881" s="13"/>
      <c r="E1881" s="14"/>
      <c r="F1881" s="14"/>
      <c r="G1881" s="14"/>
      <c r="H1881" s="15"/>
      <c r="I1881" s="15"/>
      <c r="J1881" s="3"/>
      <c r="K1881" s="3"/>
      <c r="L1881" s="3"/>
      <c r="M1881" s="3"/>
      <c r="N1881" s="3"/>
      <c r="O1881" s="3"/>
      <c r="P1881" s="3"/>
      <c r="Q1881" s="3"/>
      <c r="R1881" s="3"/>
      <c r="S1881" s="3"/>
      <c r="T1881" s="3"/>
      <c r="U1881" s="3"/>
      <c r="V1881" s="3"/>
      <c r="W1881" s="3"/>
      <c r="X1881" s="3"/>
      <c r="Y1881" s="3"/>
      <c r="Z1881" s="3"/>
      <c r="AA1881" s="3"/>
    </row>
    <row r="1882" ht="105.75" customHeight="1">
      <c r="A1882" s="11"/>
      <c r="B1882" s="12"/>
      <c r="C1882" s="11"/>
      <c r="D1882" s="13"/>
      <c r="E1882" s="14"/>
      <c r="F1882" s="14"/>
      <c r="G1882" s="14"/>
      <c r="H1882" s="15"/>
      <c r="I1882" s="15"/>
      <c r="J1882" s="3"/>
      <c r="K1882" s="3"/>
      <c r="L1882" s="3"/>
      <c r="M1882" s="3"/>
      <c r="N1882" s="3"/>
      <c r="O1882" s="3"/>
      <c r="P1882" s="3"/>
      <c r="Q1882" s="3"/>
      <c r="R1882" s="3"/>
      <c r="S1882" s="3"/>
      <c r="T1882" s="3"/>
      <c r="U1882" s="3"/>
      <c r="V1882" s="3"/>
      <c r="W1882" s="3"/>
      <c r="X1882" s="3"/>
      <c r="Y1882" s="3"/>
      <c r="Z1882" s="3"/>
      <c r="AA1882" s="3"/>
    </row>
    <row r="1883" ht="105.75" customHeight="1">
      <c r="A1883" s="11"/>
      <c r="B1883" s="12"/>
      <c r="C1883" s="11"/>
      <c r="D1883" s="13"/>
      <c r="E1883" s="14"/>
      <c r="F1883" s="14"/>
      <c r="G1883" s="14"/>
      <c r="H1883" s="15"/>
      <c r="I1883" s="15"/>
      <c r="J1883" s="3"/>
      <c r="K1883" s="3"/>
      <c r="L1883" s="3"/>
      <c r="M1883" s="3"/>
      <c r="N1883" s="3"/>
      <c r="O1883" s="3"/>
      <c r="P1883" s="3"/>
      <c r="Q1883" s="3"/>
      <c r="R1883" s="3"/>
      <c r="S1883" s="3"/>
      <c r="T1883" s="3"/>
      <c r="U1883" s="3"/>
      <c r="V1883" s="3"/>
      <c r="W1883" s="3"/>
      <c r="X1883" s="3"/>
      <c r="Y1883" s="3"/>
      <c r="Z1883" s="3"/>
      <c r="AA1883" s="3"/>
    </row>
    <row r="1884" ht="105.75" customHeight="1">
      <c r="A1884" s="11"/>
      <c r="B1884" s="12"/>
      <c r="C1884" s="11"/>
      <c r="D1884" s="13"/>
      <c r="E1884" s="14"/>
      <c r="F1884" s="14"/>
      <c r="G1884" s="14"/>
      <c r="H1884" s="15"/>
      <c r="I1884" s="15"/>
      <c r="J1884" s="3"/>
      <c r="K1884" s="3"/>
      <c r="L1884" s="3"/>
      <c r="M1884" s="3"/>
      <c r="N1884" s="3"/>
      <c r="O1884" s="3"/>
      <c r="P1884" s="3"/>
      <c r="Q1884" s="3"/>
      <c r="R1884" s="3"/>
      <c r="S1884" s="3"/>
      <c r="T1884" s="3"/>
      <c r="U1884" s="3"/>
      <c r="V1884" s="3"/>
      <c r="W1884" s="3"/>
      <c r="X1884" s="3"/>
      <c r="Y1884" s="3"/>
      <c r="Z1884" s="3"/>
      <c r="AA1884" s="3"/>
    </row>
    <row r="1885" ht="105.75" customHeight="1">
      <c r="A1885" s="11"/>
      <c r="B1885" s="12"/>
      <c r="C1885" s="11"/>
      <c r="D1885" s="13"/>
      <c r="E1885" s="14"/>
      <c r="F1885" s="14"/>
      <c r="G1885" s="14"/>
      <c r="H1885" s="15"/>
      <c r="I1885" s="15"/>
      <c r="J1885" s="3"/>
      <c r="K1885" s="3"/>
      <c r="L1885" s="3"/>
      <c r="M1885" s="3"/>
      <c r="N1885" s="3"/>
      <c r="O1885" s="3"/>
      <c r="P1885" s="3"/>
      <c r="Q1885" s="3"/>
      <c r="R1885" s="3"/>
      <c r="S1885" s="3"/>
      <c r="T1885" s="3"/>
      <c r="U1885" s="3"/>
      <c r="V1885" s="3"/>
      <c r="W1885" s="3"/>
      <c r="X1885" s="3"/>
      <c r="Y1885" s="3"/>
      <c r="Z1885" s="3"/>
      <c r="AA1885" s="3"/>
    </row>
    <row r="1886" ht="105.75" customHeight="1">
      <c r="A1886" s="11"/>
      <c r="B1886" s="12"/>
      <c r="C1886" s="11"/>
      <c r="D1886" s="13"/>
      <c r="E1886" s="14"/>
      <c r="F1886" s="14"/>
      <c r="G1886" s="14"/>
      <c r="H1886" s="15"/>
      <c r="I1886" s="15"/>
      <c r="J1886" s="3"/>
      <c r="K1886" s="3"/>
      <c r="L1886" s="3"/>
      <c r="M1886" s="3"/>
      <c r="N1886" s="3"/>
      <c r="O1886" s="3"/>
      <c r="P1886" s="3"/>
      <c r="Q1886" s="3"/>
      <c r="R1886" s="3"/>
      <c r="S1886" s="3"/>
      <c r="T1886" s="3"/>
      <c r="U1886" s="3"/>
      <c r="V1886" s="3"/>
      <c r="W1886" s="3"/>
      <c r="X1886" s="3"/>
      <c r="Y1886" s="3"/>
      <c r="Z1886" s="3"/>
      <c r="AA1886" s="3"/>
    </row>
    <row r="1887" ht="105.75" customHeight="1">
      <c r="A1887" s="11"/>
      <c r="B1887" s="12"/>
      <c r="C1887" s="11"/>
      <c r="D1887" s="13"/>
      <c r="E1887" s="14"/>
      <c r="F1887" s="14"/>
      <c r="G1887" s="14"/>
      <c r="H1887" s="15"/>
      <c r="I1887" s="15"/>
      <c r="J1887" s="3"/>
      <c r="K1887" s="3"/>
      <c r="L1887" s="3"/>
      <c r="M1887" s="3"/>
      <c r="N1887" s="3"/>
      <c r="O1887" s="3"/>
      <c r="P1887" s="3"/>
      <c r="Q1887" s="3"/>
      <c r="R1887" s="3"/>
      <c r="S1887" s="3"/>
      <c r="T1887" s="3"/>
      <c r="U1887" s="3"/>
      <c r="V1887" s="3"/>
      <c r="W1887" s="3"/>
      <c r="X1887" s="3"/>
      <c r="Y1887" s="3"/>
      <c r="Z1887" s="3"/>
      <c r="AA1887" s="3"/>
    </row>
    <row r="1888" ht="105.75" customHeight="1">
      <c r="A1888" s="11"/>
      <c r="B1888" s="12"/>
      <c r="C1888" s="11"/>
      <c r="D1888" s="13"/>
      <c r="E1888" s="14"/>
      <c r="F1888" s="14"/>
      <c r="G1888" s="14"/>
      <c r="H1888" s="15"/>
      <c r="I1888" s="15"/>
      <c r="J1888" s="3"/>
      <c r="K1888" s="3"/>
      <c r="L1888" s="3"/>
      <c r="M1888" s="3"/>
      <c r="N1888" s="3"/>
      <c r="O1888" s="3"/>
      <c r="P1888" s="3"/>
      <c r="Q1888" s="3"/>
      <c r="R1888" s="3"/>
      <c r="S1888" s="3"/>
      <c r="T1888" s="3"/>
      <c r="U1888" s="3"/>
      <c r="V1888" s="3"/>
      <c r="W1888" s="3"/>
      <c r="X1888" s="3"/>
      <c r="Y1888" s="3"/>
      <c r="Z1888" s="3"/>
      <c r="AA1888" s="3"/>
    </row>
    <row r="1889" ht="105.75" customHeight="1">
      <c r="A1889" s="11"/>
      <c r="B1889" s="12"/>
      <c r="C1889" s="11"/>
      <c r="D1889" s="13"/>
      <c r="E1889" s="14"/>
      <c r="F1889" s="14"/>
      <c r="G1889" s="14"/>
      <c r="H1889" s="15"/>
      <c r="I1889" s="15"/>
      <c r="J1889" s="3"/>
      <c r="K1889" s="3"/>
      <c r="L1889" s="3"/>
      <c r="M1889" s="3"/>
      <c r="N1889" s="3"/>
      <c r="O1889" s="3"/>
      <c r="P1889" s="3"/>
      <c r="Q1889" s="3"/>
      <c r="R1889" s="3"/>
      <c r="S1889" s="3"/>
      <c r="T1889" s="3"/>
      <c r="U1889" s="3"/>
      <c r="V1889" s="3"/>
      <c r="W1889" s="3"/>
      <c r="X1889" s="3"/>
      <c r="Y1889" s="3"/>
      <c r="Z1889" s="3"/>
      <c r="AA1889" s="3"/>
    </row>
    <row r="1890" ht="105.75" customHeight="1">
      <c r="A1890" s="11"/>
      <c r="B1890" s="12"/>
      <c r="C1890" s="11"/>
      <c r="D1890" s="13"/>
      <c r="E1890" s="14"/>
      <c r="F1890" s="14"/>
      <c r="G1890" s="14"/>
      <c r="H1890" s="15"/>
      <c r="I1890" s="15"/>
      <c r="J1890" s="3"/>
      <c r="K1890" s="3"/>
      <c r="L1890" s="3"/>
      <c r="M1890" s="3"/>
      <c r="N1890" s="3"/>
      <c r="O1890" s="3"/>
      <c r="P1890" s="3"/>
      <c r="Q1890" s="3"/>
      <c r="R1890" s="3"/>
      <c r="S1890" s="3"/>
      <c r="T1890" s="3"/>
      <c r="U1890" s="3"/>
      <c r="V1890" s="3"/>
      <c r="W1890" s="3"/>
      <c r="X1890" s="3"/>
      <c r="Y1890" s="3"/>
      <c r="Z1890" s="3"/>
      <c r="AA1890" s="3"/>
    </row>
    <row r="1891" ht="105.75" customHeight="1">
      <c r="A1891" s="11"/>
      <c r="B1891" s="12"/>
      <c r="C1891" s="11"/>
      <c r="D1891" s="13"/>
      <c r="E1891" s="14"/>
      <c r="F1891" s="14"/>
      <c r="G1891" s="14"/>
      <c r="H1891" s="15"/>
      <c r="I1891" s="15"/>
      <c r="J1891" s="3"/>
      <c r="K1891" s="3"/>
      <c r="L1891" s="3"/>
      <c r="M1891" s="3"/>
      <c r="N1891" s="3"/>
      <c r="O1891" s="3"/>
      <c r="P1891" s="3"/>
      <c r="Q1891" s="3"/>
      <c r="R1891" s="3"/>
      <c r="S1891" s="3"/>
      <c r="T1891" s="3"/>
      <c r="U1891" s="3"/>
      <c r="V1891" s="3"/>
      <c r="W1891" s="3"/>
      <c r="X1891" s="3"/>
      <c r="Y1891" s="3"/>
      <c r="Z1891" s="3"/>
      <c r="AA1891" s="3"/>
    </row>
    <row r="1892" ht="105.75" customHeight="1">
      <c r="A1892" s="11"/>
      <c r="B1892" s="12"/>
      <c r="C1892" s="11"/>
      <c r="D1892" s="13"/>
      <c r="E1892" s="14"/>
      <c r="F1892" s="14"/>
      <c r="G1892" s="14"/>
      <c r="H1892" s="15"/>
      <c r="I1892" s="15"/>
      <c r="J1892" s="3"/>
      <c r="K1892" s="3"/>
      <c r="L1892" s="3"/>
      <c r="M1892" s="3"/>
      <c r="N1892" s="3"/>
      <c r="O1892" s="3"/>
      <c r="P1892" s="3"/>
      <c r="Q1892" s="3"/>
      <c r="R1892" s="3"/>
      <c r="S1892" s="3"/>
      <c r="T1892" s="3"/>
      <c r="U1892" s="3"/>
      <c r="V1892" s="3"/>
      <c r="W1892" s="3"/>
      <c r="X1892" s="3"/>
      <c r="Y1892" s="3"/>
      <c r="Z1892" s="3"/>
      <c r="AA1892" s="3"/>
    </row>
    <row r="1893" ht="105.75" customHeight="1">
      <c r="A1893" s="11"/>
      <c r="B1893" s="12"/>
      <c r="C1893" s="11"/>
      <c r="D1893" s="13"/>
      <c r="E1893" s="14"/>
      <c r="F1893" s="14"/>
      <c r="G1893" s="14"/>
      <c r="H1893" s="15"/>
      <c r="I1893" s="15"/>
      <c r="J1893" s="3"/>
      <c r="K1893" s="3"/>
      <c r="L1893" s="3"/>
      <c r="M1893" s="3"/>
      <c r="N1893" s="3"/>
      <c r="O1893" s="3"/>
      <c r="P1893" s="3"/>
      <c r="Q1893" s="3"/>
      <c r="R1893" s="3"/>
      <c r="S1893" s="3"/>
      <c r="T1893" s="3"/>
      <c r="U1893" s="3"/>
      <c r="V1893" s="3"/>
      <c r="W1893" s="3"/>
      <c r="X1893" s="3"/>
      <c r="Y1893" s="3"/>
      <c r="Z1893" s="3"/>
      <c r="AA1893" s="3"/>
    </row>
    <row r="1894" ht="105.75" customHeight="1">
      <c r="A1894" s="11"/>
      <c r="B1894" s="12"/>
      <c r="C1894" s="11"/>
      <c r="D1894" s="13"/>
      <c r="E1894" s="16"/>
      <c r="F1894" s="16"/>
      <c r="G1894" s="16"/>
      <c r="H1894" s="15"/>
      <c r="I1894" s="15"/>
      <c r="J1894" s="3"/>
      <c r="K1894" s="3"/>
      <c r="L1894" s="3"/>
      <c r="M1894" s="3"/>
      <c r="N1894" s="3"/>
      <c r="O1894" s="3"/>
      <c r="P1894" s="3"/>
      <c r="Q1894" s="3"/>
      <c r="R1894" s="3"/>
      <c r="S1894" s="3"/>
      <c r="T1894" s="3"/>
      <c r="U1894" s="3"/>
      <c r="V1894" s="3"/>
      <c r="W1894" s="3"/>
      <c r="X1894" s="3"/>
      <c r="Y1894" s="3"/>
      <c r="Z1894" s="3"/>
      <c r="AA1894" s="3"/>
    </row>
    <row r="1895" ht="105.75" customHeight="1">
      <c r="A1895" s="11"/>
      <c r="B1895" s="12"/>
      <c r="C1895" s="11"/>
      <c r="D1895" s="13"/>
      <c r="E1895" s="16"/>
      <c r="F1895" s="16"/>
      <c r="G1895" s="16"/>
      <c r="H1895" s="15"/>
      <c r="I1895" s="15"/>
      <c r="J1895" s="3"/>
      <c r="K1895" s="3"/>
      <c r="L1895" s="3"/>
      <c r="M1895" s="3"/>
      <c r="N1895" s="3"/>
      <c r="O1895" s="3"/>
      <c r="P1895" s="3"/>
      <c r="Q1895" s="3"/>
      <c r="R1895" s="3"/>
      <c r="S1895" s="3"/>
      <c r="T1895" s="3"/>
      <c r="U1895" s="3"/>
      <c r="V1895" s="3"/>
      <c r="W1895" s="3"/>
      <c r="X1895" s="3"/>
      <c r="Y1895" s="3"/>
      <c r="Z1895" s="3"/>
      <c r="AA1895" s="3"/>
    </row>
    <row r="1896" ht="105.75" customHeight="1">
      <c r="A1896" s="11"/>
      <c r="B1896" s="12"/>
      <c r="C1896" s="11"/>
      <c r="D1896" s="13"/>
      <c r="E1896" s="14"/>
      <c r="F1896" s="14"/>
      <c r="G1896" s="14"/>
      <c r="H1896" s="15"/>
      <c r="I1896" s="15"/>
      <c r="J1896" s="3"/>
      <c r="K1896" s="3"/>
      <c r="L1896" s="3"/>
      <c r="M1896" s="3"/>
      <c r="N1896" s="3"/>
      <c r="O1896" s="3"/>
      <c r="P1896" s="3"/>
      <c r="Q1896" s="3"/>
      <c r="R1896" s="3"/>
      <c r="S1896" s="3"/>
      <c r="T1896" s="3"/>
      <c r="U1896" s="3"/>
      <c r="V1896" s="3"/>
      <c r="W1896" s="3"/>
      <c r="X1896" s="3"/>
      <c r="Y1896" s="3"/>
      <c r="Z1896" s="3"/>
      <c r="AA1896" s="3"/>
    </row>
    <row r="1897" ht="105.75" customHeight="1">
      <c r="A1897" s="11"/>
      <c r="B1897" s="12"/>
      <c r="C1897" s="11"/>
      <c r="D1897" s="13"/>
      <c r="E1897" s="14"/>
      <c r="F1897" s="14"/>
      <c r="G1897" s="14"/>
      <c r="H1897" s="15"/>
      <c r="I1897" s="15"/>
      <c r="J1897" s="3"/>
      <c r="K1897" s="3"/>
      <c r="L1897" s="3"/>
      <c r="M1897" s="3"/>
      <c r="N1897" s="3"/>
      <c r="O1897" s="3"/>
      <c r="P1897" s="3"/>
      <c r="Q1897" s="3"/>
      <c r="R1897" s="3"/>
      <c r="S1897" s="3"/>
      <c r="T1897" s="3"/>
      <c r="U1897" s="3"/>
      <c r="V1897" s="3"/>
      <c r="W1897" s="3"/>
      <c r="X1897" s="3"/>
      <c r="Y1897" s="3"/>
      <c r="Z1897" s="3"/>
      <c r="AA1897" s="3"/>
    </row>
    <row r="1898" ht="105.75" customHeight="1">
      <c r="A1898" s="11"/>
      <c r="B1898" s="12"/>
      <c r="C1898" s="11"/>
      <c r="D1898" s="13"/>
      <c r="E1898" s="14"/>
      <c r="F1898" s="14"/>
      <c r="G1898" s="14"/>
      <c r="H1898" s="15"/>
      <c r="I1898" s="15"/>
      <c r="J1898" s="3"/>
      <c r="K1898" s="3"/>
      <c r="L1898" s="3"/>
      <c r="M1898" s="3"/>
      <c r="N1898" s="3"/>
      <c r="O1898" s="3"/>
      <c r="P1898" s="3"/>
      <c r="Q1898" s="3"/>
      <c r="R1898" s="3"/>
      <c r="S1898" s="3"/>
      <c r="T1898" s="3"/>
      <c r="U1898" s="3"/>
      <c r="V1898" s="3"/>
      <c r="W1898" s="3"/>
      <c r="X1898" s="3"/>
      <c r="Y1898" s="3"/>
      <c r="Z1898" s="3"/>
      <c r="AA1898" s="3"/>
    </row>
    <row r="1899" ht="105.75" customHeight="1">
      <c r="A1899" s="11"/>
      <c r="B1899" s="12"/>
      <c r="C1899" s="11"/>
      <c r="D1899" s="13"/>
      <c r="E1899" s="14"/>
      <c r="F1899" s="14"/>
      <c r="G1899" s="14"/>
      <c r="H1899" s="15"/>
      <c r="I1899" s="15"/>
      <c r="J1899" s="3"/>
      <c r="K1899" s="3"/>
      <c r="L1899" s="3"/>
      <c r="M1899" s="3"/>
      <c r="N1899" s="3"/>
      <c r="O1899" s="3"/>
      <c r="P1899" s="3"/>
      <c r="Q1899" s="3"/>
      <c r="R1899" s="3"/>
      <c r="S1899" s="3"/>
      <c r="T1899" s="3"/>
      <c r="U1899" s="3"/>
      <c r="V1899" s="3"/>
      <c r="W1899" s="3"/>
      <c r="X1899" s="3"/>
      <c r="Y1899" s="3"/>
      <c r="Z1899" s="3"/>
      <c r="AA1899" s="3"/>
    </row>
    <row r="1900" ht="105.75" customHeight="1">
      <c r="A1900" s="11"/>
      <c r="B1900" s="12"/>
      <c r="C1900" s="11"/>
      <c r="D1900" s="13"/>
      <c r="E1900" s="14"/>
      <c r="F1900" s="14"/>
      <c r="G1900" s="14"/>
      <c r="H1900" s="15"/>
      <c r="I1900" s="15"/>
      <c r="J1900" s="3"/>
      <c r="K1900" s="3"/>
      <c r="L1900" s="3"/>
      <c r="M1900" s="3"/>
      <c r="N1900" s="3"/>
      <c r="O1900" s="3"/>
      <c r="P1900" s="3"/>
      <c r="Q1900" s="3"/>
      <c r="R1900" s="3"/>
      <c r="S1900" s="3"/>
      <c r="T1900" s="3"/>
      <c r="U1900" s="3"/>
      <c r="V1900" s="3"/>
      <c r="W1900" s="3"/>
      <c r="X1900" s="3"/>
      <c r="Y1900" s="3"/>
      <c r="Z1900" s="3"/>
      <c r="AA1900" s="3"/>
    </row>
    <row r="1901" ht="105.75" customHeight="1">
      <c r="A1901" s="11"/>
      <c r="B1901" s="12"/>
      <c r="C1901" s="11"/>
      <c r="D1901" s="13"/>
      <c r="E1901" s="16"/>
      <c r="F1901" s="16"/>
      <c r="G1901" s="16"/>
      <c r="H1901" s="15"/>
      <c r="I1901" s="15"/>
      <c r="J1901" s="3"/>
      <c r="K1901" s="3"/>
      <c r="L1901" s="3"/>
      <c r="M1901" s="3"/>
      <c r="N1901" s="3"/>
      <c r="O1901" s="3"/>
      <c r="P1901" s="3"/>
      <c r="Q1901" s="3"/>
      <c r="R1901" s="3"/>
      <c r="S1901" s="3"/>
      <c r="T1901" s="3"/>
      <c r="U1901" s="3"/>
      <c r="V1901" s="3"/>
      <c r="W1901" s="3"/>
      <c r="X1901" s="3"/>
      <c r="Y1901" s="3"/>
      <c r="Z1901" s="3"/>
      <c r="AA1901" s="3"/>
    </row>
    <row r="1902" ht="105.75" customHeight="1">
      <c r="A1902" s="11"/>
      <c r="B1902" s="12"/>
      <c r="C1902" s="11"/>
      <c r="D1902" s="13"/>
      <c r="E1902" s="14"/>
      <c r="F1902" s="14"/>
      <c r="G1902" s="14"/>
      <c r="H1902" s="15"/>
      <c r="I1902" s="15"/>
      <c r="J1902" s="3"/>
      <c r="K1902" s="3"/>
      <c r="L1902" s="3"/>
      <c r="M1902" s="3"/>
      <c r="N1902" s="3"/>
      <c r="O1902" s="3"/>
      <c r="P1902" s="3"/>
      <c r="Q1902" s="3"/>
      <c r="R1902" s="3"/>
      <c r="S1902" s="3"/>
      <c r="T1902" s="3"/>
      <c r="U1902" s="3"/>
      <c r="V1902" s="3"/>
      <c r="W1902" s="3"/>
      <c r="X1902" s="3"/>
      <c r="Y1902" s="3"/>
      <c r="Z1902" s="3"/>
      <c r="AA1902" s="3"/>
    </row>
    <row r="1903" ht="105.75" customHeight="1">
      <c r="A1903" s="11"/>
      <c r="B1903" s="12"/>
      <c r="C1903" s="11"/>
      <c r="D1903" s="13"/>
      <c r="E1903" s="14"/>
      <c r="F1903" s="14"/>
      <c r="G1903" s="14"/>
      <c r="H1903" s="15"/>
      <c r="I1903" s="15"/>
      <c r="J1903" s="3"/>
      <c r="K1903" s="3"/>
      <c r="L1903" s="3"/>
      <c r="M1903" s="3"/>
      <c r="N1903" s="3"/>
      <c r="O1903" s="3"/>
      <c r="P1903" s="3"/>
      <c r="Q1903" s="3"/>
      <c r="R1903" s="3"/>
      <c r="S1903" s="3"/>
      <c r="T1903" s="3"/>
      <c r="U1903" s="3"/>
      <c r="V1903" s="3"/>
      <c r="W1903" s="3"/>
      <c r="X1903" s="3"/>
      <c r="Y1903" s="3"/>
      <c r="Z1903" s="3"/>
      <c r="AA1903" s="3"/>
    </row>
    <row r="1904" ht="105.75" customHeight="1">
      <c r="A1904" s="11"/>
      <c r="B1904" s="12"/>
      <c r="C1904" s="11"/>
      <c r="D1904" s="13"/>
      <c r="E1904" s="16"/>
      <c r="F1904" s="16"/>
      <c r="G1904" s="16"/>
      <c r="H1904" s="15"/>
      <c r="I1904" s="15"/>
      <c r="J1904" s="3"/>
      <c r="K1904" s="3"/>
      <c r="L1904" s="3"/>
      <c r="M1904" s="3"/>
      <c r="N1904" s="3"/>
      <c r="O1904" s="3"/>
      <c r="P1904" s="3"/>
      <c r="Q1904" s="3"/>
      <c r="R1904" s="3"/>
      <c r="S1904" s="3"/>
      <c r="T1904" s="3"/>
      <c r="U1904" s="3"/>
      <c r="V1904" s="3"/>
      <c r="W1904" s="3"/>
      <c r="X1904" s="3"/>
      <c r="Y1904" s="3"/>
      <c r="Z1904" s="3"/>
      <c r="AA1904" s="3"/>
    </row>
    <row r="1905" ht="105.75" customHeight="1">
      <c r="A1905" s="11"/>
      <c r="B1905" s="12"/>
      <c r="C1905" s="11"/>
      <c r="D1905" s="13"/>
      <c r="E1905" s="14"/>
      <c r="F1905" s="14"/>
      <c r="G1905" s="14"/>
      <c r="H1905" s="15"/>
      <c r="I1905" s="15"/>
      <c r="J1905" s="3"/>
      <c r="K1905" s="3"/>
      <c r="L1905" s="3"/>
      <c r="M1905" s="3"/>
      <c r="N1905" s="3"/>
      <c r="O1905" s="3"/>
      <c r="P1905" s="3"/>
      <c r="Q1905" s="3"/>
      <c r="R1905" s="3"/>
      <c r="S1905" s="3"/>
      <c r="T1905" s="3"/>
      <c r="U1905" s="3"/>
      <c r="V1905" s="3"/>
      <c r="W1905" s="3"/>
      <c r="X1905" s="3"/>
      <c r="Y1905" s="3"/>
      <c r="Z1905" s="3"/>
      <c r="AA1905" s="3"/>
    </row>
    <row r="1906" ht="105.75" customHeight="1">
      <c r="A1906" s="11"/>
      <c r="B1906" s="12"/>
      <c r="C1906" s="11"/>
      <c r="D1906" s="13"/>
      <c r="E1906" s="14"/>
      <c r="F1906" s="14"/>
      <c r="G1906" s="14"/>
      <c r="H1906" s="15"/>
      <c r="I1906" s="15"/>
      <c r="J1906" s="3"/>
      <c r="K1906" s="3"/>
      <c r="L1906" s="3"/>
      <c r="M1906" s="3"/>
      <c r="N1906" s="3"/>
      <c r="O1906" s="3"/>
      <c r="P1906" s="3"/>
      <c r="Q1906" s="3"/>
      <c r="R1906" s="3"/>
      <c r="S1906" s="3"/>
      <c r="T1906" s="3"/>
      <c r="U1906" s="3"/>
      <c r="V1906" s="3"/>
      <c r="W1906" s="3"/>
      <c r="X1906" s="3"/>
      <c r="Y1906" s="3"/>
      <c r="Z1906" s="3"/>
      <c r="AA1906" s="3"/>
    </row>
    <row r="1907" ht="105.75" customHeight="1">
      <c r="A1907" s="11"/>
      <c r="B1907" s="12"/>
      <c r="C1907" s="11"/>
      <c r="D1907" s="13"/>
      <c r="E1907" s="16"/>
      <c r="F1907" s="16"/>
      <c r="G1907" s="16"/>
      <c r="H1907" s="15"/>
      <c r="I1907" s="15"/>
      <c r="J1907" s="3"/>
      <c r="K1907" s="3"/>
      <c r="L1907" s="3"/>
      <c r="M1907" s="3"/>
      <c r="N1907" s="3"/>
      <c r="O1907" s="3"/>
      <c r="P1907" s="3"/>
      <c r="Q1907" s="3"/>
      <c r="R1907" s="3"/>
      <c r="S1907" s="3"/>
      <c r="T1907" s="3"/>
      <c r="U1907" s="3"/>
      <c r="V1907" s="3"/>
      <c r="W1907" s="3"/>
      <c r="X1907" s="3"/>
      <c r="Y1907" s="3"/>
      <c r="Z1907" s="3"/>
      <c r="AA1907" s="3"/>
    </row>
    <row r="1908" ht="105.75" customHeight="1">
      <c r="A1908" s="11"/>
      <c r="B1908" s="12"/>
      <c r="C1908" s="11"/>
      <c r="D1908" s="13"/>
      <c r="E1908" s="14"/>
      <c r="F1908" s="14"/>
      <c r="G1908" s="14"/>
      <c r="H1908" s="15"/>
      <c r="I1908" s="15"/>
      <c r="J1908" s="3"/>
      <c r="K1908" s="3"/>
      <c r="L1908" s="3"/>
      <c r="M1908" s="3"/>
      <c r="N1908" s="3"/>
      <c r="O1908" s="3"/>
      <c r="P1908" s="3"/>
      <c r="Q1908" s="3"/>
      <c r="R1908" s="3"/>
      <c r="S1908" s="3"/>
      <c r="T1908" s="3"/>
      <c r="U1908" s="3"/>
      <c r="V1908" s="3"/>
      <c r="W1908" s="3"/>
      <c r="X1908" s="3"/>
      <c r="Y1908" s="3"/>
      <c r="Z1908" s="3"/>
      <c r="AA1908" s="3"/>
    </row>
    <row r="1909" ht="105.75" customHeight="1">
      <c r="A1909" s="11"/>
      <c r="B1909" s="12"/>
      <c r="C1909" s="11"/>
      <c r="D1909" s="13"/>
      <c r="E1909" s="14"/>
      <c r="F1909" s="14"/>
      <c r="G1909" s="14"/>
      <c r="H1909" s="15"/>
      <c r="I1909" s="15"/>
      <c r="J1909" s="3"/>
      <c r="K1909" s="3"/>
      <c r="L1909" s="3"/>
      <c r="M1909" s="3"/>
      <c r="N1909" s="3"/>
      <c r="O1909" s="3"/>
      <c r="P1909" s="3"/>
      <c r="Q1909" s="3"/>
      <c r="R1909" s="3"/>
      <c r="S1909" s="3"/>
      <c r="T1909" s="3"/>
      <c r="U1909" s="3"/>
      <c r="V1909" s="3"/>
      <c r="W1909" s="3"/>
      <c r="X1909" s="3"/>
      <c r="Y1909" s="3"/>
      <c r="Z1909" s="3"/>
      <c r="AA1909" s="3"/>
    </row>
    <row r="1910" ht="105.75" customHeight="1">
      <c r="A1910" s="11"/>
      <c r="B1910" s="12"/>
      <c r="C1910" s="11"/>
      <c r="D1910" s="13"/>
      <c r="E1910" s="14"/>
      <c r="F1910" s="14"/>
      <c r="G1910" s="14"/>
      <c r="H1910" s="15"/>
      <c r="I1910" s="15"/>
      <c r="J1910" s="3"/>
      <c r="K1910" s="3"/>
      <c r="L1910" s="3"/>
      <c r="M1910" s="3"/>
      <c r="N1910" s="3"/>
      <c r="O1910" s="3"/>
      <c r="P1910" s="3"/>
      <c r="Q1910" s="3"/>
      <c r="R1910" s="3"/>
      <c r="S1910" s="3"/>
      <c r="T1910" s="3"/>
      <c r="U1910" s="3"/>
      <c r="V1910" s="3"/>
      <c r="W1910" s="3"/>
      <c r="X1910" s="3"/>
      <c r="Y1910" s="3"/>
      <c r="Z1910" s="3"/>
      <c r="AA1910" s="3"/>
    </row>
    <row r="1911" ht="105.75" customHeight="1">
      <c r="A1911" s="11"/>
      <c r="B1911" s="12"/>
      <c r="C1911" s="11"/>
      <c r="D1911" s="13"/>
      <c r="E1911" s="14"/>
      <c r="F1911" s="14"/>
      <c r="G1911" s="14"/>
      <c r="H1911" s="15"/>
      <c r="I1911" s="15"/>
      <c r="J1911" s="3"/>
      <c r="K1911" s="3"/>
      <c r="L1911" s="3"/>
      <c r="M1911" s="3"/>
      <c r="N1911" s="3"/>
      <c r="O1911" s="3"/>
      <c r="P1911" s="3"/>
      <c r="Q1911" s="3"/>
      <c r="R1911" s="3"/>
      <c r="S1911" s="3"/>
      <c r="T1911" s="3"/>
      <c r="U1911" s="3"/>
      <c r="V1911" s="3"/>
      <c r="W1911" s="3"/>
      <c r="X1911" s="3"/>
      <c r="Y1911" s="3"/>
      <c r="Z1911" s="3"/>
      <c r="AA1911" s="3"/>
    </row>
    <row r="1912" ht="105.75" customHeight="1">
      <c r="A1912" s="11"/>
      <c r="B1912" s="12"/>
      <c r="C1912" s="11"/>
      <c r="D1912" s="13"/>
      <c r="E1912" s="16"/>
      <c r="F1912" s="16"/>
      <c r="G1912" s="16"/>
      <c r="H1912" s="15"/>
      <c r="I1912" s="15"/>
      <c r="J1912" s="3"/>
      <c r="K1912" s="3"/>
      <c r="L1912" s="3"/>
      <c r="M1912" s="3"/>
      <c r="N1912" s="3"/>
      <c r="O1912" s="3"/>
      <c r="P1912" s="3"/>
      <c r="Q1912" s="3"/>
      <c r="R1912" s="3"/>
      <c r="S1912" s="3"/>
      <c r="T1912" s="3"/>
      <c r="U1912" s="3"/>
      <c r="V1912" s="3"/>
      <c r="W1912" s="3"/>
      <c r="X1912" s="3"/>
      <c r="Y1912" s="3"/>
      <c r="Z1912" s="3"/>
      <c r="AA1912" s="3"/>
    </row>
    <row r="1913" ht="105.75" customHeight="1">
      <c r="A1913" s="11"/>
      <c r="B1913" s="12"/>
      <c r="C1913" s="11"/>
      <c r="D1913" s="13"/>
      <c r="E1913" s="14"/>
      <c r="F1913" s="14"/>
      <c r="G1913" s="14"/>
      <c r="H1913" s="15"/>
      <c r="I1913" s="15"/>
      <c r="J1913" s="3"/>
      <c r="K1913" s="3"/>
      <c r="L1913" s="3"/>
      <c r="M1913" s="3"/>
      <c r="N1913" s="3"/>
      <c r="O1913" s="3"/>
      <c r="P1913" s="3"/>
      <c r="Q1913" s="3"/>
      <c r="R1913" s="3"/>
      <c r="S1913" s="3"/>
      <c r="T1913" s="3"/>
      <c r="U1913" s="3"/>
      <c r="V1913" s="3"/>
      <c r="W1913" s="3"/>
      <c r="X1913" s="3"/>
      <c r="Y1913" s="3"/>
      <c r="Z1913" s="3"/>
      <c r="AA1913" s="3"/>
    </row>
    <row r="1914" ht="105.75" customHeight="1">
      <c r="A1914" s="11"/>
      <c r="B1914" s="12"/>
      <c r="C1914" s="11"/>
      <c r="D1914" s="13"/>
      <c r="E1914" s="14"/>
      <c r="F1914" s="14"/>
      <c r="G1914" s="14"/>
      <c r="H1914" s="15"/>
      <c r="I1914" s="15"/>
      <c r="J1914" s="3"/>
      <c r="K1914" s="3"/>
      <c r="L1914" s="3"/>
      <c r="M1914" s="3"/>
      <c r="N1914" s="3"/>
      <c r="O1914" s="3"/>
      <c r="P1914" s="3"/>
      <c r="Q1914" s="3"/>
      <c r="R1914" s="3"/>
      <c r="S1914" s="3"/>
      <c r="T1914" s="3"/>
      <c r="U1914" s="3"/>
      <c r="V1914" s="3"/>
      <c r="W1914" s="3"/>
      <c r="X1914" s="3"/>
      <c r="Y1914" s="3"/>
      <c r="Z1914" s="3"/>
      <c r="AA1914" s="3"/>
    </row>
    <row r="1915" ht="105.75" customHeight="1">
      <c r="A1915" s="11"/>
      <c r="B1915" s="12"/>
      <c r="C1915" s="11"/>
      <c r="D1915" s="13"/>
      <c r="E1915" s="14"/>
      <c r="F1915" s="14"/>
      <c r="G1915" s="14"/>
      <c r="H1915" s="15"/>
      <c r="I1915" s="15"/>
      <c r="J1915" s="3"/>
      <c r="K1915" s="3"/>
      <c r="L1915" s="3"/>
      <c r="M1915" s="3"/>
      <c r="N1915" s="3"/>
      <c r="O1915" s="3"/>
      <c r="P1915" s="3"/>
      <c r="Q1915" s="3"/>
      <c r="R1915" s="3"/>
      <c r="S1915" s="3"/>
      <c r="T1915" s="3"/>
      <c r="U1915" s="3"/>
      <c r="V1915" s="3"/>
      <c r="W1915" s="3"/>
      <c r="X1915" s="3"/>
      <c r="Y1915" s="3"/>
      <c r="Z1915" s="3"/>
      <c r="AA1915" s="3"/>
    </row>
    <row r="1916" ht="105.75" customHeight="1">
      <c r="A1916" s="11"/>
      <c r="B1916" s="12"/>
      <c r="C1916" s="11"/>
      <c r="D1916" s="13"/>
      <c r="E1916" s="14"/>
      <c r="F1916" s="14"/>
      <c r="G1916" s="14"/>
      <c r="H1916" s="15"/>
      <c r="I1916" s="15"/>
      <c r="J1916" s="3"/>
      <c r="K1916" s="3"/>
      <c r="L1916" s="3"/>
      <c r="M1916" s="3"/>
      <c r="N1916" s="3"/>
      <c r="O1916" s="3"/>
      <c r="P1916" s="3"/>
      <c r="Q1916" s="3"/>
      <c r="R1916" s="3"/>
      <c r="S1916" s="3"/>
      <c r="T1916" s="3"/>
      <c r="U1916" s="3"/>
      <c r="V1916" s="3"/>
      <c r="W1916" s="3"/>
      <c r="X1916" s="3"/>
      <c r="Y1916" s="3"/>
      <c r="Z1916" s="3"/>
      <c r="AA1916" s="3"/>
    </row>
    <row r="1917" ht="105.75" customHeight="1">
      <c r="A1917" s="11"/>
      <c r="B1917" s="12"/>
      <c r="C1917" s="11"/>
      <c r="D1917" s="13"/>
      <c r="E1917" s="14"/>
      <c r="F1917" s="14"/>
      <c r="G1917" s="14"/>
      <c r="H1917" s="15"/>
      <c r="I1917" s="15"/>
      <c r="J1917" s="3"/>
      <c r="K1917" s="3"/>
      <c r="L1917" s="3"/>
      <c r="M1917" s="3"/>
      <c r="N1917" s="3"/>
      <c r="O1917" s="3"/>
      <c r="P1917" s="3"/>
      <c r="Q1917" s="3"/>
      <c r="R1917" s="3"/>
      <c r="S1917" s="3"/>
      <c r="T1917" s="3"/>
      <c r="U1917" s="3"/>
      <c r="V1917" s="3"/>
      <c r="W1917" s="3"/>
      <c r="X1917" s="3"/>
      <c r="Y1917" s="3"/>
      <c r="Z1917" s="3"/>
      <c r="AA1917" s="3"/>
    </row>
    <row r="1918" ht="105.75" customHeight="1">
      <c r="A1918" s="11"/>
      <c r="B1918" s="12"/>
      <c r="C1918" s="11"/>
      <c r="D1918" s="13"/>
      <c r="E1918" s="14"/>
      <c r="F1918" s="14"/>
      <c r="G1918" s="14"/>
      <c r="H1918" s="15"/>
      <c r="I1918" s="15"/>
      <c r="J1918" s="3"/>
      <c r="K1918" s="3"/>
      <c r="L1918" s="3"/>
      <c r="M1918" s="3"/>
      <c r="N1918" s="3"/>
      <c r="O1918" s="3"/>
      <c r="P1918" s="3"/>
      <c r="Q1918" s="3"/>
      <c r="R1918" s="3"/>
      <c r="S1918" s="3"/>
      <c r="T1918" s="3"/>
      <c r="U1918" s="3"/>
      <c r="V1918" s="3"/>
      <c r="W1918" s="3"/>
      <c r="X1918" s="3"/>
      <c r="Y1918" s="3"/>
      <c r="Z1918" s="3"/>
      <c r="AA1918" s="3"/>
    </row>
    <row r="1919" ht="105.75" customHeight="1">
      <c r="A1919" s="11"/>
      <c r="B1919" s="12"/>
      <c r="C1919" s="11"/>
      <c r="D1919" s="13"/>
      <c r="E1919" s="14"/>
      <c r="F1919" s="14"/>
      <c r="G1919" s="14"/>
      <c r="H1919" s="15"/>
      <c r="I1919" s="15"/>
      <c r="J1919" s="3"/>
      <c r="K1919" s="3"/>
      <c r="L1919" s="3"/>
      <c r="M1919" s="3"/>
      <c r="N1919" s="3"/>
      <c r="O1919" s="3"/>
      <c r="P1919" s="3"/>
      <c r="Q1919" s="3"/>
      <c r="R1919" s="3"/>
      <c r="S1919" s="3"/>
      <c r="T1919" s="3"/>
      <c r="U1919" s="3"/>
      <c r="V1919" s="3"/>
      <c r="W1919" s="3"/>
      <c r="X1919" s="3"/>
      <c r="Y1919" s="3"/>
      <c r="Z1919" s="3"/>
      <c r="AA1919" s="3"/>
    </row>
    <row r="1920" ht="105.75" customHeight="1">
      <c r="A1920" s="11"/>
      <c r="B1920" s="12"/>
      <c r="C1920" s="11"/>
      <c r="D1920" s="13"/>
      <c r="E1920" s="14"/>
      <c r="F1920" s="14"/>
      <c r="G1920" s="14"/>
      <c r="H1920" s="15"/>
      <c r="I1920" s="15"/>
      <c r="J1920" s="3"/>
      <c r="K1920" s="3"/>
      <c r="L1920" s="3"/>
      <c r="M1920" s="3"/>
      <c r="N1920" s="3"/>
      <c r="O1920" s="3"/>
      <c r="P1920" s="3"/>
      <c r="Q1920" s="3"/>
      <c r="R1920" s="3"/>
      <c r="S1920" s="3"/>
      <c r="T1920" s="3"/>
      <c r="U1920" s="3"/>
      <c r="V1920" s="3"/>
      <c r="W1920" s="3"/>
      <c r="X1920" s="3"/>
      <c r="Y1920" s="3"/>
      <c r="Z1920" s="3"/>
      <c r="AA1920" s="3"/>
    </row>
    <row r="1921" ht="105.75" customHeight="1">
      <c r="A1921" s="11"/>
      <c r="B1921" s="12"/>
      <c r="C1921" s="11"/>
      <c r="D1921" s="13"/>
      <c r="E1921" s="14"/>
      <c r="F1921" s="14"/>
      <c r="G1921" s="14"/>
      <c r="H1921" s="15"/>
      <c r="I1921" s="15"/>
      <c r="J1921" s="3"/>
      <c r="K1921" s="3"/>
      <c r="L1921" s="3"/>
      <c r="M1921" s="3"/>
      <c r="N1921" s="3"/>
      <c r="O1921" s="3"/>
      <c r="P1921" s="3"/>
      <c r="Q1921" s="3"/>
      <c r="R1921" s="3"/>
      <c r="S1921" s="3"/>
      <c r="T1921" s="3"/>
      <c r="U1921" s="3"/>
      <c r="V1921" s="3"/>
      <c r="W1921" s="3"/>
      <c r="X1921" s="3"/>
      <c r="Y1921" s="3"/>
      <c r="Z1921" s="3"/>
      <c r="AA1921" s="3"/>
    </row>
    <row r="1922" ht="105.75" customHeight="1">
      <c r="A1922" s="11"/>
      <c r="B1922" s="12"/>
      <c r="C1922" s="11"/>
      <c r="D1922" s="13"/>
      <c r="E1922" s="16"/>
      <c r="F1922" s="16"/>
      <c r="G1922" s="16"/>
      <c r="H1922" s="15"/>
      <c r="I1922" s="15"/>
      <c r="J1922" s="3"/>
      <c r="K1922" s="3"/>
      <c r="L1922" s="3"/>
      <c r="M1922" s="3"/>
      <c r="N1922" s="3"/>
      <c r="O1922" s="3"/>
      <c r="P1922" s="3"/>
      <c r="Q1922" s="3"/>
      <c r="R1922" s="3"/>
      <c r="S1922" s="3"/>
      <c r="T1922" s="3"/>
      <c r="U1922" s="3"/>
      <c r="V1922" s="3"/>
      <c r="W1922" s="3"/>
      <c r="X1922" s="3"/>
      <c r="Y1922" s="3"/>
      <c r="Z1922" s="3"/>
      <c r="AA1922" s="3"/>
    </row>
    <row r="1923" ht="105.75" customHeight="1">
      <c r="A1923" s="11"/>
      <c r="B1923" s="12"/>
      <c r="C1923" s="11"/>
      <c r="D1923" s="13"/>
      <c r="E1923" s="14"/>
      <c r="F1923" s="14"/>
      <c r="G1923" s="14"/>
      <c r="H1923" s="15"/>
      <c r="I1923" s="15"/>
      <c r="J1923" s="3"/>
      <c r="K1923" s="3"/>
      <c r="L1923" s="3"/>
      <c r="M1923" s="3"/>
      <c r="N1923" s="3"/>
      <c r="O1923" s="3"/>
      <c r="P1923" s="3"/>
      <c r="Q1923" s="3"/>
      <c r="R1923" s="3"/>
      <c r="S1923" s="3"/>
      <c r="T1923" s="3"/>
      <c r="U1923" s="3"/>
      <c r="V1923" s="3"/>
      <c r="W1923" s="3"/>
      <c r="X1923" s="3"/>
      <c r="Y1923" s="3"/>
      <c r="Z1923" s="3"/>
      <c r="AA1923" s="3"/>
    </row>
    <row r="1924" ht="105.75" customHeight="1">
      <c r="A1924" s="11"/>
      <c r="B1924" s="12"/>
      <c r="C1924" s="11"/>
      <c r="D1924" s="13"/>
      <c r="E1924" s="14"/>
      <c r="F1924" s="14"/>
      <c r="G1924" s="14"/>
      <c r="H1924" s="15"/>
      <c r="I1924" s="15"/>
      <c r="J1924" s="3"/>
      <c r="K1924" s="3"/>
      <c r="L1924" s="3"/>
      <c r="M1924" s="3"/>
      <c r="N1924" s="3"/>
      <c r="O1924" s="3"/>
      <c r="P1924" s="3"/>
      <c r="Q1924" s="3"/>
      <c r="R1924" s="3"/>
      <c r="S1924" s="3"/>
      <c r="T1924" s="3"/>
      <c r="U1924" s="3"/>
      <c r="V1924" s="3"/>
      <c r="W1924" s="3"/>
      <c r="X1924" s="3"/>
      <c r="Y1924" s="3"/>
      <c r="Z1924" s="3"/>
      <c r="AA1924" s="3"/>
    </row>
    <row r="1925" ht="105.75" customHeight="1">
      <c r="A1925" s="11"/>
      <c r="B1925" s="12"/>
      <c r="C1925" s="11"/>
      <c r="D1925" s="13"/>
      <c r="E1925" s="14"/>
      <c r="F1925" s="14"/>
      <c r="G1925" s="14"/>
      <c r="H1925" s="15"/>
      <c r="I1925" s="15"/>
      <c r="J1925" s="3"/>
      <c r="K1925" s="3"/>
      <c r="L1925" s="3"/>
      <c r="M1925" s="3"/>
      <c r="N1925" s="3"/>
      <c r="O1925" s="3"/>
      <c r="P1925" s="3"/>
      <c r="Q1925" s="3"/>
      <c r="R1925" s="3"/>
      <c r="S1925" s="3"/>
      <c r="T1925" s="3"/>
      <c r="U1925" s="3"/>
      <c r="V1925" s="3"/>
      <c r="W1925" s="3"/>
      <c r="X1925" s="3"/>
      <c r="Y1925" s="3"/>
      <c r="Z1925" s="3"/>
      <c r="AA1925" s="3"/>
    </row>
    <row r="1926" ht="105.75" customHeight="1">
      <c r="A1926" s="11"/>
      <c r="B1926" s="12"/>
      <c r="C1926" s="11"/>
      <c r="D1926" s="13"/>
      <c r="E1926" s="14"/>
      <c r="F1926" s="14"/>
      <c r="G1926" s="14"/>
      <c r="H1926" s="15"/>
      <c r="I1926" s="15"/>
      <c r="J1926" s="3"/>
      <c r="K1926" s="3"/>
      <c r="L1926" s="3"/>
      <c r="M1926" s="3"/>
      <c r="N1926" s="3"/>
      <c r="O1926" s="3"/>
      <c r="P1926" s="3"/>
      <c r="Q1926" s="3"/>
      <c r="R1926" s="3"/>
      <c r="S1926" s="3"/>
      <c r="T1926" s="3"/>
      <c r="U1926" s="3"/>
      <c r="V1926" s="3"/>
      <c r="W1926" s="3"/>
      <c r="X1926" s="3"/>
      <c r="Y1926" s="3"/>
      <c r="Z1926" s="3"/>
      <c r="AA1926" s="3"/>
    </row>
    <row r="1927" ht="105.75" customHeight="1">
      <c r="A1927" s="11"/>
      <c r="B1927" s="12"/>
      <c r="C1927" s="11"/>
      <c r="D1927" s="13"/>
      <c r="E1927" s="14"/>
      <c r="F1927" s="14"/>
      <c r="G1927" s="14"/>
      <c r="H1927" s="15"/>
      <c r="I1927" s="15"/>
      <c r="J1927" s="3"/>
      <c r="K1927" s="3"/>
      <c r="L1927" s="3"/>
      <c r="M1927" s="3"/>
      <c r="N1927" s="3"/>
      <c r="O1927" s="3"/>
      <c r="P1927" s="3"/>
      <c r="Q1927" s="3"/>
      <c r="R1927" s="3"/>
      <c r="S1927" s="3"/>
      <c r="T1927" s="3"/>
      <c r="U1927" s="3"/>
      <c r="V1927" s="3"/>
      <c r="W1927" s="3"/>
      <c r="X1927" s="3"/>
      <c r="Y1927" s="3"/>
      <c r="Z1927" s="3"/>
      <c r="AA1927" s="3"/>
    </row>
    <row r="1928" ht="105.75" customHeight="1">
      <c r="A1928" s="11"/>
      <c r="B1928" s="12"/>
      <c r="C1928" s="11"/>
      <c r="D1928" s="13"/>
      <c r="E1928" s="16"/>
      <c r="F1928" s="16"/>
      <c r="G1928" s="16"/>
      <c r="H1928" s="15"/>
      <c r="I1928" s="15"/>
      <c r="J1928" s="3"/>
      <c r="K1928" s="3"/>
      <c r="L1928" s="3"/>
      <c r="M1928" s="3"/>
      <c r="N1928" s="3"/>
      <c r="O1928" s="3"/>
      <c r="P1928" s="3"/>
      <c r="Q1928" s="3"/>
      <c r="R1928" s="3"/>
      <c r="S1928" s="3"/>
      <c r="T1928" s="3"/>
      <c r="U1928" s="3"/>
      <c r="V1928" s="3"/>
      <c r="W1928" s="3"/>
      <c r="X1928" s="3"/>
      <c r="Y1928" s="3"/>
      <c r="Z1928" s="3"/>
      <c r="AA1928" s="3"/>
    </row>
    <row r="1929" ht="105.75" customHeight="1">
      <c r="A1929" s="11"/>
      <c r="B1929" s="12"/>
      <c r="C1929" s="11"/>
      <c r="D1929" s="13"/>
      <c r="E1929" s="14"/>
      <c r="F1929" s="14"/>
      <c r="G1929" s="14"/>
      <c r="H1929" s="15"/>
      <c r="I1929" s="15"/>
      <c r="J1929" s="3"/>
      <c r="K1929" s="3"/>
      <c r="L1929" s="3"/>
      <c r="M1929" s="3"/>
      <c r="N1929" s="3"/>
      <c r="O1929" s="3"/>
      <c r="P1929" s="3"/>
      <c r="Q1929" s="3"/>
      <c r="R1929" s="3"/>
      <c r="S1929" s="3"/>
      <c r="T1929" s="3"/>
      <c r="U1929" s="3"/>
      <c r="V1929" s="3"/>
      <c r="W1929" s="3"/>
      <c r="X1929" s="3"/>
      <c r="Y1929" s="3"/>
      <c r="Z1929" s="3"/>
      <c r="AA1929" s="3"/>
    </row>
    <row r="1930" ht="105.75" customHeight="1">
      <c r="A1930" s="11"/>
      <c r="B1930" s="12"/>
      <c r="C1930" s="11"/>
      <c r="D1930" s="13"/>
      <c r="E1930" s="16"/>
      <c r="F1930" s="16"/>
      <c r="G1930" s="16"/>
      <c r="H1930" s="15"/>
      <c r="I1930" s="15"/>
      <c r="J1930" s="3"/>
      <c r="K1930" s="3"/>
      <c r="L1930" s="3"/>
      <c r="M1930" s="3"/>
      <c r="N1930" s="3"/>
      <c r="O1930" s="3"/>
      <c r="P1930" s="3"/>
      <c r="Q1930" s="3"/>
      <c r="R1930" s="3"/>
      <c r="S1930" s="3"/>
      <c r="T1930" s="3"/>
      <c r="U1930" s="3"/>
      <c r="V1930" s="3"/>
      <c r="W1930" s="3"/>
      <c r="X1930" s="3"/>
      <c r="Y1930" s="3"/>
      <c r="Z1930" s="3"/>
      <c r="AA1930" s="3"/>
    </row>
    <row r="1931" ht="105.75" customHeight="1">
      <c r="A1931" s="11"/>
      <c r="B1931" s="12"/>
      <c r="C1931" s="11"/>
      <c r="D1931" s="13"/>
      <c r="E1931" s="14"/>
      <c r="F1931" s="14"/>
      <c r="G1931" s="14"/>
      <c r="H1931" s="15"/>
      <c r="I1931" s="15"/>
      <c r="J1931" s="3"/>
      <c r="K1931" s="3"/>
      <c r="L1931" s="3"/>
      <c r="M1931" s="3"/>
      <c r="N1931" s="3"/>
      <c r="O1931" s="3"/>
      <c r="P1931" s="3"/>
      <c r="Q1931" s="3"/>
      <c r="R1931" s="3"/>
      <c r="S1931" s="3"/>
      <c r="T1931" s="3"/>
      <c r="U1931" s="3"/>
      <c r="V1931" s="3"/>
      <c r="W1931" s="3"/>
      <c r="X1931" s="3"/>
      <c r="Y1931" s="3"/>
      <c r="Z1931" s="3"/>
      <c r="AA1931" s="3"/>
    </row>
    <row r="1932" ht="105.75" customHeight="1">
      <c r="A1932" s="11"/>
      <c r="B1932" s="12"/>
      <c r="C1932" s="11"/>
      <c r="D1932" s="13"/>
      <c r="E1932" s="14"/>
      <c r="F1932" s="14"/>
      <c r="G1932" s="14"/>
      <c r="H1932" s="15"/>
      <c r="I1932" s="15"/>
      <c r="J1932" s="3"/>
      <c r="K1932" s="3"/>
      <c r="L1932" s="3"/>
      <c r="M1932" s="3"/>
      <c r="N1932" s="3"/>
      <c r="O1932" s="3"/>
      <c r="P1932" s="3"/>
      <c r="Q1932" s="3"/>
      <c r="R1932" s="3"/>
      <c r="S1932" s="3"/>
      <c r="T1932" s="3"/>
      <c r="U1932" s="3"/>
      <c r="V1932" s="3"/>
      <c r="W1932" s="3"/>
      <c r="X1932" s="3"/>
      <c r="Y1932" s="3"/>
      <c r="Z1932" s="3"/>
      <c r="AA1932" s="3"/>
    </row>
    <row r="1933" ht="105.75" customHeight="1">
      <c r="A1933" s="11"/>
      <c r="B1933" s="12"/>
      <c r="C1933" s="11"/>
      <c r="D1933" s="13"/>
      <c r="E1933" s="14"/>
      <c r="F1933" s="14"/>
      <c r="G1933" s="14"/>
      <c r="H1933" s="15"/>
      <c r="I1933" s="15"/>
      <c r="J1933" s="3"/>
      <c r="K1933" s="3"/>
      <c r="L1933" s="3"/>
      <c r="M1933" s="3"/>
      <c r="N1933" s="3"/>
      <c r="O1933" s="3"/>
      <c r="P1933" s="3"/>
      <c r="Q1933" s="3"/>
      <c r="R1933" s="3"/>
      <c r="S1933" s="3"/>
      <c r="T1933" s="3"/>
      <c r="U1933" s="3"/>
      <c r="V1933" s="3"/>
      <c r="W1933" s="3"/>
      <c r="X1933" s="3"/>
      <c r="Y1933" s="3"/>
      <c r="Z1933" s="3"/>
      <c r="AA1933" s="3"/>
    </row>
    <row r="1934" ht="105.75" customHeight="1">
      <c r="A1934" s="11"/>
      <c r="B1934" s="12"/>
      <c r="C1934" s="11"/>
      <c r="D1934" s="13"/>
      <c r="E1934" s="14"/>
      <c r="F1934" s="14"/>
      <c r="G1934" s="14"/>
      <c r="H1934" s="15"/>
      <c r="I1934" s="15"/>
      <c r="J1934" s="3"/>
      <c r="K1934" s="3"/>
      <c r="L1934" s="3"/>
      <c r="M1934" s="3"/>
      <c r="N1934" s="3"/>
      <c r="O1934" s="3"/>
      <c r="P1934" s="3"/>
      <c r="Q1934" s="3"/>
      <c r="R1934" s="3"/>
      <c r="S1934" s="3"/>
      <c r="T1934" s="3"/>
      <c r="U1934" s="3"/>
      <c r="V1934" s="3"/>
      <c r="W1934" s="3"/>
      <c r="X1934" s="3"/>
      <c r="Y1934" s="3"/>
      <c r="Z1934" s="3"/>
      <c r="AA1934" s="3"/>
    </row>
    <row r="1935" ht="105.75" customHeight="1">
      <c r="A1935" s="11"/>
      <c r="B1935" s="12"/>
      <c r="C1935" s="11"/>
      <c r="D1935" s="13"/>
      <c r="E1935" s="14"/>
      <c r="F1935" s="14"/>
      <c r="G1935" s="14"/>
      <c r="H1935" s="15"/>
      <c r="I1935" s="15"/>
      <c r="J1935" s="3"/>
      <c r="K1935" s="3"/>
      <c r="L1935" s="3"/>
      <c r="M1935" s="3"/>
      <c r="N1935" s="3"/>
      <c r="O1935" s="3"/>
      <c r="P1935" s="3"/>
      <c r="Q1935" s="3"/>
      <c r="R1935" s="3"/>
      <c r="S1935" s="3"/>
      <c r="T1935" s="3"/>
      <c r="U1935" s="3"/>
      <c r="V1935" s="3"/>
      <c r="W1935" s="3"/>
      <c r="X1935" s="3"/>
      <c r="Y1935" s="3"/>
      <c r="Z1935" s="3"/>
      <c r="AA1935" s="3"/>
    </row>
    <row r="1936" ht="105.75" customHeight="1">
      <c r="A1936" s="11"/>
      <c r="B1936" s="12"/>
      <c r="C1936" s="11"/>
      <c r="D1936" s="13"/>
      <c r="E1936" s="14"/>
      <c r="F1936" s="14"/>
      <c r="G1936" s="14"/>
      <c r="H1936" s="15"/>
      <c r="I1936" s="15"/>
      <c r="J1936" s="3"/>
      <c r="K1936" s="3"/>
      <c r="L1936" s="3"/>
      <c r="M1936" s="3"/>
      <c r="N1936" s="3"/>
      <c r="O1936" s="3"/>
      <c r="P1936" s="3"/>
      <c r="Q1936" s="3"/>
      <c r="R1936" s="3"/>
      <c r="S1936" s="3"/>
      <c r="T1936" s="3"/>
      <c r="U1936" s="3"/>
      <c r="V1936" s="3"/>
      <c r="W1936" s="3"/>
      <c r="X1936" s="3"/>
      <c r="Y1936" s="3"/>
      <c r="Z1936" s="3"/>
      <c r="AA1936" s="3"/>
    </row>
    <row r="1937" ht="105.75" customHeight="1">
      <c r="A1937" s="11"/>
      <c r="B1937" s="12"/>
      <c r="C1937" s="11"/>
      <c r="D1937" s="13"/>
      <c r="E1937" s="14"/>
      <c r="F1937" s="14"/>
      <c r="G1937" s="14"/>
      <c r="H1937" s="15"/>
      <c r="I1937" s="15"/>
      <c r="J1937" s="3"/>
      <c r="K1937" s="3"/>
      <c r="L1937" s="3"/>
      <c r="M1937" s="3"/>
      <c r="N1937" s="3"/>
      <c r="O1937" s="3"/>
      <c r="P1937" s="3"/>
      <c r="Q1937" s="3"/>
      <c r="R1937" s="3"/>
      <c r="S1937" s="3"/>
      <c r="T1937" s="3"/>
      <c r="U1937" s="3"/>
      <c r="V1937" s="3"/>
      <c r="W1937" s="3"/>
      <c r="X1937" s="3"/>
      <c r="Y1937" s="3"/>
      <c r="Z1937" s="3"/>
      <c r="AA1937" s="3"/>
    </row>
    <row r="1938" ht="105.75" customHeight="1">
      <c r="A1938" s="11"/>
      <c r="B1938" s="12"/>
      <c r="C1938" s="11"/>
      <c r="D1938" s="13"/>
      <c r="E1938" s="14"/>
      <c r="F1938" s="14"/>
      <c r="G1938" s="14"/>
      <c r="H1938" s="15"/>
      <c r="I1938" s="15"/>
      <c r="J1938" s="3"/>
      <c r="K1938" s="3"/>
      <c r="L1938" s="3"/>
      <c r="M1938" s="3"/>
      <c r="N1938" s="3"/>
      <c r="O1938" s="3"/>
      <c r="P1938" s="3"/>
      <c r="Q1938" s="3"/>
      <c r="R1938" s="3"/>
      <c r="S1938" s="3"/>
      <c r="T1938" s="3"/>
      <c r="U1938" s="3"/>
      <c r="V1938" s="3"/>
      <c r="W1938" s="3"/>
      <c r="X1938" s="3"/>
      <c r="Y1938" s="3"/>
      <c r="Z1938" s="3"/>
      <c r="AA1938" s="3"/>
    </row>
    <row r="1939" ht="105.75" customHeight="1">
      <c r="A1939" s="11"/>
      <c r="B1939" s="12"/>
      <c r="C1939" s="11"/>
      <c r="D1939" s="13"/>
      <c r="E1939" s="14"/>
      <c r="F1939" s="14"/>
      <c r="G1939" s="14"/>
      <c r="H1939" s="15"/>
      <c r="I1939" s="15"/>
      <c r="J1939" s="3"/>
      <c r="K1939" s="3"/>
      <c r="L1939" s="3"/>
      <c r="M1939" s="3"/>
      <c r="N1939" s="3"/>
      <c r="O1939" s="3"/>
      <c r="P1939" s="3"/>
      <c r="Q1939" s="3"/>
      <c r="R1939" s="3"/>
      <c r="S1939" s="3"/>
      <c r="T1939" s="3"/>
      <c r="U1939" s="3"/>
      <c r="V1939" s="3"/>
      <c r="W1939" s="3"/>
      <c r="X1939" s="3"/>
      <c r="Y1939" s="3"/>
      <c r="Z1939" s="3"/>
      <c r="AA1939" s="3"/>
    </row>
    <row r="1940" ht="105.75" customHeight="1">
      <c r="A1940" s="11"/>
      <c r="B1940" s="12"/>
      <c r="C1940" s="11"/>
      <c r="D1940" s="13"/>
      <c r="E1940" s="14"/>
      <c r="F1940" s="14"/>
      <c r="G1940" s="14"/>
      <c r="H1940" s="15"/>
      <c r="I1940" s="15"/>
      <c r="J1940" s="3"/>
      <c r="K1940" s="3"/>
      <c r="L1940" s="3"/>
      <c r="M1940" s="3"/>
      <c r="N1940" s="3"/>
      <c r="O1940" s="3"/>
      <c r="P1940" s="3"/>
      <c r="Q1940" s="3"/>
      <c r="R1940" s="3"/>
      <c r="S1940" s="3"/>
      <c r="T1940" s="3"/>
      <c r="U1940" s="3"/>
      <c r="V1940" s="3"/>
      <c r="W1940" s="3"/>
      <c r="X1940" s="3"/>
      <c r="Y1940" s="3"/>
      <c r="Z1940" s="3"/>
      <c r="AA1940" s="3"/>
    </row>
    <row r="1941" ht="105.75" customHeight="1">
      <c r="A1941" s="11"/>
      <c r="B1941" s="12"/>
      <c r="C1941" s="11"/>
      <c r="D1941" s="13"/>
      <c r="E1941" s="14"/>
      <c r="F1941" s="14"/>
      <c r="G1941" s="14"/>
      <c r="H1941" s="15"/>
      <c r="I1941" s="15"/>
      <c r="J1941" s="3"/>
      <c r="K1941" s="3"/>
      <c r="L1941" s="3"/>
      <c r="M1941" s="3"/>
      <c r="N1941" s="3"/>
      <c r="O1941" s="3"/>
      <c r="P1941" s="3"/>
      <c r="Q1941" s="3"/>
      <c r="R1941" s="3"/>
      <c r="S1941" s="3"/>
      <c r="T1941" s="3"/>
      <c r="U1941" s="3"/>
      <c r="V1941" s="3"/>
      <c r="W1941" s="3"/>
      <c r="X1941" s="3"/>
      <c r="Y1941" s="3"/>
      <c r="Z1941" s="3"/>
      <c r="AA1941" s="3"/>
    </row>
    <row r="1942" ht="105.75" customHeight="1">
      <c r="A1942" s="11"/>
      <c r="B1942" s="12"/>
      <c r="C1942" s="11"/>
      <c r="D1942" s="13"/>
      <c r="E1942" s="14"/>
      <c r="F1942" s="14"/>
      <c r="G1942" s="14"/>
      <c r="H1942" s="15"/>
      <c r="I1942" s="15"/>
      <c r="J1942" s="3"/>
      <c r="K1942" s="3"/>
      <c r="L1942" s="3"/>
      <c r="M1942" s="3"/>
      <c r="N1942" s="3"/>
      <c r="O1942" s="3"/>
      <c r="P1942" s="3"/>
      <c r="Q1942" s="3"/>
      <c r="R1942" s="3"/>
      <c r="S1942" s="3"/>
      <c r="T1942" s="3"/>
      <c r="U1942" s="3"/>
      <c r="V1942" s="3"/>
      <c r="W1942" s="3"/>
      <c r="X1942" s="3"/>
      <c r="Y1942" s="3"/>
      <c r="Z1942" s="3"/>
      <c r="AA1942" s="3"/>
    </row>
    <row r="1943" ht="105.75" customHeight="1">
      <c r="A1943" s="11"/>
      <c r="B1943" s="12"/>
      <c r="C1943" s="11"/>
      <c r="D1943" s="13"/>
      <c r="E1943" s="14"/>
      <c r="F1943" s="14"/>
      <c r="G1943" s="14"/>
      <c r="H1943" s="15"/>
      <c r="I1943" s="15"/>
      <c r="J1943" s="3"/>
      <c r="K1943" s="3"/>
      <c r="L1943" s="3"/>
      <c r="M1943" s="3"/>
      <c r="N1943" s="3"/>
      <c r="O1943" s="3"/>
      <c r="P1943" s="3"/>
      <c r="Q1943" s="3"/>
      <c r="R1943" s="3"/>
      <c r="S1943" s="3"/>
      <c r="T1943" s="3"/>
      <c r="U1943" s="3"/>
      <c r="V1943" s="3"/>
      <c r="W1943" s="3"/>
      <c r="X1943" s="3"/>
      <c r="Y1943" s="3"/>
      <c r="Z1943" s="3"/>
      <c r="AA1943" s="3"/>
    </row>
    <row r="1944" ht="105.75" customHeight="1">
      <c r="A1944" s="11"/>
      <c r="B1944" s="12"/>
      <c r="C1944" s="11"/>
      <c r="D1944" s="13"/>
      <c r="E1944" s="14"/>
      <c r="F1944" s="14"/>
      <c r="G1944" s="14"/>
      <c r="H1944" s="15"/>
      <c r="I1944" s="15"/>
      <c r="J1944" s="3"/>
      <c r="K1944" s="3"/>
      <c r="L1944" s="3"/>
      <c r="M1944" s="3"/>
      <c r="N1944" s="3"/>
      <c r="O1944" s="3"/>
      <c r="P1944" s="3"/>
      <c r="Q1944" s="3"/>
      <c r="R1944" s="3"/>
      <c r="S1944" s="3"/>
      <c r="T1944" s="3"/>
      <c r="U1944" s="3"/>
      <c r="V1944" s="3"/>
      <c r="W1944" s="3"/>
      <c r="X1944" s="3"/>
      <c r="Y1944" s="3"/>
      <c r="Z1944" s="3"/>
      <c r="AA1944" s="3"/>
    </row>
    <row r="1945" ht="105.75" customHeight="1">
      <c r="A1945" s="11"/>
      <c r="B1945" s="12"/>
      <c r="C1945" s="11"/>
      <c r="D1945" s="13"/>
      <c r="E1945" s="16"/>
      <c r="F1945" s="16"/>
      <c r="G1945" s="16"/>
      <c r="H1945" s="15"/>
      <c r="I1945" s="15"/>
      <c r="J1945" s="3"/>
      <c r="K1945" s="3"/>
      <c r="L1945" s="3"/>
      <c r="M1945" s="3"/>
      <c r="N1945" s="3"/>
      <c r="O1945" s="3"/>
      <c r="P1945" s="3"/>
      <c r="Q1945" s="3"/>
      <c r="R1945" s="3"/>
      <c r="S1945" s="3"/>
      <c r="T1945" s="3"/>
      <c r="U1945" s="3"/>
      <c r="V1945" s="3"/>
      <c r="W1945" s="3"/>
      <c r="X1945" s="3"/>
      <c r="Y1945" s="3"/>
      <c r="Z1945" s="3"/>
      <c r="AA1945" s="3"/>
    </row>
    <row r="1946" ht="105.75" customHeight="1">
      <c r="A1946" s="11"/>
      <c r="B1946" s="12"/>
      <c r="C1946" s="11"/>
      <c r="D1946" s="13"/>
      <c r="E1946" s="14"/>
      <c r="F1946" s="14"/>
      <c r="G1946" s="14"/>
      <c r="H1946" s="15"/>
      <c r="I1946" s="15"/>
      <c r="J1946" s="3"/>
      <c r="K1946" s="3"/>
      <c r="L1946" s="3"/>
      <c r="M1946" s="3"/>
      <c r="N1946" s="3"/>
      <c r="O1946" s="3"/>
      <c r="P1946" s="3"/>
      <c r="Q1946" s="3"/>
      <c r="R1946" s="3"/>
      <c r="S1946" s="3"/>
      <c r="T1946" s="3"/>
      <c r="U1946" s="3"/>
      <c r="V1946" s="3"/>
      <c r="W1946" s="3"/>
      <c r="X1946" s="3"/>
      <c r="Y1946" s="3"/>
      <c r="Z1946" s="3"/>
      <c r="AA1946" s="3"/>
    </row>
    <row r="1947" ht="105.75" customHeight="1">
      <c r="A1947" s="11"/>
      <c r="B1947" s="12"/>
      <c r="C1947" s="11"/>
      <c r="D1947" s="13"/>
      <c r="E1947" s="14"/>
      <c r="F1947" s="14"/>
      <c r="G1947" s="14"/>
      <c r="H1947" s="15"/>
      <c r="I1947" s="15"/>
      <c r="J1947" s="3"/>
      <c r="K1947" s="3"/>
      <c r="L1947" s="3"/>
      <c r="M1947" s="3"/>
      <c r="N1947" s="3"/>
      <c r="O1947" s="3"/>
      <c r="P1947" s="3"/>
      <c r="Q1947" s="3"/>
      <c r="R1947" s="3"/>
      <c r="S1947" s="3"/>
      <c r="T1947" s="3"/>
      <c r="U1947" s="3"/>
      <c r="V1947" s="3"/>
      <c r="W1947" s="3"/>
      <c r="X1947" s="3"/>
      <c r="Y1947" s="3"/>
      <c r="Z1947" s="3"/>
      <c r="AA1947" s="3"/>
    </row>
    <row r="1948" ht="105.75" customHeight="1">
      <c r="A1948" s="11"/>
      <c r="B1948" s="12"/>
      <c r="C1948" s="11"/>
      <c r="D1948" s="13"/>
      <c r="E1948" s="14"/>
      <c r="F1948" s="14"/>
      <c r="G1948" s="14"/>
      <c r="H1948" s="15"/>
      <c r="I1948" s="15"/>
      <c r="J1948" s="3"/>
      <c r="K1948" s="3"/>
      <c r="L1948" s="3"/>
      <c r="M1948" s="3"/>
      <c r="N1948" s="3"/>
      <c r="O1948" s="3"/>
      <c r="P1948" s="3"/>
      <c r="Q1948" s="3"/>
      <c r="R1948" s="3"/>
      <c r="S1948" s="3"/>
      <c r="T1948" s="3"/>
      <c r="U1948" s="3"/>
      <c r="V1948" s="3"/>
      <c r="W1948" s="3"/>
      <c r="X1948" s="3"/>
      <c r="Y1948" s="3"/>
      <c r="Z1948" s="3"/>
      <c r="AA1948" s="3"/>
    </row>
    <row r="1949" ht="105.75" customHeight="1">
      <c r="A1949" s="11"/>
      <c r="B1949" s="12"/>
      <c r="C1949" s="11"/>
      <c r="D1949" s="13"/>
      <c r="E1949" s="16"/>
      <c r="F1949" s="16"/>
      <c r="G1949" s="16"/>
      <c r="H1949" s="15"/>
      <c r="I1949" s="15"/>
      <c r="J1949" s="3"/>
      <c r="K1949" s="3"/>
      <c r="L1949" s="3"/>
      <c r="M1949" s="3"/>
      <c r="N1949" s="3"/>
      <c r="O1949" s="3"/>
      <c r="P1949" s="3"/>
      <c r="Q1949" s="3"/>
      <c r="R1949" s="3"/>
      <c r="S1949" s="3"/>
      <c r="T1949" s="3"/>
      <c r="U1949" s="3"/>
      <c r="V1949" s="3"/>
      <c r="W1949" s="3"/>
      <c r="X1949" s="3"/>
      <c r="Y1949" s="3"/>
      <c r="Z1949" s="3"/>
      <c r="AA1949" s="3"/>
    </row>
    <row r="1950" ht="105.75" customHeight="1">
      <c r="A1950" s="11"/>
      <c r="B1950" s="12"/>
      <c r="C1950" s="11"/>
      <c r="D1950" s="13"/>
      <c r="E1950" s="14"/>
      <c r="F1950" s="14"/>
      <c r="G1950" s="14"/>
      <c r="H1950" s="15"/>
      <c r="I1950" s="15"/>
      <c r="J1950" s="3"/>
      <c r="K1950" s="3"/>
      <c r="L1950" s="3"/>
      <c r="M1950" s="3"/>
      <c r="N1950" s="3"/>
      <c r="O1950" s="3"/>
      <c r="P1950" s="3"/>
      <c r="Q1950" s="3"/>
      <c r="R1950" s="3"/>
      <c r="S1950" s="3"/>
      <c r="T1950" s="3"/>
      <c r="U1950" s="3"/>
      <c r="V1950" s="3"/>
      <c r="W1950" s="3"/>
      <c r="X1950" s="3"/>
      <c r="Y1950" s="3"/>
      <c r="Z1950" s="3"/>
      <c r="AA1950" s="3"/>
    </row>
    <row r="1951" ht="105.75" customHeight="1">
      <c r="A1951" s="11"/>
      <c r="B1951" s="12"/>
      <c r="C1951" s="11"/>
      <c r="D1951" s="13"/>
      <c r="E1951" s="14"/>
      <c r="F1951" s="14"/>
      <c r="G1951" s="14"/>
      <c r="H1951" s="15"/>
      <c r="I1951" s="15"/>
      <c r="J1951" s="3"/>
      <c r="K1951" s="3"/>
      <c r="L1951" s="3"/>
      <c r="M1951" s="3"/>
      <c r="N1951" s="3"/>
      <c r="O1951" s="3"/>
      <c r="P1951" s="3"/>
      <c r="Q1951" s="3"/>
      <c r="R1951" s="3"/>
      <c r="S1951" s="3"/>
      <c r="T1951" s="3"/>
      <c r="U1951" s="3"/>
      <c r="V1951" s="3"/>
      <c r="W1951" s="3"/>
      <c r="X1951" s="3"/>
      <c r="Y1951" s="3"/>
      <c r="Z1951" s="3"/>
      <c r="AA1951" s="3"/>
    </row>
    <row r="1952" ht="105.75" customHeight="1">
      <c r="A1952" s="11"/>
      <c r="B1952" s="12"/>
      <c r="C1952" s="11"/>
      <c r="D1952" s="13"/>
      <c r="E1952" s="14"/>
      <c r="F1952" s="14"/>
      <c r="G1952" s="14"/>
      <c r="H1952" s="15"/>
      <c r="I1952" s="15"/>
      <c r="J1952" s="3"/>
      <c r="K1952" s="3"/>
      <c r="L1952" s="3"/>
      <c r="M1952" s="3"/>
      <c r="N1952" s="3"/>
      <c r="O1952" s="3"/>
      <c r="P1952" s="3"/>
      <c r="Q1952" s="3"/>
      <c r="R1952" s="3"/>
      <c r="S1952" s="3"/>
      <c r="T1952" s="3"/>
      <c r="U1952" s="3"/>
      <c r="V1952" s="3"/>
      <c r="W1952" s="3"/>
      <c r="X1952" s="3"/>
      <c r="Y1952" s="3"/>
      <c r="Z1952" s="3"/>
      <c r="AA1952" s="3"/>
    </row>
    <row r="1953" ht="105.75" customHeight="1">
      <c r="A1953" s="11"/>
      <c r="B1953" s="12"/>
      <c r="C1953" s="11"/>
      <c r="D1953" s="13"/>
      <c r="E1953" s="14"/>
      <c r="F1953" s="14"/>
      <c r="G1953" s="14"/>
      <c r="H1953" s="15"/>
      <c r="I1953" s="15"/>
      <c r="J1953" s="3"/>
      <c r="K1953" s="3"/>
      <c r="L1953" s="3"/>
      <c r="M1953" s="3"/>
      <c r="N1953" s="3"/>
      <c r="O1953" s="3"/>
      <c r="P1953" s="3"/>
      <c r="Q1953" s="3"/>
      <c r="R1953" s="3"/>
      <c r="S1953" s="3"/>
      <c r="T1953" s="3"/>
      <c r="U1953" s="3"/>
      <c r="V1953" s="3"/>
      <c r="W1953" s="3"/>
      <c r="X1953" s="3"/>
      <c r="Y1953" s="3"/>
      <c r="Z1953" s="3"/>
      <c r="AA1953" s="3"/>
    </row>
    <row r="1954" ht="105.75" customHeight="1">
      <c r="A1954" s="11"/>
      <c r="B1954" s="12"/>
      <c r="C1954" s="11"/>
      <c r="D1954" s="13"/>
      <c r="E1954" s="14"/>
      <c r="F1954" s="14"/>
      <c r="G1954" s="14"/>
      <c r="H1954" s="15"/>
      <c r="I1954" s="15"/>
      <c r="J1954" s="3"/>
      <c r="K1954" s="3"/>
      <c r="L1954" s="3"/>
      <c r="M1954" s="3"/>
      <c r="N1954" s="3"/>
      <c r="O1954" s="3"/>
      <c r="P1954" s="3"/>
      <c r="Q1954" s="3"/>
      <c r="R1954" s="3"/>
      <c r="S1954" s="3"/>
      <c r="T1954" s="3"/>
      <c r="U1954" s="3"/>
      <c r="V1954" s="3"/>
      <c r="W1954" s="3"/>
      <c r="X1954" s="3"/>
      <c r="Y1954" s="3"/>
      <c r="Z1954" s="3"/>
      <c r="AA1954" s="3"/>
    </row>
    <row r="1955" ht="105.75" customHeight="1">
      <c r="A1955" s="11"/>
      <c r="B1955" s="12"/>
      <c r="C1955" s="11"/>
      <c r="D1955" s="13"/>
      <c r="E1955" s="14"/>
      <c r="F1955" s="14"/>
      <c r="G1955" s="14"/>
      <c r="H1955" s="15"/>
      <c r="I1955" s="15"/>
      <c r="J1955" s="3"/>
      <c r="K1955" s="3"/>
      <c r="L1955" s="3"/>
      <c r="M1955" s="3"/>
      <c r="N1955" s="3"/>
      <c r="O1955" s="3"/>
      <c r="P1955" s="3"/>
      <c r="Q1955" s="3"/>
      <c r="R1955" s="3"/>
      <c r="S1955" s="3"/>
      <c r="T1955" s="3"/>
      <c r="U1955" s="3"/>
      <c r="V1955" s="3"/>
      <c r="W1955" s="3"/>
      <c r="X1955" s="3"/>
      <c r="Y1955" s="3"/>
      <c r="Z1955" s="3"/>
      <c r="AA1955" s="3"/>
    </row>
    <row r="1956" ht="105.75" customHeight="1">
      <c r="A1956" s="11"/>
      <c r="B1956" s="12"/>
      <c r="C1956" s="11"/>
      <c r="D1956" s="13"/>
      <c r="E1956" s="16"/>
      <c r="F1956" s="16"/>
      <c r="G1956" s="16"/>
      <c r="H1956" s="15"/>
      <c r="I1956" s="15"/>
      <c r="J1956" s="3"/>
      <c r="K1956" s="3"/>
      <c r="L1956" s="3"/>
      <c r="M1956" s="3"/>
      <c r="N1956" s="3"/>
      <c r="O1956" s="3"/>
      <c r="P1956" s="3"/>
      <c r="Q1956" s="3"/>
      <c r="R1956" s="3"/>
      <c r="S1956" s="3"/>
      <c r="T1956" s="3"/>
      <c r="U1956" s="3"/>
      <c r="V1956" s="3"/>
      <c r="W1956" s="3"/>
      <c r="X1956" s="3"/>
      <c r="Y1956" s="3"/>
      <c r="Z1956" s="3"/>
      <c r="AA1956" s="3"/>
    </row>
    <row r="1957" ht="105.75" customHeight="1">
      <c r="A1957" s="11"/>
      <c r="B1957" s="12"/>
      <c r="C1957" s="11"/>
      <c r="D1957" s="13"/>
      <c r="E1957" s="14"/>
      <c r="F1957" s="14"/>
      <c r="G1957" s="14"/>
      <c r="H1957" s="15"/>
      <c r="I1957" s="15"/>
      <c r="J1957" s="3"/>
      <c r="K1957" s="3"/>
      <c r="L1957" s="3"/>
      <c r="M1957" s="3"/>
      <c r="N1957" s="3"/>
      <c r="O1957" s="3"/>
      <c r="P1957" s="3"/>
      <c r="Q1957" s="3"/>
      <c r="R1957" s="3"/>
      <c r="S1957" s="3"/>
      <c r="T1957" s="3"/>
      <c r="U1957" s="3"/>
      <c r="V1957" s="3"/>
      <c r="W1957" s="3"/>
      <c r="X1957" s="3"/>
      <c r="Y1957" s="3"/>
      <c r="Z1957" s="3"/>
      <c r="AA1957" s="3"/>
    </row>
    <row r="1958" ht="105.75" customHeight="1">
      <c r="A1958" s="11"/>
      <c r="B1958" s="12"/>
      <c r="C1958" s="11"/>
      <c r="D1958" s="13"/>
      <c r="E1958" s="14"/>
      <c r="F1958" s="14"/>
      <c r="G1958" s="14"/>
      <c r="H1958" s="15"/>
      <c r="I1958" s="15"/>
      <c r="J1958" s="3"/>
      <c r="K1958" s="3"/>
      <c r="L1958" s="3"/>
      <c r="M1958" s="3"/>
      <c r="N1958" s="3"/>
      <c r="O1958" s="3"/>
      <c r="P1958" s="3"/>
      <c r="Q1958" s="3"/>
      <c r="R1958" s="3"/>
      <c r="S1958" s="3"/>
      <c r="T1958" s="3"/>
      <c r="U1958" s="3"/>
      <c r="V1958" s="3"/>
      <c r="W1958" s="3"/>
      <c r="X1958" s="3"/>
      <c r="Y1958" s="3"/>
      <c r="Z1958" s="3"/>
      <c r="AA1958" s="3"/>
    </row>
    <row r="1959" ht="105.75" customHeight="1">
      <c r="A1959" s="11"/>
      <c r="B1959" s="12"/>
      <c r="C1959" s="11"/>
      <c r="D1959" s="13"/>
      <c r="E1959" s="14"/>
      <c r="F1959" s="14"/>
      <c r="G1959" s="14"/>
      <c r="H1959" s="15"/>
      <c r="I1959" s="15"/>
      <c r="J1959" s="3"/>
      <c r="K1959" s="3"/>
      <c r="L1959" s="3"/>
      <c r="M1959" s="3"/>
      <c r="N1959" s="3"/>
      <c r="O1959" s="3"/>
      <c r="P1959" s="3"/>
      <c r="Q1959" s="3"/>
      <c r="R1959" s="3"/>
      <c r="S1959" s="3"/>
      <c r="T1959" s="3"/>
      <c r="U1959" s="3"/>
      <c r="V1959" s="3"/>
      <c r="W1959" s="3"/>
      <c r="X1959" s="3"/>
      <c r="Y1959" s="3"/>
      <c r="Z1959" s="3"/>
      <c r="AA1959" s="3"/>
    </row>
    <row r="1960" ht="105.75" customHeight="1">
      <c r="A1960" s="11"/>
      <c r="B1960" s="12"/>
      <c r="C1960" s="11"/>
      <c r="D1960" s="13"/>
      <c r="E1960" s="14"/>
      <c r="F1960" s="14"/>
      <c r="G1960" s="14"/>
      <c r="H1960" s="15"/>
      <c r="I1960" s="15"/>
      <c r="J1960" s="3"/>
      <c r="K1960" s="3"/>
      <c r="L1960" s="3"/>
      <c r="M1960" s="3"/>
      <c r="N1960" s="3"/>
      <c r="O1960" s="3"/>
      <c r="P1960" s="3"/>
      <c r="Q1960" s="3"/>
      <c r="R1960" s="3"/>
      <c r="S1960" s="3"/>
      <c r="T1960" s="3"/>
      <c r="U1960" s="3"/>
      <c r="V1960" s="3"/>
      <c r="W1960" s="3"/>
      <c r="X1960" s="3"/>
      <c r="Y1960" s="3"/>
      <c r="Z1960" s="3"/>
      <c r="AA1960" s="3"/>
    </row>
    <row r="1961" ht="105.75" customHeight="1">
      <c r="A1961" s="11"/>
      <c r="B1961" s="12"/>
      <c r="C1961" s="11"/>
      <c r="D1961" s="13"/>
      <c r="E1961" s="14"/>
      <c r="F1961" s="14"/>
      <c r="G1961" s="14"/>
      <c r="H1961" s="15"/>
      <c r="I1961" s="15"/>
      <c r="J1961" s="3"/>
      <c r="K1961" s="3"/>
      <c r="L1961" s="3"/>
      <c r="M1961" s="3"/>
      <c r="N1961" s="3"/>
      <c r="O1961" s="3"/>
      <c r="P1961" s="3"/>
      <c r="Q1961" s="3"/>
      <c r="R1961" s="3"/>
      <c r="S1961" s="3"/>
      <c r="T1961" s="3"/>
      <c r="U1961" s="3"/>
      <c r="V1961" s="3"/>
      <c r="W1961" s="3"/>
      <c r="X1961" s="3"/>
      <c r="Y1961" s="3"/>
      <c r="Z1961" s="3"/>
      <c r="AA1961" s="3"/>
    </row>
    <row r="1962" ht="105.75" customHeight="1">
      <c r="A1962" s="11"/>
      <c r="B1962" s="12"/>
      <c r="C1962" s="11"/>
      <c r="D1962" s="13"/>
      <c r="E1962" s="14"/>
      <c r="F1962" s="14"/>
      <c r="G1962" s="14"/>
      <c r="H1962" s="15"/>
      <c r="I1962" s="15"/>
      <c r="J1962" s="3"/>
      <c r="K1962" s="3"/>
      <c r="L1962" s="3"/>
      <c r="M1962" s="3"/>
      <c r="N1962" s="3"/>
      <c r="O1962" s="3"/>
      <c r="P1962" s="3"/>
      <c r="Q1962" s="3"/>
      <c r="R1962" s="3"/>
      <c r="S1962" s="3"/>
      <c r="T1962" s="3"/>
      <c r="U1962" s="3"/>
      <c r="V1962" s="3"/>
      <c r="W1962" s="3"/>
      <c r="X1962" s="3"/>
      <c r="Y1962" s="3"/>
      <c r="Z1962" s="3"/>
      <c r="AA1962" s="3"/>
    </row>
    <row r="1963" ht="105.75" customHeight="1">
      <c r="A1963" s="11"/>
      <c r="B1963" s="12"/>
      <c r="C1963" s="11"/>
      <c r="D1963" s="13"/>
      <c r="E1963" s="14"/>
      <c r="F1963" s="14"/>
      <c r="G1963" s="14"/>
      <c r="H1963" s="15"/>
      <c r="I1963" s="15"/>
      <c r="J1963" s="3"/>
      <c r="K1963" s="3"/>
      <c r="L1963" s="3"/>
      <c r="M1963" s="3"/>
      <c r="N1963" s="3"/>
      <c r="O1963" s="3"/>
      <c r="P1963" s="3"/>
      <c r="Q1963" s="3"/>
      <c r="R1963" s="3"/>
      <c r="S1963" s="3"/>
      <c r="T1963" s="3"/>
      <c r="U1963" s="3"/>
      <c r="V1963" s="3"/>
      <c r="W1963" s="3"/>
      <c r="X1963" s="3"/>
      <c r="Y1963" s="3"/>
      <c r="Z1963" s="3"/>
      <c r="AA1963" s="3"/>
    </row>
    <row r="1964" ht="105.75" customHeight="1">
      <c r="A1964" s="11"/>
      <c r="B1964" s="12"/>
      <c r="C1964" s="11"/>
      <c r="D1964" s="13"/>
      <c r="E1964" s="14"/>
      <c r="F1964" s="14"/>
      <c r="G1964" s="14"/>
      <c r="H1964" s="15"/>
      <c r="I1964" s="15"/>
      <c r="J1964" s="3"/>
      <c r="K1964" s="3"/>
      <c r="L1964" s="3"/>
      <c r="M1964" s="3"/>
      <c r="N1964" s="3"/>
      <c r="O1964" s="3"/>
      <c r="P1964" s="3"/>
      <c r="Q1964" s="3"/>
      <c r="R1964" s="3"/>
      <c r="S1964" s="3"/>
      <c r="T1964" s="3"/>
      <c r="U1964" s="3"/>
      <c r="V1964" s="3"/>
      <c r="W1964" s="3"/>
      <c r="X1964" s="3"/>
      <c r="Y1964" s="3"/>
      <c r="Z1964" s="3"/>
      <c r="AA1964" s="3"/>
    </row>
    <row r="1965" ht="105.75" customHeight="1">
      <c r="A1965" s="11"/>
      <c r="B1965" s="12"/>
      <c r="C1965" s="11"/>
      <c r="D1965" s="13"/>
      <c r="E1965" s="14"/>
      <c r="F1965" s="14"/>
      <c r="G1965" s="14"/>
      <c r="H1965" s="15"/>
      <c r="I1965" s="15"/>
      <c r="J1965" s="3"/>
      <c r="K1965" s="3"/>
      <c r="L1965" s="3"/>
      <c r="M1965" s="3"/>
      <c r="N1965" s="3"/>
      <c r="O1965" s="3"/>
      <c r="P1965" s="3"/>
      <c r="Q1965" s="3"/>
      <c r="R1965" s="3"/>
      <c r="S1965" s="3"/>
      <c r="T1965" s="3"/>
      <c r="U1965" s="3"/>
      <c r="V1965" s="3"/>
      <c r="W1965" s="3"/>
      <c r="X1965" s="3"/>
      <c r="Y1965" s="3"/>
      <c r="Z1965" s="3"/>
      <c r="AA1965" s="3"/>
    </row>
    <row r="1966" ht="105.75" customHeight="1">
      <c r="A1966" s="11"/>
      <c r="B1966" s="12"/>
      <c r="C1966" s="11"/>
      <c r="D1966" s="13"/>
      <c r="E1966" s="14"/>
      <c r="F1966" s="14"/>
      <c r="G1966" s="14"/>
      <c r="H1966" s="15"/>
      <c r="I1966" s="15"/>
      <c r="J1966" s="3"/>
      <c r="K1966" s="3"/>
      <c r="L1966" s="3"/>
      <c r="M1966" s="3"/>
      <c r="N1966" s="3"/>
      <c r="O1966" s="3"/>
      <c r="P1966" s="3"/>
      <c r="Q1966" s="3"/>
      <c r="R1966" s="3"/>
      <c r="S1966" s="3"/>
      <c r="T1966" s="3"/>
      <c r="U1966" s="3"/>
      <c r="V1966" s="3"/>
      <c r="W1966" s="3"/>
      <c r="X1966" s="3"/>
      <c r="Y1966" s="3"/>
      <c r="Z1966" s="3"/>
      <c r="AA1966" s="3"/>
    </row>
    <row r="1967" ht="105.75" customHeight="1">
      <c r="A1967" s="11"/>
      <c r="B1967" s="12"/>
      <c r="C1967" s="11"/>
      <c r="D1967" s="13"/>
      <c r="E1967" s="16"/>
      <c r="F1967" s="16"/>
      <c r="G1967" s="16"/>
      <c r="H1967" s="15"/>
      <c r="I1967" s="15"/>
      <c r="J1967" s="3"/>
      <c r="K1967" s="3"/>
      <c r="L1967" s="3"/>
      <c r="M1967" s="3"/>
      <c r="N1967" s="3"/>
      <c r="O1967" s="3"/>
      <c r="P1967" s="3"/>
      <c r="Q1967" s="3"/>
      <c r="R1967" s="3"/>
      <c r="S1967" s="3"/>
      <c r="T1967" s="3"/>
      <c r="U1967" s="3"/>
      <c r="V1967" s="3"/>
      <c r="W1967" s="3"/>
      <c r="X1967" s="3"/>
      <c r="Y1967" s="3"/>
      <c r="Z1967" s="3"/>
      <c r="AA1967" s="3"/>
    </row>
    <row r="1968" ht="105.75" customHeight="1">
      <c r="A1968" s="11"/>
      <c r="B1968" s="12"/>
      <c r="C1968" s="11"/>
      <c r="D1968" s="13"/>
      <c r="E1968" s="14"/>
      <c r="F1968" s="14"/>
      <c r="G1968" s="14"/>
      <c r="H1968" s="15"/>
      <c r="I1968" s="15"/>
      <c r="J1968" s="3"/>
      <c r="K1968" s="3"/>
      <c r="L1968" s="3"/>
      <c r="M1968" s="3"/>
      <c r="N1968" s="3"/>
      <c r="O1968" s="3"/>
      <c r="P1968" s="3"/>
      <c r="Q1968" s="3"/>
      <c r="R1968" s="3"/>
      <c r="S1968" s="3"/>
      <c r="T1968" s="3"/>
      <c r="U1968" s="3"/>
      <c r="V1968" s="3"/>
      <c r="W1968" s="3"/>
      <c r="X1968" s="3"/>
      <c r="Y1968" s="3"/>
      <c r="Z1968" s="3"/>
      <c r="AA1968" s="3"/>
    </row>
    <row r="1969" ht="105.75" customHeight="1">
      <c r="A1969" s="11"/>
      <c r="B1969" s="12"/>
      <c r="C1969" s="11"/>
      <c r="D1969" s="13"/>
      <c r="E1969" s="14"/>
      <c r="F1969" s="14"/>
      <c r="G1969" s="14"/>
      <c r="H1969" s="15"/>
      <c r="I1969" s="15"/>
      <c r="J1969" s="3"/>
      <c r="K1969" s="3"/>
      <c r="L1969" s="3"/>
      <c r="M1969" s="3"/>
      <c r="N1969" s="3"/>
      <c r="O1969" s="3"/>
      <c r="P1969" s="3"/>
      <c r="Q1969" s="3"/>
      <c r="R1969" s="3"/>
      <c r="S1969" s="3"/>
      <c r="T1969" s="3"/>
      <c r="U1969" s="3"/>
      <c r="V1969" s="3"/>
      <c r="W1969" s="3"/>
      <c r="X1969" s="3"/>
      <c r="Y1969" s="3"/>
      <c r="Z1969" s="3"/>
      <c r="AA1969" s="3"/>
    </row>
    <row r="1970" ht="105.75" customHeight="1">
      <c r="A1970" s="11"/>
      <c r="B1970" s="12"/>
      <c r="C1970" s="11"/>
      <c r="D1970" s="13"/>
      <c r="E1970" s="14"/>
      <c r="F1970" s="14"/>
      <c r="G1970" s="14"/>
      <c r="H1970" s="15"/>
      <c r="I1970" s="15"/>
      <c r="J1970" s="3"/>
      <c r="K1970" s="3"/>
      <c r="L1970" s="3"/>
      <c r="M1970" s="3"/>
      <c r="N1970" s="3"/>
      <c r="O1970" s="3"/>
      <c r="P1970" s="3"/>
      <c r="Q1970" s="3"/>
      <c r="R1970" s="3"/>
      <c r="S1970" s="3"/>
      <c r="T1970" s="3"/>
      <c r="U1970" s="3"/>
      <c r="V1970" s="3"/>
      <c r="W1970" s="3"/>
      <c r="X1970" s="3"/>
      <c r="Y1970" s="3"/>
      <c r="Z1970" s="3"/>
      <c r="AA1970" s="3"/>
    </row>
    <row r="1971" ht="105.75" customHeight="1">
      <c r="A1971" s="11"/>
      <c r="B1971" s="12"/>
      <c r="C1971" s="11"/>
      <c r="D1971" s="13"/>
      <c r="E1971" s="14"/>
      <c r="F1971" s="14"/>
      <c r="G1971" s="14"/>
      <c r="H1971" s="15"/>
      <c r="I1971" s="15"/>
      <c r="J1971" s="3"/>
      <c r="K1971" s="3"/>
      <c r="L1971" s="3"/>
      <c r="M1971" s="3"/>
      <c r="N1971" s="3"/>
      <c r="O1971" s="3"/>
      <c r="P1971" s="3"/>
      <c r="Q1971" s="3"/>
      <c r="R1971" s="3"/>
      <c r="S1971" s="3"/>
      <c r="T1971" s="3"/>
      <c r="U1971" s="3"/>
      <c r="V1971" s="3"/>
      <c r="W1971" s="3"/>
      <c r="X1971" s="3"/>
      <c r="Y1971" s="3"/>
      <c r="Z1971" s="3"/>
      <c r="AA1971" s="3"/>
    </row>
    <row r="1972" ht="105.75" customHeight="1">
      <c r="A1972" s="11"/>
      <c r="B1972" s="12"/>
      <c r="C1972" s="11"/>
      <c r="D1972" s="13"/>
      <c r="E1972" s="14"/>
      <c r="F1972" s="14"/>
      <c r="G1972" s="14"/>
      <c r="H1972" s="15"/>
      <c r="I1972" s="15"/>
      <c r="J1972" s="3"/>
      <c r="K1972" s="3"/>
      <c r="L1972" s="3"/>
      <c r="M1972" s="3"/>
      <c r="N1972" s="3"/>
      <c r="O1972" s="3"/>
      <c r="P1972" s="3"/>
      <c r="Q1972" s="3"/>
      <c r="R1972" s="3"/>
      <c r="S1972" s="3"/>
      <c r="T1972" s="3"/>
      <c r="U1972" s="3"/>
      <c r="V1972" s="3"/>
      <c r="W1972" s="3"/>
      <c r="X1972" s="3"/>
      <c r="Y1972" s="3"/>
      <c r="Z1972" s="3"/>
      <c r="AA1972" s="3"/>
    </row>
    <row r="1973" ht="105.75" customHeight="1">
      <c r="A1973" s="11"/>
      <c r="B1973" s="12"/>
      <c r="C1973" s="11"/>
      <c r="D1973" s="13"/>
      <c r="E1973" s="14"/>
      <c r="F1973" s="14"/>
      <c r="G1973" s="14"/>
      <c r="H1973" s="15"/>
      <c r="I1973" s="15"/>
      <c r="J1973" s="3"/>
      <c r="K1973" s="3"/>
      <c r="L1973" s="3"/>
      <c r="M1973" s="3"/>
      <c r="N1973" s="3"/>
      <c r="O1973" s="3"/>
      <c r="P1973" s="3"/>
      <c r="Q1973" s="3"/>
      <c r="R1973" s="3"/>
      <c r="S1973" s="3"/>
      <c r="T1973" s="3"/>
      <c r="U1973" s="3"/>
      <c r="V1973" s="3"/>
      <c r="W1973" s="3"/>
      <c r="X1973" s="3"/>
      <c r="Y1973" s="3"/>
      <c r="Z1973" s="3"/>
      <c r="AA1973" s="3"/>
    </row>
    <row r="1974" ht="105.75" customHeight="1">
      <c r="A1974" s="11"/>
      <c r="B1974" s="12"/>
      <c r="C1974" s="11"/>
      <c r="D1974" s="13"/>
      <c r="E1974" s="14"/>
      <c r="F1974" s="14"/>
      <c r="G1974" s="14"/>
      <c r="H1974" s="15"/>
      <c r="I1974" s="15"/>
      <c r="J1974" s="3"/>
      <c r="K1974" s="3"/>
      <c r="L1974" s="3"/>
      <c r="M1974" s="3"/>
      <c r="N1974" s="3"/>
      <c r="O1974" s="3"/>
      <c r="P1974" s="3"/>
      <c r="Q1974" s="3"/>
      <c r="R1974" s="3"/>
      <c r="S1974" s="3"/>
      <c r="T1974" s="3"/>
      <c r="U1974" s="3"/>
      <c r="V1974" s="3"/>
      <c r="W1974" s="3"/>
      <c r="X1974" s="3"/>
      <c r="Y1974" s="3"/>
      <c r="Z1974" s="3"/>
      <c r="AA1974" s="3"/>
    </row>
    <row r="1975" ht="105.75" customHeight="1">
      <c r="A1975" s="11"/>
      <c r="B1975" s="12"/>
      <c r="C1975" s="11"/>
      <c r="D1975" s="13"/>
      <c r="E1975" s="14"/>
      <c r="F1975" s="14"/>
      <c r="G1975" s="14"/>
      <c r="H1975" s="15"/>
      <c r="I1975" s="15"/>
      <c r="J1975" s="3"/>
      <c r="K1975" s="3"/>
      <c r="L1975" s="3"/>
      <c r="M1975" s="3"/>
      <c r="N1975" s="3"/>
      <c r="O1975" s="3"/>
      <c r="P1975" s="3"/>
      <c r="Q1975" s="3"/>
      <c r="R1975" s="3"/>
      <c r="S1975" s="3"/>
      <c r="T1975" s="3"/>
      <c r="U1975" s="3"/>
      <c r="V1975" s="3"/>
      <c r="W1975" s="3"/>
      <c r="X1975" s="3"/>
      <c r="Y1975" s="3"/>
      <c r="Z1975" s="3"/>
      <c r="AA1975" s="3"/>
    </row>
    <row r="1976" ht="105.75" customHeight="1">
      <c r="A1976" s="11"/>
      <c r="B1976" s="12"/>
      <c r="C1976" s="11"/>
      <c r="D1976" s="13"/>
      <c r="E1976" s="14"/>
      <c r="F1976" s="14"/>
      <c r="G1976" s="14"/>
      <c r="H1976" s="15"/>
      <c r="I1976" s="15"/>
      <c r="J1976" s="3"/>
      <c r="K1976" s="3"/>
      <c r="L1976" s="3"/>
      <c r="M1976" s="3"/>
      <c r="N1976" s="3"/>
      <c r="O1976" s="3"/>
      <c r="P1976" s="3"/>
      <c r="Q1976" s="3"/>
      <c r="R1976" s="3"/>
      <c r="S1976" s="3"/>
      <c r="T1976" s="3"/>
      <c r="U1976" s="3"/>
      <c r="V1976" s="3"/>
      <c r="W1976" s="3"/>
      <c r="X1976" s="3"/>
      <c r="Y1976" s="3"/>
      <c r="Z1976" s="3"/>
      <c r="AA1976" s="3"/>
    </row>
    <row r="1977" ht="105.75" customHeight="1">
      <c r="A1977" s="11"/>
      <c r="B1977" s="12"/>
      <c r="C1977" s="11"/>
      <c r="D1977" s="13"/>
      <c r="E1977" s="14"/>
      <c r="F1977" s="14"/>
      <c r="G1977" s="14"/>
      <c r="H1977" s="15"/>
      <c r="I1977" s="15"/>
      <c r="J1977" s="3"/>
      <c r="K1977" s="3"/>
      <c r="L1977" s="3"/>
      <c r="M1977" s="3"/>
      <c r="N1977" s="3"/>
      <c r="O1977" s="3"/>
      <c r="P1977" s="3"/>
      <c r="Q1977" s="3"/>
      <c r="R1977" s="3"/>
      <c r="S1977" s="3"/>
      <c r="T1977" s="3"/>
      <c r="U1977" s="3"/>
      <c r="V1977" s="3"/>
      <c r="W1977" s="3"/>
      <c r="X1977" s="3"/>
      <c r="Y1977" s="3"/>
      <c r="Z1977" s="3"/>
      <c r="AA1977" s="3"/>
    </row>
    <row r="1978" ht="105.75" customHeight="1">
      <c r="A1978" s="11"/>
      <c r="B1978" s="12"/>
      <c r="C1978" s="11"/>
      <c r="D1978" s="13"/>
      <c r="E1978" s="14"/>
      <c r="F1978" s="14"/>
      <c r="G1978" s="14"/>
      <c r="H1978" s="15"/>
      <c r="I1978" s="15"/>
      <c r="J1978" s="3"/>
      <c r="K1978" s="3"/>
      <c r="L1978" s="3"/>
      <c r="M1978" s="3"/>
      <c r="N1978" s="3"/>
      <c r="O1978" s="3"/>
      <c r="P1978" s="3"/>
      <c r="Q1978" s="3"/>
      <c r="R1978" s="3"/>
      <c r="S1978" s="3"/>
      <c r="T1978" s="3"/>
      <c r="U1978" s="3"/>
      <c r="V1978" s="3"/>
      <c r="W1978" s="3"/>
      <c r="X1978" s="3"/>
      <c r="Y1978" s="3"/>
      <c r="Z1978" s="3"/>
      <c r="AA1978" s="3"/>
    </row>
    <row r="1979" ht="105.75" customHeight="1">
      <c r="A1979" s="11"/>
      <c r="B1979" s="12"/>
      <c r="C1979" s="11"/>
      <c r="D1979" s="13"/>
      <c r="E1979" s="14"/>
      <c r="F1979" s="14"/>
      <c r="G1979" s="14"/>
      <c r="H1979" s="15"/>
      <c r="I1979" s="15"/>
      <c r="J1979" s="3"/>
      <c r="K1979" s="3"/>
      <c r="L1979" s="3"/>
      <c r="M1979" s="3"/>
      <c r="N1979" s="3"/>
      <c r="O1979" s="3"/>
      <c r="P1979" s="3"/>
      <c r="Q1979" s="3"/>
      <c r="R1979" s="3"/>
      <c r="S1979" s="3"/>
      <c r="T1979" s="3"/>
      <c r="U1979" s="3"/>
      <c r="V1979" s="3"/>
      <c r="W1979" s="3"/>
      <c r="X1979" s="3"/>
      <c r="Y1979" s="3"/>
      <c r="Z1979" s="3"/>
      <c r="AA1979" s="3"/>
    </row>
    <row r="1980" ht="105.75" customHeight="1">
      <c r="A1980" s="11"/>
      <c r="B1980" s="12"/>
      <c r="C1980" s="11"/>
      <c r="D1980" s="13"/>
      <c r="E1980" s="14"/>
      <c r="F1980" s="14"/>
      <c r="G1980" s="14"/>
      <c r="H1980" s="15"/>
      <c r="I1980" s="15"/>
      <c r="J1980" s="3"/>
      <c r="K1980" s="3"/>
      <c r="L1980" s="3"/>
      <c r="M1980" s="3"/>
      <c r="N1980" s="3"/>
      <c r="O1980" s="3"/>
      <c r="P1980" s="3"/>
      <c r="Q1980" s="3"/>
      <c r="R1980" s="3"/>
      <c r="S1980" s="3"/>
      <c r="T1980" s="3"/>
      <c r="U1980" s="3"/>
      <c r="V1980" s="3"/>
      <c r="W1980" s="3"/>
      <c r="X1980" s="3"/>
      <c r="Y1980" s="3"/>
      <c r="Z1980" s="3"/>
      <c r="AA1980" s="3"/>
    </row>
    <row r="1981" ht="105.75" customHeight="1">
      <c r="A1981" s="11"/>
      <c r="B1981" s="12"/>
      <c r="C1981" s="11"/>
      <c r="D1981" s="13"/>
      <c r="E1981" s="16"/>
      <c r="F1981" s="16"/>
      <c r="G1981" s="16"/>
      <c r="H1981" s="15"/>
      <c r="I1981" s="15"/>
      <c r="J1981" s="3"/>
      <c r="K1981" s="3"/>
      <c r="L1981" s="3"/>
      <c r="M1981" s="3"/>
      <c r="N1981" s="3"/>
      <c r="O1981" s="3"/>
      <c r="P1981" s="3"/>
      <c r="Q1981" s="3"/>
      <c r="R1981" s="3"/>
      <c r="S1981" s="3"/>
      <c r="T1981" s="3"/>
      <c r="U1981" s="3"/>
      <c r="V1981" s="3"/>
      <c r="W1981" s="3"/>
      <c r="X1981" s="3"/>
      <c r="Y1981" s="3"/>
      <c r="Z1981" s="3"/>
      <c r="AA1981" s="3"/>
    </row>
    <row r="1982" ht="105.75" customHeight="1">
      <c r="A1982" s="11"/>
      <c r="B1982" s="12"/>
      <c r="C1982" s="11"/>
      <c r="D1982" s="13"/>
      <c r="E1982" s="14"/>
      <c r="F1982" s="14"/>
      <c r="G1982" s="14"/>
      <c r="H1982" s="15"/>
      <c r="I1982" s="15"/>
      <c r="J1982" s="3"/>
      <c r="K1982" s="3"/>
      <c r="L1982" s="3"/>
      <c r="M1982" s="3"/>
      <c r="N1982" s="3"/>
      <c r="O1982" s="3"/>
      <c r="P1982" s="3"/>
      <c r="Q1982" s="3"/>
      <c r="R1982" s="3"/>
      <c r="S1982" s="3"/>
      <c r="T1982" s="3"/>
      <c r="U1982" s="3"/>
      <c r="V1982" s="3"/>
      <c r="W1982" s="3"/>
      <c r="X1982" s="3"/>
      <c r="Y1982" s="3"/>
      <c r="Z1982" s="3"/>
      <c r="AA1982" s="3"/>
    </row>
    <row r="1983" ht="105.75" customHeight="1">
      <c r="A1983" s="11"/>
      <c r="B1983" s="12"/>
      <c r="C1983" s="11"/>
      <c r="D1983" s="13"/>
      <c r="E1983" s="14"/>
      <c r="F1983" s="14"/>
      <c r="G1983" s="14"/>
      <c r="H1983" s="15"/>
      <c r="I1983" s="15"/>
      <c r="J1983" s="3"/>
      <c r="K1983" s="3"/>
      <c r="L1983" s="3"/>
      <c r="M1983" s="3"/>
      <c r="N1983" s="3"/>
      <c r="O1983" s="3"/>
      <c r="P1983" s="3"/>
      <c r="Q1983" s="3"/>
      <c r="R1983" s="3"/>
      <c r="S1983" s="3"/>
      <c r="T1983" s="3"/>
      <c r="U1983" s="3"/>
      <c r="V1983" s="3"/>
      <c r="W1983" s="3"/>
      <c r="X1983" s="3"/>
      <c r="Y1983" s="3"/>
      <c r="Z1983" s="3"/>
      <c r="AA1983" s="3"/>
    </row>
    <row r="1984" ht="105.75" customHeight="1">
      <c r="A1984" s="11"/>
      <c r="B1984" s="12"/>
      <c r="C1984" s="11"/>
      <c r="D1984" s="13"/>
      <c r="E1984" s="14"/>
      <c r="F1984" s="14"/>
      <c r="G1984" s="14"/>
      <c r="H1984" s="15"/>
      <c r="I1984" s="15"/>
      <c r="J1984" s="3"/>
      <c r="K1984" s="3"/>
      <c r="L1984" s="3"/>
      <c r="M1984" s="3"/>
      <c r="N1984" s="3"/>
      <c r="O1984" s="3"/>
      <c r="P1984" s="3"/>
      <c r="Q1984" s="3"/>
      <c r="R1984" s="3"/>
      <c r="S1984" s="3"/>
      <c r="T1984" s="3"/>
      <c r="U1984" s="3"/>
      <c r="V1984" s="3"/>
      <c r="W1984" s="3"/>
      <c r="X1984" s="3"/>
      <c r="Y1984" s="3"/>
      <c r="Z1984" s="3"/>
      <c r="AA1984" s="3"/>
    </row>
    <row r="1985" ht="105.75" customHeight="1">
      <c r="A1985" s="11"/>
      <c r="B1985" s="12"/>
      <c r="C1985" s="11"/>
      <c r="D1985" s="13"/>
      <c r="E1985" s="14"/>
      <c r="F1985" s="14"/>
      <c r="G1985" s="14"/>
      <c r="H1985" s="15"/>
      <c r="I1985" s="15"/>
      <c r="J1985" s="3"/>
      <c r="K1985" s="3"/>
      <c r="L1985" s="3"/>
      <c r="M1985" s="3"/>
      <c r="N1985" s="3"/>
      <c r="O1985" s="3"/>
      <c r="P1985" s="3"/>
      <c r="Q1985" s="3"/>
      <c r="R1985" s="3"/>
      <c r="S1985" s="3"/>
      <c r="T1985" s="3"/>
      <c r="U1985" s="3"/>
      <c r="V1985" s="3"/>
      <c r="W1985" s="3"/>
      <c r="X1985" s="3"/>
      <c r="Y1985" s="3"/>
      <c r="Z1985" s="3"/>
      <c r="AA1985" s="3"/>
    </row>
    <row r="1986" ht="105.75" customHeight="1">
      <c r="A1986" s="11"/>
      <c r="B1986" s="12"/>
      <c r="C1986" s="11"/>
      <c r="D1986" s="13"/>
      <c r="E1986" s="14"/>
      <c r="F1986" s="14"/>
      <c r="G1986" s="14"/>
      <c r="H1986" s="15"/>
      <c r="I1986" s="15"/>
      <c r="J1986" s="3"/>
      <c r="K1986" s="3"/>
      <c r="L1986" s="3"/>
      <c r="M1986" s="3"/>
      <c r="N1986" s="3"/>
      <c r="O1986" s="3"/>
      <c r="P1986" s="3"/>
      <c r="Q1986" s="3"/>
      <c r="R1986" s="3"/>
      <c r="S1986" s="3"/>
      <c r="T1986" s="3"/>
      <c r="U1986" s="3"/>
      <c r="V1986" s="3"/>
      <c r="W1986" s="3"/>
      <c r="X1986" s="3"/>
      <c r="Y1986" s="3"/>
      <c r="Z1986" s="3"/>
      <c r="AA1986" s="3"/>
    </row>
    <row r="1987" ht="105.75" customHeight="1">
      <c r="A1987" s="11"/>
      <c r="B1987" s="12"/>
      <c r="C1987" s="11"/>
      <c r="D1987" s="13"/>
      <c r="E1987" s="14"/>
      <c r="F1987" s="14"/>
      <c r="G1987" s="14"/>
      <c r="H1987" s="15"/>
      <c r="I1987" s="15"/>
      <c r="J1987" s="3"/>
      <c r="K1987" s="3"/>
      <c r="L1987" s="3"/>
      <c r="M1987" s="3"/>
      <c r="N1987" s="3"/>
      <c r="O1987" s="3"/>
      <c r="P1987" s="3"/>
      <c r="Q1987" s="3"/>
      <c r="R1987" s="3"/>
      <c r="S1987" s="3"/>
      <c r="T1987" s="3"/>
      <c r="U1987" s="3"/>
      <c r="V1987" s="3"/>
      <c r="W1987" s="3"/>
      <c r="X1987" s="3"/>
      <c r="Y1987" s="3"/>
      <c r="Z1987" s="3"/>
      <c r="AA1987" s="3"/>
    </row>
    <row r="1988" ht="105.75" customHeight="1">
      <c r="A1988" s="11"/>
      <c r="B1988" s="12"/>
      <c r="C1988" s="11"/>
      <c r="D1988" s="13"/>
      <c r="E1988" s="14"/>
      <c r="F1988" s="14"/>
      <c r="G1988" s="14"/>
      <c r="H1988" s="15"/>
      <c r="I1988" s="15"/>
      <c r="J1988" s="3"/>
      <c r="K1988" s="3"/>
      <c r="L1988" s="3"/>
      <c r="M1988" s="3"/>
      <c r="N1988" s="3"/>
      <c r="O1988" s="3"/>
      <c r="P1988" s="3"/>
      <c r="Q1988" s="3"/>
      <c r="R1988" s="3"/>
      <c r="S1988" s="3"/>
      <c r="T1988" s="3"/>
      <c r="U1988" s="3"/>
      <c r="V1988" s="3"/>
      <c r="W1988" s="3"/>
      <c r="X1988" s="3"/>
      <c r="Y1988" s="3"/>
      <c r="Z1988" s="3"/>
      <c r="AA1988" s="3"/>
    </row>
    <row r="1989" ht="105.75" customHeight="1">
      <c r="A1989" s="11"/>
      <c r="B1989" s="12"/>
      <c r="C1989" s="11"/>
      <c r="D1989" s="13"/>
      <c r="E1989" s="14"/>
      <c r="F1989" s="14"/>
      <c r="G1989" s="14"/>
      <c r="H1989" s="15"/>
      <c r="I1989" s="15"/>
      <c r="J1989" s="3"/>
      <c r="K1989" s="3"/>
      <c r="L1989" s="3"/>
      <c r="M1989" s="3"/>
      <c r="N1989" s="3"/>
      <c r="O1989" s="3"/>
      <c r="P1989" s="3"/>
      <c r="Q1989" s="3"/>
      <c r="R1989" s="3"/>
      <c r="S1989" s="3"/>
      <c r="T1989" s="3"/>
      <c r="U1989" s="3"/>
      <c r="V1989" s="3"/>
      <c r="W1989" s="3"/>
      <c r="X1989" s="3"/>
      <c r="Y1989" s="3"/>
      <c r="Z1989" s="3"/>
      <c r="AA1989" s="3"/>
    </row>
    <row r="1990" ht="105.75" customHeight="1">
      <c r="A1990" s="11"/>
      <c r="B1990" s="12"/>
      <c r="C1990" s="11"/>
      <c r="D1990" s="13"/>
      <c r="E1990" s="16"/>
      <c r="F1990" s="16"/>
      <c r="G1990" s="16"/>
      <c r="H1990" s="15"/>
      <c r="I1990" s="15"/>
      <c r="J1990" s="3"/>
      <c r="K1990" s="3"/>
      <c r="L1990" s="3"/>
      <c r="M1990" s="3"/>
      <c r="N1990" s="3"/>
      <c r="O1990" s="3"/>
      <c r="P1990" s="3"/>
      <c r="Q1990" s="3"/>
      <c r="R1990" s="3"/>
      <c r="S1990" s="3"/>
      <c r="T1990" s="3"/>
      <c r="U1990" s="3"/>
      <c r="V1990" s="3"/>
      <c r="W1990" s="3"/>
      <c r="X1990" s="3"/>
      <c r="Y1990" s="3"/>
      <c r="Z1990" s="3"/>
      <c r="AA1990" s="3"/>
    </row>
    <row r="1991" ht="105.75" customHeight="1">
      <c r="A1991" s="11"/>
      <c r="B1991" s="12"/>
      <c r="C1991" s="11"/>
      <c r="D1991" s="13"/>
      <c r="E1991" s="14"/>
      <c r="F1991" s="14"/>
      <c r="G1991" s="14"/>
      <c r="H1991" s="15"/>
      <c r="I1991" s="15"/>
      <c r="J1991" s="3"/>
      <c r="K1991" s="3"/>
      <c r="L1991" s="3"/>
      <c r="M1991" s="3"/>
      <c r="N1991" s="3"/>
      <c r="O1991" s="3"/>
      <c r="P1991" s="3"/>
      <c r="Q1991" s="3"/>
      <c r="R1991" s="3"/>
      <c r="S1991" s="3"/>
      <c r="T1991" s="3"/>
      <c r="U1991" s="3"/>
      <c r="V1991" s="3"/>
      <c r="W1991" s="3"/>
      <c r="X1991" s="3"/>
      <c r="Y1991" s="3"/>
      <c r="Z1991" s="3"/>
      <c r="AA1991" s="3"/>
    </row>
    <row r="1992" ht="105.75" customHeight="1">
      <c r="A1992" s="11"/>
      <c r="B1992" s="12"/>
      <c r="C1992" s="11"/>
      <c r="D1992" s="13"/>
      <c r="E1992" s="14"/>
      <c r="F1992" s="14"/>
      <c r="G1992" s="14"/>
      <c r="H1992" s="15"/>
      <c r="I1992" s="15"/>
      <c r="J1992" s="3"/>
      <c r="K1992" s="3"/>
      <c r="L1992" s="3"/>
      <c r="M1992" s="3"/>
      <c r="N1992" s="3"/>
      <c r="O1992" s="3"/>
      <c r="P1992" s="3"/>
      <c r="Q1992" s="3"/>
      <c r="R1992" s="3"/>
      <c r="S1992" s="3"/>
      <c r="T1992" s="3"/>
      <c r="U1992" s="3"/>
      <c r="V1992" s="3"/>
      <c r="W1992" s="3"/>
      <c r="X1992" s="3"/>
      <c r="Y1992" s="3"/>
      <c r="Z1992" s="3"/>
      <c r="AA1992" s="3"/>
    </row>
    <row r="1993" ht="105.75" customHeight="1">
      <c r="A1993" s="11"/>
      <c r="B1993" s="12"/>
      <c r="C1993" s="11"/>
      <c r="D1993" s="13"/>
      <c r="E1993" s="14"/>
      <c r="F1993" s="14"/>
      <c r="G1993" s="14"/>
      <c r="H1993" s="15"/>
      <c r="I1993" s="15"/>
      <c r="J1993" s="3"/>
      <c r="K1993" s="3"/>
      <c r="L1993" s="3"/>
      <c r="M1993" s="3"/>
      <c r="N1993" s="3"/>
      <c r="O1993" s="3"/>
      <c r="P1993" s="3"/>
      <c r="Q1993" s="3"/>
      <c r="R1993" s="3"/>
      <c r="S1993" s="3"/>
      <c r="T1993" s="3"/>
      <c r="U1993" s="3"/>
      <c r="V1993" s="3"/>
      <c r="W1993" s="3"/>
      <c r="X1993" s="3"/>
      <c r="Y1993" s="3"/>
      <c r="Z1993" s="3"/>
      <c r="AA1993" s="3"/>
    </row>
    <row r="1994" ht="105.75" customHeight="1">
      <c r="A1994" s="11"/>
      <c r="B1994" s="12"/>
      <c r="C1994" s="11"/>
      <c r="D1994" s="13"/>
      <c r="E1994" s="14"/>
      <c r="F1994" s="14"/>
      <c r="G1994" s="14"/>
      <c r="H1994" s="15"/>
      <c r="I1994" s="15"/>
      <c r="J1994" s="3"/>
      <c r="K1994" s="3"/>
      <c r="L1994" s="3"/>
      <c r="M1994" s="3"/>
      <c r="N1994" s="3"/>
      <c r="O1994" s="3"/>
      <c r="P1994" s="3"/>
      <c r="Q1994" s="3"/>
      <c r="R1994" s="3"/>
      <c r="S1994" s="3"/>
      <c r="T1994" s="3"/>
      <c r="U1994" s="3"/>
      <c r="V1994" s="3"/>
      <c r="W1994" s="3"/>
      <c r="X1994" s="3"/>
      <c r="Y1994" s="3"/>
      <c r="Z1994" s="3"/>
      <c r="AA1994" s="3"/>
    </row>
    <row r="1995" ht="105.75" customHeight="1">
      <c r="A1995" s="11"/>
      <c r="B1995" s="12"/>
      <c r="C1995" s="11"/>
      <c r="D1995" s="13"/>
      <c r="E1995" s="14"/>
      <c r="F1995" s="14"/>
      <c r="G1995" s="14"/>
      <c r="H1995" s="15"/>
      <c r="I1995" s="15"/>
      <c r="J1995" s="3"/>
      <c r="K1995" s="3"/>
      <c r="L1995" s="3"/>
      <c r="M1995" s="3"/>
      <c r="N1995" s="3"/>
      <c r="O1995" s="3"/>
      <c r="P1995" s="3"/>
      <c r="Q1995" s="3"/>
      <c r="R1995" s="3"/>
      <c r="S1995" s="3"/>
      <c r="T1995" s="3"/>
      <c r="U1995" s="3"/>
      <c r="V1995" s="3"/>
      <c r="W1995" s="3"/>
      <c r="X1995" s="3"/>
      <c r="Y1995" s="3"/>
      <c r="Z1995" s="3"/>
      <c r="AA1995" s="3"/>
    </row>
    <row r="1996" ht="105.75" customHeight="1">
      <c r="A1996" s="11"/>
      <c r="B1996" s="12"/>
      <c r="C1996" s="11"/>
      <c r="D1996" s="13"/>
      <c r="E1996" s="14"/>
      <c r="F1996" s="14"/>
      <c r="G1996" s="14"/>
      <c r="H1996" s="15"/>
      <c r="I1996" s="15"/>
      <c r="J1996" s="3"/>
      <c r="K1996" s="3"/>
      <c r="L1996" s="3"/>
      <c r="M1996" s="3"/>
      <c r="N1996" s="3"/>
      <c r="O1996" s="3"/>
      <c r="P1996" s="3"/>
      <c r="Q1996" s="3"/>
      <c r="R1996" s="3"/>
      <c r="S1996" s="3"/>
      <c r="T1996" s="3"/>
      <c r="U1996" s="3"/>
      <c r="V1996" s="3"/>
      <c r="W1996" s="3"/>
      <c r="X1996" s="3"/>
      <c r="Y1996" s="3"/>
      <c r="Z1996" s="3"/>
      <c r="AA1996" s="3"/>
    </row>
    <row r="1997" ht="105.75" customHeight="1">
      <c r="A1997" s="11"/>
      <c r="B1997" s="12"/>
      <c r="C1997" s="11"/>
      <c r="D1997" s="13"/>
      <c r="E1997" s="16"/>
      <c r="F1997" s="16"/>
      <c r="G1997" s="16"/>
      <c r="H1997" s="15"/>
      <c r="I1997" s="15"/>
      <c r="J1997" s="3"/>
      <c r="K1997" s="3"/>
      <c r="L1997" s="3"/>
      <c r="M1997" s="3"/>
      <c r="N1997" s="3"/>
      <c r="O1997" s="3"/>
      <c r="P1997" s="3"/>
      <c r="Q1997" s="3"/>
      <c r="R1997" s="3"/>
      <c r="S1997" s="3"/>
      <c r="T1997" s="3"/>
      <c r="U1997" s="3"/>
      <c r="V1997" s="3"/>
      <c r="W1997" s="3"/>
      <c r="X1997" s="3"/>
      <c r="Y1997" s="3"/>
      <c r="Z1997" s="3"/>
      <c r="AA1997" s="3"/>
    </row>
    <row r="1998" ht="105.75" customHeight="1">
      <c r="A1998" s="11"/>
      <c r="B1998" s="12"/>
      <c r="C1998" s="11"/>
      <c r="D1998" s="13"/>
      <c r="E1998" s="14"/>
      <c r="F1998" s="14"/>
      <c r="G1998" s="14"/>
      <c r="H1998" s="15"/>
      <c r="I1998" s="15"/>
      <c r="J1998" s="3"/>
      <c r="K1998" s="3"/>
      <c r="L1998" s="3"/>
      <c r="M1998" s="3"/>
      <c r="N1998" s="3"/>
      <c r="O1998" s="3"/>
      <c r="P1998" s="3"/>
      <c r="Q1998" s="3"/>
      <c r="R1998" s="3"/>
      <c r="S1998" s="3"/>
      <c r="T1998" s="3"/>
      <c r="U1998" s="3"/>
      <c r="V1998" s="3"/>
      <c r="W1998" s="3"/>
      <c r="X1998" s="3"/>
      <c r="Y1998" s="3"/>
      <c r="Z1998" s="3"/>
      <c r="AA1998" s="3"/>
    </row>
    <row r="1999" ht="105.75" customHeight="1">
      <c r="A1999" s="11"/>
      <c r="B1999" s="12"/>
      <c r="C1999" s="11"/>
      <c r="D1999" s="13"/>
      <c r="E1999" s="16"/>
      <c r="F1999" s="16"/>
      <c r="G1999" s="16"/>
      <c r="H1999" s="15"/>
      <c r="I1999" s="15"/>
      <c r="J1999" s="3"/>
      <c r="K1999" s="3"/>
      <c r="L1999" s="3"/>
      <c r="M1999" s="3"/>
      <c r="N1999" s="3"/>
      <c r="O1999" s="3"/>
      <c r="P1999" s="3"/>
      <c r="Q1999" s="3"/>
      <c r="R1999" s="3"/>
      <c r="S1999" s="3"/>
      <c r="T1999" s="3"/>
      <c r="U1999" s="3"/>
      <c r="V1999" s="3"/>
      <c r="W1999" s="3"/>
      <c r="X1999" s="3"/>
      <c r="Y1999" s="3"/>
      <c r="Z1999" s="3"/>
      <c r="AA1999" s="3"/>
    </row>
    <row r="2000" ht="105.75" customHeight="1">
      <c r="A2000" s="11"/>
      <c r="B2000" s="12"/>
      <c r="C2000" s="11"/>
      <c r="D2000" s="13"/>
      <c r="E2000" s="14"/>
      <c r="F2000" s="14"/>
      <c r="G2000" s="14"/>
      <c r="H2000" s="15"/>
      <c r="I2000" s="15"/>
      <c r="J2000" s="3"/>
      <c r="K2000" s="3"/>
      <c r="L2000" s="3"/>
      <c r="M2000" s="3"/>
      <c r="N2000" s="3"/>
      <c r="O2000" s="3"/>
      <c r="P2000" s="3"/>
      <c r="Q2000" s="3"/>
      <c r="R2000" s="3"/>
      <c r="S2000" s="3"/>
      <c r="T2000" s="3"/>
      <c r="U2000" s="3"/>
      <c r="V2000" s="3"/>
      <c r="W2000" s="3"/>
      <c r="X2000" s="3"/>
      <c r="Y2000" s="3"/>
      <c r="Z2000" s="3"/>
      <c r="AA2000" s="3"/>
    </row>
    <row r="2001" ht="105.75" customHeight="1">
      <c r="A2001" s="11"/>
      <c r="B2001" s="12"/>
      <c r="C2001" s="11"/>
      <c r="D2001" s="13"/>
      <c r="E2001" s="16"/>
      <c r="F2001" s="16"/>
      <c r="G2001" s="16"/>
      <c r="H2001" s="15"/>
      <c r="I2001" s="15"/>
      <c r="J2001" s="3"/>
      <c r="K2001" s="3"/>
      <c r="L2001" s="3"/>
      <c r="M2001" s="3"/>
      <c r="N2001" s="3"/>
      <c r="O2001" s="3"/>
      <c r="P2001" s="3"/>
      <c r="Q2001" s="3"/>
      <c r="R2001" s="3"/>
      <c r="S2001" s="3"/>
      <c r="T2001" s="3"/>
      <c r="U2001" s="3"/>
      <c r="V2001" s="3"/>
      <c r="W2001" s="3"/>
      <c r="X2001" s="3"/>
      <c r="Y2001" s="3"/>
      <c r="Z2001" s="3"/>
      <c r="AA2001" s="3"/>
    </row>
    <row r="2002" ht="105.75" customHeight="1">
      <c r="A2002" s="11"/>
      <c r="B2002" s="12"/>
      <c r="C2002" s="11"/>
      <c r="D2002" s="13"/>
      <c r="E2002" s="16"/>
      <c r="F2002" s="16"/>
      <c r="G2002" s="16"/>
      <c r="H2002" s="15"/>
      <c r="I2002" s="15"/>
      <c r="J2002" s="3"/>
      <c r="K2002" s="3"/>
      <c r="L2002" s="3"/>
      <c r="M2002" s="3"/>
      <c r="N2002" s="3"/>
      <c r="O2002" s="3"/>
      <c r="P2002" s="3"/>
      <c r="Q2002" s="3"/>
      <c r="R2002" s="3"/>
      <c r="S2002" s="3"/>
      <c r="T2002" s="3"/>
      <c r="U2002" s="3"/>
      <c r="V2002" s="3"/>
      <c r="W2002" s="3"/>
      <c r="X2002" s="3"/>
      <c r="Y2002" s="3"/>
      <c r="Z2002" s="3"/>
      <c r="AA2002" s="3"/>
    </row>
    <row r="2003" ht="105.75" customHeight="1">
      <c r="A2003" s="11"/>
      <c r="B2003" s="12"/>
      <c r="C2003" s="11"/>
      <c r="D2003" s="13"/>
      <c r="E2003" s="14"/>
      <c r="F2003" s="14"/>
      <c r="G2003" s="14"/>
      <c r="H2003" s="15"/>
      <c r="I2003" s="15"/>
      <c r="J2003" s="3"/>
      <c r="K2003" s="3"/>
      <c r="L2003" s="3"/>
      <c r="M2003" s="3"/>
      <c r="N2003" s="3"/>
      <c r="O2003" s="3"/>
      <c r="P2003" s="3"/>
      <c r="Q2003" s="3"/>
      <c r="R2003" s="3"/>
      <c r="S2003" s="3"/>
      <c r="T2003" s="3"/>
      <c r="U2003" s="3"/>
      <c r="V2003" s="3"/>
      <c r="W2003" s="3"/>
      <c r="X2003" s="3"/>
      <c r="Y2003" s="3"/>
      <c r="Z2003" s="3"/>
      <c r="AA2003" s="3"/>
    </row>
    <row r="2004" ht="105.75" customHeight="1">
      <c r="A2004" s="11"/>
      <c r="B2004" s="12"/>
      <c r="C2004" s="11"/>
      <c r="D2004" s="13"/>
      <c r="E2004" s="14"/>
      <c r="F2004" s="14"/>
      <c r="G2004" s="14"/>
      <c r="H2004" s="15"/>
      <c r="I2004" s="15"/>
      <c r="J2004" s="3"/>
      <c r="K2004" s="3"/>
      <c r="L2004" s="3"/>
      <c r="M2004" s="3"/>
      <c r="N2004" s="3"/>
      <c r="O2004" s="3"/>
      <c r="P2004" s="3"/>
      <c r="Q2004" s="3"/>
      <c r="R2004" s="3"/>
      <c r="S2004" s="3"/>
      <c r="T2004" s="3"/>
      <c r="U2004" s="3"/>
      <c r="V2004" s="3"/>
      <c r="W2004" s="3"/>
      <c r="X2004" s="3"/>
      <c r="Y2004" s="3"/>
      <c r="Z2004" s="3"/>
      <c r="AA2004" s="3"/>
    </row>
    <row r="2005" ht="105.75" customHeight="1">
      <c r="A2005" s="11"/>
      <c r="B2005" s="12"/>
      <c r="C2005" s="11"/>
      <c r="D2005" s="13"/>
      <c r="E2005" s="14"/>
      <c r="F2005" s="14"/>
      <c r="G2005" s="14"/>
      <c r="H2005" s="15"/>
      <c r="I2005" s="15"/>
      <c r="J2005" s="3"/>
      <c r="K2005" s="3"/>
      <c r="L2005" s="3"/>
      <c r="M2005" s="3"/>
      <c r="N2005" s="3"/>
      <c r="O2005" s="3"/>
      <c r="P2005" s="3"/>
      <c r="Q2005" s="3"/>
      <c r="R2005" s="3"/>
      <c r="S2005" s="3"/>
      <c r="T2005" s="3"/>
      <c r="U2005" s="3"/>
      <c r="V2005" s="3"/>
      <c r="W2005" s="3"/>
      <c r="X2005" s="3"/>
      <c r="Y2005" s="3"/>
      <c r="Z2005" s="3"/>
      <c r="AA2005" s="3"/>
    </row>
    <row r="2006" ht="105.75" customHeight="1">
      <c r="A2006" s="11"/>
      <c r="B2006" s="12"/>
      <c r="C2006" s="11"/>
      <c r="D2006" s="13"/>
      <c r="E2006" s="16"/>
      <c r="F2006" s="16"/>
      <c r="G2006" s="16"/>
      <c r="H2006" s="15"/>
      <c r="I2006" s="15"/>
      <c r="J2006" s="3"/>
      <c r="K2006" s="3"/>
      <c r="L2006" s="3"/>
      <c r="M2006" s="3"/>
      <c r="N2006" s="3"/>
      <c r="O2006" s="3"/>
      <c r="P2006" s="3"/>
      <c r="Q2006" s="3"/>
      <c r="R2006" s="3"/>
      <c r="S2006" s="3"/>
      <c r="T2006" s="3"/>
      <c r="U2006" s="3"/>
      <c r="V2006" s="3"/>
      <c r="W2006" s="3"/>
      <c r="X2006" s="3"/>
      <c r="Y2006" s="3"/>
      <c r="Z2006" s="3"/>
      <c r="AA2006" s="3"/>
    </row>
    <row r="2007" ht="105.75" customHeight="1">
      <c r="A2007" s="11"/>
      <c r="B2007" s="12"/>
      <c r="C2007" s="11"/>
      <c r="D2007" s="13"/>
      <c r="E2007" s="14"/>
      <c r="F2007" s="14"/>
      <c r="G2007" s="14"/>
      <c r="H2007" s="15"/>
      <c r="I2007" s="15"/>
      <c r="J2007" s="3"/>
      <c r="K2007" s="3"/>
      <c r="L2007" s="3"/>
      <c r="M2007" s="3"/>
      <c r="N2007" s="3"/>
      <c r="O2007" s="3"/>
      <c r="P2007" s="3"/>
      <c r="Q2007" s="3"/>
      <c r="R2007" s="3"/>
      <c r="S2007" s="3"/>
      <c r="T2007" s="3"/>
      <c r="U2007" s="3"/>
      <c r="V2007" s="3"/>
      <c r="W2007" s="3"/>
      <c r="X2007" s="3"/>
      <c r="Y2007" s="3"/>
      <c r="Z2007" s="3"/>
      <c r="AA2007" s="3"/>
    </row>
    <row r="2008" ht="105.75" customHeight="1">
      <c r="A2008" s="11"/>
      <c r="B2008" s="12"/>
      <c r="C2008" s="11"/>
      <c r="D2008" s="13"/>
      <c r="E2008" s="16"/>
      <c r="F2008" s="16"/>
      <c r="G2008" s="16"/>
      <c r="H2008" s="15"/>
      <c r="I2008" s="15"/>
      <c r="J2008" s="3"/>
      <c r="K2008" s="3"/>
      <c r="L2008" s="3"/>
      <c r="M2008" s="3"/>
      <c r="N2008" s="3"/>
      <c r="O2008" s="3"/>
      <c r="P2008" s="3"/>
      <c r="Q2008" s="3"/>
      <c r="R2008" s="3"/>
      <c r="S2008" s="3"/>
      <c r="T2008" s="3"/>
      <c r="U2008" s="3"/>
      <c r="V2008" s="3"/>
      <c r="W2008" s="3"/>
      <c r="X2008" s="3"/>
      <c r="Y2008" s="3"/>
      <c r="Z2008" s="3"/>
      <c r="AA2008" s="3"/>
    </row>
    <row r="2009" ht="105.75" customHeight="1">
      <c r="A2009" s="11"/>
      <c r="B2009" s="12"/>
      <c r="C2009" s="11"/>
      <c r="D2009" s="13"/>
      <c r="E2009" s="14"/>
      <c r="F2009" s="14"/>
      <c r="G2009" s="14"/>
      <c r="H2009" s="15"/>
      <c r="I2009" s="15"/>
      <c r="J2009" s="3"/>
      <c r="K2009" s="3"/>
      <c r="L2009" s="3"/>
      <c r="M2009" s="3"/>
      <c r="N2009" s="3"/>
      <c r="O2009" s="3"/>
      <c r="P2009" s="3"/>
      <c r="Q2009" s="3"/>
      <c r="R2009" s="3"/>
      <c r="S2009" s="3"/>
      <c r="T2009" s="3"/>
      <c r="U2009" s="3"/>
      <c r="V2009" s="3"/>
      <c r="W2009" s="3"/>
      <c r="X2009" s="3"/>
      <c r="Y2009" s="3"/>
      <c r="Z2009" s="3"/>
      <c r="AA2009" s="3"/>
    </row>
    <row r="2010" ht="105.75" customHeight="1">
      <c r="A2010" s="11"/>
      <c r="B2010" s="12"/>
      <c r="C2010" s="11"/>
      <c r="D2010" s="13"/>
      <c r="E2010" s="14"/>
      <c r="F2010" s="14"/>
      <c r="G2010" s="14"/>
      <c r="H2010" s="15"/>
      <c r="I2010" s="15"/>
      <c r="J2010" s="3"/>
      <c r="K2010" s="3"/>
      <c r="L2010" s="3"/>
      <c r="M2010" s="3"/>
      <c r="N2010" s="3"/>
      <c r="O2010" s="3"/>
      <c r="P2010" s="3"/>
      <c r="Q2010" s="3"/>
      <c r="R2010" s="3"/>
      <c r="S2010" s="3"/>
      <c r="T2010" s="3"/>
      <c r="U2010" s="3"/>
      <c r="V2010" s="3"/>
      <c r="W2010" s="3"/>
      <c r="X2010" s="3"/>
      <c r="Y2010" s="3"/>
      <c r="Z2010" s="3"/>
      <c r="AA2010" s="3"/>
    </row>
    <row r="2011" ht="105.75" customHeight="1">
      <c r="A2011" s="11"/>
      <c r="B2011" s="12"/>
      <c r="C2011" s="11"/>
      <c r="D2011" s="13"/>
      <c r="E2011" s="14"/>
      <c r="F2011" s="14"/>
      <c r="G2011" s="14"/>
      <c r="H2011" s="15"/>
      <c r="I2011" s="15"/>
      <c r="J2011" s="3"/>
      <c r="K2011" s="3"/>
      <c r="L2011" s="3"/>
      <c r="M2011" s="3"/>
      <c r="N2011" s="3"/>
      <c r="O2011" s="3"/>
      <c r="P2011" s="3"/>
      <c r="Q2011" s="3"/>
      <c r="R2011" s="3"/>
      <c r="S2011" s="3"/>
      <c r="T2011" s="3"/>
      <c r="U2011" s="3"/>
      <c r="V2011" s="3"/>
      <c r="W2011" s="3"/>
      <c r="X2011" s="3"/>
      <c r="Y2011" s="3"/>
      <c r="Z2011" s="3"/>
      <c r="AA2011" s="3"/>
    </row>
    <row r="2012" ht="105.75" customHeight="1">
      <c r="A2012" s="11"/>
      <c r="B2012" s="12"/>
      <c r="C2012" s="11"/>
      <c r="D2012" s="13"/>
      <c r="E2012" s="14"/>
      <c r="F2012" s="14"/>
      <c r="G2012" s="14"/>
      <c r="H2012" s="15"/>
      <c r="I2012" s="15"/>
      <c r="J2012" s="3"/>
      <c r="K2012" s="3"/>
      <c r="L2012" s="3"/>
      <c r="M2012" s="3"/>
      <c r="N2012" s="3"/>
      <c r="O2012" s="3"/>
      <c r="P2012" s="3"/>
      <c r="Q2012" s="3"/>
      <c r="R2012" s="3"/>
      <c r="S2012" s="3"/>
      <c r="T2012" s="3"/>
      <c r="U2012" s="3"/>
      <c r="V2012" s="3"/>
      <c r="W2012" s="3"/>
      <c r="X2012" s="3"/>
      <c r="Y2012" s="3"/>
      <c r="Z2012" s="3"/>
      <c r="AA2012" s="3"/>
    </row>
    <row r="2013" ht="105.75" customHeight="1">
      <c r="A2013" s="11"/>
      <c r="B2013" s="12"/>
      <c r="C2013" s="11"/>
      <c r="D2013" s="13"/>
      <c r="E2013" s="14"/>
      <c r="F2013" s="14"/>
      <c r="G2013" s="14"/>
      <c r="H2013" s="15"/>
      <c r="I2013" s="15"/>
      <c r="J2013" s="3"/>
      <c r="K2013" s="3"/>
      <c r="L2013" s="3"/>
      <c r="M2013" s="3"/>
      <c r="N2013" s="3"/>
      <c r="O2013" s="3"/>
      <c r="P2013" s="3"/>
      <c r="Q2013" s="3"/>
      <c r="R2013" s="3"/>
      <c r="S2013" s="3"/>
      <c r="T2013" s="3"/>
      <c r="U2013" s="3"/>
      <c r="V2013" s="3"/>
      <c r="W2013" s="3"/>
      <c r="X2013" s="3"/>
      <c r="Y2013" s="3"/>
      <c r="Z2013" s="3"/>
      <c r="AA2013" s="3"/>
    </row>
    <row r="2014" ht="105.75" customHeight="1">
      <c r="A2014" s="11"/>
      <c r="B2014" s="12"/>
      <c r="C2014" s="11"/>
      <c r="D2014" s="13"/>
      <c r="E2014" s="14"/>
      <c r="F2014" s="14"/>
      <c r="G2014" s="14"/>
      <c r="H2014" s="15"/>
      <c r="I2014" s="15"/>
      <c r="J2014" s="3"/>
      <c r="K2014" s="3"/>
      <c r="L2014" s="3"/>
      <c r="M2014" s="3"/>
      <c r="N2014" s="3"/>
      <c r="O2014" s="3"/>
      <c r="P2014" s="3"/>
      <c r="Q2014" s="3"/>
      <c r="R2014" s="3"/>
      <c r="S2014" s="3"/>
      <c r="T2014" s="3"/>
      <c r="U2014" s="3"/>
      <c r="V2014" s="3"/>
      <c r="W2014" s="3"/>
      <c r="X2014" s="3"/>
      <c r="Y2014" s="3"/>
      <c r="Z2014" s="3"/>
      <c r="AA2014" s="3"/>
    </row>
    <row r="2015" ht="105.75" customHeight="1">
      <c r="A2015" s="11"/>
      <c r="B2015" s="12"/>
      <c r="C2015" s="11"/>
      <c r="D2015" s="13"/>
      <c r="E2015" s="16"/>
      <c r="F2015" s="16"/>
      <c r="G2015" s="16"/>
      <c r="H2015" s="15"/>
      <c r="I2015" s="15"/>
      <c r="J2015" s="3"/>
      <c r="K2015" s="3"/>
      <c r="L2015" s="3"/>
      <c r="M2015" s="3"/>
      <c r="N2015" s="3"/>
      <c r="O2015" s="3"/>
      <c r="P2015" s="3"/>
      <c r="Q2015" s="3"/>
      <c r="R2015" s="3"/>
      <c r="S2015" s="3"/>
      <c r="T2015" s="3"/>
      <c r="U2015" s="3"/>
      <c r="V2015" s="3"/>
      <c r="W2015" s="3"/>
      <c r="X2015" s="3"/>
      <c r="Y2015" s="3"/>
      <c r="Z2015" s="3"/>
      <c r="AA2015" s="3"/>
    </row>
    <row r="2016" ht="105.75" customHeight="1">
      <c r="A2016" s="11"/>
      <c r="B2016" s="12"/>
      <c r="C2016" s="11"/>
      <c r="D2016" s="13"/>
      <c r="E2016" s="16"/>
      <c r="F2016" s="16"/>
      <c r="G2016" s="16"/>
      <c r="H2016" s="15"/>
      <c r="I2016" s="15"/>
      <c r="J2016" s="3"/>
      <c r="K2016" s="3"/>
      <c r="L2016" s="3"/>
      <c r="M2016" s="3"/>
      <c r="N2016" s="3"/>
      <c r="O2016" s="3"/>
      <c r="P2016" s="3"/>
      <c r="Q2016" s="3"/>
      <c r="R2016" s="3"/>
      <c r="S2016" s="3"/>
      <c r="T2016" s="3"/>
      <c r="U2016" s="3"/>
      <c r="V2016" s="3"/>
      <c r="W2016" s="3"/>
      <c r="X2016" s="3"/>
      <c r="Y2016" s="3"/>
      <c r="Z2016" s="3"/>
      <c r="AA2016" s="3"/>
    </row>
    <row r="2017" ht="105.75" customHeight="1">
      <c r="A2017" s="11"/>
      <c r="B2017" s="12"/>
      <c r="C2017" s="11"/>
      <c r="D2017" s="13"/>
      <c r="E2017" s="14"/>
      <c r="F2017" s="14"/>
      <c r="G2017" s="14"/>
      <c r="H2017" s="15"/>
      <c r="I2017" s="15"/>
      <c r="J2017" s="3"/>
      <c r="K2017" s="3"/>
      <c r="L2017" s="3"/>
      <c r="M2017" s="3"/>
      <c r="N2017" s="3"/>
      <c r="O2017" s="3"/>
      <c r="P2017" s="3"/>
      <c r="Q2017" s="3"/>
      <c r="R2017" s="3"/>
      <c r="S2017" s="3"/>
      <c r="T2017" s="3"/>
      <c r="U2017" s="3"/>
      <c r="V2017" s="3"/>
      <c r="W2017" s="3"/>
      <c r="X2017" s="3"/>
      <c r="Y2017" s="3"/>
      <c r="Z2017" s="3"/>
      <c r="AA2017" s="3"/>
    </row>
    <row r="2018" ht="105.75" customHeight="1">
      <c r="A2018" s="11"/>
      <c r="B2018" s="12"/>
      <c r="C2018" s="11"/>
      <c r="D2018" s="13"/>
      <c r="E2018" s="14"/>
      <c r="F2018" s="14"/>
      <c r="G2018" s="14"/>
      <c r="H2018" s="15"/>
      <c r="I2018" s="15"/>
      <c r="J2018" s="3"/>
      <c r="K2018" s="3"/>
      <c r="L2018" s="3"/>
      <c r="M2018" s="3"/>
      <c r="N2018" s="3"/>
      <c r="O2018" s="3"/>
      <c r="P2018" s="3"/>
      <c r="Q2018" s="3"/>
      <c r="R2018" s="3"/>
      <c r="S2018" s="3"/>
      <c r="T2018" s="3"/>
      <c r="U2018" s="3"/>
      <c r="V2018" s="3"/>
      <c r="W2018" s="3"/>
      <c r="X2018" s="3"/>
      <c r="Y2018" s="3"/>
      <c r="Z2018" s="3"/>
      <c r="AA2018" s="3"/>
    </row>
    <row r="2019" ht="105.75" customHeight="1">
      <c r="A2019" s="11"/>
      <c r="B2019" s="12"/>
      <c r="C2019" s="11"/>
      <c r="D2019" s="13"/>
      <c r="E2019" s="14"/>
      <c r="F2019" s="14"/>
      <c r="G2019" s="14"/>
      <c r="H2019" s="15"/>
      <c r="I2019" s="15"/>
      <c r="J2019" s="3"/>
      <c r="K2019" s="3"/>
      <c r="L2019" s="3"/>
      <c r="M2019" s="3"/>
      <c r="N2019" s="3"/>
      <c r="O2019" s="3"/>
      <c r="P2019" s="3"/>
      <c r="Q2019" s="3"/>
      <c r="R2019" s="3"/>
      <c r="S2019" s="3"/>
      <c r="T2019" s="3"/>
      <c r="U2019" s="3"/>
      <c r="V2019" s="3"/>
      <c r="W2019" s="3"/>
      <c r="X2019" s="3"/>
      <c r="Y2019" s="3"/>
      <c r="Z2019" s="3"/>
      <c r="AA2019" s="3"/>
    </row>
    <row r="2020" ht="105.75" customHeight="1">
      <c r="A2020" s="11"/>
      <c r="B2020" s="12"/>
      <c r="C2020" s="11"/>
      <c r="D2020" s="13"/>
      <c r="E2020" s="14"/>
      <c r="F2020" s="14"/>
      <c r="G2020" s="14"/>
      <c r="H2020" s="15"/>
      <c r="I2020" s="15"/>
      <c r="J2020" s="3"/>
      <c r="K2020" s="3"/>
      <c r="L2020" s="3"/>
      <c r="M2020" s="3"/>
      <c r="N2020" s="3"/>
      <c r="O2020" s="3"/>
      <c r="P2020" s="3"/>
      <c r="Q2020" s="3"/>
      <c r="R2020" s="3"/>
      <c r="S2020" s="3"/>
      <c r="T2020" s="3"/>
      <c r="U2020" s="3"/>
      <c r="V2020" s="3"/>
      <c r="W2020" s="3"/>
      <c r="X2020" s="3"/>
      <c r="Y2020" s="3"/>
      <c r="Z2020" s="3"/>
      <c r="AA2020" s="3"/>
    </row>
    <row r="2021" ht="105.75" customHeight="1">
      <c r="A2021" s="11"/>
      <c r="B2021" s="12"/>
      <c r="C2021" s="11"/>
      <c r="D2021" s="13"/>
      <c r="E2021" s="14"/>
      <c r="F2021" s="14"/>
      <c r="G2021" s="14"/>
      <c r="H2021" s="15"/>
      <c r="I2021" s="15"/>
      <c r="J2021" s="3"/>
      <c r="K2021" s="3"/>
      <c r="L2021" s="3"/>
      <c r="M2021" s="3"/>
      <c r="N2021" s="3"/>
      <c r="O2021" s="3"/>
      <c r="P2021" s="3"/>
      <c r="Q2021" s="3"/>
      <c r="R2021" s="3"/>
      <c r="S2021" s="3"/>
      <c r="T2021" s="3"/>
      <c r="U2021" s="3"/>
      <c r="V2021" s="3"/>
      <c r="W2021" s="3"/>
      <c r="X2021" s="3"/>
      <c r="Y2021" s="3"/>
      <c r="Z2021" s="3"/>
      <c r="AA2021" s="3"/>
    </row>
    <row r="2022" ht="105.75" customHeight="1">
      <c r="A2022" s="11"/>
      <c r="B2022" s="12"/>
      <c r="C2022" s="11"/>
      <c r="D2022" s="13"/>
      <c r="E2022" s="14"/>
      <c r="F2022" s="14"/>
      <c r="G2022" s="14"/>
      <c r="H2022" s="15"/>
      <c r="I2022" s="15"/>
      <c r="J2022" s="3"/>
      <c r="K2022" s="3"/>
      <c r="L2022" s="3"/>
      <c r="M2022" s="3"/>
      <c r="N2022" s="3"/>
      <c r="O2022" s="3"/>
      <c r="P2022" s="3"/>
      <c r="Q2022" s="3"/>
      <c r="R2022" s="3"/>
      <c r="S2022" s="3"/>
      <c r="T2022" s="3"/>
      <c r="U2022" s="3"/>
      <c r="V2022" s="3"/>
      <c r="W2022" s="3"/>
      <c r="X2022" s="3"/>
      <c r="Y2022" s="3"/>
      <c r="Z2022" s="3"/>
      <c r="AA2022" s="3"/>
    </row>
    <row r="2023" ht="105.75" customHeight="1">
      <c r="A2023" s="11"/>
      <c r="B2023" s="12"/>
      <c r="C2023" s="11"/>
      <c r="D2023" s="13"/>
      <c r="E2023" s="14"/>
      <c r="F2023" s="14"/>
      <c r="G2023" s="14"/>
      <c r="H2023" s="15"/>
      <c r="I2023" s="15"/>
      <c r="J2023" s="3"/>
      <c r="K2023" s="3"/>
      <c r="L2023" s="3"/>
      <c r="M2023" s="3"/>
      <c r="N2023" s="3"/>
      <c r="O2023" s="3"/>
      <c r="P2023" s="3"/>
      <c r="Q2023" s="3"/>
      <c r="R2023" s="3"/>
      <c r="S2023" s="3"/>
      <c r="T2023" s="3"/>
      <c r="U2023" s="3"/>
      <c r="V2023" s="3"/>
      <c r="W2023" s="3"/>
      <c r="X2023" s="3"/>
      <c r="Y2023" s="3"/>
      <c r="Z2023" s="3"/>
      <c r="AA2023" s="3"/>
    </row>
    <row r="2024" ht="105.75" customHeight="1">
      <c r="A2024" s="11"/>
      <c r="B2024" s="12"/>
      <c r="C2024" s="11"/>
      <c r="D2024" s="13"/>
      <c r="E2024" s="14"/>
      <c r="F2024" s="14"/>
      <c r="G2024" s="14"/>
      <c r="H2024" s="15"/>
      <c r="I2024" s="15"/>
      <c r="J2024" s="3"/>
      <c r="K2024" s="3"/>
      <c r="L2024" s="3"/>
      <c r="M2024" s="3"/>
      <c r="N2024" s="3"/>
      <c r="O2024" s="3"/>
      <c r="P2024" s="3"/>
      <c r="Q2024" s="3"/>
      <c r="R2024" s="3"/>
      <c r="S2024" s="3"/>
      <c r="T2024" s="3"/>
      <c r="U2024" s="3"/>
      <c r="V2024" s="3"/>
      <c r="W2024" s="3"/>
      <c r="X2024" s="3"/>
      <c r="Y2024" s="3"/>
      <c r="Z2024" s="3"/>
      <c r="AA2024" s="3"/>
    </row>
    <row r="2025" ht="105.75" customHeight="1">
      <c r="A2025" s="11"/>
      <c r="B2025" s="12"/>
      <c r="C2025" s="11"/>
      <c r="D2025" s="13"/>
      <c r="E2025" s="16"/>
      <c r="F2025" s="16"/>
      <c r="G2025" s="16"/>
      <c r="H2025" s="15"/>
      <c r="I2025" s="15"/>
      <c r="J2025" s="3"/>
      <c r="K2025" s="3"/>
      <c r="L2025" s="3"/>
      <c r="M2025" s="3"/>
      <c r="N2025" s="3"/>
      <c r="O2025" s="3"/>
      <c r="P2025" s="3"/>
      <c r="Q2025" s="3"/>
      <c r="R2025" s="3"/>
      <c r="S2025" s="3"/>
      <c r="T2025" s="3"/>
      <c r="U2025" s="3"/>
      <c r="V2025" s="3"/>
      <c r="W2025" s="3"/>
      <c r="X2025" s="3"/>
      <c r="Y2025" s="3"/>
      <c r="Z2025" s="3"/>
      <c r="AA2025" s="3"/>
    </row>
    <row r="2026" ht="105.75" customHeight="1">
      <c r="A2026" s="11"/>
      <c r="B2026" s="12"/>
      <c r="C2026" s="11"/>
      <c r="D2026" s="13"/>
      <c r="E2026" s="14"/>
      <c r="F2026" s="14"/>
      <c r="G2026" s="14"/>
      <c r="H2026" s="15"/>
      <c r="I2026" s="15"/>
      <c r="J2026" s="3"/>
      <c r="K2026" s="3"/>
      <c r="L2026" s="3"/>
      <c r="M2026" s="3"/>
      <c r="N2026" s="3"/>
      <c r="O2026" s="3"/>
      <c r="P2026" s="3"/>
      <c r="Q2026" s="3"/>
      <c r="R2026" s="3"/>
      <c r="S2026" s="3"/>
      <c r="T2026" s="3"/>
      <c r="U2026" s="3"/>
      <c r="V2026" s="3"/>
      <c r="W2026" s="3"/>
      <c r="X2026" s="3"/>
      <c r="Y2026" s="3"/>
      <c r="Z2026" s="3"/>
      <c r="AA2026" s="3"/>
    </row>
    <row r="2027" ht="105.75" customHeight="1">
      <c r="A2027" s="11"/>
      <c r="B2027" s="12"/>
      <c r="C2027" s="11"/>
      <c r="D2027" s="13"/>
      <c r="E2027" s="14"/>
      <c r="F2027" s="14"/>
      <c r="G2027" s="14"/>
      <c r="H2027" s="15"/>
      <c r="I2027" s="15"/>
      <c r="J2027" s="3"/>
      <c r="K2027" s="3"/>
      <c r="L2027" s="3"/>
      <c r="M2027" s="3"/>
      <c r="N2027" s="3"/>
      <c r="O2027" s="3"/>
      <c r="P2027" s="3"/>
      <c r="Q2027" s="3"/>
      <c r="R2027" s="3"/>
      <c r="S2027" s="3"/>
      <c r="T2027" s="3"/>
      <c r="U2027" s="3"/>
      <c r="V2027" s="3"/>
      <c r="W2027" s="3"/>
      <c r="X2027" s="3"/>
      <c r="Y2027" s="3"/>
      <c r="Z2027" s="3"/>
      <c r="AA2027" s="3"/>
    </row>
    <row r="2028" ht="105.75" customHeight="1">
      <c r="A2028" s="11"/>
      <c r="B2028" s="12"/>
      <c r="C2028" s="11"/>
      <c r="D2028" s="13"/>
      <c r="E2028" s="14"/>
      <c r="F2028" s="14"/>
      <c r="G2028" s="14"/>
      <c r="H2028" s="15"/>
      <c r="I2028" s="15"/>
      <c r="J2028" s="3"/>
      <c r="K2028" s="3"/>
      <c r="L2028" s="3"/>
      <c r="M2028" s="3"/>
      <c r="N2028" s="3"/>
      <c r="O2028" s="3"/>
      <c r="P2028" s="3"/>
      <c r="Q2028" s="3"/>
      <c r="R2028" s="3"/>
      <c r="S2028" s="3"/>
      <c r="T2028" s="3"/>
      <c r="U2028" s="3"/>
      <c r="V2028" s="3"/>
      <c r="W2028" s="3"/>
      <c r="X2028" s="3"/>
      <c r="Y2028" s="3"/>
      <c r="Z2028" s="3"/>
      <c r="AA2028" s="3"/>
    </row>
    <row r="2029" ht="105.75" customHeight="1">
      <c r="A2029" s="11"/>
      <c r="B2029" s="12"/>
      <c r="C2029" s="11"/>
      <c r="D2029" s="13"/>
      <c r="E2029" s="16"/>
      <c r="F2029" s="16"/>
      <c r="G2029" s="16"/>
      <c r="H2029" s="15"/>
      <c r="I2029" s="15"/>
      <c r="J2029" s="3"/>
      <c r="K2029" s="3"/>
      <c r="L2029" s="3"/>
      <c r="M2029" s="3"/>
      <c r="N2029" s="3"/>
      <c r="O2029" s="3"/>
      <c r="P2029" s="3"/>
      <c r="Q2029" s="3"/>
      <c r="R2029" s="3"/>
      <c r="S2029" s="3"/>
      <c r="T2029" s="3"/>
      <c r="U2029" s="3"/>
      <c r="V2029" s="3"/>
      <c r="W2029" s="3"/>
      <c r="X2029" s="3"/>
      <c r="Y2029" s="3"/>
      <c r="Z2029" s="3"/>
      <c r="AA2029" s="3"/>
    </row>
    <row r="2030" ht="105.75" customHeight="1">
      <c r="A2030" s="11"/>
      <c r="B2030" s="12"/>
      <c r="C2030" s="11"/>
      <c r="D2030" s="13"/>
      <c r="E2030" s="14"/>
      <c r="F2030" s="14"/>
      <c r="G2030" s="14"/>
      <c r="H2030" s="15"/>
      <c r="I2030" s="15"/>
      <c r="J2030" s="3"/>
      <c r="K2030" s="3"/>
      <c r="L2030" s="3"/>
      <c r="M2030" s="3"/>
      <c r="N2030" s="3"/>
      <c r="O2030" s="3"/>
      <c r="P2030" s="3"/>
      <c r="Q2030" s="3"/>
      <c r="R2030" s="3"/>
      <c r="S2030" s="3"/>
      <c r="T2030" s="3"/>
      <c r="U2030" s="3"/>
      <c r="V2030" s="3"/>
      <c r="W2030" s="3"/>
      <c r="X2030" s="3"/>
      <c r="Y2030" s="3"/>
      <c r="Z2030" s="3"/>
      <c r="AA2030" s="3"/>
    </row>
    <row r="2031" ht="105.75" customHeight="1">
      <c r="A2031" s="11"/>
      <c r="B2031" s="12"/>
      <c r="C2031" s="11"/>
      <c r="D2031" s="13"/>
      <c r="E2031" s="14"/>
      <c r="F2031" s="14"/>
      <c r="G2031" s="14"/>
      <c r="H2031" s="15"/>
      <c r="I2031" s="15"/>
      <c r="J2031" s="3"/>
      <c r="K2031" s="3"/>
      <c r="L2031" s="3"/>
      <c r="M2031" s="3"/>
      <c r="N2031" s="3"/>
      <c r="O2031" s="3"/>
      <c r="P2031" s="3"/>
      <c r="Q2031" s="3"/>
      <c r="R2031" s="3"/>
      <c r="S2031" s="3"/>
      <c r="T2031" s="3"/>
      <c r="U2031" s="3"/>
      <c r="V2031" s="3"/>
      <c r="W2031" s="3"/>
      <c r="X2031" s="3"/>
      <c r="Y2031" s="3"/>
      <c r="Z2031" s="3"/>
      <c r="AA2031" s="3"/>
    </row>
    <row r="2032" ht="105.75" customHeight="1">
      <c r="A2032" s="11"/>
      <c r="B2032" s="12"/>
      <c r="C2032" s="11"/>
      <c r="D2032" s="13"/>
      <c r="E2032" s="14"/>
      <c r="F2032" s="14"/>
      <c r="G2032" s="14"/>
      <c r="H2032" s="15"/>
      <c r="I2032" s="15"/>
      <c r="J2032" s="3"/>
      <c r="K2032" s="3"/>
      <c r="L2032" s="3"/>
      <c r="M2032" s="3"/>
      <c r="N2032" s="3"/>
      <c r="O2032" s="3"/>
      <c r="P2032" s="3"/>
      <c r="Q2032" s="3"/>
      <c r="R2032" s="3"/>
      <c r="S2032" s="3"/>
      <c r="T2032" s="3"/>
      <c r="U2032" s="3"/>
      <c r="V2032" s="3"/>
      <c r="W2032" s="3"/>
      <c r="X2032" s="3"/>
      <c r="Y2032" s="3"/>
      <c r="Z2032" s="3"/>
      <c r="AA2032" s="3"/>
    </row>
    <row r="2033" ht="105.75" customHeight="1">
      <c r="A2033" s="11"/>
      <c r="B2033" s="12"/>
      <c r="C2033" s="11"/>
      <c r="D2033" s="13"/>
      <c r="E2033" s="14"/>
      <c r="F2033" s="14"/>
      <c r="G2033" s="14"/>
      <c r="H2033" s="15"/>
      <c r="I2033" s="15"/>
      <c r="J2033" s="3"/>
      <c r="K2033" s="3"/>
      <c r="L2033" s="3"/>
      <c r="M2033" s="3"/>
      <c r="N2033" s="3"/>
      <c r="O2033" s="3"/>
      <c r="P2033" s="3"/>
      <c r="Q2033" s="3"/>
      <c r="R2033" s="3"/>
      <c r="S2033" s="3"/>
      <c r="T2033" s="3"/>
      <c r="U2033" s="3"/>
      <c r="V2033" s="3"/>
      <c r="W2033" s="3"/>
      <c r="X2033" s="3"/>
      <c r="Y2033" s="3"/>
      <c r="Z2033" s="3"/>
      <c r="AA2033" s="3"/>
    </row>
    <row r="2034" ht="105.75" customHeight="1">
      <c r="A2034" s="11"/>
      <c r="B2034" s="12"/>
      <c r="C2034" s="11"/>
      <c r="D2034" s="13"/>
      <c r="E2034" s="14"/>
      <c r="F2034" s="14"/>
      <c r="G2034" s="14"/>
      <c r="H2034" s="15"/>
      <c r="I2034" s="15"/>
      <c r="J2034" s="3"/>
      <c r="K2034" s="3"/>
      <c r="L2034" s="3"/>
      <c r="M2034" s="3"/>
      <c r="N2034" s="3"/>
      <c r="O2034" s="3"/>
      <c r="P2034" s="3"/>
      <c r="Q2034" s="3"/>
      <c r="R2034" s="3"/>
      <c r="S2034" s="3"/>
      <c r="T2034" s="3"/>
      <c r="U2034" s="3"/>
      <c r="V2034" s="3"/>
      <c r="W2034" s="3"/>
      <c r="X2034" s="3"/>
      <c r="Y2034" s="3"/>
      <c r="Z2034" s="3"/>
      <c r="AA2034" s="3"/>
    </row>
    <row r="2035" ht="105.75" customHeight="1">
      <c r="A2035" s="11"/>
      <c r="B2035" s="12"/>
      <c r="C2035" s="11"/>
      <c r="D2035" s="13"/>
      <c r="E2035" s="14"/>
      <c r="F2035" s="14"/>
      <c r="G2035" s="14"/>
      <c r="H2035" s="15"/>
      <c r="I2035" s="15"/>
      <c r="J2035" s="3"/>
      <c r="K2035" s="3"/>
      <c r="L2035" s="3"/>
      <c r="M2035" s="3"/>
      <c r="N2035" s="3"/>
      <c r="O2035" s="3"/>
      <c r="P2035" s="3"/>
      <c r="Q2035" s="3"/>
      <c r="R2035" s="3"/>
      <c r="S2035" s="3"/>
      <c r="T2035" s="3"/>
      <c r="U2035" s="3"/>
      <c r="V2035" s="3"/>
      <c r="W2035" s="3"/>
      <c r="X2035" s="3"/>
      <c r="Y2035" s="3"/>
      <c r="Z2035" s="3"/>
      <c r="AA2035" s="3"/>
    </row>
    <row r="2036" ht="105.75" customHeight="1">
      <c r="A2036" s="11"/>
      <c r="B2036" s="12"/>
      <c r="C2036" s="11"/>
      <c r="D2036" s="13"/>
      <c r="E2036" s="14"/>
      <c r="F2036" s="14"/>
      <c r="G2036" s="14"/>
      <c r="H2036" s="15"/>
      <c r="I2036" s="15"/>
      <c r="J2036" s="3"/>
      <c r="K2036" s="3"/>
      <c r="L2036" s="3"/>
      <c r="M2036" s="3"/>
      <c r="N2036" s="3"/>
      <c r="O2036" s="3"/>
      <c r="P2036" s="3"/>
      <c r="Q2036" s="3"/>
      <c r="R2036" s="3"/>
      <c r="S2036" s="3"/>
      <c r="T2036" s="3"/>
      <c r="U2036" s="3"/>
      <c r="V2036" s="3"/>
      <c r="W2036" s="3"/>
      <c r="X2036" s="3"/>
      <c r="Y2036" s="3"/>
      <c r="Z2036" s="3"/>
      <c r="AA2036" s="3"/>
    </row>
    <row r="2037" ht="105.75" customHeight="1">
      <c r="A2037" s="11"/>
      <c r="B2037" s="12"/>
      <c r="C2037" s="11"/>
      <c r="D2037" s="13"/>
      <c r="E2037" s="14"/>
      <c r="F2037" s="14"/>
      <c r="G2037" s="14"/>
      <c r="H2037" s="15"/>
      <c r="I2037" s="15"/>
      <c r="J2037" s="3"/>
      <c r="K2037" s="3"/>
      <c r="L2037" s="3"/>
      <c r="M2037" s="3"/>
      <c r="N2037" s="3"/>
      <c r="O2037" s="3"/>
      <c r="P2037" s="3"/>
      <c r="Q2037" s="3"/>
      <c r="R2037" s="3"/>
      <c r="S2037" s="3"/>
      <c r="T2037" s="3"/>
      <c r="U2037" s="3"/>
      <c r="V2037" s="3"/>
      <c r="W2037" s="3"/>
      <c r="X2037" s="3"/>
      <c r="Y2037" s="3"/>
      <c r="Z2037" s="3"/>
      <c r="AA2037" s="3"/>
    </row>
    <row r="2038" ht="105.75" customHeight="1">
      <c r="A2038" s="11"/>
      <c r="B2038" s="12"/>
      <c r="C2038" s="11"/>
      <c r="D2038" s="13"/>
      <c r="E2038" s="14"/>
      <c r="F2038" s="14"/>
      <c r="G2038" s="14"/>
      <c r="H2038" s="15"/>
      <c r="I2038" s="15"/>
      <c r="J2038" s="3"/>
      <c r="K2038" s="3"/>
      <c r="L2038" s="3"/>
      <c r="M2038" s="3"/>
      <c r="N2038" s="3"/>
      <c r="O2038" s="3"/>
      <c r="P2038" s="3"/>
      <c r="Q2038" s="3"/>
      <c r="R2038" s="3"/>
      <c r="S2038" s="3"/>
      <c r="T2038" s="3"/>
      <c r="U2038" s="3"/>
      <c r="V2038" s="3"/>
      <c r="W2038" s="3"/>
      <c r="X2038" s="3"/>
      <c r="Y2038" s="3"/>
      <c r="Z2038" s="3"/>
      <c r="AA2038" s="3"/>
    </row>
    <row r="2039" ht="105.75" customHeight="1">
      <c r="A2039" s="11"/>
      <c r="B2039" s="12"/>
      <c r="C2039" s="11"/>
      <c r="D2039" s="13"/>
      <c r="E2039" s="14"/>
      <c r="F2039" s="14"/>
      <c r="G2039" s="14"/>
      <c r="H2039" s="15"/>
      <c r="I2039" s="15"/>
      <c r="J2039" s="3"/>
      <c r="K2039" s="3"/>
      <c r="L2039" s="3"/>
      <c r="M2039" s="3"/>
      <c r="N2039" s="3"/>
      <c r="O2039" s="3"/>
      <c r="P2039" s="3"/>
      <c r="Q2039" s="3"/>
      <c r="R2039" s="3"/>
      <c r="S2039" s="3"/>
      <c r="T2039" s="3"/>
      <c r="U2039" s="3"/>
      <c r="V2039" s="3"/>
      <c r="W2039" s="3"/>
      <c r="X2039" s="3"/>
      <c r="Y2039" s="3"/>
      <c r="Z2039" s="3"/>
      <c r="AA2039" s="3"/>
    </row>
    <row r="2040" ht="105.75" customHeight="1">
      <c r="A2040" s="11"/>
      <c r="B2040" s="12"/>
      <c r="C2040" s="11"/>
      <c r="D2040" s="13"/>
      <c r="E2040" s="14"/>
      <c r="F2040" s="14"/>
      <c r="G2040" s="14"/>
      <c r="H2040" s="15"/>
      <c r="I2040" s="15"/>
      <c r="J2040" s="3"/>
      <c r="K2040" s="3"/>
      <c r="L2040" s="3"/>
      <c r="M2040" s="3"/>
      <c r="N2040" s="3"/>
      <c r="O2040" s="3"/>
      <c r="P2040" s="3"/>
      <c r="Q2040" s="3"/>
      <c r="R2040" s="3"/>
      <c r="S2040" s="3"/>
      <c r="T2040" s="3"/>
      <c r="U2040" s="3"/>
      <c r="V2040" s="3"/>
      <c r="W2040" s="3"/>
      <c r="X2040" s="3"/>
      <c r="Y2040" s="3"/>
      <c r="Z2040" s="3"/>
      <c r="AA2040" s="3"/>
    </row>
    <row r="2041" ht="105.75" customHeight="1">
      <c r="A2041" s="11"/>
      <c r="B2041" s="12"/>
      <c r="C2041" s="11"/>
      <c r="D2041" s="13"/>
      <c r="E2041" s="16"/>
      <c r="F2041" s="16"/>
      <c r="G2041" s="16"/>
      <c r="H2041" s="15"/>
      <c r="I2041" s="15"/>
      <c r="J2041" s="3"/>
      <c r="K2041" s="3"/>
      <c r="L2041" s="3"/>
      <c r="M2041" s="3"/>
      <c r="N2041" s="3"/>
      <c r="O2041" s="3"/>
      <c r="P2041" s="3"/>
      <c r="Q2041" s="3"/>
      <c r="R2041" s="3"/>
      <c r="S2041" s="3"/>
      <c r="T2041" s="3"/>
      <c r="U2041" s="3"/>
      <c r="V2041" s="3"/>
      <c r="W2041" s="3"/>
      <c r="X2041" s="3"/>
      <c r="Y2041" s="3"/>
      <c r="Z2041" s="3"/>
      <c r="AA2041" s="3"/>
    </row>
    <row r="2042" ht="105.75" customHeight="1">
      <c r="A2042" s="11"/>
      <c r="B2042" s="12"/>
      <c r="C2042" s="11"/>
      <c r="D2042" s="13"/>
      <c r="E2042" s="14"/>
      <c r="F2042" s="14"/>
      <c r="G2042" s="14"/>
      <c r="H2042" s="15"/>
      <c r="I2042" s="15"/>
      <c r="J2042" s="3"/>
      <c r="K2042" s="3"/>
      <c r="L2042" s="3"/>
      <c r="M2042" s="3"/>
      <c r="N2042" s="3"/>
      <c r="O2042" s="3"/>
      <c r="P2042" s="3"/>
      <c r="Q2042" s="3"/>
      <c r="R2042" s="3"/>
      <c r="S2042" s="3"/>
      <c r="T2042" s="3"/>
      <c r="U2042" s="3"/>
      <c r="V2042" s="3"/>
      <c r="W2042" s="3"/>
      <c r="X2042" s="3"/>
      <c r="Y2042" s="3"/>
      <c r="Z2042" s="3"/>
      <c r="AA2042" s="3"/>
    </row>
    <row r="2043" ht="105.75" customHeight="1">
      <c r="A2043" s="11"/>
      <c r="B2043" s="12"/>
      <c r="C2043" s="11"/>
      <c r="D2043" s="13"/>
      <c r="E2043" s="14"/>
      <c r="F2043" s="14"/>
      <c r="G2043" s="14"/>
      <c r="H2043" s="15"/>
      <c r="I2043" s="15"/>
      <c r="J2043" s="3"/>
      <c r="K2043" s="3"/>
      <c r="L2043" s="3"/>
      <c r="M2043" s="3"/>
      <c r="N2043" s="3"/>
      <c r="O2043" s="3"/>
      <c r="P2043" s="3"/>
      <c r="Q2043" s="3"/>
      <c r="R2043" s="3"/>
      <c r="S2043" s="3"/>
      <c r="T2043" s="3"/>
      <c r="U2043" s="3"/>
      <c r="V2043" s="3"/>
      <c r="W2043" s="3"/>
      <c r="X2043" s="3"/>
      <c r="Y2043" s="3"/>
      <c r="Z2043" s="3"/>
      <c r="AA2043" s="3"/>
    </row>
    <row r="2044" ht="105.75" customHeight="1">
      <c r="A2044" s="11"/>
      <c r="B2044" s="12"/>
      <c r="C2044" s="11"/>
      <c r="D2044" s="13"/>
      <c r="E2044" s="14"/>
      <c r="F2044" s="14"/>
      <c r="G2044" s="14"/>
      <c r="H2044" s="15"/>
      <c r="I2044" s="15"/>
      <c r="J2044" s="3"/>
      <c r="K2044" s="3"/>
      <c r="L2044" s="3"/>
      <c r="M2044" s="3"/>
      <c r="N2044" s="3"/>
      <c r="O2044" s="3"/>
      <c r="P2044" s="3"/>
      <c r="Q2044" s="3"/>
      <c r="R2044" s="3"/>
      <c r="S2044" s="3"/>
      <c r="T2044" s="3"/>
      <c r="U2044" s="3"/>
      <c r="V2044" s="3"/>
      <c r="W2044" s="3"/>
      <c r="X2044" s="3"/>
      <c r="Y2044" s="3"/>
      <c r="Z2044" s="3"/>
      <c r="AA2044" s="3"/>
    </row>
    <row r="2045" ht="105.75" customHeight="1">
      <c r="A2045" s="11"/>
      <c r="B2045" s="12"/>
      <c r="C2045" s="11"/>
      <c r="D2045" s="13"/>
      <c r="E2045" s="14"/>
      <c r="F2045" s="14"/>
      <c r="G2045" s="14"/>
      <c r="H2045" s="15"/>
      <c r="I2045" s="15"/>
      <c r="J2045" s="3"/>
      <c r="K2045" s="3"/>
      <c r="L2045" s="3"/>
      <c r="M2045" s="3"/>
      <c r="N2045" s="3"/>
      <c r="O2045" s="3"/>
      <c r="P2045" s="3"/>
      <c r="Q2045" s="3"/>
      <c r="R2045" s="3"/>
      <c r="S2045" s="3"/>
      <c r="T2045" s="3"/>
      <c r="U2045" s="3"/>
      <c r="V2045" s="3"/>
      <c r="W2045" s="3"/>
      <c r="X2045" s="3"/>
      <c r="Y2045" s="3"/>
      <c r="Z2045" s="3"/>
      <c r="AA2045" s="3"/>
    </row>
    <row r="2046" ht="105.75" customHeight="1">
      <c r="A2046" s="11"/>
      <c r="B2046" s="12"/>
      <c r="C2046" s="11"/>
      <c r="D2046" s="13"/>
      <c r="E2046" s="14"/>
      <c r="F2046" s="14"/>
      <c r="G2046" s="14"/>
      <c r="H2046" s="15"/>
      <c r="I2046" s="15"/>
      <c r="J2046" s="3"/>
      <c r="K2046" s="3"/>
      <c r="L2046" s="3"/>
      <c r="M2046" s="3"/>
      <c r="N2046" s="3"/>
      <c r="O2046" s="3"/>
      <c r="P2046" s="3"/>
      <c r="Q2046" s="3"/>
      <c r="R2046" s="3"/>
      <c r="S2046" s="3"/>
      <c r="T2046" s="3"/>
      <c r="U2046" s="3"/>
      <c r="V2046" s="3"/>
      <c r="W2046" s="3"/>
      <c r="X2046" s="3"/>
      <c r="Y2046" s="3"/>
      <c r="Z2046" s="3"/>
      <c r="AA2046" s="3"/>
    </row>
    <row r="2047" ht="105.75" customHeight="1">
      <c r="A2047" s="11"/>
      <c r="B2047" s="12"/>
      <c r="C2047" s="11"/>
      <c r="D2047" s="13"/>
      <c r="E2047" s="14"/>
      <c r="F2047" s="14"/>
      <c r="G2047" s="14"/>
      <c r="H2047" s="15"/>
      <c r="I2047" s="15"/>
      <c r="J2047" s="3"/>
      <c r="K2047" s="3"/>
      <c r="L2047" s="3"/>
      <c r="M2047" s="3"/>
      <c r="N2047" s="3"/>
      <c r="O2047" s="3"/>
      <c r="P2047" s="3"/>
      <c r="Q2047" s="3"/>
      <c r="R2047" s="3"/>
      <c r="S2047" s="3"/>
      <c r="T2047" s="3"/>
      <c r="U2047" s="3"/>
      <c r="V2047" s="3"/>
      <c r="W2047" s="3"/>
      <c r="X2047" s="3"/>
      <c r="Y2047" s="3"/>
      <c r="Z2047" s="3"/>
      <c r="AA2047" s="3"/>
    </row>
    <row r="2048" ht="105.75" customHeight="1">
      <c r="A2048" s="11"/>
      <c r="B2048" s="12"/>
      <c r="C2048" s="11"/>
      <c r="D2048" s="13"/>
      <c r="E2048" s="16"/>
      <c r="F2048" s="16"/>
      <c r="G2048" s="16"/>
      <c r="H2048" s="15"/>
      <c r="I2048" s="15"/>
      <c r="J2048" s="3"/>
      <c r="K2048" s="3"/>
      <c r="L2048" s="3"/>
      <c r="M2048" s="3"/>
      <c r="N2048" s="3"/>
      <c r="O2048" s="3"/>
      <c r="P2048" s="3"/>
      <c r="Q2048" s="3"/>
      <c r="R2048" s="3"/>
      <c r="S2048" s="3"/>
      <c r="T2048" s="3"/>
      <c r="U2048" s="3"/>
      <c r="V2048" s="3"/>
      <c r="W2048" s="3"/>
      <c r="X2048" s="3"/>
      <c r="Y2048" s="3"/>
      <c r="Z2048" s="3"/>
      <c r="AA2048" s="3"/>
    </row>
    <row r="2049" ht="105.75" customHeight="1">
      <c r="A2049" s="11"/>
      <c r="B2049" s="12"/>
      <c r="C2049" s="11"/>
      <c r="D2049" s="13"/>
      <c r="E2049" s="14"/>
      <c r="F2049" s="14"/>
      <c r="G2049" s="14"/>
      <c r="H2049" s="15"/>
      <c r="I2049" s="15"/>
      <c r="J2049" s="3"/>
      <c r="K2049" s="3"/>
      <c r="L2049" s="3"/>
      <c r="M2049" s="3"/>
      <c r="N2049" s="3"/>
      <c r="O2049" s="3"/>
      <c r="P2049" s="3"/>
      <c r="Q2049" s="3"/>
      <c r="R2049" s="3"/>
      <c r="S2049" s="3"/>
      <c r="T2049" s="3"/>
      <c r="U2049" s="3"/>
      <c r="V2049" s="3"/>
      <c r="W2049" s="3"/>
      <c r="X2049" s="3"/>
      <c r="Y2049" s="3"/>
      <c r="Z2049" s="3"/>
      <c r="AA2049" s="3"/>
    </row>
    <row r="2050" ht="105.75" customHeight="1">
      <c r="A2050" s="11"/>
      <c r="B2050" s="12"/>
      <c r="C2050" s="11"/>
      <c r="D2050" s="13"/>
      <c r="E2050" s="14"/>
      <c r="F2050" s="14"/>
      <c r="G2050" s="14"/>
      <c r="H2050" s="15"/>
      <c r="I2050" s="15"/>
      <c r="J2050" s="3"/>
      <c r="K2050" s="3"/>
      <c r="L2050" s="3"/>
      <c r="M2050" s="3"/>
      <c r="N2050" s="3"/>
      <c r="O2050" s="3"/>
      <c r="P2050" s="3"/>
      <c r="Q2050" s="3"/>
      <c r="R2050" s="3"/>
      <c r="S2050" s="3"/>
      <c r="T2050" s="3"/>
      <c r="U2050" s="3"/>
      <c r="V2050" s="3"/>
      <c r="W2050" s="3"/>
      <c r="X2050" s="3"/>
      <c r="Y2050" s="3"/>
      <c r="Z2050" s="3"/>
      <c r="AA2050" s="3"/>
    </row>
    <row r="2051" ht="105.75" customHeight="1">
      <c r="A2051" s="11"/>
      <c r="B2051" s="12"/>
      <c r="C2051" s="11"/>
      <c r="D2051" s="13"/>
      <c r="E2051" s="14"/>
      <c r="F2051" s="14"/>
      <c r="G2051" s="14"/>
      <c r="H2051" s="15"/>
      <c r="I2051" s="15"/>
      <c r="J2051" s="3"/>
      <c r="K2051" s="3"/>
      <c r="L2051" s="3"/>
      <c r="M2051" s="3"/>
      <c r="N2051" s="3"/>
      <c r="O2051" s="3"/>
      <c r="P2051" s="3"/>
      <c r="Q2051" s="3"/>
      <c r="R2051" s="3"/>
      <c r="S2051" s="3"/>
      <c r="T2051" s="3"/>
      <c r="U2051" s="3"/>
      <c r="V2051" s="3"/>
      <c r="W2051" s="3"/>
      <c r="X2051" s="3"/>
      <c r="Y2051" s="3"/>
      <c r="Z2051" s="3"/>
      <c r="AA2051" s="3"/>
    </row>
    <row r="2052" ht="105.75" customHeight="1">
      <c r="A2052" s="11"/>
      <c r="B2052" s="12"/>
      <c r="C2052" s="11"/>
      <c r="D2052" s="13"/>
      <c r="E2052" s="16"/>
      <c r="F2052" s="16"/>
      <c r="G2052" s="16"/>
      <c r="H2052" s="15"/>
      <c r="I2052" s="15"/>
      <c r="J2052" s="3"/>
      <c r="K2052" s="3"/>
      <c r="L2052" s="3"/>
      <c r="M2052" s="3"/>
      <c r="N2052" s="3"/>
      <c r="O2052" s="3"/>
      <c r="P2052" s="3"/>
      <c r="Q2052" s="3"/>
      <c r="R2052" s="3"/>
      <c r="S2052" s="3"/>
      <c r="T2052" s="3"/>
      <c r="U2052" s="3"/>
      <c r="V2052" s="3"/>
      <c r="W2052" s="3"/>
      <c r="X2052" s="3"/>
      <c r="Y2052" s="3"/>
      <c r="Z2052" s="3"/>
      <c r="AA2052" s="3"/>
    </row>
    <row r="2053" ht="105.75" customHeight="1">
      <c r="A2053" s="11"/>
      <c r="B2053" s="12"/>
      <c r="C2053" s="11"/>
      <c r="D2053" s="13"/>
      <c r="E2053" s="14"/>
      <c r="F2053" s="14"/>
      <c r="G2053" s="14"/>
      <c r="H2053" s="15"/>
      <c r="I2053" s="15"/>
      <c r="J2053" s="3"/>
      <c r="K2053" s="3"/>
      <c r="L2053" s="3"/>
      <c r="M2053" s="3"/>
      <c r="N2053" s="3"/>
      <c r="O2053" s="3"/>
      <c r="P2053" s="3"/>
      <c r="Q2053" s="3"/>
      <c r="R2053" s="3"/>
      <c r="S2053" s="3"/>
      <c r="T2053" s="3"/>
      <c r="U2053" s="3"/>
      <c r="V2053" s="3"/>
      <c r="W2053" s="3"/>
      <c r="X2053" s="3"/>
      <c r="Y2053" s="3"/>
      <c r="Z2053" s="3"/>
      <c r="AA2053" s="3"/>
    </row>
    <row r="2054" ht="105.75" customHeight="1">
      <c r="A2054" s="11"/>
      <c r="B2054" s="12"/>
      <c r="C2054" s="11"/>
      <c r="D2054" s="13"/>
      <c r="E2054" s="14"/>
      <c r="F2054" s="14"/>
      <c r="G2054" s="14"/>
      <c r="H2054" s="15"/>
      <c r="I2054" s="15"/>
      <c r="J2054" s="3"/>
      <c r="K2054" s="3"/>
      <c r="L2054" s="3"/>
      <c r="M2054" s="3"/>
      <c r="N2054" s="3"/>
      <c r="O2054" s="3"/>
      <c r="P2054" s="3"/>
      <c r="Q2054" s="3"/>
      <c r="R2054" s="3"/>
      <c r="S2054" s="3"/>
      <c r="T2054" s="3"/>
      <c r="U2054" s="3"/>
      <c r="V2054" s="3"/>
      <c r="W2054" s="3"/>
      <c r="X2054" s="3"/>
      <c r="Y2054" s="3"/>
      <c r="Z2054" s="3"/>
      <c r="AA2054" s="3"/>
    </row>
    <row r="2055" ht="105.75" customHeight="1">
      <c r="A2055" s="11"/>
      <c r="B2055" s="12"/>
      <c r="C2055" s="11"/>
      <c r="D2055" s="13"/>
      <c r="E2055" s="14"/>
      <c r="F2055" s="14"/>
      <c r="G2055" s="14"/>
      <c r="H2055" s="15"/>
      <c r="I2055" s="15"/>
      <c r="J2055" s="3"/>
      <c r="K2055" s="3"/>
      <c r="L2055" s="3"/>
      <c r="M2055" s="3"/>
      <c r="N2055" s="3"/>
      <c r="O2055" s="3"/>
      <c r="P2055" s="3"/>
      <c r="Q2055" s="3"/>
      <c r="R2055" s="3"/>
      <c r="S2055" s="3"/>
      <c r="T2055" s="3"/>
      <c r="U2055" s="3"/>
      <c r="V2055" s="3"/>
      <c r="W2055" s="3"/>
      <c r="X2055" s="3"/>
      <c r="Y2055" s="3"/>
      <c r="Z2055" s="3"/>
      <c r="AA2055" s="3"/>
    </row>
    <row r="2056" ht="105.75" customHeight="1">
      <c r="A2056" s="11"/>
      <c r="B2056" s="12"/>
      <c r="C2056" s="11"/>
      <c r="D2056" s="13"/>
      <c r="E2056" s="14"/>
      <c r="F2056" s="14"/>
      <c r="G2056" s="14"/>
      <c r="H2056" s="15"/>
      <c r="I2056" s="15"/>
      <c r="J2056" s="3"/>
      <c r="K2056" s="3"/>
      <c r="L2056" s="3"/>
      <c r="M2056" s="3"/>
      <c r="N2056" s="3"/>
      <c r="O2056" s="3"/>
      <c r="P2056" s="3"/>
      <c r="Q2056" s="3"/>
      <c r="R2056" s="3"/>
      <c r="S2056" s="3"/>
      <c r="T2056" s="3"/>
      <c r="U2056" s="3"/>
      <c r="V2056" s="3"/>
      <c r="W2056" s="3"/>
      <c r="X2056" s="3"/>
      <c r="Y2056" s="3"/>
      <c r="Z2056" s="3"/>
      <c r="AA2056" s="3"/>
    </row>
    <row r="2057" ht="105.75" customHeight="1">
      <c r="A2057" s="11"/>
      <c r="B2057" s="12"/>
      <c r="C2057" s="11"/>
      <c r="D2057" s="13"/>
      <c r="E2057" s="14"/>
      <c r="F2057" s="14"/>
      <c r="G2057" s="14"/>
      <c r="H2057" s="15"/>
      <c r="I2057" s="15"/>
      <c r="J2057" s="3"/>
      <c r="K2057" s="3"/>
      <c r="L2057" s="3"/>
      <c r="M2057" s="3"/>
      <c r="N2057" s="3"/>
      <c r="O2057" s="3"/>
      <c r="P2057" s="3"/>
      <c r="Q2057" s="3"/>
      <c r="R2057" s="3"/>
      <c r="S2057" s="3"/>
      <c r="T2057" s="3"/>
      <c r="U2057" s="3"/>
      <c r="V2057" s="3"/>
      <c r="W2057" s="3"/>
      <c r="X2057" s="3"/>
      <c r="Y2057" s="3"/>
      <c r="Z2057" s="3"/>
      <c r="AA2057" s="3"/>
    </row>
    <row r="2058" ht="105.75" customHeight="1">
      <c r="A2058" s="11"/>
      <c r="B2058" s="12"/>
      <c r="C2058" s="11"/>
      <c r="D2058" s="13"/>
      <c r="E2058" s="14"/>
      <c r="F2058" s="14"/>
      <c r="G2058" s="14"/>
      <c r="H2058" s="15"/>
      <c r="I2058" s="15"/>
      <c r="J2058" s="3"/>
      <c r="K2058" s="3"/>
      <c r="L2058" s="3"/>
      <c r="M2058" s="3"/>
      <c r="N2058" s="3"/>
      <c r="O2058" s="3"/>
      <c r="P2058" s="3"/>
      <c r="Q2058" s="3"/>
      <c r="R2058" s="3"/>
      <c r="S2058" s="3"/>
      <c r="T2058" s="3"/>
      <c r="U2058" s="3"/>
      <c r="V2058" s="3"/>
      <c r="W2058" s="3"/>
      <c r="X2058" s="3"/>
      <c r="Y2058" s="3"/>
      <c r="Z2058" s="3"/>
      <c r="AA2058" s="3"/>
    </row>
    <row r="2059" ht="105.75" customHeight="1">
      <c r="A2059" s="11"/>
      <c r="B2059" s="12"/>
      <c r="C2059" s="11"/>
      <c r="D2059" s="13"/>
      <c r="E2059" s="16"/>
      <c r="F2059" s="16"/>
      <c r="G2059" s="16"/>
      <c r="H2059" s="15"/>
      <c r="I2059" s="15"/>
      <c r="J2059" s="3"/>
      <c r="K2059" s="3"/>
      <c r="L2059" s="3"/>
      <c r="M2059" s="3"/>
      <c r="N2059" s="3"/>
      <c r="O2059" s="3"/>
      <c r="P2059" s="3"/>
      <c r="Q2059" s="3"/>
      <c r="R2059" s="3"/>
      <c r="S2059" s="3"/>
      <c r="T2059" s="3"/>
      <c r="U2059" s="3"/>
      <c r="V2059" s="3"/>
      <c r="W2059" s="3"/>
      <c r="X2059" s="3"/>
      <c r="Y2059" s="3"/>
      <c r="Z2059" s="3"/>
      <c r="AA2059" s="3"/>
    </row>
    <row r="2060" ht="105.75" customHeight="1">
      <c r="A2060" s="11"/>
      <c r="B2060" s="12"/>
      <c r="C2060" s="11"/>
      <c r="D2060" s="13"/>
      <c r="E2060" s="14"/>
      <c r="F2060" s="14"/>
      <c r="G2060" s="14"/>
      <c r="H2060" s="15"/>
      <c r="I2060" s="15"/>
      <c r="J2060" s="3"/>
      <c r="K2060" s="3"/>
      <c r="L2060" s="3"/>
      <c r="M2060" s="3"/>
      <c r="N2060" s="3"/>
      <c r="O2060" s="3"/>
      <c r="P2060" s="3"/>
      <c r="Q2060" s="3"/>
      <c r="R2060" s="3"/>
      <c r="S2060" s="3"/>
      <c r="T2060" s="3"/>
      <c r="U2060" s="3"/>
      <c r="V2060" s="3"/>
      <c r="W2060" s="3"/>
      <c r="X2060" s="3"/>
      <c r="Y2060" s="3"/>
      <c r="Z2060" s="3"/>
      <c r="AA2060" s="3"/>
    </row>
    <row r="2061" ht="105.75" customHeight="1">
      <c r="A2061" s="11"/>
      <c r="B2061" s="12"/>
      <c r="C2061" s="11"/>
      <c r="D2061" s="13"/>
      <c r="E2061" s="16"/>
      <c r="F2061" s="16"/>
      <c r="G2061" s="16"/>
      <c r="H2061" s="15"/>
      <c r="I2061" s="15"/>
      <c r="J2061" s="3"/>
      <c r="K2061" s="3"/>
      <c r="L2061" s="3"/>
      <c r="M2061" s="3"/>
      <c r="N2061" s="3"/>
      <c r="O2061" s="3"/>
      <c r="P2061" s="3"/>
      <c r="Q2061" s="3"/>
      <c r="R2061" s="3"/>
      <c r="S2061" s="3"/>
      <c r="T2061" s="3"/>
      <c r="U2061" s="3"/>
      <c r="V2061" s="3"/>
      <c r="W2061" s="3"/>
      <c r="X2061" s="3"/>
      <c r="Y2061" s="3"/>
      <c r="Z2061" s="3"/>
      <c r="AA2061" s="3"/>
    </row>
    <row r="2062" ht="105.75" customHeight="1">
      <c r="A2062" s="11"/>
      <c r="B2062" s="12"/>
      <c r="C2062" s="11"/>
      <c r="D2062" s="13"/>
      <c r="E2062" s="14"/>
      <c r="F2062" s="14"/>
      <c r="G2062" s="14"/>
      <c r="H2062" s="15"/>
      <c r="I2062" s="15"/>
      <c r="J2062" s="3"/>
      <c r="K2062" s="3"/>
      <c r="L2062" s="3"/>
      <c r="M2062" s="3"/>
      <c r="N2062" s="3"/>
      <c r="O2062" s="3"/>
      <c r="P2062" s="3"/>
      <c r="Q2062" s="3"/>
      <c r="R2062" s="3"/>
      <c r="S2062" s="3"/>
      <c r="T2062" s="3"/>
      <c r="U2062" s="3"/>
      <c r="V2062" s="3"/>
      <c r="W2062" s="3"/>
      <c r="X2062" s="3"/>
      <c r="Y2062" s="3"/>
      <c r="Z2062" s="3"/>
      <c r="AA2062" s="3"/>
    </row>
    <row r="2063" ht="105.75" customHeight="1">
      <c r="A2063" s="11"/>
      <c r="B2063" s="12"/>
      <c r="C2063" s="11"/>
      <c r="D2063" s="13"/>
      <c r="E2063" s="14"/>
      <c r="F2063" s="14"/>
      <c r="G2063" s="14"/>
      <c r="H2063" s="15"/>
      <c r="I2063" s="15"/>
      <c r="J2063" s="3"/>
      <c r="K2063" s="3"/>
      <c r="L2063" s="3"/>
      <c r="M2063" s="3"/>
      <c r="N2063" s="3"/>
      <c r="O2063" s="3"/>
      <c r="P2063" s="3"/>
      <c r="Q2063" s="3"/>
      <c r="R2063" s="3"/>
      <c r="S2063" s="3"/>
      <c r="T2063" s="3"/>
      <c r="U2063" s="3"/>
      <c r="V2063" s="3"/>
      <c r="W2063" s="3"/>
      <c r="X2063" s="3"/>
      <c r="Y2063" s="3"/>
      <c r="Z2063" s="3"/>
      <c r="AA2063" s="3"/>
    </row>
    <row r="2064" ht="105.75" customHeight="1">
      <c r="A2064" s="11"/>
      <c r="B2064" s="12"/>
      <c r="C2064" s="11"/>
      <c r="D2064" s="13"/>
      <c r="E2064" s="16"/>
      <c r="F2064" s="16"/>
      <c r="G2064" s="16"/>
      <c r="H2064" s="15"/>
      <c r="I2064" s="15"/>
      <c r="J2064" s="3"/>
      <c r="K2064" s="3"/>
      <c r="L2064" s="3"/>
      <c r="M2064" s="3"/>
      <c r="N2064" s="3"/>
      <c r="O2064" s="3"/>
      <c r="P2064" s="3"/>
      <c r="Q2064" s="3"/>
      <c r="R2064" s="3"/>
      <c r="S2064" s="3"/>
      <c r="T2064" s="3"/>
      <c r="U2064" s="3"/>
      <c r="V2064" s="3"/>
      <c r="W2064" s="3"/>
      <c r="X2064" s="3"/>
      <c r="Y2064" s="3"/>
      <c r="Z2064" s="3"/>
      <c r="AA2064" s="3"/>
    </row>
    <row r="2065" ht="105.75" customHeight="1">
      <c r="A2065" s="11"/>
      <c r="B2065" s="12"/>
      <c r="C2065" s="11"/>
      <c r="D2065" s="13"/>
      <c r="E2065" s="14"/>
      <c r="F2065" s="14"/>
      <c r="G2065" s="14"/>
      <c r="H2065" s="15"/>
      <c r="I2065" s="15"/>
      <c r="J2065" s="3"/>
      <c r="K2065" s="3"/>
      <c r="L2065" s="3"/>
      <c r="M2065" s="3"/>
      <c r="N2065" s="3"/>
      <c r="O2065" s="3"/>
      <c r="P2065" s="3"/>
      <c r="Q2065" s="3"/>
      <c r="R2065" s="3"/>
      <c r="S2065" s="3"/>
      <c r="T2065" s="3"/>
      <c r="U2065" s="3"/>
      <c r="V2065" s="3"/>
      <c r="W2065" s="3"/>
      <c r="X2065" s="3"/>
      <c r="Y2065" s="3"/>
      <c r="Z2065" s="3"/>
      <c r="AA2065" s="3"/>
    </row>
    <row r="2066" ht="105.75" customHeight="1">
      <c r="A2066" s="11"/>
      <c r="B2066" s="12"/>
      <c r="C2066" s="11"/>
      <c r="D2066" s="13"/>
      <c r="E2066" s="14"/>
      <c r="F2066" s="14"/>
      <c r="G2066" s="14"/>
      <c r="H2066" s="15"/>
      <c r="I2066" s="15"/>
      <c r="J2066" s="3"/>
      <c r="K2066" s="3"/>
      <c r="L2066" s="3"/>
      <c r="M2066" s="3"/>
      <c r="N2066" s="3"/>
      <c r="O2066" s="3"/>
      <c r="P2066" s="3"/>
      <c r="Q2066" s="3"/>
      <c r="R2066" s="3"/>
      <c r="S2066" s="3"/>
      <c r="T2066" s="3"/>
      <c r="U2066" s="3"/>
      <c r="V2066" s="3"/>
      <c r="W2066" s="3"/>
      <c r="X2066" s="3"/>
      <c r="Y2066" s="3"/>
      <c r="Z2066" s="3"/>
      <c r="AA2066" s="3"/>
    </row>
    <row r="2067" ht="105.75" customHeight="1">
      <c r="A2067" s="11"/>
      <c r="B2067" s="12"/>
      <c r="C2067" s="11"/>
      <c r="D2067" s="13"/>
      <c r="E2067" s="14"/>
      <c r="F2067" s="14"/>
      <c r="G2067" s="14"/>
      <c r="H2067" s="15"/>
      <c r="I2067" s="15"/>
      <c r="J2067" s="3"/>
      <c r="K2067" s="3"/>
      <c r="L2067" s="3"/>
      <c r="M2067" s="3"/>
      <c r="N2067" s="3"/>
      <c r="O2067" s="3"/>
      <c r="P2067" s="3"/>
      <c r="Q2067" s="3"/>
      <c r="R2067" s="3"/>
      <c r="S2067" s="3"/>
      <c r="T2067" s="3"/>
      <c r="U2067" s="3"/>
      <c r="V2067" s="3"/>
      <c r="W2067" s="3"/>
      <c r="X2067" s="3"/>
      <c r="Y2067" s="3"/>
      <c r="Z2067" s="3"/>
      <c r="AA2067" s="3"/>
    </row>
    <row r="2068" ht="105.75" customHeight="1">
      <c r="A2068" s="11"/>
      <c r="B2068" s="12"/>
      <c r="C2068" s="11"/>
      <c r="D2068" s="13"/>
      <c r="E2068" s="14"/>
      <c r="F2068" s="14"/>
      <c r="G2068" s="14"/>
      <c r="H2068" s="15"/>
      <c r="I2068" s="15"/>
      <c r="J2068" s="3"/>
      <c r="K2068" s="3"/>
      <c r="L2068" s="3"/>
      <c r="M2068" s="3"/>
      <c r="N2068" s="3"/>
      <c r="O2068" s="3"/>
      <c r="P2068" s="3"/>
      <c r="Q2068" s="3"/>
      <c r="R2068" s="3"/>
      <c r="S2068" s="3"/>
      <c r="T2068" s="3"/>
      <c r="U2068" s="3"/>
      <c r="V2068" s="3"/>
      <c r="W2068" s="3"/>
      <c r="X2068" s="3"/>
      <c r="Y2068" s="3"/>
      <c r="Z2068" s="3"/>
      <c r="AA2068" s="3"/>
    </row>
    <row r="2069" ht="105.75" customHeight="1">
      <c r="A2069" s="11"/>
      <c r="B2069" s="12"/>
      <c r="C2069" s="11"/>
      <c r="D2069" s="13"/>
      <c r="E2069" s="14"/>
      <c r="F2069" s="14"/>
      <c r="G2069" s="14"/>
      <c r="H2069" s="15"/>
      <c r="I2069" s="15"/>
      <c r="J2069" s="3"/>
      <c r="K2069" s="3"/>
      <c r="L2069" s="3"/>
      <c r="M2069" s="3"/>
      <c r="N2069" s="3"/>
      <c r="O2069" s="3"/>
      <c r="P2069" s="3"/>
      <c r="Q2069" s="3"/>
      <c r="R2069" s="3"/>
      <c r="S2069" s="3"/>
      <c r="T2069" s="3"/>
      <c r="U2069" s="3"/>
      <c r="V2069" s="3"/>
      <c r="W2069" s="3"/>
      <c r="X2069" s="3"/>
      <c r="Y2069" s="3"/>
      <c r="Z2069" s="3"/>
      <c r="AA2069" s="3"/>
    </row>
    <row r="2070" ht="105.75" customHeight="1">
      <c r="A2070" s="11"/>
      <c r="B2070" s="12"/>
      <c r="C2070" s="11"/>
      <c r="D2070" s="13"/>
      <c r="E2070" s="14"/>
      <c r="F2070" s="14"/>
      <c r="G2070" s="14"/>
      <c r="H2070" s="15"/>
      <c r="I2070" s="15"/>
      <c r="J2070" s="3"/>
      <c r="K2070" s="3"/>
      <c r="L2070" s="3"/>
      <c r="M2070" s="3"/>
      <c r="N2070" s="3"/>
      <c r="O2070" s="3"/>
      <c r="P2070" s="3"/>
      <c r="Q2070" s="3"/>
      <c r="R2070" s="3"/>
      <c r="S2070" s="3"/>
      <c r="T2070" s="3"/>
      <c r="U2070" s="3"/>
      <c r="V2070" s="3"/>
      <c r="W2070" s="3"/>
      <c r="X2070" s="3"/>
      <c r="Y2070" s="3"/>
      <c r="Z2070" s="3"/>
      <c r="AA2070" s="3"/>
    </row>
    <row r="2071" ht="105.75" customHeight="1">
      <c r="A2071" s="11"/>
      <c r="B2071" s="12"/>
      <c r="C2071" s="11"/>
      <c r="D2071" s="13"/>
      <c r="E2071" s="14"/>
      <c r="F2071" s="14"/>
      <c r="G2071" s="14"/>
      <c r="H2071" s="15"/>
      <c r="I2071" s="15"/>
      <c r="J2071" s="3"/>
      <c r="K2071" s="3"/>
      <c r="L2071" s="3"/>
      <c r="M2071" s="3"/>
      <c r="N2071" s="3"/>
      <c r="O2071" s="3"/>
      <c r="P2071" s="3"/>
      <c r="Q2071" s="3"/>
      <c r="R2071" s="3"/>
      <c r="S2071" s="3"/>
      <c r="T2071" s="3"/>
      <c r="U2071" s="3"/>
      <c r="V2071" s="3"/>
      <c r="W2071" s="3"/>
      <c r="X2071" s="3"/>
      <c r="Y2071" s="3"/>
      <c r="Z2071" s="3"/>
      <c r="AA2071" s="3"/>
    </row>
    <row r="2072" ht="105.75" customHeight="1">
      <c r="A2072" s="11"/>
      <c r="B2072" s="12"/>
      <c r="C2072" s="11"/>
      <c r="D2072" s="13"/>
      <c r="E2072" s="14"/>
      <c r="F2072" s="14"/>
      <c r="G2072" s="14"/>
      <c r="H2072" s="15"/>
      <c r="I2072" s="15"/>
      <c r="J2072" s="3"/>
      <c r="K2072" s="3"/>
      <c r="L2072" s="3"/>
      <c r="M2072" s="3"/>
      <c r="N2072" s="3"/>
      <c r="O2072" s="3"/>
      <c r="P2072" s="3"/>
      <c r="Q2072" s="3"/>
      <c r="R2072" s="3"/>
      <c r="S2072" s="3"/>
      <c r="T2072" s="3"/>
      <c r="U2072" s="3"/>
      <c r="V2072" s="3"/>
      <c r="W2072" s="3"/>
      <c r="X2072" s="3"/>
      <c r="Y2072" s="3"/>
      <c r="Z2072" s="3"/>
      <c r="AA2072" s="3"/>
    </row>
    <row r="2073" ht="105.75" customHeight="1">
      <c r="A2073" s="11"/>
      <c r="B2073" s="12"/>
      <c r="C2073" s="11"/>
      <c r="D2073" s="13"/>
      <c r="E2073" s="14"/>
      <c r="F2073" s="14"/>
      <c r="G2073" s="14"/>
      <c r="H2073" s="15"/>
      <c r="I2073" s="15"/>
      <c r="J2073" s="3"/>
      <c r="K2073" s="3"/>
      <c r="L2073" s="3"/>
      <c r="M2073" s="3"/>
      <c r="N2073" s="3"/>
      <c r="O2073" s="3"/>
      <c r="P2073" s="3"/>
      <c r="Q2073" s="3"/>
      <c r="R2073" s="3"/>
      <c r="S2073" s="3"/>
      <c r="T2073" s="3"/>
      <c r="U2073" s="3"/>
      <c r="V2073" s="3"/>
      <c r="W2073" s="3"/>
      <c r="X2073" s="3"/>
      <c r="Y2073" s="3"/>
      <c r="Z2073" s="3"/>
      <c r="AA2073" s="3"/>
    </row>
    <row r="2074" ht="105.75" customHeight="1">
      <c r="A2074" s="11"/>
      <c r="B2074" s="12"/>
      <c r="C2074" s="11"/>
      <c r="D2074" s="13"/>
      <c r="E2074" s="14"/>
      <c r="F2074" s="14"/>
      <c r="G2074" s="14"/>
      <c r="H2074" s="15"/>
      <c r="I2074" s="15"/>
      <c r="J2074" s="3"/>
      <c r="K2074" s="3"/>
      <c r="L2074" s="3"/>
      <c r="M2074" s="3"/>
      <c r="N2074" s="3"/>
      <c r="O2074" s="3"/>
      <c r="P2074" s="3"/>
      <c r="Q2074" s="3"/>
      <c r="R2074" s="3"/>
      <c r="S2074" s="3"/>
      <c r="T2074" s="3"/>
      <c r="U2074" s="3"/>
      <c r="V2074" s="3"/>
      <c r="W2074" s="3"/>
      <c r="X2074" s="3"/>
      <c r="Y2074" s="3"/>
      <c r="Z2074" s="3"/>
      <c r="AA2074" s="3"/>
    </row>
    <row r="2075" ht="105.75" customHeight="1">
      <c r="A2075" s="11"/>
      <c r="B2075" s="12"/>
      <c r="C2075" s="11"/>
      <c r="D2075" s="13"/>
      <c r="E2075" s="14"/>
      <c r="F2075" s="14"/>
      <c r="G2075" s="14"/>
      <c r="H2075" s="15"/>
      <c r="I2075" s="15"/>
      <c r="J2075" s="3"/>
      <c r="K2075" s="3"/>
      <c r="L2075" s="3"/>
      <c r="M2075" s="3"/>
      <c r="N2075" s="3"/>
      <c r="O2075" s="3"/>
      <c r="P2075" s="3"/>
      <c r="Q2075" s="3"/>
      <c r="R2075" s="3"/>
      <c r="S2075" s="3"/>
      <c r="T2075" s="3"/>
      <c r="U2075" s="3"/>
      <c r="V2075" s="3"/>
      <c r="W2075" s="3"/>
      <c r="X2075" s="3"/>
      <c r="Y2075" s="3"/>
      <c r="Z2075" s="3"/>
      <c r="AA2075" s="3"/>
    </row>
    <row r="2076" ht="105.75" customHeight="1">
      <c r="A2076" s="11"/>
      <c r="B2076" s="12"/>
      <c r="C2076" s="11"/>
      <c r="D2076" s="13"/>
      <c r="E2076" s="14"/>
      <c r="F2076" s="14"/>
      <c r="G2076" s="14"/>
      <c r="H2076" s="15"/>
      <c r="I2076" s="15"/>
      <c r="J2076" s="3"/>
      <c r="K2076" s="3"/>
      <c r="L2076" s="3"/>
      <c r="M2076" s="3"/>
      <c r="N2076" s="3"/>
      <c r="O2076" s="3"/>
      <c r="P2076" s="3"/>
      <c r="Q2076" s="3"/>
      <c r="R2076" s="3"/>
      <c r="S2076" s="3"/>
      <c r="T2076" s="3"/>
      <c r="U2076" s="3"/>
      <c r="V2076" s="3"/>
      <c r="W2076" s="3"/>
      <c r="X2076" s="3"/>
      <c r="Y2076" s="3"/>
      <c r="Z2076" s="3"/>
      <c r="AA2076" s="3"/>
    </row>
    <row r="2077" ht="105.75" customHeight="1">
      <c r="A2077" s="11"/>
      <c r="B2077" s="12"/>
      <c r="C2077" s="11"/>
      <c r="D2077" s="13"/>
      <c r="E2077" s="14"/>
      <c r="F2077" s="14"/>
      <c r="G2077" s="14"/>
      <c r="H2077" s="15"/>
      <c r="I2077" s="15"/>
      <c r="J2077" s="3"/>
      <c r="K2077" s="3"/>
      <c r="L2077" s="3"/>
      <c r="M2077" s="3"/>
      <c r="N2077" s="3"/>
      <c r="O2077" s="3"/>
      <c r="P2077" s="3"/>
      <c r="Q2077" s="3"/>
      <c r="R2077" s="3"/>
      <c r="S2077" s="3"/>
      <c r="T2077" s="3"/>
      <c r="U2077" s="3"/>
      <c r="V2077" s="3"/>
      <c r="W2077" s="3"/>
      <c r="X2077" s="3"/>
      <c r="Y2077" s="3"/>
      <c r="Z2077" s="3"/>
      <c r="AA2077" s="3"/>
    </row>
    <row r="2078" ht="105.75" customHeight="1">
      <c r="A2078" s="11"/>
      <c r="B2078" s="12"/>
      <c r="C2078" s="11"/>
      <c r="D2078" s="13"/>
      <c r="E2078" s="16"/>
      <c r="F2078" s="16"/>
      <c r="G2078" s="16"/>
      <c r="H2078" s="15"/>
      <c r="I2078" s="15"/>
      <c r="J2078" s="3"/>
      <c r="K2078" s="3"/>
      <c r="L2078" s="3"/>
      <c r="M2078" s="3"/>
      <c r="N2078" s="3"/>
      <c r="O2078" s="3"/>
      <c r="P2078" s="3"/>
      <c r="Q2078" s="3"/>
      <c r="R2078" s="3"/>
      <c r="S2078" s="3"/>
      <c r="T2078" s="3"/>
      <c r="U2078" s="3"/>
      <c r="V2078" s="3"/>
      <c r="W2078" s="3"/>
      <c r="X2078" s="3"/>
      <c r="Y2078" s="3"/>
      <c r="Z2078" s="3"/>
      <c r="AA2078" s="3"/>
    </row>
    <row r="2079" ht="105.75" customHeight="1">
      <c r="A2079" s="11"/>
      <c r="B2079" s="12"/>
      <c r="C2079" s="11"/>
      <c r="D2079" s="13"/>
      <c r="E2079" s="16"/>
      <c r="F2079" s="16"/>
      <c r="G2079" s="16"/>
      <c r="H2079" s="15"/>
      <c r="I2079" s="15"/>
      <c r="J2079" s="3"/>
      <c r="K2079" s="3"/>
      <c r="L2079" s="3"/>
      <c r="M2079" s="3"/>
      <c r="N2079" s="3"/>
      <c r="O2079" s="3"/>
      <c r="P2079" s="3"/>
      <c r="Q2079" s="3"/>
      <c r="R2079" s="3"/>
      <c r="S2079" s="3"/>
      <c r="T2079" s="3"/>
      <c r="U2079" s="3"/>
      <c r="V2079" s="3"/>
      <c r="W2079" s="3"/>
      <c r="X2079" s="3"/>
      <c r="Y2079" s="3"/>
      <c r="Z2079" s="3"/>
      <c r="AA2079" s="3"/>
    </row>
    <row r="2080" ht="105.75" customHeight="1">
      <c r="A2080" s="11"/>
      <c r="B2080" s="12"/>
      <c r="C2080" s="11"/>
      <c r="D2080" s="13"/>
      <c r="E2080" s="16"/>
      <c r="F2080" s="16"/>
      <c r="G2080" s="16"/>
      <c r="H2080" s="15"/>
      <c r="I2080" s="15"/>
      <c r="J2080" s="3"/>
      <c r="K2080" s="3"/>
      <c r="L2080" s="3"/>
      <c r="M2080" s="3"/>
      <c r="N2080" s="3"/>
      <c r="O2080" s="3"/>
      <c r="P2080" s="3"/>
      <c r="Q2080" s="3"/>
      <c r="R2080" s="3"/>
      <c r="S2080" s="3"/>
      <c r="T2080" s="3"/>
      <c r="U2080" s="3"/>
      <c r="V2080" s="3"/>
      <c r="W2080" s="3"/>
      <c r="X2080" s="3"/>
      <c r="Y2080" s="3"/>
      <c r="Z2080" s="3"/>
      <c r="AA2080" s="3"/>
    </row>
    <row r="2081" ht="105.75" customHeight="1">
      <c r="A2081" s="11"/>
      <c r="B2081" s="12"/>
      <c r="C2081" s="11"/>
      <c r="D2081" s="13"/>
      <c r="E2081" s="14"/>
      <c r="F2081" s="14"/>
      <c r="G2081" s="14"/>
      <c r="H2081" s="15"/>
      <c r="I2081" s="15"/>
      <c r="J2081" s="3"/>
      <c r="K2081" s="3"/>
      <c r="L2081" s="3"/>
      <c r="M2081" s="3"/>
      <c r="N2081" s="3"/>
      <c r="O2081" s="3"/>
      <c r="P2081" s="3"/>
      <c r="Q2081" s="3"/>
      <c r="R2081" s="3"/>
      <c r="S2081" s="3"/>
      <c r="T2081" s="3"/>
      <c r="U2081" s="3"/>
      <c r="V2081" s="3"/>
      <c r="W2081" s="3"/>
      <c r="X2081" s="3"/>
      <c r="Y2081" s="3"/>
      <c r="Z2081" s="3"/>
      <c r="AA2081" s="3"/>
    </row>
    <row r="2082" ht="105.75" customHeight="1">
      <c r="A2082" s="11"/>
      <c r="B2082" s="12"/>
      <c r="C2082" s="11"/>
      <c r="D2082" s="13"/>
      <c r="E2082" s="14"/>
      <c r="F2082" s="14"/>
      <c r="G2082" s="14"/>
      <c r="H2082" s="15"/>
      <c r="I2082" s="15"/>
      <c r="J2082" s="3"/>
      <c r="K2082" s="3"/>
      <c r="L2082" s="3"/>
      <c r="M2082" s="3"/>
      <c r="N2082" s="3"/>
      <c r="O2082" s="3"/>
      <c r="P2082" s="3"/>
      <c r="Q2082" s="3"/>
      <c r="R2082" s="3"/>
      <c r="S2082" s="3"/>
      <c r="T2082" s="3"/>
      <c r="U2082" s="3"/>
      <c r="V2082" s="3"/>
      <c r="W2082" s="3"/>
      <c r="X2082" s="3"/>
      <c r="Y2082" s="3"/>
      <c r="Z2082" s="3"/>
      <c r="AA2082" s="3"/>
    </row>
    <row r="2083" ht="105.75" customHeight="1">
      <c r="A2083" s="11"/>
      <c r="B2083" s="12"/>
      <c r="C2083" s="11"/>
      <c r="D2083" s="13"/>
      <c r="E2083" s="14"/>
      <c r="F2083" s="14"/>
      <c r="G2083" s="14"/>
      <c r="H2083" s="15"/>
      <c r="I2083" s="15"/>
      <c r="J2083" s="3"/>
      <c r="K2083" s="3"/>
      <c r="L2083" s="3"/>
      <c r="M2083" s="3"/>
      <c r="N2083" s="3"/>
      <c r="O2083" s="3"/>
      <c r="P2083" s="3"/>
      <c r="Q2083" s="3"/>
      <c r="R2083" s="3"/>
      <c r="S2083" s="3"/>
      <c r="T2083" s="3"/>
      <c r="U2083" s="3"/>
      <c r="V2083" s="3"/>
      <c r="W2083" s="3"/>
      <c r="X2083" s="3"/>
      <c r="Y2083" s="3"/>
      <c r="Z2083" s="3"/>
      <c r="AA2083" s="3"/>
    </row>
    <row r="2084" ht="105.75" customHeight="1">
      <c r="A2084" s="11"/>
      <c r="B2084" s="12"/>
      <c r="C2084" s="11"/>
      <c r="D2084" s="13"/>
      <c r="E2084" s="14"/>
      <c r="F2084" s="14"/>
      <c r="G2084" s="14"/>
      <c r="H2084" s="15"/>
      <c r="I2084" s="15"/>
      <c r="J2084" s="3"/>
      <c r="K2084" s="3"/>
      <c r="L2084" s="3"/>
      <c r="M2084" s="3"/>
      <c r="N2084" s="3"/>
      <c r="O2084" s="3"/>
      <c r="P2084" s="3"/>
      <c r="Q2084" s="3"/>
      <c r="R2084" s="3"/>
      <c r="S2084" s="3"/>
      <c r="T2084" s="3"/>
      <c r="U2084" s="3"/>
      <c r="V2084" s="3"/>
      <c r="W2084" s="3"/>
      <c r="X2084" s="3"/>
      <c r="Y2084" s="3"/>
      <c r="Z2084" s="3"/>
      <c r="AA2084" s="3"/>
    </row>
    <row r="2085" ht="105.75" customHeight="1">
      <c r="A2085" s="11"/>
      <c r="B2085" s="12"/>
      <c r="C2085" s="11"/>
      <c r="D2085" s="13"/>
      <c r="E2085" s="14"/>
      <c r="F2085" s="14"/>
      <c r="G2085" s="14"/>
      <c r="H2085" s="15"/>
      <c r="I2085" s="15"/>
      <c r="J2085" s="3"/>
      <c r="K2085" s="3"/>
      <c r="L2085" s="3"/>
      <c r="M2085" s="3"/>
      <c r="N2085" s="3"/>
      <c r="O2085" s="3"/>
      <c r="P2085" s="3"/>
      <c r="Q2085" s="3"/>
      <c r="R2085" s="3"/>
      <c r="S2085" s="3"/>
      <c r="T2085" s="3"/>
      <c r="U2085" s="3"/>
      <c r="V2085" s="3"/>
      <c r="W2085" s="3"/>
      <c r="X2085" s="3"/>
      <c r="Y2085" s="3"/>
      <c r="Z2085" s="3"/>
      <c r="AA2085" s="3"/>
    </row>
    <row r="2086" ht="105.75" customHeight="1">
      <c r="A2086" s="11"/>
      <c r="B2086" s="12"/>
      <c r="C2086" s="11"/>
      <c r="D2086" s="13"/>
      <c r="E2086" s="14"/>
      <c r="F2086" s="14"/>
      <c r="G2086" s="14"/>
      <c r="H2086" s="15"/>
      <c r="I2086" s="15"/>
      <c r="J2086" s="3"/>
      <c r="K2086" s="3"/>
      <c r="L2086" s="3"/>
      <c r="M2086" s="3"/>
      <c r="N2086" s="3"/>
      <c r="O2086" s="3"/>
      <c r="P2086" s="3"/>
      <c r="Q2086" s="3"/>
      <c r="R2086" s="3"/>
      <c r="S2086" s="3"/>
      <c r="T2086" s="3"/>
      <c r="U2086" s="3"/>
      <c r="V2086" s="3"/>
      <c r="W2086" s="3"/>
      <c r="X2086" s="3"/>
      <c r="Y2086" s="3"/>
      <c r="Z2086" s="3"/>
      <c r="AA2086" s="3"/>
    </row>
    <row r="2087" ht="105.75" customHeight="1">
      <c r="A2087" s="11"/>
      <c r="B2087" s="12"/>
      <c r="C2087" s="11"/>
      <c r="D2087" s="13"/>
      <c r="E2087" s="14"/>
      <c r="F2087" s="14"/>
      <c r="G2087" s="14"/>
      <c r="H2087" s="15"/>
      <c r="I2087" s="15"/>
      <c r="J2087" s="3"/>
      <c r="K2087" s="3"/>
      <c r="L2087" s="3"/>
      <c r="M2087" s="3"/>
      <c r="N2087" s="3"/>
      <c r="O2087" s="3"/>
      <c r="P2087" s="3"/>
      <c r="Q2087" s="3"/>
      <c r="R2087" s="3"/>
      <c r="S2087" s="3"/>
      <c r="T2087" s="3"/>
      <c r="U2087" s="3"/>
      <c r="V2087" s="3"/>
      <c r="W2087" s="3"/>
      <c r="X2087" s="3"/>
      <c r="Y2087" s="3"/>
      <c r="Z2087" s="3"/>
      <c r="AA2087" s="3"/>
    </row>
    <row r="2088" ht="105.75" customHeight="1">
      <c r="A2088" s="11"/>
      <c r="B2088" s="12"/>
      <c r="C2088" s="11"/>
      <c r="D2088" s="13"/>
      <c r="E2088" s="14"/>
      <c r="F2088" s="14"/>
      <c r="G2088" s="14"/>
      <c r="H2088" s="15"/>
      <c r="I2088" s="15"/>
      <c r="J2088" s="3"/>
      <c r="K2088" s="3"/>
      <c r="L2088" s="3"/>
      <c r="M2088" s="3"/>
      <c r="N2088" s="3"/>
      <c r="O2088" s="3"/>
      <c r="P2088" s="3"/>
      <c r="Q2088" s="3"/>
      <c r="R2088" s="3"/>
      <c r="S2088" s="3"/>
      <c r="T2088" s="3"/>
      <c r="U2088" s="3"/>
      <c r="V2088" s="3"/>
      <c r="W2088" s="3"/>
      <c r="X2088" s="3"/>
      <c r="Y2088" s="3"/>
      <c r="Z2088" s="3"/>
      <c r="AA2088" s="3"/>
    </row>
    <row r="2089" ht="105.75" customHeight="1">
      <c r="A2089" s="11"/>
      <c r="B2089" s="12"/>
      <c r="C2089" s="11"/>
      <c r="D2089" s="13"/>
      <c r="E2089" s="14"/>
      <c r="F2089" s="14"/>
      <c r="G2089" s="14"/>
      <c r="H2089" s="15"/>
      <c r="I2089" s="15"/>
      <c r="J2089" s="3"/>
      <c r="K2089" s="3"/>
      <c r="L2089" s="3"/>
      <c r="M2089" s="3"/>
      <c r="N2089" s="3"/>
      <c r="O2089" s="3"/>
      <c r="P2089" s="3"/>
      <c r="Q2089" s="3"/>
      <c r="R2089" s="3"/>
      <c r="S2089" s="3"/>
      <c r="T2089" s="3"/>
      <c r="U2089" s="3"/>
      <c r="V2089" s="3"/>
      <c r="W2089" s="3"/>
      <c r="X2089" s="3"/>
      <c r="Y2089" s="3"/>
      <c r="Z2089" s="3"/>
      <c r="AA2089" s="3"/>
    </row>
    <row r="2090" ht="105.75" customHeight="1">
      <c r="A2090" s="11"/>
      <c r="B2090" s="12"/>
      <c r="C2090" s="11"/>
      <c r="D2090" s="13"/>
      <c r="E2090" s="14"/>
      <c r="F2090" s="14"/>
      <c r="G2090" s="14"/>
      <c r="H2090" s="15"/>
      <c r="I2090" s="15"/>
      <c r="J2090" s="3"/>
      <c r="K2090" s="3"/>
      <c r="L2090" s="3"/>
      <c r="M2090" s="3"/>
      <c r="N2090" s="3"/>
      <c r="O2090" s="3"/>
      <c r="P2090" s="3"/>
      <c r="Q2090" s="3"/>
      <c r="R2090" s="3"/>
      <c r="S2090" s="3"/>
      <c r="T2090" s="3"/>
      <c r="U2090" s="3"/>
      <c r="V2090" s="3"/>
      <c r="W2090" s="3"/>
      <c r="X2090" s="3"/>
      <c r="Y2090" s="3"/>
      <c r="Z2090" s="3"/>
      <c r="AA2090" s="3"/>
    </row>
    <row r="2091" ht="105.75" customHeight="1">
      <c r="A2091" s="11"/>
      <c r="B2091" s="12"/>
      <c r="C2091" s="11"/>
      <c r="D2091" s="13"/>
      <c r="E2091" s="14"/>
      <c r="F2091" s="14"/>
      <c r="G2091" s="14"/>
      <c r="H2091" s="15"/>
      <c r="I2091" s="15"/>
      <c r="J2091" s="3"/>
      <c r="K2091" s="3"/>
      <c r="L2091" s="3"/>
      <c r="M2091" s="3"/>
      <c r="N2091" s="3"/>
      <c r="O2091" s="3"/>
      <c r="P2091" s="3"/>
      <c r="Q2091" s="3"/>
      <c r="R2091" s="3"/>
      <c r="S2091" s="3"/>
      <c r="T2091" s="3"/>
      <c r="U2091" s="3"/>
      <c r="V2091" s="3"/>
      <c r="W2091" s="3"/>
      <c r="X2091" s="3"/>
      <c r="Y2091" s="3"/>
      <c r="Z2091" s="3"/>
      <c r="AA2091" s="3"/>
    </row>
    <row r="2092" ht="105.75" customHeight="1">
      <c r="A2092" s="11"/>
      <c r="B2092" s="12"/>
      <c r="C2092" s="11"/>
      <c r="D2092" s="13"/>
      <c r="E2092" s="14"/>
      <c r="F2092" s="14"/>
      <c r="G2092" s="14"/>
      <c r="H2092" s="15"/>
      <c r="I2092" s="15"/>
      <c r="J2092" s="3"/>
      <c r="K2092" s="3"/>
      <c r="L2092" s="3"/>
      <c r="M2092" s="3"/>
      <c r="N2092" s="3"/>
      <c r="O2092" s="3"/>
      <c r="P2092" s="3"/>
      <c r="Q2092" s="3"/>
      <c r="R2092" s="3"/>
      <c r="S2092" s="3"/>
      <c r="T2092" s="3"/>
      <c r="U2092" s="3"/>
      <c r="V2092" s="3"/>
      <c r="W2092" s="3"/>
      <c r="X2092" s="3"/>
      <c r="Y2092" s="3"/>
      <c r="Z2092" s="3"/>
      <c r="AA2092" s="3"/>
    </row>
    <row r="2093" ht="105.75" customHeight="1">
      <c r="A2093" s="11"/>
      <c r="B2093" s="12"/>
      <c r="C2093" s="11"/>
      <c r="D2093" s="13"/>
      <c r="E2093" s="14"/>
      <c r="F2093" s="14"/>
      <c r="G2093" s="14"/>
      <c r="H2093" s="15"/>
      <c r="I2093" s="15"/>
      <c r="J2093" s="3"/>
      <c r="K2093" s="3"/>
      <c r="L2093" s="3"/>
      <c r="M2093" s="3"/>
      <c r="N2093" s="3"/>
      <c r="O2093" s="3"/>
      <c r="P2093" s="3"/>
      <c r="Q2093" s="3"/>
      <c r="R2093" s="3"/>
      <c r="S2093" s="3"/>
      <c r="T2093" s="3"/>
      <c r="U2093" s="3"/>
      <c r="V2093" s="3"/>
      <c r="W2093" s="3"/>
      <c r="X2093" s="3"/>
      <c r="Y2093" s="3"/>
      <c r="Z2093" s="3"/>
      <c r="AA2093" s="3"/>
    </row>
    <row r="2094" ht="105.75" customHeight="1">
      <c r="A2094" s="11"/>
      <c r="B2094" s="12"/>
      <c r="C2094" s="11"/>
      <c r="D2094" s="13"/>
      <c r="E2094" s="16"/>
      <c r="F2094" s="16"/>
      <c r="G2094" s="16"/>
      <c r="H2094" s="15"/>
      <c r="I2094" s="15"/>
      <c r="J2094" s="3"/>
      <c r="K2094" s="3"/>
      <c r="L2094" s="3"/>
      <c r="M2094" s="3"/>
      <c r="N2094" s="3"/>
      <c r="O2094" s="3"/>
      <c r="P2094" s="3"/>
      <c r="Q2094" s="3"/>
      <c r="R2094" s="3"/>
      <c r="S2094" s="3"/>
      <c r="T2094" s="3"/>
      <c r="U2094" s="3"/>
      <c r="V2094" s="3"/>
      <c r="W2094" s="3"/>
      <c r="X2094" s="3"/>
      <c r="Y2094" s="3"/>
      <c r="Z2094" s="3"/>
      <c r="AA2094" s="3"/>
    </row>
    <row r="2095" ht="105.75" customHeight="1">
      <c r="A2095" s="11"/>
      <c r="B2095" s="12"/>
      <c r="C2095" s="11"/>
      <c r="D2095" s="13"/>
      <c r="E2095" s="14"/>
      <c r="F2095" s="14"/>
      <c r="G2095" s="14"/>
      <c r="H2095" s="15"/>
      <c r="I2095" s="15"/>
      <c r="J2095" s="3"/>
      <c r="K2095" s="3"/>
      <c r="L2095" s="3"/>
      <c r="M2095" s="3"/>
      <c r="N2095" s="3"/>
      <c r="O2095" s="3"/>
      <c r="P2095" s="3"/>
      <c r="Q2095" s="3"/>
      <c r="R2095" s="3"/>
      <c r="S2095" s="3"/>
      <c r="T2095" s="3"/>
      <c r="U2095" s="3"/>
      <c r="V2095" s="3"/>
      <c r="W2095" s="3"/>
      <c r="X2095" s="3"/>
      <c r="Y2095" s="3"/>
      <c r="Z2095" s="3"/>
      <c r="AA2095" s="3"/>
    </row>
    <row r="2096" ht="105.75" customHeight="1">
      <c r="A2096" s="11"/>
      <c r="B2096" s="12"/>
      <c r="C2096" s="11"/>
      <c r="D2096" s="13"/>
      <c r="E2096" s="14"/>
      <c r="F2096" s="14"/>
      <c r="G2096" s="14"/>
      <c r="H2096" s="15"/>
      <c r="I2096" s="15"/>
      <c r="J2096" s="3"/>
      <c r="K2096" s="3"/>
      <c r="L2096" s="3"/>
      <c r="M2096" s="3"/>
      <c r="N2096" s="3"/>
      <c r="O2096" s="3"/>
      <c r="P2096" s="3"/>
      <c r="Q2096" s="3"/>
      <c r="R2096" s="3"/>
      <c r="S2096" s="3"/>
      <c r="T2096" s="3"/>
      <c r="U2096" s="3"/>
      <c r="V2096" s="3"/>
      <c r="W2096" s="3"/>
      <c r="X2096" s="3"/>
      <c r="Y2096" s="3"/>
      <c r="Z2096" s="3"/>
      <c r="AA2096" s="3"/>
    </row>
    <row r="2097" ht="105.75" customHeight="1">
      <c r="A2097" s="11"/>
      <c r="B2097" s="12"/>
      <c r="C2097" s="11"/>
      <c r="D2097" s="13"/>
      <c r="E2097" s="16"/>
      <c r="F2097" s="16"/>
      <c r="G2097" s="16"/>
      <c r="H2097" s="15"/>
      <c r="I2097" s="15"/>
      <c r="J2097" s="3"/>
      <c r="K2097" s="3"/>
      <c r="L2097" s="3"/>
      <c r="M2097" s="3"/>
      <c r="N2097" s="3"/>
      <c r="O2097" s="3"/>
      <c r="P2097" s="3"/>
      <c r="Q2097" s="3"/>
      <c r="R2097" s="3"/>
      <c r="S2097" s="3"/>
      <c r="T2097" s="3"/>
      <c r="U2097" s="3"/>
      <c r="V2097" s="3"/>
      <c r="W2097" s="3"/>
      <c r="X2097" s="3"/>
      <c r="Y2097" s="3"/>
      <c r="Z2097" s="3"/>
      <c r="AA2097" s="3"/>
    </row>
    <row r="2098" ht="105.75" customHeight="1">
      <c r="A2098" s="11"/>
      <c r="B2098" s="12"/>
      <c r="C2098" s="11"/>
      <c r="D2098" s="13"/>
      <c r="E2098" s="16"/>
      <c r="F2098" s="16"/>
      <c r="G2098" s="16"/>
      <c r="H2098" s="15"/>
      <c r="I2098" s="15"/>
      <c r="J2098" s="3"/>
      <c r="K2098" s="3"/>
      <c r="L2098" s="3"/>
      <c r="M2098" s="3"/>
      <c r="N2098" s="3"/>
      <c r="O2098" s="3"/>
      <c r="P2098" s="3"/>
      <c r="Q2098" s="3"/>
      <c r="R2098" s="3"/>
      <c r="S2098" s="3"/>
      <c r="T2098" s="3"/>
      <c r="U2098" s="3"/>
      <c r="V2098" s="3"/>
      <c r="W2098" s="3"/>
      <c r="X2098" s="3"/>
      <c r="Y2098" s="3"/>
      <c r="Z2098" s="3"/>
      <c r="AA2098" s="3"/>
    </row>
    <row r="2099" ht="105.75" customHeight="1">
      <c r="A2099" s="11"/>
      <c r="B2099" s="12"/>
      <c r="C2099" s="11"/>
      <c r="D2099" s="13"/>
      <c r="E2099" s="16"/>
      <c r="F2099" s="16"/>
      <c r="G2099" s="16"/>
      <c r="H2099" s="15"/>
      <c r="I2099" s="15"/>
      <c r="J2099" s="3"/>
      <c r="K2099" s="3"/>
      <c r="L2099" s="3"/>
      <c r="M2099" s="3"/>
      <c r="N2099" s="3"/>
      <c r="O2099" s="3"/>
      <c r="P2099" s="3"/>
      <c r="Q2099" s="3"/>
      <c r="R2099" s="3"/>
      <c r="S2099" s="3"/>
      <c r="T2099" s="3"/>
      <c r="U2099" s="3"/>
      <c r="V2099" s="3"/>
      <c r="W2099" s="3"/>
      <c r="X2099" s="3"/>
      <c r="Y2099" s="3"/>
      <c r="Z2099" s="3"/>
      <c r="AA2099" s="3"/>
    </row>
    <row r="2100" ht="105.75" customHeight="1">
      <c r="A2100" s="11"/>
      <c r="B2100" s="12"/>
      <c r="C2100" s="11"/>
      <c r="D2100" s="13"/>
      <c r="E2100" s="14"/>
      <c r="F2100" s="14"/>
      <c r="G2100" s="14"/>
      <c r="H2100" s="15"/>
      <c r="I2100" s="15"/>
      <c r="J2100" s="3"/>
      <c r="K2100" s="3"/>
      <c r="L2100" s="3"/>
      <c r="M2100" s="3"/>
      <c r="N2100" s="3"/>
      <c r="O2100" s="3"/>
      <c r="P2100" s="3"/>
      <c r="Q2100" s="3"/>
      <c r="R2100" s="3"/>
      <c r="S2100" s="3"/>
      <c r="T2100" s="3"/>
      <c r="U2100" s="3"/>
      <c r="V2100" s="3"/>
      <c r="W2100" s="3"/>
      <c r="X2100" s="3"/>
      <c r="Y2100" s="3"/>
      <c r="Z2100" s="3"/>
      <c r="AA2100" s="3"/>
    </row>
    <row r="2101" ht="105.75" customHeight="1">
      <c r="A2101" s="11"/>
      <c r="B2101" s="12"/>
      <c r="C2101" s="11"/>
      <c r="D2101" s="13"/>
      <c r="E2101" s="16"/>
      <c r="F2101" s="16"/>
      <c r="G2101" s="16"/>
      <c r="H2101" s="15"/>
      <c r="I2101" s="15"/>
      <c r="J2101" s="3"/>
      <c r="K2101" s="3"/>
      <c r="L2101" s="3"/>
      <c r="M2101" s="3"/>
      <c r="N2101" s="3"/>
      <c r="O2101" s="3"/>
      <c r="P2101" s="3"/>
      <c r="Q2101" s="3"/>
      <c r="R2101" s="3"/>
      <c r="S2101" s="3"/>
      <c r="T2101" s="3"/>
      <c r="U2101" s="3"/>
      <c r="V2101" s="3"/>
      <c r="W2101" s="3"/>
      <c r="X2101" s="3"/>
      <c r="Y2101" s="3"/>
      <c r="Z2101" s="3"/>
      <c r="AA2101" s="3"/>
    </row>
    <row r="2102" ht="105.75" customHeight="1">
      <c r="A2102" s="11"/>
      <c r="B2102" s="12"/>
      <c r="C2102" s="11"/>
      <c r="D2102" s="13"/>
      <c r="E2102" s="14"/>
      <c r="F2102" s="14"/>
      <c r="G2102" s="14"/>
      <c r="H2102" s="15"/>
      <c r="I2102" s="15"/>
      <c r="J2102" s="3"/>
      <c r="K2102" s="3"/>
      <c r="L2102" s="3"/>
      <c r="M2102" s="3"/>
      <c r="N2102" s="3"/>
      <c r="O2102" s="3"/>
      <c r="P2102" s="3"/>
      <c r="Q2102" s="3"/>
      <c r="R2102" s="3"/>
      <c r="S2102" s="3"/>
      <c r="T2102" s="3"/>
      <c r="U2102" s="3"/>
      <c r="V2102" s="3"/>
      <c r="W2102" s="3"/>
      <c r="X2102" s="3"/>
      <c r="Y2102" s="3"/>
      <c r="Z2102" s="3"/>
      <c r="AA2102" s="3"/>
    </row>
    <row r="2103" ht="105.75" customHeight="1">
      <c r="A2103" s="11"/>
      <c r="B2103" s="12"/>
      <c r="C2103" s="11"/>
      <c r="D2103" s="13"/>
      <c r="E2103" s="14"/>
      <c r="F2103" s="14"/>
      <c r="G2103" s="14"/>
      <c r="H2103" s="15"/>
      <c r="I2103" s="15"/>
      <c r="J2103" s="3"/>
      <c r="K2103" s="3"/>
      <c r="L2103" s="3"/>
      <c r="M2103" s="3"/>
      <c r="N2103" s="3"/>
      <c r="O2103" s="3"/>
      <c r="P2103" s="3"/>
      <c r="Q2103" s="3"/>
      <c r="R2103" s="3"/>
      <c r="S2103" s="3"/>
      <c r="T2103" s="3"/>
      <c r="U2103" s="3"/>
      <c r="V2103" s="3"/>
      <c r="W2103" s="3"/>
      <c r="X2103" s="3"/>
      <c r="Y2103" s="3"/>
      <c r="Z2103" s="3"/>
      <c r="AA2103" s="3"/>
    </row>
    <row r="2104" ht="105.75" customHeight="1">
      <c r="A2104" s="11"/>
      <c r="B2104" s="12"/>
      <c r="C2104" s="11"/>
      <c r="D2104" s="13"/>
      <c r="E2104" s="14"/>
      <c r="F2104" s="14"/>
      <c r="G2104" s="14"/>
      <c r="H2104" s="15"/>
      <c r="I2104" s="15"/>
      <c r="J2104" s="3"/>
      <c r="K2104" s="3"/>
      <c r="L2104" s="3"/>
      <c r="M2104" s="3"/>
      <c r="N2104" s="3"/>
      <c r="O2104" s="3"/>
      <c r="P2104" s="3"/>
      <c r="Q2104" s="3"/>
      <c r="R2104" s="3"/>
      <c r="S2104" s="3"/>
      <c r="T2104" s="3"/>
      <c r="U2104" s="3"/>
      <c r="V2104" s="3"/>
      <c r="W2104" s="3"/>
      <c r="X2104" s="3"/>
      <c r="Y2104" s="3"/>
      <c r="Z2104" s="3"/>
      <c r="AA2104" s="3"/>
    </row>
    <row r="2105" ht="105.75" customHeight="1">
      <c r="A2105" s="11"/>
      <c r="B2105" s="12"/>
      <c r="C2105" s="11"/>
      <c r="D2105" s="13"/>
      <c r="E2105" s="14"/>
      <c r="F2105" s="14"/>
      <c r="G2105" s="14"/>
      <c r="H2105" s="15"/>
      <c r="I2105" s="15"/>
      <c r="J2105" s="3"/>
      <c r="K2105" s="3"/>
      <c r="L2105" s="3"/>
      <c r="M2105" s="3"/>
      <c r="N2105" s="3"/>
      <c r="O2105" s="3"/>
      <c r="P2105" s="3"/>
      <c r="Q2105" s="3"/>
      <c r="R2105" s="3"/>
      <c r="S2105" s="3"/>
      <c r="T2105" s="3"/>
      <c r="U2105" s="3"/>
      <c r="V2105" s="3"/>
      <c r="W2105" s="3"/>
      <c r="X2105" s="3"/>
      <c r="Y2105" s="3"/>
      <c r="Z2105" s="3"/>
      <c r="AA2105" s="3"/>
    </row>
    <row r="2106" ht="105.75" customHeight="1">
      <c r="A2106" s="11"/>
      <c r="B2106" s="12"/>
      <c r="C2106" s="11"/>
      <c r="D2106" s="13"/>
      <c r="E2106" s="14"/>
      <c r="F2106" s="14"/>
      <c r="G2106" s="14"/>
      <c r="H2106" s="15"/>
      <c r="I2106" s="15"/>
      <c r="J2106" s="3"/>
      <c r="K2106" s="3"/>
      <c r="L2106" s="3"/>
      <c r="M2106" s="3"/>
      <c r="N2106" s="3"/>
      <c r="O2106" s="3"/>
      <c r="P2106" s="3"/>
      <c r="Q2106" s="3"/>
      <c r="R2106" s="3"/>
      <c r="S2106" s="3"/>
      <c r="T2106" s="3"/>
      <c r="U2106" s="3"/>
      <c r="V2106" s="3"/>
      <c r="W2106" s="3"/>
      <c r="X2106" s="3"/>
      <c r="Y2106" s="3"/>
      <c r="Z2106" s="3"/>
      <c r="AA2106" s="3"/>
    </row>
    <row r="2107" ht="105.75" customHeight="1">
      <c r="A2107" s="11"/>
      <c r="B2107" s="12"/>
      <c r="C2107" s="11"/>
      <c r="D2107" s="13"/>
      <c r="E2107" s="14"/>
      <c r="F2107" s="14"/>
      <c r="G2107" s="14"/>
      <c r="H2107" s="15"/>
      <c r="I2107" s="15"/>
      <c r="J2107" s="3"/>
      <c r="K2107" s="3"/>
      <c r="L2107" s="3"/>
      <c r="M2107" s="3"/>
      <c r="N2107" s="3"/>
      <c r="O2107" s="3"/>
      <c r="P2107" s="3"/>
      <c r="Q2107" s="3"/>
      <c r="R2107" s="3"/>
      <c r="S2107" s="3"/>
      <c r="T2107" s="3"/>
      <c r="U2107" s="3"/>
      <c r="V2107" s="3"/>
      <c r="W2107" s="3"/>
      <c r="X2107" s="3"/>
      <c r="Y2107" s="3"/>
      <c r="Z2107" s="3"/>
      <c r="AA2107" s="3"/>
    </row>
    <row r="2108" ht="105.75" customHeight="1">
      <c r="A2108" s="11"/>
      <c r="B2108" s="12"/>
      <c r="C2108" s="11"/>
      <c r="D2108" s="13"/>
      <c r="E2108" s="14"/>
      <c r="F2108" s="14"/>
      <c r="G2108" s="14"/>
      <c r="H2108" s="15"/>
      <c r="I2108" s="15"/>
      <c r="J2108" s="3"/>
      <c r="K2108" s="3"/>
      <c r="L2108" s="3"/>
      <c r="M2108" s="3"/>
      <c r="N2108" s="3"/>
      <c r="O2108" s="3"/>
      <c r="P2108" s="3"/>
      <c r="Q2108" s="3"/>
      <c r="R2108" s="3"/>
      <c r="S2108" s="3"/>
      <c r="T2108" s="3"/>
      <c r="U2108" s="3"/>
      <c r="V2108" s="3"/>
      <c r="W2108" s="3"/>
      <c r="X2108" s="3"/>
      <c r="Y2108" s="3"/>
      <c r="Z2108" s="3"/>
      <c r="AA2108" s="3"/>
    </row>
    <row r="2109" ht="105.75" customHeight="1">
      <c r="A2109" s="11"/>
      <c r="B2109" s="12"/>
      <c r="C2109" s="11"/>
      <c r="D2109" s="13"/>
      <c r="E2109" s="16"/>
      <c r="F2109" s="16"/>
      <c r="G2109" s="16"/>
      <c r="H2109" s="15"/>
      <c r="I2109" s="15"/>
      <c r="J2109" s="3"/>
      <c r="K2109" s="3"/>
      <c r="L2109" s="3"/>
      <c r="M2109" s="3"/>
      <c r="N2109" s="3"/>
      <c r="O2109" s="3"/>
      <c r="P2109" s="3"/>
      <c r="Q2109" s="3"/>
      <c r="R2109" s="3"/>
      <c r="S2109" s="3"/>
      <c r="T2109" s="3"/>
      <c r="U2109" s="3"/>
      <c r="V2109" s="3"/>
      <c r="W2109" s="3"/>
      <c r="X2109" s="3"/>
      <c r="Y2109" s="3"/>
      <c r="Z2109" s="3"/>
      <c r="AA2109" s="3"/>
    </row>
    <row r="2110" ht="105.75" customHeight="1">
      <c r="A2110" s="11"/>
      <c r="B2110" s="12"/>
      <c r="C2110" s="11"/>
      <c r="D2110" s="13"/>
      <c r="E2110" s="14"/>
      <c r="F2110" s="14"/>
      <c r="G2110" s="14"/>
      <c r="H2110" s="15"/>
      <c r="I2110" s="15"/>
      <c r="J2110" s="3"/>
      <c r="K2110" s="3"/>
      <c r="L2110" s="3"/>
      <c r="M2110" s="3"/>
      <c r="N2110" s="3"/>
      <c r="O2110" s="3"/>
      <c r="P2110" s="3"/>
      <c r="Q2110" s="3"/>
      <c r="R2110" s="3"/>
      <c r="S2110" s="3"/>
      <c r="T2110" s="3"/>
      <c r="U2110" s="3"/>
      <c r="V2110" s="3"/>
      <c r="W2110" s="3"/>
      <c r="X2110" s="3"/>
      <c r="Y2110" s="3"/>
      <c r="Z2110" s="3"/>
      <c r="AA2110" s="3"/>
    </row>
    <row r="2111" ht="105.75" customHeight="1">
      <c r="A2111" s="11"/>
      <c r="B2111" s="12"/>
      <c r="C2111" s="11"/>
      <c r="D2111" s="13"/>
      <c r="E2111" s="14"/>
      <c r="F2111" s="14"/>
      <c r="G2111" s="14"/>
      <c r="H2111" s="15"/>
      <c r="I2111" s="15"/>
      <c r="J2111" s="3"/>
      <c r="K2111" s="3"/>
      <c r="L2111" s="3"/>
      <c r="M2111" s="3"/>
      <c r="N2111" s="3"/>
      <c r="O2111" s="3"/>
      <c r="P2111" s="3"/>
      <c r="Q2111" s="3"/>
      <c r="R2111" s="3"/>
      <c r="S2111" s="3"/>
      <c r="T2111" s="3"/>
      <c r="U2111" s="3"/>
      <c r="V2111" s="3"/>
      <c r="W2111" s="3"/>
      <c r="X2111" s="3"/>
      <c r="Y2111" s="3"/>
      <c r="Z2111" s="3"/>
      <c r="AA2111" s="3"/>
    </row>
    <row r="2112" ht="105.75" customHeight="1">
      <c r="A2112" s="11"/>
      <c r="B2112" s="12"/>
      <c r="C2112" s="11"/>
      <c r="D2112" s="13"/>
      <c r="E2112" s="14"/>
      <c r="F2112" s="14"/>
      <c r="G2112" s="14"/>
      <c r="H2112" s="15"/>
      <c r="I2112" s="15"/>
      <c r="J2112" s="3"/>
      <c r="K2112" s="3"/>
      <c r="L2112" s="3"/>
      <c r="M2112" s="3"/>
      <c r="N2112" s="3"/>
      <c r="O2112" s="3"/>
      <c r="P2112" s="3"/>
      <c r="Q2112" s="3"/>
      <c r="R2112" s="3"/>
      <c r="S2112" s="3"/>
      <c r="T2112" s="3"/>
      <c r="U2112" s="3"/>
      <c r="V2112" s="3"/>
      <c r="W2112" s="3"/>
      <c r="X2112" s="3"/>
      <c r="Y2112" s="3"/>
      <c r="Z2112" s="3"/>
      <c r="AA2112" s="3"/>
    </row>
    <row r="2113" ht="105.75" customHeight="1">
      <c r="A2113" s="11"/>
      <c r="B2113" s="12"/>
      <c r="C2113" s="11"/>
      <c r="D2113" s="13"/>
      <c r="E2113" s="14"/>
      <c r="F2113" s="14"/>
      <c r="G2113" s="14"/>
      <c r="H2113" s="15"/>
      <c r="I2113" s="15"/>
      <c r="J2113" s="3"/>
      <c r="K2113" s="3"/>
      <c r="L2113" s="3"/>
      <c r="M2113" s="3"/>
      <c r="N2113" s="3"/>
      <c r="O2113" s="3"/>
      <c r="P2113" s="3"/>
      <c r="Q2113" s="3"/>
      <c r="R2113" s="3"/>
      <c r="S2113" s="3"/>
      <c r="T2113" s="3"/>
      <c r="U2113" s="3"/>
      <c r="V2113" s="3"/>
      <c r="W2113" s="3"/>
      <c r="X2113" s="3"/>
      <c r="Y2113" s="3"/>
      <c r="Z2113" s="3"/>
      <c r="AA2113" s="3"/>
    </row>
    <row r="2114" ht="105.75" customHeight="1">
      <c r="A2114" s="11"/>
      <c r="B2114" s="12"/>
      <c r="C2114" s="11"/>
      <c r="D2114" s="13"/>
      <c r="E2114" s="14"/>
      <c r="F2114" s="14"/>
      <c r="G2114" s="14"/>
      <c r="H2114" s="15"/>
      <c r="I2114" s="15"/>
      <c r="J2114" s="3"/>
      <c r="K2114" s="3"/>
      <c r="L2114" s="3"/>
      <c r="M2114" s="3"/>
      <c r="N2114" s="3"/>
      <c r="O2114" s="3"/>
      <c r="P2114" s="3"/>
      <c r="Q2114" s="3"/>
      <c r="R2114" s="3"/>
      <c r="S2114" s="3"/>
      <c r="T2114" s="3"/>
      <c r="U2114" s="3"/>
      <c r="V2114" s="3"/>
      <c r="W2114" s="3"/>
      <c r="X2114" s="3"/>
      <c r="Y2114" s="3"/>
      <c r="Z2114" s="3"/>
      <c r="AA2114" s="3"/>
    </row>
    <row r="2115" ht="105.75" customHeight="1">
      <c r="A2115" s="11"/>
      <c r="B2115" s="12"/>
      <c r="C2115" s="11"/>
      <c r="D2115" s="13"/>
      <c r="E2115" s="14"/>
      <c r="F2115" s="14"/>
      <c r="G2115" s="14"/>
      <c r="H2115" s="15"/>
      <c r="I2115" s="15"/>
      <c r="J2115" s="3"/>
      <c r="K2115" s="3"/>
      <c r="L2115" s="3"/>
      <c r="M2115" s="3"/>
      <c r="N2115" s="3"/>
      <c r="O2115" s="3"/>
      <c r="P2115" s="3"/>
      <c r="Q2115" s="3"/>
      <c r="R2115" s="3"/>
      <c r="S2115" s="3"/>
      <c r="T2115" s="3"/>
      <c r="U2115" s="3"/>
      <c r="V2115" s="3"/>
      <c r="W2115" s="3"/>
      <c r="X2115" s="3"/>
      <c r="Y2115" s="3"/>
      <c r="Z2115" s="3"/>
      <c r="AA2115" s="3"/>
    </row>
    <row r="2116" ht="105.75" customHeight="1">
      <c r="A2116" s="11"/>
      <c r="B2116" s="12"/>
      <c r="C2116" s="11"/>
      <c r="D2116" s="13"/>
      <c r="E2116" s="14"/>
      <c r="F2116" s="14"/>
      <c r="G2116" s="14"/>
      <c r="H2116" s="15"/>
      <c r="I2116" s="15"/>
      <c r="J2116" s="3"/>
      <c r="K2116" s="3"/>
      <c r="L2116" s="3"/>
      <c r="M2116" s="3"/>
      <c r="N2116" s="3"/>
      <c r="O2116" s="3"/>
      <c r="P2116" s="3"/>
      <c r="Q2116" s="3"/>
      <c r="R2116" s="3"/>
      <c r="S2116" s="3"/>
      <c r="T2116" s="3"/>
      <c r="U2116" s="3"/>
      <c r="V2116" s="3"/>
      <c r="W2116" s="3"/>
      <c r="X2116" s="3"/>
      <c r="Y2116" s="3"/>
      <c r="Z2116" s="3"/>
      <c r="AA2116" s="3"/>
    </row>
    <row r="2117" ht="105.75" customHeight="1">
      <c r="A2117" s="11"/>
      <c r="B2117" s="12"/>
      <c r="C2117" s="11"/>
      <c r="D2117" s="13"/>
      <c r="E2117" s="14"/>
      <c r="F2117" s="14"/>
      <c r="G2117" s="14"/>
      <c r="H2117" s="15"/>
      <c r="I2117" s="15"/>
      <c r="J2117" s="3"/>
      <c r="K2117" s="3"/>
      <c r="L2117" s="3"/>
      <c r="M2117" s="3"/>
      <c r="N2117" s="3"/>
      <c r="O2117" s="3"/>
      <c r="P2117" s="3"/>
      <c r="Q2117" s="3"/>
      <c r="R2117" s="3"/>
      <c r="S2117" s="3"/>
      <c r="T2117" s="3"/>
      <c r="U2117" s="3"/>
      <c r="V2117" s="3"/>
      <c r="W2117" s="3"/>
      <c r="X2117" s="3"/>
      <c r="Y2117" s="3"/>
      <c r="Z2117" s="3"/>
      <c r="AA2117" s="3"/>
    </row>
    <row r="2118" ht="105.75" customHeight="1">
      <c r="A2118" s="11"/>
      <c r="B2118" s="12"/>
      <c r="C2118" s="11"/>
      <c r="D2118" s="13"/>
      <c r="E2118" s="14"/>
      <c r="F2118" s="14"/>
      <c r="G2118" s="14"/>
      <c r="H2118" s="15"/>
      <c r="I2118" s="15"/>
      <c r="J2118" s="3"/>
      <c r="K2118" s="3"/>
      <c r="L2118" s="3"/>
      <c r="M2118" s="3"/>
      <c r="N2118" s="3"/>
      <c r="O2118" s="3"/>
      <c r="P2118" s="3"/>
      <c r="Q2118" s="3"/>
      <c r="R2118" s="3"/>
      <c r="S2118" s="3"/>
      <c r="T2118" s="3"/>
      <c r="U2118" s="3"/>
      <c r="V2118" s="3"/>
      <c r="W2118" s="3"/>
      <c r="X2118" s="3"/>
      <c r="Y2118" s="3"/>
      <c r="Z2118" s="3"/>
      <c r="AA2118" s="3"/>
    </row>
    <row r="2119" ht="105.75" customHeight="1">
      <c r="A2119" s="11"/>
      <c r="B2119" s="12"/>
      <c r="C2119" s="11"/>
      <c r="D2119" s="13"/>
      <c r="E2119" s="14"/>
      <c r="F2119" s="14"/>
      <c r="G2119" s="14"/>
      <c r="H2119" s="15"/>
      <c r="I2119" s="15"/>
      <c r="J2119" s="3"/>
      <c r="K2119" s="3"/>
      <c r="L2119" s="3"/>
      <c r="M2119" s="3"/>
      <c r="N2119" s="3"/>
      <c r="O2119" s="3"/>
      <c r="P2119" s="3"/>
      <c r="Q2119" s="3"/>
      <c r="R2119" s="3"/>
      <c r="S2119" s="3"/>
      <c r="T2119" s="3"/>
      <c r="U2119" s="3"/>
      <c r="V2119" s="3"/>
      <c r="W2119" s="3"/>
      <c r="X2119" s="3"/>
      <c r="Y2119" s="3"/>
      <c r="Z2119" s="3"/>
      <c r="AA2119" s="3"/>
    </row>
    <row r="2120" ht="105.75" customHeight="1">
      <c r="A2120" s="11"/>
      <c r="B2120" s="12"/>
      <c r="C2120" s="11"/>
      <c r="D2120" s="13"/>
      <c r="E2120" s="14"/>
      <c r="F2120" s="14"/>
      <c r="G2120" s="14"/>
      <c r="H2120" s="15"/>
      <c r="I2120" s="15"/>
      <c r="J2120" s="3"/>
      <c r="K2120" s="3"/>
      <c r="L2120" s="3"/>
      <c r="M2120" s="3"/>
      <c r="N2120" s="3"/>
      <c r="O2120" s="3"/>
      <c r="P2120" s="3"/>
      <c r="Q2120" s="3"/>
      <c r="R2120" s="3"/>
      <c r="S2120" s="3"/>
      <c r="T2120" s="3"/>
      <c r="U2120" s="3"/>
      <c r="V2120" s="3"/>
      <c r="W2120" s="3"/>
      <c r="X2120" s="3"/>
      <c r="Y2120" s="3"/>
      <c r="Z2120" s="3"/>
      <c r="AA2120" s="3"/>
    </row>
    <row r="2121" ht="105.75" customHeight="1">
      <c r="A2121" s="11"/>
      <c r="B2121" s="12"/>
      <c r="C2121" s="11"/>
      <c r="D2121" s="13"/>
      <c r="E2121" s="14"/>
      <c r="F2121" s="14"/>
      <c r="G2121" s="14"/>
      <c r="H2121" s="15"/>
      <c r="I2121" s="15"/>
      <c r="J2121" s="3"/>
      <c r="K2121" s="3"/>
      <c r="L2121" s="3"/>
      <c r="M2121" s="3"/>
      <c r="N2121" s="3"/>
      <c r="O2121" s="3"/>
      <c r="P2121" s="3"/>
      <c r="Q2121" s="3"/>
      <c r="R2121" s="3"/>
      <c r="S2121" s="3"/>
      <c r="T2121" s="3"/>
      <c r="U2121" s="3"/>
      <c r="V2121" s="3"/>
      <c r="W2121" s="3"/>
      <c r="X2121" s="3"/>
      <c r="Y2121" s="3"/>
      <c r="Z2121" s="3"/>
      <c r="AA2121" s="3"/>
    </row>
    <row r="2122" ht="105.75" customHeight="1">
      <c r="A2122" s="11"/>
      <c r="B2122" s="12"/>
      <c r="C2122" s="11"/>
      <c r="D2122" s="13"/>
      <c r="E2122" s="14"/>
      <c r="F2122" s="14"/>
      <c r="G2122" s="14"/>
      <c r="H2122" s="15"/>
      <c r="I2122" s="15"/>
      <c r="J2122" s="3"/>
      <c r="K2122" s="3"/>
      <c r="L2122" s="3"/>
      <c r="M2122" s="3"/>
      <c r="N2122" s="3"/>
      <c r="O2122" s="3"/>
      <c r="P2122" s="3"/>
      <c r="Q2122" s="3"/>
      <c r="R2122" s="3"/>
      <c r="S2122" s="3"/>
      <c r="T2122" s="3"/>
      <c r="U2122" s="3"/>
      <c r="V2122" s="3"/>
      <c r="W2122" s="3"/>
      <c r="X2122" s="3"/>
      <c r="Y2122" s="3"/>
      <c r="Z2122" s="3"/>
      <c r="AA2122" s="3"/>
    </row>
    <row r="2123" ht="105.75" customHeight="1">
      <c r="A2123" s="11"/>
      <c r="B2123" s="12"/>
      <c r="C2123" s="11"/>
      <c r="D2123" s="13"/>
      <c r="E2123" s="14"/>
      <c r="F2123" s="14"/>
      <c r="G2123" s="14"/>
      <c r="H2123" s="15"/>
      <c r="I2123" s="15"/>
      <c r="J2123" s="3"/>
      <c r="K2123" s="3"/>
      <c r="L2123" s="3"/>
      <c r="M2123" s="3"/>
      <c r="N2123" s="3"/>
      <c r="O2123" s="3"/>
      <c r="P2123" s="3"/>
      <c r="Q2123" s="3"/>
      <c r="R2123" s="3"/>
      <c r="S2123" s="3"/>
      <c r="T2123" s="3"/>
      <c r="U2123" s="3"/>
      <c r="V2123" s="3"/>
      <c r="W2123" s="3"/>
      <c r="X2123" s="3"/>
      <c r="Y2123" s="3"/>
      <c r="Z2123" s="3"/>
      <c r="AA2123" s="3"/>
    </row>
    <row r="2124" ht="105.75" customHeight="1">
      <c r="A2124" s="11"/>
      <c r="B2124" s="12"/>
      <c r="C2124" s="11"/>
      <c r="D2124" s="13"/>
      <c r="E2124" s="16"/>
      <c r="F2124" s="16"/>
      <c r="G2124" s="16"/>
      <c r="H2124" s="15"/>
      <c r="I2124" s="15"/>
      <c r="J2124" s="3"/>
      <c r="K2124" s="3"/>
      <c r="L2124" s="3"/>
      <c r="M2124" s="3"/>
      <c r="N2124" s="3"/>
      <c r="O2124" s="3"/>
      <c r="P2124" s="3"/>
      <c r="Q2124" s="3"/>
      <c r="R2124" s="3"/>
      <c r="S2124" s="3"/>
      <c r="T2124" s="3"/>
      <c r="U2124" s="3"/>
      <c r="V2124" s="3"/>
      <c r="W2124" s="3"/>
      <c r="X2124" s="3"/>
      <c r="Y2124" s="3"/>
      <c r="Z2124" s="3"/>
      <c r="AA2124" s="3"/>
    </row>
    <row r="2125" ht="105.75" customHeight="1">
      <c r="A2125" s="11"/>
      <c r="B2125" s="12"/>
      <c r="C2125" s="11"/>
      <c r="D2125" s="13"/>
      <c r="E2125" s="14"/>
      <c r="F2125" s="14"/>
      <c r="G2125" s="14"/>
      <c r="H2125" s="15"/>
      <c r="I2125" s="15"/>
      <c r="J2125" s="3"/>
      <c r="K2125" s="3"/>
      <c r="L2125" s="3"/>
      <c r="M2125" s="3"/>
      <c r="N2125" s="3"/>
      <c r="O2125" s="3"/>
      <c r="P2125" s="3"/>
      <c r="Q2125" s="3"/>
      <c r="R2125" s="3"/>
      <c r="S2125" s="3"/>
      <c r="T2125" s="3"/>
      <c r="U2125" s="3"/>
      <c r="V2125" s="3"/>
      <c r="W2125" s="3"/>
      <c r="X2125" s="3"/>
      <c r="Y2125" s="3"/>
      <c r="Z2125" s="3"/>
      <c r="AA2125" s="3"/>
    </row>
    <row r="2126" ht="105.75" customHeight="1">
      <c r="A2126" s="11"/>
      <c r="B2126" s="12"/>
      <c r="C2126" s="11"/>
      <c r="D2126" s="13"/>
      <c r="E2126" s="16"/>
      <c r="F2126" s="16"/>
      <c r="G2126" s="16"/>
      <c r="H2126" s="15"/>
      <c r="I2126" s="15"/>
      <c r="J2126" s="3"/>
      <c r="K2126" s="3"/>
      <c r="L2126" s="3"/>
      <c r="M2126" s="3"/>
      <c r="N2126" s="3"/>
      <c r="O2126" s="3"/>
      <c r="P2126" s="3"/>
      <c r="Q2126" s="3"/>
      <c r="R2126" s="3"/>
      <c r="S2126" s="3"/>
      <c r="T2126" s="3"/>
      <c r="U2126" s="3"/>
      <c r="V2126" s="3"/>
      <c r="W2126" s="3"/>
      <c r="X2126" s="3"/>
      <c r="Y2126" s="3"/>
      <c r="Z2126" s="3"/>
      <c r="AA2126" s="3"/>
    </row>
    <row r="2127" ht="105.75" customHeight="1">
      <c r="A2127" s="11"/>
      <c r="B2127" s="12"/>
      <c r="C2127" s="11"/>
      <c r="D2127" s="13"/>
      <c r="E2127" s="14"/>
      <c r="F2127" s="14"/>
      <c r="G2127" s="14"/>
      <c r="H2127" s="15"/>
      <c r="I2127" s="15"/>
      <c r="J2127" s="3"/>
      <c r="K2127" s="3"/>
      <c r="L2127" s="3"/>
      <c r="M2127" s="3"/>
      <c r="N2127" s="3"/>
      <c r="O2127" s="3"/>
      <c r="P2127" s="3"/>
      <c r="Q2127" s="3"/>
      <c r="R2127" s="3"/>
      <c r="S2127" s="3"/>
      <c r="T2127" s="3"/>
      <c r="U2127" s="3"/>
      <c r="V2127" s="3"/>
      <c r="W2127" s="3"/>
      <c r="X2127" s="3"/>
      <c r="Y2127" s="3"/>
      <c r="Z2127" s="3"/>
      <c r="AA2127" s="3"/>
    </row>
    <row r="2128" ht="105.75" customHeight="1">
      <c r="A2128" s="11"/>
      <c r="B2128" s="12"/>
      <c r="C2128" s="11"/>
      <c r="D2128" s="13"/>
      <c r="E2128" s="16"/>
      <c r="F2128" s="16"/>
      <c r="G2128" s="16"/>
      <c r="H2128" s="15"/>
      <c r="I2128" s="15"/>
      <c r="J2128" s="3"/>
      <c r="K2128" s="3"/>
      <c r="L2128" s="3"/>
      <c r="M2128" s="3"/>
      <c r="N2128" s="3"/>
      <c r="O2128" s="3"/>
      <c r="P2128" s="3"/>
      <c r="Q2128" s="3"/>
      <c r="R2128" s="3"/>
      <c r="S2128" s="3"/>
      <c r="T2128" s="3"/>
      <c r="U2128" s="3"/>
      <c r="V2128" s="3"/>
      <c r="W2128" s="3"/>
      <c r="X2128" s="3"/>
      <c r="Y2128" s="3"/>
      <c r="Z2128" s="3"/>
      <c r="AA2128" s="3"/>
    </row>
    <row r="2129" ht="105.75" customHeight="1">
      <c r="A2129" s="11"/>
      <c r="B2129" s="12"/>
      <c r="C2129" s="11"/>
      <c r="D2129" s="13"/>
      <c r="E2129" s="14"/>
      <c r="F2129" s="14"/>
      <c r="G2129" s="14"/>
      <c r="H2129" s="15"/>
      <c r="I2129" s="15"/>
      <c r="J2129" s="3"/>
      <c r="K2129" s="3"/>
      <c r="L2129" s="3"/>
      <c r="M2129" s="3"/>
      <c r="N2129" s="3"/>
      <c r="O2129" s="3"/>
      <c r="P2129" s="3"/>
      <c r="Q2129" s="3"/>
      <c r="R2129" s="3"/>
      <c r="S2129" s="3"/>
      <c r="T2129" s="3"/>
      <c r="U2129" s="3"/>
      <c r="V2129" s="3"/>
      <c r="W2129" s="3"/>
      <c r="X2129" s="3"/>
      <c r="Y2129" s="3"/>
      <c r="Z2129" s="3"/>
      <c r="AA2129" s="3"/>
    </row>
    <row r="2130" ht="105.75" customHeight="1">
      <c r="A2130" s="11"/>
      <c r="B2130" s="12"/>
      <c r="C2130" s="11"/>
      <c r="D2130" s="13"/>
      <c r="E2130" s="14"/>
      <c r="F2130" s="14"/>
      <c r="G2130" s="14"/>
      <c r="H2130" s="15"/>
      <c r="I2130" s="15"/>
      <c r="J2130" s="3"/>
      <c r="K2130" s="3"/>
      <c r="L2130" s="3"/>
      <c r="M2130" s="3"/>
      <c r="N2130" s="3"/>
      <c r="O2130" s="3"/>
      <c r="P2130" s="3"/>
      <c r="Q2130" s="3"/>
      <c r="R2130" s="3"/>
      <c r="S2130" s="3"/>
      <c r="T2130" s="3"/>
      <c r="U2130" s="3"/>
      <c r="V2130" s="3"/>
      <c r="W2130" s="3"/>
      <c r="X2130" s="3"/>
      <c r="Y2130" s="3"/>
      <c r="Z2130" s="3"/>
      <c r="AA2130" s="3"/>
    </row>
    <row r="2131" ht="105.75" customHeight="1">
      <c r="A2131" s="11"/>
      <c r="B2131" s="12"/>
      <c r="C2131" s="11"/>
      <c r="D2131" s="13"/>
      <c r="E2131" s="14"/>
      <c r="F2131" s="14"/>
      <c r="G2131" s="14"/>
      <c r="H2131" s="15"/>
      <c r="I2131" s="15"/>
      <c r="J2131" s="3"/>
      <c r="K2131" s="3"/>
      <c r="L2131" s="3"/>
      <c r="M2131" s="3"/>
      <c r="N2131" s="3"/>
      <c r="O2131" s="3"/>
      <c r="P2131" s="3"/>
      <c r="Q2131" s="3"/>
      <c r="R2131" s="3"/>
      <c r="S2131" s="3"/>
      <c r="T2131" s="3"/>
      <c r="U2131" s="3"/>
      <c r="V2131" s="3"/>
      <c r="W2131" s="3"/>
      <c r="X2131" s="3"/>
      <c r="Y2131" s="3"/>
      <c r="Z2131" s="3"/>
      <c r="AA2131" s="3"/>
    </row>
    <row r="2132" ht="105.75" customHeight="1">
      <c r="A2132" s="11"/>
      <c r="B2132" s="12"/>
      <c r="C2132" s="11"/>
      <c r="D2132" s="13"/>
      <c r="E2132" s="14"/>
      <c r="F2132" s="14"/>
      <c r="G2132" s="14"/>
      <c r="H2132" s="15"/>
      <c r="I2132" s="15"/>
      <c r="J2132" s="3"/>
      <c r="K2132" s="3"/>
      <c r="L2132" s="3"/>
      <c r="M2132" s="3"/>
      <c r="N2132" s="3"/>
      <c r="O2132" s="3"/>
      <c r="P2132" s="3"/>
      <c r="Q2132" s="3"/>
      <c r="R2132" s="3"/>
      <c r="S2132" s="3"/>
      <c r="T2132" s="3"/>
      <c r="U2132" s="3"/>
      <c r="V2132" s="3"/>
      <c r="W2132" s="3"/>
      <c r="X2132" s="3"/>
      <c r="Y2132" s="3"/>
      <c r="Z2132" s="3"/>
      <c r="AA2132" s="3"/>
    </row>
    <row r="2133" ht="105.75" customHeight="1">
      <c r="A2133" s="11"/>
      <c r="B2133" s="12"/>
      <c r="C2133" s="11"/>
      <c r="D2133" s="13"/>
      <c r="E2133" s="14"/>
      <c r="F2133" s="14"/>
      <c r="G2133" s="14"/>
      <c r="H2133" s="15"/>
      <c r="I2133" s="15"/>
      <c r="J2133" s="3"/>
      <c r="K2133" s="3"/>
      <c r="L2133" s="3"/>
      <c r="M2133" s="3"/>
      <c r="N2133" s="3"/>
      <c r="O2133" s="3"/>
      <c r="P2133" s="3"/>
      <c r="Q2133" s="3"/>
      <c r="R2133" s="3"/>
      <c r="S2133" s="3"/>
      <c r="T2133" s="3"/>
      <c r="U2133" s="3"/>
      <c r="V2133" s="3"/>
      <c r="W2133" s="3"/>
      <c r="X2133" s="3"/>
      <c r="Y2133" s="3"/>
      <c r="Z2133" s="3"/>
      <c r="AA2133" s="3"/>
    </row>
    <row r="2134" ht="105.75" customHeight="1">
      <c r="A2134" s="11"/>
      <c r="B2134" s="12"/>
      <c r="C2134" s="11"/>
      <c r="D2134" s="13"/>
      <c r="E2134" s="16"/>
      <c r="F2134" s="16"/>
      <c r="G2134" s="16"/>
      <c r="H2134" s="15"/>
      <c r="I2134" s="15"/>
      <c r="J2134" s="3"/>
      <c r="K2134" s="3"/>
      <c r="L2134" s="3"/>
      <c r="M2134" s="3"/>
      <c r="N2134" s="3"/>
      <c r="O2134" s="3"/>
      <c r="P2134" s="3"/>
      <c r="Q2134" s="3"/>
      <c r="R2134" s="3"/>
      <c r="S2134" s="3"/>
      <c r="T2134" s="3"/>
      <c r="U2134" s="3"/>
      <c r="V2134" s="3"/>
      <c r="W2134" s="3"/>
      <c r="X2134" s="3"/>
      <c r="Y2134" s="3"/>
      <c r="Z2134" s="3"/>
      <c r="AA2134" s="3"/>
    </row>
    <row r="2135" ht="105.75" customHeight="1">
      <c r="A2135" s="11"/>
      <c r="B2135" s="12"/>
      <c r="C2135" s="11"/>
      <c r="D2135" s="13"/>
      <c r="E2135" s="14"/>
      <c r="F2135" s="14"/>
      <c r="G2135" s="14"/>
      <c r="H2135" s="15"/>
      <c r="I2135" s="15"/>
      <c r="J2135" s="3"/>
      <c r="K2135" s="3"/>
      <c r="L2135" s="3"/>
      <c r="M2135" s="3"/>
      <c r="N2135" s="3"/>
      <c r="O2135" s="3"/>
      <c r="P2135" s="3"/>
      <c r="Q2135" s="3"/>
      <c r="R2135" s="3"/>
      <c r="S2135" s="3"/>
      <c r="T2135" s="3"/>
      <c r="U2135" s="3"/>
      <c r="V2135" s="3"/>
      <c r="W2135" s="3"/>
      <c r="X2135" s="3"/>
      <c r="Y2135" s="3"/>
      <c r="Z2135" s="3"/>
      <c r="AA2135" s="3"/>
    </row>
    <row r="2136" ht="105.75" customHeight="1">
      <c r="A2136" s="11"/>
      <c r="B2136" s="12"/>
      <c r="C2136" s="11"/>
      <c r="D2136" s="13"/>
      <c r="E2136" s="14"/>
      <c r="F2136" s="14"/>
      <c r="G2136" s="14"/>
      <c r="H2136" s="15"/>
      <c r="I2136" s="15"/>
      <c r="J2136" s="3"/>
      <c r="K2136" s="3"/>
      <c r="L2136" s="3"/>
      <c r="M2136" s="3"/>
      <c r="N2136" s="3"/>
      <c r="O2136" s="3"/>
      <c r="P2136" s="3"/>
      <c r="Q2136" s="3"/>
      <c r="R2136" s="3"/>
      <c r="S2136" s="3"/>
      <c r="T2136" s="3"/>
      <c r="U2136" s="3"/>
      <c r="V2136" s="3"/>
      <c r="W2136" s="3"/>
      <c r="X2136" s="3"/>
      <c r="Y2136" s="3"/>
      <c r="Z2136" s="3"/>
      <c r="AA2136" s="3"/>
    </row>
    <row r="2137" ht="105.75" customHeight="1">
      <c r="A2137" s="11"/>
      <c r="B2137" s="12"/>
      <c r="C2137" s="11"/>
      <c r="D2137" s="13"/>
      <c r="E2137" s="14"/>
      <c r="F2137" s="14"/>
      <c r="G2137" s="14"/>
      <c r="H2137" s="15"/>
      <c r="I2137" s="15"/>
      <c r="J2137" s="3"/>
      <c r="K2137" s="3"/>
      <c r="L2137" s="3"/>
      <c r="M2137" s="3"/>
      <c r="N2137" s="3"/>
      <c r="O2137" s="3"/>
      <c r="P2137" s="3"/>
      <c r="Q2137" s="3"/>
      <c r="R2137" s="3"/>
      <c r="S2137" s="3"/>
      <c r="T2137" s="3"/>
      <c r="U2137" s="3"/>
      <c r="V2137" s="3"/>
      <c r="W2137" s="3"/>
      <c r="X2137" s="3"/>
      <c r="Y2137" s="3"/>
      <c r="Z2137" s="3"/>
      <c r="AA2137" s="3"/>
    </row>
    <row r="2138" ht="105.75" customHeight="1">
      <c r="A2138" s="11"/>
      <c r="B2138" s="12"/>
      <c r="C2138" s="11"/>
      <c r="D2138" s="13"/>
      <c r="E2138" s="14"/>
      <c r="F2138" s="14"/>
      <c r="G2138" s="14"/>
      <c r="H2138" s="15"/>
      <c r="I2138" s="15"/>
      <c r="J2138" s="3"/>
      <c r="K2138" s="3"/>
      <c r="L2138" s="3"/>
      <c r="M2138" s="3"/>
      <c r="N2138" s="3"/>
      <c r="O2138" s="3"/>
      <c r="P2138" s="3"/>
      <c r="Q2138" s="3"/>
      <c r="R2138" s="3"/>
      <c r="S2138" s="3"/>
      <c r="T2138" s="3"/>
      <c r="U2138" s="3"/>
      <c r="V2138" s="3"/>
      <c r="W2138" s="3"/>
      <c r="X2138" s="3"/>
      <c r="Y2138" s="3"/>
      <c r="Z2138" s="3"/>
      <c r="AA2138" s="3"/>
    </row>
    <row r="2139" ht="105.75" customHeight="1">
      <c r="A2139" s="11"/>
      <c r="B2139" s="12"/>
      <c r="C2139" s="11"/>
      <c r="D2139" s="13"/>
      <c r="E2139" s="14"/>
      <c r="F2139" s="14"/>
      <c r="G2139" s="14"/>
      <c r="H2139" s="15"/>
      <c r="I2139" s="15"/>
      <c r="J2139" s="3"/>
      <c r="K2139" s="3"/>
      <c r="L2139" s="3"/>
      <c r="M2139" s="3"/>
      <c r="N2139" s="3"/>
      <c r="O2139" s="3"/>
      <c r="P2139" s="3"/>
      <c r="Q2139" s="3"/>
      <c r="R2139" s="3"/>
      <c r="S2139" s="3"/>
      <c r="T2139" s="3"/>
      <c r="U2139" s="3"/>
      <c r="V2139" s="3"/>
      <c r="W2139" s="3"/>
      <c r="X2139" s="3"/>
      <c r="Y2139" s="3"/>
      <c r="Z2139" s="3"/>
      <c r="AA2139" s="3"/>
    </row>
    <row r="2140" ht="105.75" customHeight="1">
      <c r="A2140" s="11"/>
      <c r="B2140" s="12"/>
      <c r="C2140" s="11"/>
      <c r="D2140" s="13"/>
      <c r="E2140" s="14"/>
      <c r="F2140" s="14"/>
      <c r="G2140" s="14"/>
      <c r="H2140" s="15"/>
      <c r="I2140" s="15"/>
      <c r="J2140" s="3"/>
      <c r="K2140" s="3"/>
      <c r="L2140" s="3"/>
      <c r="M2140" s="3"/>
      <c r="N2140" s="3"/>
      <c r="O2140" s="3"/>
      <c r="P2140" s="3"/>
      <c r="Q2140" s="3"/>
      <c r="R2140" s="3"/>
      <c r="S2140" s="3"/>
      <c r="T2140" s="3"/>
      <c r="U2140" s="3"/>
      <c r="V2140" s="3"/>
      <c r="W2140" s="3"/>
      <c r="X2140" s="3"/>
      <c r="Y2140" s="3"/>
      <c r="Z2140" s="3"/>
      <c r="AA2140" s="3"/>
    </row>
    <row r="2141" ht="105.75" customHeight="1">
      <c r="A2141" s="11"/>
      <c r="B2141" s="12"/>
      <c r="C2141" s="11"/>
      <c r="D2141" s="13"/>
      <c r="E2141" s="14"/>
      <c r="F2141" s="14"/>
      <c r="G2141" s="14"/>
      <c r="H2141" s="15"/>
      <c r="I2141" s="15"/>
      <c r="J2141" s="3"/>
      <c r="K2141" s="3"/>
      <c r="L2141" s="3"/>
      <c r="M2141" s="3"/>
      <c r="N2141" s="3"/>
      <c r="O2141" s="3"/>
      <c r="P2141" s="3"/>
      <c r="Q2141" s="3"/>
      <c r="R2141" s="3"/>
      <c r="S2141" s="3"/>
      <c r="T2141" s="3"/>
      <c r="U2141" s="3"/>
      <c r="V2141" s="3"/>
      <c r="W2141" s="3"/>
      <c r="X2141" s="3"/>
      <c r="Y2141" s="3"/>
      <c r="Z2141" s="3"/>
      <c r="AA2141" s="3"/>
    </row>
    <row r="2142" ht="105.75" customHeight="1">
      <c r="A2142" s="11"/>
      <c r="B2142" s="12"/>
      <c r="C2142" s="11"/>
      <c r="D2142" s="13"/>
      <c r="E2142" s="14"/>
      <c r="F2142" s="14"/>
      <c r="G2142" s="14"/>
      <c r="H2142" s="15"/>
      <c r="I2142" s="15"/>
      <c r="J2142" s="3"/>
      <c r="K2142" s="3"/>
      <c r="L2142" s="3"/>
      <c r="M2142" s="3"/>
      <c r="N2142" s="3"/>
      <c r="O2142" s="3"/>
      <c r="P2142" s="3"/>
      <c r="Q2142" s="3"/>
      <c r="R2142" s="3"/>
      <c r="S2142" s="3"/>
      <c r="T2142" s="3"/>
      <c r="U2142" s="3"/>
      <c r="V2142" s="3"/>
      <c r="W2142" s="3"/>
      <c r="X2142" s="3"/>
      <c r="Y2142" s="3"/>
      <c r="Z2142" s="3"/>
      <c r="AA2142" s="3"/>
    </row>
    <row r="2143" ht="105.75" customHeight="1">
      <c r="A2143" s="11"/>
      <c r="B2143" s="12"/>
      <c r="C2143" s="11"/>
      <c r="D2143" s="13"/>
      <c r="E2143" s="14"/>
      <c r="F2143" s="14"/>
      <c r="G2143" s="14"/>
      <c r="H2143" s="15"/>
      <c r="I2143" s="15"/>
      <c r="J2143" s="3"/>
      <c r="K2143" s="3"/>
      <c r="L2143" s="3"/>
      <c r="M2143" s="3"/>
      <c r="N2143" s="3"/>
      <c r="O2143" s="3"/>
      <c r="P2143" s="3"/>
      <c r="Q2143" s="3"/>
      <c r="R2143" s="3"/>
      <c r="S2143" s="3"/>
      <c r="T2143" s="3"/>
      <c r="U2143" s="3"/>
      <c r="V2143" s="3"/>
      <c r="W2143" s="3"/>
      <c r="X2143" s="3"/>
      <c r="Y2143" s="3"/>
      <c r="Z2143" s="3"/>
      <c r="AA2143" s="3"/>
    </row>
    <row r="2144" ht="105.75" customHeight="1">
      <c r="A2144" s="11"/>
      <c r="B2144" s="12"/>
      <c r="C2144" s="11"/>
      <c r="D2144" s="13"/>
      <c r="E2144" s="14"/>
      <c r="F2144" s="14"/>
      <c r="G2144" s="14"/>
      <c r="H2144" s="15"/>
      <c r="I2144" s="15"/>
      <c r="J2144" s="3"/>
      <c r="K2144" s="3"/>
      <c r="L2144" s="3"/>
      <c r="M2144" s="3"/>
      <c r="N2144" s="3"/>
      <c r="O2144" s="3"/>
      <c r="P2144" s="3"/>
      <c r="Q2144" s="3"/>
      <c r="R2144" s="3"/>
      <c r="S2144" s="3"/>
      <c r="T2144" s="3"/>
      <c r="U2144" s="3"/>
      <c r="V2144" s="3"/>
      <c r="W2144" s="3"/>
      <c r="X2144" s="3"/>
      <c r="Y2144" s="3"/>
      <c r="Z2144" s="3"/>
      <c r="AA2144" s="3"/>
    </row>
    <row r="2145" ht="105.75" customHeight="1">
      <c r="A2145" s="11"/>
      <c r="B2145" s="12"/>
      <c r="C2145" s="11"/>
      <c r="D2145" s="13"/>
      <c r="E2145" s="14"/>
      <c r="F2145" s="14"/>
      <c r="G2145" s="14"/>
      <c r="H2145" s="15"/>
      <c r="I2145" s="15"/>
      <c r="J2145" s="3"/>
      <c r="K2145" s="3"/>
      <c r="L2145" s="3"/>
      <c r="M2145" s="3"/>
      <c r="N2145" s="3"/>
      <c r="O2145" s="3"/>
      <c r="P2145" s="3"/>
      <c r="Q2145" s="3"/>
      <c r="R2145" s="3"/>
      <c r="S2145" s="3"/>
      <c r="T2145" s="3"/>
      <c r="U2145" s="3"/>
      <c r="V2145" s="3"/>
      <c r="W2145" s="3"/>
      <c r="X2145" s="3"/>
      <c r="Y2145" s="3"/>
      <c r="Z2145" s="3"/>
      <c r="AA2145" s="3"/>
    </row>
    <row r="2146" ht="105.75" customHeight="1">
      <c r="A2146" s="11"/>
      <c r="B2146" s="12"/>
      <c r="C2146" s="11"/>
      <c r="D2146" s="13"/>
      <c r="E2146" s="16"/>
      <c r="F2146" s="16"/>
      <c r="G2146" s="16"/>
      <c r="H2146" s="15"/>
      <c r="I2146" s="15"/>
      <c r="J2146" s="3"/>
      <c r="K2146" s="3"/>
      <c r="L2146" s="3"/>
      <c r="M2146" s="3"/>
      <c r="N2146" s="3"/>
      <c r="O2146" s="3"/>
      <c r="P2146" s="3"/>
      <c r="Q2146" s="3"/>
      <c r="R2146" s="3"/>
      <c r="S2146" s="3"/>
      <c r="T2146" s="3"/>
      <c r="U2146" s="3"/>
      <c r="V2146" s="3"/>
      <c r="W2146" s="3"/>
      <c r="X2146" s="3"/>
      <c r="Y2146" s="3"/>
      <c r="Z2146" s="3"/>
      <c r="AA2146" s="3"/>
    </row>
    <row r="2147" ht="105.75" customHeight="1">
      <c r="A2147" s="11"/>
      <c r="B2147" s="12"/>
      <c r="C2147" s="11"/>
      <c r="D2147" s="13"/>
      <c r="E2147" s="14"/>
      <c r="F2147" s="14"/>
      <c r="G2147" s="14"/>
      <c r="H2147" s="15"/>
      <c r="I2147" s="15"/>
      <c r="J2147" s="3"/>
      <c r="K2147" s="3"/>
      <c r="L2147" s="3"/>
      <c r="M2147" s="3"/>
      <c r="N2147" s="3"/>
      <c r="O2147" s="3"/>
      <c r="P2147" s="3"/>
      <c r="Q2147" s="3"/>
      <c r="R2147" s="3"/>
      <c r="S2147" s="3"/>
      <c r="T2147" s="3"/>
      <c r="U2147" s="3"/>
      <c r="V2147" s="3"/>
      <c r="W2147" s="3"/>
      <c r="X2147" s="3"/>
      <c r="Y2147" s="3"/>
      <c r="Z2147" s="3"/>
      <c r="AA2147" s="3"/>
    </row>
    <row r="2148" ht="105.75" customHeight="1">
      <c r="A2148" s="11"/>
      <c r="B2148" s="12"/>
      <c r="C2148" s="11"/>
      <c r="D2148" s="13"/>
      <c r="E2148" s="14"/>
      <c r="F2148" s="14"/>
      <c r="G2148" s="14"/>
      <c r="H2148" s="15"/>
      <c r="I2148" s="15"/>
      <c r="J2148" s="3"/>
      <c r="K2148" s="3"/>
      <c r="L2148" s="3"/>
      <c r="M2148" s="3"/>
      <c r="N2148" s="3"/>
      <c r="O2148" s="3"/>
      <c r="P2148" s="3"/>
      <c r="Q2148" s="3"/>
      <c r="R2148" s="3"/>
      <c r="S2148" s="3"/>
      <c r="T2148" s="3"/>
      <c r="U2148" s="3"/>
      <c r="V2148" s="3"/>
      <c r="W2148" s="3"/>
      <c r="X2148" s="3"/>
      <c r="Y2148" s="3"/>
      <c r="Z2148" s="3"/>
      <c r="AA2148" s="3"/>
    </row>
    <row r="2149" ht="105.75" customHeight="1">
      <c r="A2149" s="11"/>
      <c r="B2149" s="12"/>
      <c r="C2149" s="11"/>
      <c r="D2149" s="13"/>
      <c r="E2149" s="14"/>
      <c r="F2149" s="14"/>
      <c r="G2149" s="14"/>
      <c r="H2149" s="15"/>
      <c r="I2149" s="15"/>
      <c r="J2149" s="3"/>
      <c r="K2149" s="3"/>
      <c r="L2149" s="3"/>
      <c r="M2149" s="3"/>
      <c r="N2149" s="3"/>
      <c r="O2149" s="3"/>
      <c r="P2149" s="3"/>
      <c r="Q2149" s="3"/>
      <c r="R2149" s="3"/>
      <c r="S2149" s="3"/>
      <c r="T2149" s="3"/>
      <c r="U2149" s="3"/>
      <c r="V2149" s="3"/>
      <c r="W2149" s="3"/>
      <c r="X2149" s="3"/>
      <c r="Y2149" s="3"/>
      <c r="Z2149" s="3"/>
      <c r="AA2149" s="3"/>
    </row>
    <row r="2150" ht="105.75" customHeight="1">
      <c r="A2150" s="11"/>
      <c r="B2150" s="12"/>
      <c r="C2150" s="11"/>
      <c r="D2150" s="13"/>
      <c r="E2150" s="14"/>
      <c r="F2150" s="14"/>
      <c r="G2150" s="14"/>
      <c r="H2150" s="15"/>
      <c r="I2150" s="15"/>
      <c r="J2150" s="3"/>
      <c r="K2150" s="3"/>
      <c r="L2150" s="3"/>
      <c r="M2150" s="3"/>
      <c r="N2150" s="3"/>
      <c r="O2150" s="3"/>
      <c r="P2150" s="3"/>
      <c r="Q2150" s="3"/>
      <c r="R2150" s="3"/>
      <c r="S2150" s="3"/>
      <c r="T2150" s="3"/>
      <c r="U2150" s="3"/>
      <c r="V2150" s="3"/>
      <c r="W2150" s="3"/>
      <c r="X2150" s="3"/>
      <c r="Y2150" s="3"/>
      <c r="Z2150" s="3"/>
      <c r="AA2150" s="3"/>
    </row>
    <row r="2151" ht="105.75" customHeight="1">
      <c r="A2151" s="11"/>
      <c r="B2151" s="12"/>
      <c r="C2151" s="11"/>
      <c r="D2151" s="13"/>
      <c r="E2151" s="14"/>
      <c r="F2151" s="14"/>
      <c r="G2151" s="14"/>
      <c r="H2151" s="15"/>
      <c r="I2151" s="15"/>
      <c r="J2151" s="3"/>
      <c r="K2151" s="3"/>
      <c r="L2151" s="3"/>
      <c r="M2151" s="3"/>
      <c r="N2151" s="3"/>
      <c r="O2151" s="3"/>
      <c r="P2151" s="3"/>
      <c r="Q2151" s="3"/>
      <c r="R2151" s="3"/>
      <c r="S2151" s="3"/>
      <c r="T2151" s="3"/>
      <c r="U2151" s="3"/>
      <c r="V2151" s="3"/>
      <c r="W2151" s="3"/>
      <c r="X2151" s="3"/>
      <c r="Y2151" s="3"/>
      <c r="Z2151" s="3"/>
      <c r="AA2151" s="3"/>
    </row>
    <row r="2152" ht="105.75" customHeight="1">
      <c r="A2152" s="11"/>
      <c r="B2152" s="12"/>
      <c r="C2152" s="11"/>
      <c r="D2152" s="13"/>
      <c r="E2152" s="16"/>
      <c r="F2152" s="16"/>
      <c r="G2152" s="16"/>
      <c r="H2152" s="15"/>
      <c r="I2152" s="15"/>
      <c r="J2152" s="3"/>
      <c r="K2152" s="3"/>
      <c r="L2152" s="3"/>
      <c r="M2152" s="3"/>
      <c r="N2152" s="3"/>
      <c r="O2152" s="3"/>
      <c r="P2152" s="3"/>
      <c r="Q2152" s="3"/>
      <c r="R2152" s="3"/>
      <c r="S2152" s="3"/>
      <c r="T2152" s="3"/>
      <c r="U2152" s="3"/>
      <c r="V2152" s="3"/>
      <c r="W2152" s="3"/>
      <c r="X2152" s="3"/>
      <c r="Y2152" s="3"/>
      <c r="Z2152" s="3"/>
      <c r="AA2152" s="3"/>
    </row>
    <row r="2153" ht="105.75" customHeight="1">
      <c r="A2153" s="11"/>
      <c r="B2153" s="12"/>
      <c r="C2153" s="11"/>
      <c r="D2153" s="13"/>
      <c r="E2153" s="16"/>
      <c r="F2153" s="16"/>
      <c r="G2153" s="16"/>
      <c r="H2153" s="15"/>
      <c r="I2153" s="15"/>
      <c r="J2153" s="3"/>
      <c r="K2153" s="3"/>
      <c r="L2153" s="3"/>
      <c r="M2153" s="3"/>
      <c r="N2153" s="3"/>
      <c r="O2153" s="3"/>
      <c r="P2153" s="3"/>
      <c r="Q2153" s="3"/>
      <c r="R2153" s="3"/>
      <c r="S2153" s="3"/>
      <c r="T2153" s="3"/>
      <c r="U2153" s="3"/>
      <c r="V2153" s="3"/>
      <c r="W2153" s="3"/>
      <c r="X2153" s="3"/>
      <c r="Y2153" s="3"/>
      <c r="Z2153" s="3"/>
      <c r="AA2153" s="3"/>
    </row>
    <row r="2154" ht="105.75" customHeight="1">
      <c r="A2154" s="11"/>
      <c r="B2154" s="12"/>
      <c r="C2154" s="11"/>
      <c r="D2154" s="13"/>
      <c r="E2154" s="14"/>
      <c r="F2154" s="14"/>
      <c r="G2154" s="14"/>
      <c r="H2154" s="15"/>
      <c r="I2154" s="15"/>
      <c r="J2154" s="3"/>
      <c r="K2154" s="3"/>
      <c r="L2154" s="3"/>
      <c r="M2154" s="3"/>
      <c r="N2154" s="3"/>
      <c r="O2154" s="3"/>
      <c r="P2154" s="3"/>
      <c r="Q2154" s="3"/>
      <c r="R2154" s="3"/>
      <c r="S2154" s="3"/>
      <c r="T2154" s="3"/>
      <c r="U2154" s="3"/>
      <c r="V2154" s="3"/>
      <c r="W2154" s="3"/>
      <c r="X2154" s="3"/>
      <c r="Y2154" s="3"/>
      <c r="Z2154" s="3"/>
      <c r="AA2154" s="3"/>
    </row>
    <row r="2155" ht="105.75" customHeight="1">
      <c r="A2155" s="11"/>
      <c r="B2155" s="12"/>
      <c r="C2155" s="11"/>
      <c r="D2155" s="13"/>
      <c r="E2155" s="14"/>
      <c r="F2155" s="14"/>
      <c r="G2155" s="14"/>
      <c r="H2155" s="15"/>
      <c r="I2155" s="15"/>
      <c r="J2155" s="3"/>
      <c r="K2155" s="3"/>
      <c r="L2155" s="3"/>
      <c r="M2155" s="3"/>
      <c r="N2155" s="3"/>
      <c r="O2155" s="3"/>
      <c r="P2155" s="3"/>
      <c r="Q2155" s="3"/>
      <c r="R2155" s="3"/>
      <c r="S2155" s="3"/>
      <c r="T2155" s="3"/>
      <c r="U2155" s="3"/>
      <c r="V2155" s="3"/>
      <c r="W2155" s="3"/>
      <c r="X2155" s="3"/>
      <c r="Y2155" s="3"/>
      <c r="Z2155" s="3"/>
      <c r="AA2155" s="3"/>
    </row>
    <row r="2156" ht="105.75" customHeight="1">
      <c r="A2156" s="11"/>
      <c r="B2156" s="12"/>
      <c r="C2156" s="11"/>
      <c r="D2156" s="13"/>
      <c r="E2156" s="14"/>
      <c r="F2156" s="14"/>
      <c r="G2156" s="14"/>
      <c r="H2156" s="15"/>
      <c r="I2156" s="15"/>
      <c r="J2156" s="3"/>
      <c r="K2156" s="3"/>
      <c r="L2156" s="3"/>
      <c r="M2156" s="3"/>
      <c r="N2156" s="3"/>
      <c r="O2156" s="3"/>
      <c r="P2156" s="3"/>
      <c r="Q2156" s="3"/>
      <c r="R2156" s="3"/>
      <c r="S2156" s="3"/>
      <c r="T2156" s="3"/>
      <c r="U2156" s="3"/>
      <c r="V2156" s="3"/>
      <c r="W2156" s="3"/>
      <c r="X2156" s="3"/>
      <c r="Y2156" s="3"/>
      <c r="Z2156" s="3"/>
      <c r="AA2156" s="3"/>
    </row>
    <row r="2157" ht="105.75" customHeight="1">
      <c r="A2157" s="11"/>
      <c r="B2157" s="12"/>
      <c r="C2157" s="11"/>
      <c r="D2157" s="13"/>
      <c r="E2157" s="14"/>
      <c r="F2157" s="14"/>
      <c r="G2157" s="14"/>
      <c r="H2157" s="15"/>
      <c r="I2157" s="15"/>
      <c r="J2157" s="3"/>
      <c r="K2157" s="3"/>
      <c r="L2157" s="3"/>
      <c r="M2157" s="3"/>
      <c r="N2157" s="3"/>
      <c r="O2157" s="3"/>
      <c r="P2157" s="3"/>
      <c r="Q2157" s="3"/>
      <c r="R2157" s="3"/>
      <c r="S2157" s="3"/>
      <c r="T2157" s="3"/>
      <c r="U2157" s="3"/>
      <c r="V2157" s="3"/>
      <c r="W2157" s="3"/>
      <c r="X2157" s="3"/>
      <c r="Y2157" s="3"/>
      <c r="Z2157" s="3"/>
      <c r="AA2157" s="3"/>
    </row>
    <row r="2158" ht="105.75" customHeight="1">
      <c r="A2158" s="11"/>
      <c r="B2158" s="12"/>
      <c r="C2158" s="11"/>
      <c r="D2158" s="13"/>
      <c r="E2158" s="16"/>
      <c r="F2158" s="16"/>
      <c r="G2158" s="16"/>
      <c r="H2158" s="15"/>
      <c r="I2158" s="15"/>
      <c r="J2158" s="3"/>
      <c r="K2158" s="3"/>
      <c r="L2158" s="3"/>
      <c r="M2158" s="3"/>
      <c r="N2158" s="3"/>
      <c r="O2158" s="3"/>
      <c r="P2158" s="3"/>
      <c r="Q2158" s="3"/>
      <c r="R2158" s="3"/>
      <c r="S2158" s="3"/>
      <c r="T2158" s="3"/>
      <c r="U2158" s="3"/>
      <c r="V2158" s="3"/>
      <c r="W2158" s="3"/>
      <c r="X2158" s="3"/>
      <c r="Y2158" s="3"/>
      <c r="Z2158" s="3"/>
      <c r="AA2158" s="3"/>
    </row>
    <row r="2159" ht="105.75" customHeight="1">
      <c r="A2159" s="11"/>
      <c r="B2159" s="12"/>
      <c r="C2159" s="11"/>
      <c r="D2159" s="13"/>
      <c r="E2159" s="16"/>
      <c r="F2159" s="16"/>
      <c r="G2159" s="16"/>
      <c r="H2159" s="15"/>
      <c r="I2159" s="15"/>
      <c r="J2159" s="3"/>
      <c r="K2159" s="3"/>
      <c r="L2159" s="3"/>
      <c r="M2159" s="3"/>
      <c r="N2159" s="3"/>
      <c r="O2159" s="3"/>
      <c r="P2159" s="3"/>
      <c r="Q2159" s="3"/>
      <c r="R2159" s="3"/>
      <c r="S2159" s="3"/>
      <c r="T2159" s="3"/>
      <c r="U2159" s="3"/>
      <c r="V2159" s="3"/>
      <c r="W2159" s="3"/>
      <c r="X2159" s="3"/>
      <c r="Y2159" s="3"/>
      <c r="Z2159" s="3"/>
      <c r="AA2159" s="3"/>
    </row>
    <row r="2160" ht="105.75" customHeight="1">
      <c r="A2160" s="11"/>
      <c r="B2160" s="12"/>
      <c r="C2160" s="11"/>
      <c r="D2160" s="13"/>
      <c r="E2160" s="14"/>
      <c r="F2160" s="14"/>
      <c r="G2160" s="14"/>
      <c r="H2160" s="15"/>
      <c r="I2160" s="15"/>
      <c r="J2160" s="3"/>
      <c r="K2160" s="3"/>
      <c r="L2160" s="3"/>
      <c r="M2160" s="3"/>
      <c r="N2160" s="3"/>
      <c r="O2160" s="3"/>
      <c r="P2160" s="3"/>
      <c r="Q2160" s="3"/>
      <c r="R2160" s="3"/>
      <c r="S2160" s="3"/>
      <c r="T2160" s="3"/>
      <c r="U2160" s="3"/>
      <c r="V2160" s="3"/>
      <c r="W2160" s="3"/>
      <c r="X2160" s="3"/>
      <c r="Y2160" s="3"/>
      <c r="Z2160" s="3"/>
      <c r="AA2160" s="3"/>
    </row>
    <row r="2161" ht="105.75" customHeight="1">
      <c r="A2161" s="11"/>
      <c r="B2161" s="12"/>
      <c r="C2161" s="11"/>
      <c r="D2161" s="13"/>
      <c r="E2161" s="14"/>
      <c r="F2161" s="14"/>
      <c r="G2161" s="14"/>
      <c r="H2161" s="15"/>
      <c r="I2161" s="15"/>
      <c r="J2161" s="3"/>
      <c r="K2161" s="3"/>
      <c r="L2161" s="3"/>
      <c r="M2161" s="3"/>
      <c r="N2161" s="3"/>
      <c r="O2161" s="3"/>
      <c r="P2161" s="3"/>
      <c r="Q2161" s="3"/>
      <c r="R2161" s="3"/>
      <c r="S2161" s="3"/>
      <c r="T2161" s="3"/>
      <c r="U2161" s="3"/>
      <c r="V2161" s="3"/>
      <c r="W2161" s="3"/>
      <c r="X2161" s="3"/>
      <c r="Y2161" s="3"/>
      <c r="Z2161" s="3"/>
      <c r="AA2161" s="3"/>
    </row>
    <row r="2162" ht="105.75" customHeight="1">
      <c r="A2162" s="11"/>
      <c r="B2162" s="12"/>
      <c r="C2162" s="11"/>
      <c r="D2162" s="13"/>
      <c r="E2162" s="16"/>
      <c r="F2162" s="16"/>
      <c r="G2162" s="16"/>
      <c r="H2162" s="15"/>
      <c r="I2162" s="15"/>
      <c r="J2162" s="3"/>
      <c r="K2162" s="3"/>
      <c r="L2162" s="3"/>
      <c r="M2162" s="3"/>
      <c r="N2162" s="3"/>
      <c r="O2162" s="3"/>
      <c r="P2162" s="3"/>
      <c r="Q2162" s="3"/>
      <c r="R2162" s="3"/>
      <c r="S2162" s="3"/>
      <c r="T2162" s="3"/>
      <c r="U2162" s="3"/>
      <c r="V2162" s="3"/>
      <c r="W2162" s="3"/>
      <c r="X2162" s="3"/>
      <c r="Y2162" s="3"/>
      <c r="Z2162" s="3"/>
      <c r="AA2162" s="3"/>
    </row>
    <row r="2163" ht="105.75" customHeight="1">
      <c r="A2163" s="11"/>
      <c r="B2163" s="12"/>
      <c r="C2163" s="11"/>
      <c r="D2163" s="13"/>
      <c r="E2163" s="16"/>
      <c r="F2163" s="16"/>
      <c r="G2163" s="16"/>
      <c r="H2163" s="15"/>
      <c r="I2163" s="15"/>
      <c r="J2163" s="3"/>
      <c r="K2163" s="3"/>
      <c r="L2163" s="3"/>
      <c r="M2163" s="3"/>
      <c r="N2163" s="3"/>
      <c r="O2163" s="3"/>
      <c r="P2163" s="3"/>
      <c r="Q2163" s="3"/>
      <c r="R2163" s="3"/>
      <c r="S2163" s="3"/>
      <c r="T2163" s="3"/>
      <c r="U2163" s="3"/>
      <c r="V2163" s="3"/>
      <c r="W2163" s="3"/>
      <c r="X2163" s="3"/>
      <c r="Y2163" s="3"/>
      <c r="Z2163" s="3"/>
      <c r="AA2163" s="3"/>
    </row>
    <row r="2164" ht="105.75" customHeight="1">
      <c r="A2164" s="11"/>
      <c r="B2164" s="12"/>
      <c r="C2164" s="11"/>
      <c r="D2164" s="13"/>
      <c r="E2164" s="14"/>
      <c r="F2164" s="14"/>
      <c r="G2164" s="14"/>
      <c r="H2164" s="15"/>
      <c r="I2164" s="15"/>
      <c r="J2164" s="3"/>
      <c r="K2164" s="3"/>
      <c r="L2164" s="3"/>
      <c r="M2164" s="3"/>
      <c r="N2164" s="3"/>
      <c r="O2164" s="3"/>
      <c r="P2164" s="3"/>
      <c r="Q2164" s="3"/>
      <c r="R2164" s="3"/>
      <c r="S2164" s="3"/>
      <c r="T2164" s="3"/>
      <c r="U2164" s="3"/>
      <c r="V2164" s="3"/>
      <c r="W2164" s="3"/>
      <c r="X2164" s="3"/>
      <c r="Y2164" s="3"/>
      <c r="Z2164" s="3"/>
      <c r="AA2164" s="3"/>
    </row>
    <row r="2165" ht="105.75" customHeight="1">
      <c r="A2165" s="11"/>
      <c r="B2165" s="12"/>
      <c r="C2165" s="11"/>
      <c r="D2165" s="13"/>
      <c r="E2165" s="14"/>
      <c r="F2165" s="14"/>
      <c r="G2165" s="14"/>
      <c r="H2165" s="15"/>
      <c r="I2165" s="15"/>
      <c r="J2165" s="3"/>
      <c r="K2165" s="3"/>
      <c r="L2165" s="3"/>
      <c r="M2165" s="3"/>
      <c r="N2165" s="3"/>
      <c r="O2165" s="3"/>
      <c r="P2165" s="3"/>
      <c r="Q2165" s="3"/>
      <c r="R2165" s="3"/>
      <c r="S2165" s="3"/>
      <c r="T2165" s="3"/>
      <c r="U2165" s="3"/>
      <c r="V2165" s="3"/>
      <c r="W2165" s="3"/>
      <c r="X2165" s="3"/>
      <c r="Y2165" s="3"/>
      <c r="Z2165" s="3"/>
      <c r="AA2165" s="3"/>
    </row>
    <row r="2166" ht="105.75" customHeight="1">
      <c r="A2166" s="11"/>
      <c r="B2166" s="12"/>
      <c r="C2166" s="11"/>
      <c r="D2166" s="13"/>
      <c r="E2166" s="14"/>
      <c r="F2166" s="14"/>
      <c r="G2166" s="14"/>
      <c r="H2166" s="15"/>
      <c r="I2166" s="15"/>
      <c r="J2166" s="3"/>
      <c r="K2166" s="3"/>
      <c r="L2166" s="3"/>
      <c r="M2166" s="3"/>
      <c r="N2166" s="3"/>
      <c r="O2166" s="3"/>
      <c r="P2166" s="3"/>
      <c r="Q2166" s="3"/>
      <c r="R2166" s="3"/>
      <c r="S2166" s="3"/>
      <c r="T2166" s="3"/>
      <c r="U2166" s="3"/>
      <c r="V2166" s="3"/>
      <c r="W2166" s="3"/>
      <c r="X2166" s="3"/>
      <c r="Y2166" s="3"/>
      <c r="Z2166" s="3"/>
      <c r="AA2166" s="3"/>
    </row>
    <row r="2167" ht="105.75" customHeight="1">
      <c r="A2167" s="11"/>
      <c r="B2167" s="12"/>
      <c r="C2167" s="11"/>
      <c r="D2167" s="13"/>
      <c r="E2167" s="14"/>
      <c r="F2167" s="14"/>
      <c r="G2167" s="14"/>
      <c r="H2167" s="15"/>
      <c r="I2167" s="15"/>
      <c r="J2167" s="3"/>
      <c r="K2167" s="3"/>
      <c r="L2167" s="3"/>
      <c r="M2167" s="3"/>
      <c r="N2167" s="3"/>
      <c r="O2167" s="3"/>
      <c r="P2167" s="3"/>
      <c r="Q2167" s="3"/>
      <c r="R2167" s="3"/>
      <c r="S2167" s="3"/>
      <c r="T2167" s="3"/>
      <c r="U2167" s="3"/>
      <c r="V2167" s="3"/>
      <c r="W2167" s="3"/>
      <c r="X2167" s="3"/>
      <c r="Y2167" s="3"/>
      <c r="Z2167" s="3"/>
      <c r="AA2167" s="3"/>
    </row>
    <row r="2168" ht="105.75" customHeight="1">
      <c r="A2168" s="11"/>
      <c r="B2168" s="12"/>
      <c r="C2168" s="11"/>
      <c r="D2168" s="13"/>
      <c r="E2168" s="14"/>
      <c r="F2168" s="14"/>
      <c r="G2168" s="14"/>
      <c r="H2168" s="15"/>
      <c r="I2168" s="15"/>
      <c r="J2168" s="3"/>
      <c r="K2168" s="3"/>
      <c r="L2168" s="3"/>
      <c r="M2168" s="3"/>
      <c r="N2168" s="3"/>
      <c r="O2168" s="3"/>
      <c r="P2168" s="3"/>
      <c r="Q2168" s="3"/>
      <c r="R2168" s="3"/>
      <c r="S2168" s="3"/>
      <c r="T2168" s="3"/>
      <c r="U2168" s="3"/>
      <c r="V2168" s="3"/>
      <c r="W2168" s="3"/>
      <c r="X2168" s="3"/>
      <c r="Y2168" s="3"/>
      <c r="Z2168" s="3"/>
      <c r="AA2168" s="3"/>
    </row>
    <row r="2169" ht="105.75" customHeight="1">
      <c r="A2169" s="11"/>
      <c r="B2169" s="12"/>
      <c r="C2169" s="11"/>
      <c r="D2169" s="13"/>
      <c r="E2169" s="14"/>
      <c r="F2169" s="14"/>
      <c r="G2169" s="14"/>
      <c r="H2169" s="15"/>
      <c r="I2169" s="15"/>
      <c r="J2169" s="3"/>
      <c r="K2169" s="3"/>
      <c r="L2169" s="3"/>
      <c r="M2169" s="3"/>
      <c r="N2169" s="3"/>
      <c r="O2169" s="3"/>
      <c r="P2169" s="3"/>
      <c r="Q2169" s="3"/>
      <c r="R2169" s="3"/>
      <c r="S2169" s="3"/>
      <c r="T2169" s="3"/>
      <c r="U2169" s="3"/>
      <c r="V2169" s="3"/>
      <c r="W2169" s="3"/>
      <c r="X2169" s="3"/>
      <c r="Y2169" s="3"/>
      <c r="Z2169" s="3"/>
      <c r="AA2169" s="3"/>
    </row>
    <row r="2170" ht="105.75" customHeight="1">
      <c r="A2170" s="11"/>
      <c r="B2170" s="12"/>
      <c r="C2170" s="11"/>
      <c r="D2170" s="13"/>
      <c r="E2170" s="14"/>
      <c r="F2170" s="14"/>
      <c r="G2170" s="14"/>
      <c r="H2170" s="15"/>
      <c r="I2170" s="15"/>
      <c r="J2170" s="3"/>
      <c r="K2170" s="3"/>
      <c r="L2170" s="3"/>
      <c r="M2170" s="3"/>
      <c r="N2170" s="3"/>
      <c r="O2170" s="3"/>
      <c r="P2170" s="3"/>
      <c r="Q2170" s="3"/>
      <c r="R2170" s="3"/>
      <c r="S2170" s="3"/>
      <c r="T2170" s="3"/>
      <c r="U2170" s="3"/>
      <c r="V2170" s="3"/>
      <c r="W2170" s="3"/>
      <c r="X2170" s="3"/>
      <c r="Y2170" s="3"/>
      <c r="Z2170" s="3"/>
      <c r="AA2170" s="3"/>
    </row>
    <row r="2171" ht="105.75" customHeight="1">
      <c r="A2171" s="11"/>
      <c r="B2171" s="12"/>
      <c r="C2171" s="11"/>
      <c r="D2171" s="13"/>
      <c r="E2171" s="14"/>
      <c r="F2171" s="14"/>
      <c r="G2171" s="14"/>
      <c r="H2171" s="15"/>
      <c r="I2171" s="15"/>
      <c r="J2171" s="3"/>
      <c r="K2171" s="3"/>
      <c r="L2171" s="3"/>
      <c r="M2171" s="3"/>
      <c r="N2171" s="3"/>
      <c r="O2171" s="3"/>
      <c r="P2171" s="3"/>
      <c r="Q2171" s="3"/>
      <c r="R2171" s="3"/>
      <c r="S2171" s="3"/>
      <c r="T2171" s="3"/>
      <c r="U2171" s="3"/>
      <c r="V2171" s="3"/>
      <c r="W2171" s="3"/>
      <c r="X2171" s="3"/>
      <c r="Y2171" s="3"/>
      <c r="Z2171" s="3"/>
      <c r="AA2171" s="3"/>
    </row>
    <row r="2172" ht="105.75" customHeight="1">
      <c r="A2172" s="11"/>
      <c r="B2172" s="12"/>
      <c r="C2172" s="11"/>
      <c r="D2172" s="13"/>
      <c r="E2172" s="14"/>
      <c r="F2172" s="14"/>
      <c r="G2172" s="14"/>
      <c r="H2172" s="15"/>
      <c r="I2172" s="15"/>
      <c r="J2172" s="3"/>
      <c r="K2172" s="3"/>
      <c r="L2172" s="3"/>
      <c r="M2172" s="3"/>
      <c r="N2172" s="3"/>
      <c r="O2172" s="3"/>
      <c r="P2172" s="3"/>
      <c r="Q2172" s="3"/>
      <c r="R2172" s="3"/>
      <c r="S2172" s="3"/>
      <c r="T2172" s="3"/>
      <c r="U2172" s="3"/>
      <c r="V2172" s="3"/>
      <c r="W2172" s="3"/>
      <c r="X2172" s="3"/>
      <c r="Y2172" s="3"/>
      <c r="Z2172" s="3"/>
      <c r="AA2172" s="3"/>
    </row>
    <row r="2173" ht="105.75" customHeight="1">
      <c r="A2173" s="11"/>
      <c r="B2173" s="12"/>
      <c r="C2173" s="11"/>
      <c r="D2173" s="13"/>
      <c r="E2173" s="14"/>
      <c r="F2173" s="14"/>
      <c r="G2173" s="14"/>
      <c r="H2173" s="15"/>
      <c r="I2173" s="15"/>
      <c r="J2173" s="3"/>
      <c r="K2173" s="3"/>
      <c r="L2173" s="3"/>
      <c r="M2173" s="3"/>
      <c r="N2173" s="3"/>
      <c r="O2173" s="3"/>
      <c r="P2173" s="3"/>
      <c r="Q2173" s="3"/>
      <c r="R2173" s="3"/>
      <c r="S2173" s="3"/>
      <c r="T2173" s="3"/>
      <c r="U2173" s="3"/>
      <c r="V2173" s="3"/>
      <c r="W2173" s="3"/>
      <c r="X2173" s="3"/>
      <c r="Y2173" s="3"/>
      <c r="Z2173" s="3"/>
      <c r="AA2173" s="3"/>
    </row>
    <row r="2174" ht="105.75" customHeight="1">
      <c r="A2174" s="11"/>
      <c r="B2174" s="12"/>
      <c r="C2174" s="11"/>
      <c r="D2174" s="13"/>
      <c r="E2174" s="16"/>
      <c r="F2174" s="16"/>
      <c r="G2174" s="16"/>
      <c r="H2174" s="15"/>
      <c r="I2174" s="15"/>
      <c r="J2174" s="3"/>
      <c r="K2174" s="3"/>
      <c r="L2174" s="3"/>
      <c r="M2174" s="3"/>
      <c r="N2174" s="3"/>
      <c r="O2174" s="3"/>
      <c r="P2174" s="3"/>
      <c r="Q2174" s="3"/>
      <c r="R2174" s="3"/>
      <c r="S2174" s="3"/>
      <c r="T2174" s="3"/>
      <c r="U2174" s="3"/>
      <c r="V2174" s="3"/>
      <c r="W2174" s="3"/>
      <c r="X2174" s="3"/>
      <c r="Y2174" s="3"/>
      <c r="Z2174" s="3"/>
      <c r="AA2174" s="3"/>
    </row>
    <row r="2175" ht="105.75" customHeight="1">
      <c r="A2175" s="11"/>
      <c r="B2175" s="12"/>
      <c r="C2175" s="11"/>
      <c r="D2175" s="13"/>
      <c r="E2175" s="14"/>
      <c r="F2175" s="14"/>
      <c r="G2175" s="14"/>
      <c r="H2175" s="15"/>
      <c r="I2175" s="15"/>
      <c r="J2175" s="3"/>
      <c r="K2175" s="3"/>
      <c r="L2175" s="3"/>
      <c r="M2175" s="3"/>
      <c r="N2175" s="3"/>
      <c r="O2175" s="3"/>
      <c r="P2175" s="3"/>
      <c r="Q2175" s="3"/>
      <c r="R2175" s="3"/>
      <c r="S2175" s="3"/>
      <c r="T2175" s="3"/>
      <c r="U2175" s="3"/>
      <c r="V2175" s="3"/>
      <c r="W2175" s="3"/>
      <c r="X2175" s="3"/>
      <c r="Y2175" s="3"/>
      <c r="Z2175" s="3"/>
      <c r="AA2175" s="3"/>
    </row>
    <row r="2176" ht="105.75" customHeight="1">
      <c r="A2176" s="11"/>
      <c r="B2176" s="12"/>
      <c r="C2176" s="11"/>
      <c r="D2176" s="13"/>
      <c r="E2176" s="14"/>
      <c r="F2176" s="14"/>
      <c r="G2176" s="14"/>
      <c r="H2176" s="15"/>
      <c r="I2176" s="15"/>
      <c r="J2176" s="3"/>
      <c r="K2176" s="3"/>
      <c r="L2176" s="3"/>
      <c r="M2176" s="3"/>
      <c r="N2176" s="3"/>
      <c r="O2176" s="3"/>
      <c r="P2176" s="3"/>
      <c r="Q2176" s="3"/>
      <c r="R2176" s="3"/>
      <c r="S2176" s="3"/>
      <c r="T2176" s="3"/>
      <c r="U2176" s="3"/>
      <c r="V2176" s="3"/>
      <c r="W2176" s="3"/>
      <c r="X2176" s="3"/>
      <c r="Y2176" s="3"/>
      <c r="Z2176" s="3"/>
      <c r="AA2176" s="3"/>
    </row>
    <row r="2177" ht="105.75" customHeight="1">
      <c r="A2177" s="11"/>
      <c r="B2177" s="12"/>
      <c r="C2177" s="11"/>
      <c r="D2177" s="13"/>
      <c r="E2177" s="14"/>
      <c r="F2177" s="14"/>
      <c r="G2177" s="14"/>
      <c r="H2177" s="15"/>
      <c r="I2177" s="15"/>
      <c r="J2177" s="3"/>
      <c r="K2177" s="3"/>
      <c r="L2177" s="3"/>
      <c r="M2177" s="3"/>
      <c r="N2177" s="3"/>
      <c r="O2177" s="3"/>
      <c r="P2177" s="3"/>
      <c r="Q2177" s="3"/>
      <c r="R2177" s="3"/>
      <c r="S2177" s="3"/>
      <c r="T2177" s="3"/>
      <c r="U2177" s="3"/>
      <c r="V2177" s="3"/>
      <c r="W2177" s="3"/>
      <c r="X2177" s="3"/>
      <c r="Y2177" s="3"/>
      <c r="Z2177" s="3"/>
      <c r="AA2177" s="3"/>
    </row>
    <row r="2178" ht="105.75" customHeight="1">
      <c r="A2178" s="11"/>
      <c r="B2178" s="12"/>
      <c r="C2178" s="11"/>
      <c r="D2178" s="13"/>
      <c r="E2178" s="16"/>
      <c r="F2178" s="16"/>
      <c r="G2178" s="16"/>
      <c r="H2178" s="15"/>
      <c r="I2178" s="15"/>
      <c r="J2178" s="3"/>
      <c r="K2178" s="3"/>
      <c r="L2178" s="3"/>
      <c r="M2178" s="3"/>
      <c r="N2178" s="3"/>
      <c r="O2178" s="3"/>
      <c r="P2178" s="3"/>
      <c r="Q2178" s="3"/>
      <c r="R2178" s="3"/>
      <c r="S2178" s="3"/>
      <c r="T2178" s="3"/>
      <c r="U2178" s="3"/>
      <c r="V2178" s="3"/>
      <c r="W2178" s="3"/>
      <c r="X2178" s="3"/>
      <c r="Y2178" s="3"/>
      <c r="Z2178" s="3"/>
      <c r="AA2178" s="3"/>
    </row>
    <row r="2179" ht="105.75" customHeight="1">
      <c r="A2179" s="11"/>
      <c r="B2179" s="12"/>
      <c r="C2179" s="11"/>
      <c r="D2179" s="13"/>
      <c r="E2179" s="14"/>
      <c r="F2179" s="14"/>
      <c r="G2179" s="14"/>
      <c r="H2179" s="15"/>
      <c r="I2179" s="15"/>
      <c r="J2179" s="3"/>
      <c r="K2179" s="3"/>
      <c r="L2179" s="3"/>
      <c r="M2179" s="3"/>
      <c r="N2179" s="3"/>
      <c r="O2179" s="3"/>
      <c r="P2179" s="3"/>
      <c r="Q2179" s="3"/>
      <c r="R2179" s="3"/>
      <c r="S2179" s="3"/>
      <c r="T2179" s="3"/>
      <c r="U2179" s="3"/>
      <c r="V2179" s="3"/>
      <c r="W2179" s="3"/>
      <c r="X2179" s="3"/>
      <c r="Y2179" s="3"/>
      <c r="Z2179" s="3"/>
      <c r="AA2179" s="3"/>
    </row>
    <row r="2180" ht="105.75" customHeight="1">
      <c r="A2180" s="11"/>
      <c r="B2180" s="12"/>
      <c r="C2180" s="11"/>
      <c r="D2180" s="13"/>
      <c r="E2180" s="14"/>
      <c r="F2180" s="14"/>
      <c r="G2180" s="14"/>
      <c r="H2180" s="15"/>
      <c r="I2180" s="15"/>
      <c r="J2180" s="3"/>
      <c r="K2180" s="3"/>
      <c r="L2180" s="3"/>
      <c r="M2180" s="3"/>
      <c r="N2180" s="3"/>
      <c r="O2180" s="3"/>
      <c r="P2180" s="3"/>
      <c r="Q2180" s="3"/>
      <c r="R2180" s="3"/>
      <c r="S2180" s="3"/>
      <c r="T2180" s="3"/>
      <c r="U2180" s="3"/>
      <c r="V2180" s="3"/>
      <c r="W2180" s="3"/>
      <c r="X2180" s="3"/>
      <c r="Y2180" s="3"/>
      <c r="Z2180" s="3"/>
      <c r="AA2180" s="3"/>
    </row>
    <row r="2181" ht="105.75" customHeight="1">
      <c r="A2181" s="11"/>
      <c r="B2181" s="12"/>
      <c r="C2181" s="11"/>
      <c r="D2181" s="13"/>
      <c r="E2181" s="14"/>
      <c r="F2181" s="14"/>
      <c r="G2181" s="14"/>
      <c r="H2181" s="15"/>
      <c r="I2181" s="15"/>
      <c r="J2181" s="3"/>
      <c r="K2181" s="3"/>
      <c r="L2181" s="3"/>
      <c r="M2181" s="3"/>
      <c r="N2181" s="3"/>
      <c r="O2181" s="3"/>
      <c r="P2181" s="3"/>
      <c r="Q2181" s="3"/>
      <c r="R2181" s="3"/>
      <c r="S2181" s="3"/>
      <c r="T2181" s="3"/>
      <c r="U2181" s="3"/>
      <c r="V2181" s="3"/>
      <c r="W2181" s="3"/>
      <c r="X2181" s="3"/>
      <c r="Y2181" s="3"/>
      <c r="Z2181" s="3"/>
      <c r="AA2181" s="3"/>
    </row>
    <row r="2182" ht="105.75" customHeight="1">
      <c r="A2182" s="11"/>
      <c r="B2182" s="12"/>
      <c r="C2182" s="11"/>
      <c r="D2182" s="13"/>
      <c r="E2182" s="14"/>
      <c r="F2182" s="14"/>
      <c r="G2182" s="14"/>
      <c r="H2182" s="15"/>
      <c r="I2182" s="15"/>
      <c r="J2182" s="3"/>
      <c r="K2182" s="3"/>
      <c r="L2182" s="3"/>
      <c r="M2182" s="3"/>
      <c r="N2182" s="3"/>
      <c r="O2182" s="3"/>
      <c r="P2182" s="3"/>
      <c r="Q2182" s="3"/>
      <c r="R2182" s="3"/>
      <c r="S2182" s="3"/>
      <c r="T2182" s="3"/>
      <c r="U2182" s="3"/>
      <c r="V2182" s="3"/>
      <c r="W2182" s="3"/>
      <c r="X2182" s="3"/>
      <c r="Y2182" s="3"/>
      <c r="Z2182" s="3"/>
      <c r="AA2182" s="3"/>
    </row>
    <row r="2183" ht="105.75" customHeight="1">
      <c r="A2183" s="11"/>
      <c r="B2183" s="12"/>
      <c r="C2183" s="11"/>
      <c r="D2183" s="13"/>
      <c r="E2183" s="14"/>
      <c r="F2183" s="14"/>
      <c r="G2183" s="14"/>
      <c r="H2183" s="15"/>
      <c r="I2183" s="15"/>
      <c r="J2183" s="3"/>
      <c r="K2183" s="3"/>
      <c r="L2183" s="3"/>
      <c r="M2183" s="3"/>
      <c r="N2183" s="3"/>
      <c r="O2183" s="3"/>
      <c r="P2183" s="3"/>
      <c r="Q2183" s="3"/>
      <c r="R2183" s="3"/>
      <c r="S2183" s="3"/>
      <c r="T2183" s="3"/>
      <c r="U2183" s="3"/>
      <c r="V2183" s="3"/>
      <c r="W2183" s="3"/>
      <c r="X2183" s="3"/>
      <c r="Y2183" s="3"/>
      <c r="Z2183" s="3"/>
      <c r="AA2183" s="3"/>
    </row>
    <row r="2184" ht="105.75" customHeight="1">
      <c r="A2184" s="11"/>
      <c r="B2184" s="12"/>
      <c r="C2184" s="11"/>
      <c r="D2184" s="13"/>
      <c r="E2184" s="14"/>
      <c r="F2184" s="14"/>
      <c r="G2184" s="14"/>
      <c r="H2184" s="15"/>
      <c r="I2184" s="15"/>
      <c r="J2184" s="3"/>
      <c r="K2184" s="3"/>
      <c r="L2184" s="3"/>
      <c r="M2184" s="3"/>
      <c r="N2184" s="3"/>
      <c r="O2184" s="3"/>
      <c r="P2184" s="3"/>
      <c r="Q2184" s="3"/>
      <c r="R2184" s="3"/>
      <c r="S2184" s="3"/>
      <c r="T2184" s="3"/>
      <c r="U2184" s="3"/>
      <c r="V2184" s="3"/>
      <c r="W2184" s="3"/>
      <c r="X2184" s="3"/>
      <c r="Y2184" s="3"/>
      <c r="Z2184" s="3"/>
      <c r="AA2184" s="3"/>
    </row>
    <row r="2185" ht="105.75" customHeight="1">
      <c r="A2185" s="11"/>
      <c r="B2185" s="12"/>
      <c r="C2185" s="11"/>
      <c r="D2185" s="13"/>
      <c r="E2185" s="14"/>
      <c r="F2185" s="14"/>
      <c r="G2185" s="14"/>
      <c r="H2185" s="15"/>
      <c r="I2185" s="15"/>
      <c r="J2185" s="3"/>
      <c r="K2185" s="3"/>
      <c r="L2185" s="3"/>
      <c r="M2185" s="3"/>
      <c r="N2185" s="3"/>
      <c r="O2185" s="3"/>
      <c r="P2185" s="3"/>
      <c r="Q2185" s="3"/>
      <c r="R2185" s="3"/>
      <c r="S2185" s="3"/>
      <c r="T2185" s="3"/>
      <c r="U2185" s="3"/>
      <c r="V2185" s="3"/>
      <c r="W2185" s="3"/>
      <c r="X2185" s="3"/>
      <c r="Y2185" s="3"/>
      <c r="Z2185" s="3"/>
      <c r="AA2185" s="3"/>
    </row>
    <row r="2186" ht="105.75" customHeight="1">
      <c r="A2186" s="11"/>
      <c r="B2186" s="12"/>
      <c r="C2186" s="11"/>
      <c r="D2186" s="13"/>
      <c r="E2186" s="16"/>
      <c r="F2186" s="16"/>
      <c r="G2186" s="16"/>
      <c r="H2186" s="15"/>
      <c r="I2186" s="15"/>
      <c r="J2186" s="3"/>
      <c r="K2186" s="3"/>
      <c r="L2186" s="3"/>
      <c r="M2186" s="3"/>
      <c r="N2186" s="3"/>
      <c r="O2186" s="3"/>
      <c r="P2186" s="3"/>
      <c r="Q2186" s="3"/>
      <c r="R2186" s="3"/>
      <c r="S2186" s="3"/>
      <c r="T2186" s="3"/>
      <c r="U2186" s="3"/>
      <c r="V2186" s="3"/>
      <c r="W2186" s="3"/>
      <c r="X2186" s="3"/>
      <c r="Y2186" s="3"/>
      <c r="Z2186" s="3"/>
      <c r="AA2186" s="3"/>
    </row>
    <row r="2187" ht="105.75" customHeight="1">
      <c r="A2187" s="11"/>
      <c r="B2187" s="12"/>
      <c r="C2187" s="11"/>
      <c r="D2187" s="13"/>
      <c r="E2187" s="14"/>
      <c r="F2187" s="14"/>
      <c r="G2187" s="14"/>
      <c r="H2187" s="15"/>
      <c r="I2187" s="15"/>
      <c r="J2187" s="3"/>
      <c r="K2187" s="3"/>
      <c r="L2187" s="3"/>
      <c r="M2187" s="3"/>
      <c r="N2187" s="3"/>
      <c r="O2187" s="3"/>
      <c r="P2187" s="3"/>
      <c r="Q2187" s="3"/>
      <c r="R2187" s="3"/>
      <c r="S2187" s="3"/>
      <c r="T2187" s="3"/>
      <c r="U2187" s="3"/>
      <c r="V2187" s="3"/>
      <c r="W2187" s="3"/>
      <c r="X2187" s="3"/>
      <c r="Y2187" s="3"/>
      <c r="Z2187" s="3"/>
      <c r="AA2187" s="3"/>
    </row>
    <row r="2188" ht="105.75" customHeight="1">
      <c r="A2188" s="11"/>
      <c r="B2188" s="12"/>
      <c r="C2188" s="11"/>
      <c r="D2188" s="13"/>
      <c r="E2188" s="16"/>
      <c r="F2188" s="16"/>
      <c r="G2188" s="16"/>
      <c r="H2188" s="15"/>
      <c r="I2188" s="15"/>
      <c r="J2188" s="3"/>
      <c r="K2188" s="3"/>
      <c r="L2188" s="3"/>
      <c r="M2188" s="3"/>
      <c r="N2188" s="3"/>
      <c r="O2188" s="3"/>
      <c r="P2188" s="3"/>
      <c r="Q2188" s="3"/>
      <c r="R2188" s="3"/>
      <c r="S2188" s="3"/>
      <c r="T2188" s="3"/>
      <c r="U2188" s="3"/>
      <c r="V2188" s="3"/>
      <c r="W2188" s="3"/>
      <c r="X2188" s="3"/>
      <c r="Y2188" s="3"/>
      <c r="Z2188" s="3"/>
      <c r="AA2188" s="3"/>
    </row>
    <row r="2189" ht="105.75" customHeight="1">
      <c r="A2189" s="11"/>
      <c r="B2189" s="12"/>
      <c r="C2189" s="11"/>
      <c r="D2189" s="13"/>
      <c r="E2189" s="14"/>
      <c r="F2189" s="14"/>
      <c r="G2189" s="14"/>
      <c r="H2189" s="15"/>
      <c r="I2189" s="15"/>
      <c r="J2189" s="3"/>
      <c r="K2189" s="3"/>
      <c r="L2189" s="3"/>
      <c r="M2189" s="3"/>
      <c r="N2189" s="3"/>
      <c r="O2189" s="3"/>
      <c r="P2189" s="3"/>
      <c r="Q2189" s="3"/>
      <c r="R2189" s="3"/>
      <c r="S2189" s="3"/>
      <c r="T2189" s="3"/>
      <c r="U2189" s="3"/>
      <c r="V2189" s="3"/>
      <c r="W2189" s="3"/>
      <c r="X2189" s="3"/>
      <c r="Y2189" s="3"/>
      <c r="Z2189" s="3"/>
      <c r="AA2189" s="3"/>
    </row>
    <row r="2190" ht="105.75" customHeight="1">
      <c r="A2190" s="11"/>
      <c r="B2190" s="12"/>
      <c r="C2190" s="11"/>
      <c r="D2190" s="13"/>
      <c r="E2190" s="14"/>
      <c r="F2190" s="14"/>
      <c r="G2190" s="14"/>
      <c r="H2190" s="15"/>
      <c r="I2190" s="15"/>
      <c r="J2190" s="3"/>
      <c r="K2190" s="3"/>
      <c r="L2190" s="3"/>
      <c r="M2190" s="3"/>
      <c r="N2190" s="3"/>
      <c r="O2190" s="3"/>
      <c r="P2190" s="3"/>
      <c r="Q2190" s="3"/>
      <c r="R2190" s="3"/>
      <c r="S2190" s="3"/>
      <c r="T2190" s="3"/>
      <c r="U2190" s="3"/>
      <c r="V2190" s="3"/>
      <c r="W2190" s="3"/>
      <c r="X2190" s="3"/>
      <c r="Y2190" s="3"/>
      <c r="Z2190" s="3"/>
      <c r="AA2190" s="3"/>
    </row>
    <row r="2191" ht="105.75" customHeight="1">
      <c r="A2191" s="11"/>
      <c r="B2191" s="12"/>
      <c r="C2191" s="11"/>
      <c r="D2191" s="13"/>
      <c r="E2191" s="14"/>
      <c r="F2191" s="14"/>
      <c r="G2191" s="14"/>
      <c r="H2191" s="15"/>
      <c r="I2191" s="15"/>
      <c r="J2191" s="3"/>
      <c r="K2191" s="3"/>
      <c r="L2191" s="3"/>
      <c r="M2191" s="3"/>
      <c r="N2191" s="3"/>
      <c r="O2191" s="3"/>
      <c r="P2191" s="3"/>
      <c r="Q2191" s="3"/>
      <c r="R2191" s="3"/>
      <c r="S2191" s="3"/>
      <c r="T2191" s="3"/>
      <c r="U2191" s="3"/>
      <c r="V2191" s="3"/>
      <c r="W2191" s="3"/>
      <c r="X2191" s="3"/>
      <c r="Y2191" s="3"/>
      <c r="Z2191" s="3"/>
      <c r="AA2191" s="3"/>
    </row>
    <row r="2192" ht="105.75" customHeight="1">
      <c r="A2192" s="11"/>
      <c r="B2192" s="12"/>
      <c r="C2192" s="11"/>
      <c r="D2192" s="13"/>
      <c r="E2192" s="14"/>
      <c r="F2192" s="14"/>
      <c r="G2192" s="14"/>
      <c r="H2192" s="15"/>
      <c r="I2192" s="15"/>
      <c r="J2192" s="3"/>
      <c r="K2192" s="3"/>
      <c r="L2192" s="3"/>
      <c r="M2192" s="3"/>
      <c r="N2192" s="3"/>
      <c r="O2192" s="3"/>
      <c r="P2192" s="3"/>
      <c r="Q2192" s="3"/>
      <c r="R2192" s="3"/>
      <c r="S2192" s="3"/>
      <c r="T2192" s="3"/>
      <c r="U2192" s="3"/>
      <c r="V2192" s="3"/>
      <c r="W2192" s="3"/>
      <c r="X2192" s="3"/>
      <c r="Y2192" s="3"/>
      <c r="Z2192" s="3"/>
      <c r="AA2192" s="3"/>
    </row>
    <row r="2193" ht="105.75" customHeight="1">
      <c r="A2193" s="11"/>
      <c r="B2193" s="12"/>
      <c r="C2193" s="11"/>
      <c r="D2193" s="13"/>
      <c r="E2193" s="14"/>
      <c r="F2193" s="14"/>
      <c r="G2193" s="14"/>
      <c r="H2193" s="15"/>
      <c r="I2193" s="15"/>
      <c r="J2193" s="3"/>
      <c r="K2193" s="3"/>
      <c r="L2193" s="3"/>
      <c r="M2193" s="3"/>
      <c r="N2193" s="3"/>
      <c r="O2193" s="3"/>
      <c r="P2193" s="3"/>
      <c r="Q2193" s="3"/>
      <c r="R2193" s="3"/>
      <c r="S2193" s="3"/>
      <c r="T2193" s="3"/>
      <c r="U2193" s="3"/>
      <c r="V2193" s="3"/>
      <c r="W2193" s="3"/>
      <c r="X2193" s="3"/>
      <c r="Y2193" s="3"/>
      <c r="Z2193" s="3"/>
      <c r="AA2193" s="3"/>
    </row>
    <row r="2194" ht="105.75" customHeight="1">
      <c r="A2194" s="11"/>
      <c r="B2194" s="12"/>
      <c r="C2194" s="11"/>
      <c r="D2194" s="13"/>
      <c r="E2194" s="14"/>
      <c r="F2194" s="14"/>
      <c r="G2194" s="14"/>
      <c r="H2194" s="15"/>
      <c r="I2194" s="15"/>
      <c r="J2194" s="3"/>
      <c r="K2194" s="3"/>
      <c r="L2194" s="3"/>
      <c r="M2194" s="3"/>
      <c r="N2194" s="3"/>
      <c r="O2194" s="3"/>
      <c r="P2194" s="3"/>
      <c r="Q2194" s="3"/>
      <c r="R2194" s="3"/>
      <c r="S2194" s="3"/>
      <c r="T2194" s="3"/>
      <c r="U2194" s="3"/>
      <c r="V2194" s="3"/>
      <c r="W2194" s="3"/>
      <c r="X2194" s="3"/>
      <c r="Y2194" s="3"/>
      <c r="Z2194" s="3"/>
      <c r="AA2194" s="3"/>
    </row>
    <row r="2195" ht="105.75" customHeight="1">
      <c r="A2195" s="11"/>
      <c r="B2195" s="12"/>
      <c r="C2195" s="11"/>
      <c r="D2195" s="13"/>
      <c r="E2195" s="14"/>
      <c r="F2195" s="14"/>
      <c r="G2195" s="14"/>
      <c r="H2195" s="15"/>
      <c r="I2195" s="15"/>
      <c r="J2195" s="3"/>
      <c r="K2195" s="3"/>
      <c r="L2195" s="3"/>
      <c r="M2195" s="3"/>
      <c r="N2195" s="3"/>
      <c r="O2195" s="3"/>
      <c r="P2195" s="3"/>
      <c r="Q2195" s="3"/>
      <c r="R2195" s="3"/>
      <c r="S2195" s="3"/>
      <c r="T2195" s="3"/>
      <c r="U2195" s="3"/>
      <c r="V2195" s="3"/>
      <c r="W2195" s="3"/>
      <c r="X2195" s="3"/>
      <c r="Y2195" s="3"/>
      <c r="Z2195" s="3"/>
      <c r="AA2195" s="3"/>
    </row>
    <row r="2196" ht="105.75" customHeight="1">
      <c r="A2196" s="11"/>
      <c r="B2196" s="12"/>
      <c r="C2196" s="11"/>
      <c r="D2196" s="13"/>
      <c r="E2196" s="14"/>
      <c r="F2196" s="14"/>
      <c r="G2196" s="14"/>
      <c r="H2196" s="15"/>
      <c r="I2196" s="15"/>
      <c r="J2196" s="3"/>
      <c r="K2196" s="3"/>
      <c r="L2196" s="3"/>
      <c r="M2196" s="3"/>
      <c r="N2196" s="3"/>
      <c r="O2196" s="3"/>
      <c r="P2196" s="3"/>
      <c r="Q2196" s="3"/>
      <c r="R2196" s="3"/>
      <c r="S2196" s="3"/>
      <c r="T2196" s="3"/>
      <c r="U2196" s="3"/>
      <c r="V2196" s="3"/>
      <c r="W2196" s="3"/>
      <c r="X2196" s="3"/>
      <c r="Y2196" s="3"/>
      <c r="Z2196" s="3"/>
      <c r="AA2196" s="3"/>
    </row>
    <row r="2197" ht="105.75" customHeight="1">
      <c r="A2197" s="11"/>
      <c r="B2197" s="12"/>
      <c r="C2197" s="11"/>
      <c r="D2197" s="13"/>
      <c r="E2197" s="14"/>
      <c r="F2197" s="14"/>
      <c r="G2197" s="14"/>
      <c r="H2197" s="15"/>
      <c r="I2197" s="15"/>
      <c r="J2197" s="3"/>
      <c r="K2197" s="3"/>
      <c r="L2197" s="3"/>
      <c r="M2197" s="3"/>
      <c r="N2197" s="3"/>
      <c r="O2197" s="3"/>
      <c r="P2197" s="3"/>
      <c r="Q2197" s="3"/>
      <c r="R2197" s="3"/>
      <c r="S2197" s="3"/>
      <c r="T2197" s="3"/>
      <c r="U2197" s="3"/>
      <c r="V2197" s="3"/>
      <c r="W2197" s="3"/>
      <c r="X2197" s="3"/>
      <c r="Y2197" s="3"/>
      <c r="Z2197" s="3"/>
      <c r="AA2197" s="3"/>
    </row>
    <row r="2198" ht="105.75" customHeight="1">
      <c r="A2198" s="11"/>
      <c r="B2198" s="12"/>
      <c r="C2198" s="11"/>
      <c r="D2198" s="13"/>
      <c r="E2198" s="14"/>
      <c r="F2198" s="14"/>
      <c r="G2198" s="14"/>
      <c r="H2198" s="15"/>
      <c r="I2198" s="15"/>
      <c r="J2198" s="3"/>
      <c r="K2198" s="3"/>
      <c r="L2198" s="3"/>
      <c r="M2198" s="3"/>
      <c r="N2198" s="3"/>
      <c r="O2198" s="3"/>
      <c r="P2198" s="3"/>
      <c r="Q2198" s="3"/>
      <c r="R2198" s="3"/>
      <c r="S2198" s="3"/>
      <c r="T2198" s="3"/>
      <c r="U2198" s="3"/>
      <c r="V2198" s="3"/>
      <c r="W2198" s="3"/>
      <c r="X2198" s="3"/>
      <c r="Y2198" s="3"/>
      <c r="Z2198" s="3"/>
      <c r="AA2198" s="3"/>
    </row>
    <row r="2199" ht="105.75" customHeight="1">
      <c r="A2199" s="11"/>
      <c r="B2199" s="12"/>
      <c r="C2199" s="11"/>
      <c r="D2199" s="13"/>
      <c r="E2199" s="14"/>
      <c r="F2199" s="14"/>
      <c r="G2199" s="14"/>
      <c r="H2199" s="15"/>
      <c r="I2199" s="15"/>
      <c r="J2199" s="3"/>
      <c r="K2199" s="3"/>
      <c r="L2199" s="3"/>
      <c r="M2199" s="3"/>
      <c r="N2199" s="3"/>
      <c r="O2199" s="3"/>
      <c r="P2199" s="3"/>
      <c r="Q2199" s="3"/>
      <c r="R2199" s="3"/>
      <c r="S2199" s="3"/>
      <c r="T2199" s="3"/>
      <c r="U2199" s="3"/>
      <c r="V2199" s="3"/>
      <c r="W2199" s="3"/>
      <c r="X2199" s="3"/>
      <c r="Y2199" s="3"/>
      <c r="Z2199" s="3"/>
      <c r="AA2199" s="3"/>
    </row>
    <row r="2200" ht="105.75" customHeight="1">
      <c r="A2200" s="11"/>
      <c r="B2200" s="12"/>
      <c r="C2200" s="11"/>
      <c r="D2200" s="13"/>
      <c r="E2200" s="14"/>
      <c r="F2200" s="14"/>
      <c r="G2200" s="14"/>
      <c r="H2200" s="15"/>
      <c r="I2200" s="15"/>
      <c r="J2200" s="3"/>
      <c r="K2200" s="3"/>
      <c r="L2200" s="3"/>
      <c r="M2200" s="3"/>
      <c r="N2200" s="3"/>
      <c r="O2200" s="3"/>
      <c r="P2200" s="3"/>
      <c r="Q2200" s="3"/>
      <c r="R2200" s="3"/>
      <c r="S2200" s="3"/>
      <c r="T2200" s="3"/>
      <c r="U2200" s="3"/>
      <c r="V2200" s="3"/>
      <c r="W2200" s="3"/>
      <c r="X2200" s="3"/>
      <c r="Y2200" s="3"/>
      <c r="Z2200" s="3"/>
      <c r="AA2200" s="3"/>
    </row>
    <row r="2201" ht="105.75" customHeight="1">
      <c r="A2201" s="11"/>
      <c r="B2201" s="12"/>
      <c r="C2201" s="11"/>
      <c r="D2201" s="13"/>
      <c r="E2201" s="14"/>
      <c r="F2201" s="14"/>
      <c r="G2201" s="14"/>
      <c r="H2201" s="15"/>
      <c r="I2201" s="15"/>
      <c r="J2201" s="3"/>
      <c r="K2201" s="3"/>
      <c r="L2201" s="3"/>
      <c r="M2201" s="3"/>
      <c r="N2201" s="3"/>
      <c r="O2201" s="3"/>
      <c r="P2201" s="3"/>
      <c r="Q2201" s="3"/>
      <c r="R2201" s="3"/>
      <c r="S2201" s="3"/>
      <c r="T2201" s="3"/>
      <c r="U2201" s="3"/>
      <c r="V2201" s="3"/>
      <c r="W2201" s="3"/>
      <c r="X2201" s="3"/>
      <c r="Y2201" s="3"/>
      <c r="Z2201" s="3"/>
      <c r="AA2201" s="3"/>
    </row>
    <row r="2202" ht="105.75" customHeight="1">
      <c r="A2202" s="11"/>
      <c r="B2202" s="12"/>
      <c r="C2202" s="11"/>
      <c r="D2202" s="13"/>
      <c r="E2202" s="14"/>
      <c r="F2202" s="14"/>
      <c r="G2202" s="14"/>
      <c r="H2202" s="15"/>
      <c r="I2202" s="15"/>
      <c r="J2202" s="3"/>
      <c r="K2202" s="3"/>
      <c r="L2202" s="3"/>
      <c r="M2202" s="3"/>
      <c r="N2202" s="3"/>
      <c r="O2202" s="3"/>
      <c r="P2202" s="3"/>
      <c r="Q2202" s="3"/>
      <c r="R2202" s="3"/>
      <c r="S2202" s="3"/>
      <c r="T2202" s="3"/>
      <c r="U2202" s="3"/>
      <c r="V2202" s="3"/>
      <c r="W2202" s="3"/>
      <c r="X2202" s="3"/>
      <c r="Y2202" s="3"/>
      <c r="Z2202" s="3"/>
      <c r="AA2202" s="3"/>
    </row>
    <row r="2203" ht="105.75" customHeight="1">
      <c r="A2203" s="11"/>
      <c r="B2203" s="12"/>
      <c r="C2203" s="11"/>
      <c r="D2203" s="13"/>
      <c r="E2203" s="14"/>
      <c r="F2203" s="14"/>
      <c r="G2203" s="14"/>
      <c r="H2203" s="15"/>
      <c r="I2203" s="15"/>
      <c r="J2203" s="3"/>
      <c r="K2203" s="3"/>
      <c r="L2203" s="3"/>
      <c r="M2203" s="3"/>
      <c r="N2203" s="3"/>
      <c r="O2203" s="3"/>
      <c r="P2203" s="3"/>
      <c r="Q2203" s="3"/>
      <c r="R2203" s="3"/>
      <c r="S2203" s="3"/>
      <c r="T2203" s="3"/>
      <c r="U2203" s="3"/>
      <c r="V2203" s="3"/>
      <c r="W2203" s="3"/>
      <c r="X2203" s="3"/>
      <c r="Y2203" s="3"/>
      <c r="Z2203" s="3"/>
      <c r="AA2203" s="3"/>
    </row>
    <row r="2204" ht="105.75" customHeight="1">
      <c r="A2204" s="11"/>
      <c r="B2204" s="12"/>
      <c r="C2204" s="11"/>
      <c r="D2204" s="13"/>
      <c r="E2204" s="14"/>
      <c r="F2204" s="14"/>
      <c r="G2204" s="14"/>
      <c r="H2204" s="15"/>
      <c r="I2204" s="15"/>
      <c r="J2204" s="3"/>
      <c r="K2204" s="3"/>
      <c r="L2204" s="3"/>
      <c r="M2204" s="3"/>
      <c r="N2204" s="3"/>
      <c r="O2204" s="3"/>
      <c r="P2204" s="3"/>
      <c r="Q2204" s="3"/>
      <c r="R2204" s="3"/>
      <c r="S2204" s="3"/>
      <c r="T2204" s="3"/>
      <c r="U2204" s="3"/>
      <c r="V2204" s="3"/>
      <c r="W2204" s="3"/>
      <c r="X2204" s="3"/>
      <c r="Y2204" s="3"/>
      <c r="Z2204" s="3"/>
      <c r="AA2204" s="3"/>
    </row>
    <row r="2205" ht="105.75" customHeight="1">
      <c r="A2205" s="11"/>
      <c r="B2205" s="12"/>
      <c r="C2205" s="11"/>
      <c r="D2205" s="13"/>
      <c r="E2205" s="14"/>
      <c r="F2205" s="14"/>
      <c r="G2205" s="14"/>
      <c r="H2205" s="15"/>
      <c r="I2205" s="15"/>
      <c r="J2205" s="3"/>
      <c r="K2205" s="3"/>
      <c r="L2205" s="3"/>
      <c r="M2205" s="3"/>
      <c r="N2205" s="3"/>
      <c r="O2205" s="3"/>
      <c r="P2205" s="3"/>
      <c r="Q2205" s="3"/>
      <c r="R2205" s="3"/>
      <c r="S2205" s="3"/>
      <c r="T2205" s="3"/>
      <c r="U2205" s="3"/>
      <c r="V2205" s="3"/>
      <c r="W2205" s="3"/>
      <c r="X2205" s="3"/>
      <c r="Y2205" s="3"/>
      <c r="Z2205" s="3"/>
      <c r="AA2205" s="3"/>
    </row>
    <row r="2206" ht="105.75" customHeight="1">
      <c r="A2206" s="11"/>
      <c r="B2206" s="12"/>
      <c r="C2206" s="11"/>
      <c r="D2206" s="13"/>
      <c r="E2206" s="14"/>
      <c r="F2206" s="14"/>
      <c r="G2206" s="14"/>
      <c r="H2206" s="15"/>
      <c r="I2206" s="15"/>
      <c r="J2206" s="3"/>
      <c r="K2206" s="3"/>
      <c r="L2206" s="3"/>
      <c r="M2206" s="3"/>
      <c r="N2206" s="3"/>
      <c r="O2206" s="3"/>
      <c r="P2206" s="3"/>
      <c r="Q2206" s="3"/>
      <c r="R2206" s="3"/>
      <c r="S2206" s="3"/>
      <c r="T2206" s="3"/>
      <c r="U2206" s="3"/>
      <c r="V2206" s="3"/>
      <c r="W2206" s="3"/>
      <c r="X2206" s="3"/>
      <c r="Y2206" s="3"/>
      <c r="Z2206" s="3"/>
      <c r="AA2206" s="3"/>
    </row>
    <row r="2207" ht="105.75" customHeight="1">
      <c r="A2207" s="11"/>
      <c r="B2207" s="12"/>
      <c r="C2207" s="11"/>
      <c r="D2207" s="13"/>
      <c r="E2207" s="14"/>
      <c r="F2207" s="14"/>
      <c r="G2207" s="14"/>
      <c r="H2207" s="15"/>
      <c r="I2207" s="15"/>
      <c r="J2207" s="3"/>
      <c r="K2207" s="3"/>
      <c r="L2207" s="3"/>
      <c r="M2207" s="3"/>
      <c r="N2207" s="3"/>
      <c r="O2207" s="3"/>
      <c r="P2207" s="3"/>
      <c r="Q2207" s="3"/>
      <c r="R2207" s="3"/>
      <c r="S2207" s="3"/>
      <c r="T2207" s="3"/>
      <c r="U2207" s="3"/>
      <c r="V2207" s="3"/>
      <c r="W2207" s="3"/>
      <c r="X2207" s="3"/>
      <c r="Y2207" s="3"/>
      <c r="Z2207" s="3"/>
      <c r="AA2207" s="3"/>
    </row>
    <row r="2208" ht="105.75" customHeight="1">
      <c r="A2208" s="11"/>
      <c r="B2208" s="12"/>
      <c r="C2208" s="11"/>
      <c r="D2208" s="13"/>
      <c r="E2208" s="14"/>
      <c r="F2208" s="14"/>
      <c r="G2208" s="14"/>
      <c r="H2208" s="15"/>
      <c r="I2208" s="15"/>
      <c r="J2208" s="3"/>
      <c r="K2208" s="3"/>
      <c r="L2208" s="3"/>
      <c r="M2208" s="3"/>
      <c r="N2208" s="3"/>
      <c r="O2208" s="3"/>
      <c r="P2208" s="3"/>
      <c r="Q2208" s="3"/>
      <c r="R2208" s="3"/>
      <c r="S2208" s="3"/>
      <c r="T2208" s="3"/>
      <c r="U2208" s="3"/>
      <c r="V2208" s="3"/>
      <c r="W2208" s="3"/>
      <c r="X2208" s="3"/>
      <c r="Y2208" s="3"/>
      <c r="Z2208" s="3"/>
      <c r="AA2208" s="3"/>
    </row>
    <row r="2209" ht="105.75" customHeight="1">
      <c r="A2209" s="11"/>
      <c r="B2209" s="12"/>
      <c r="C2209" s="11"/>
      <c r="D2209" s="13"/>
      <c r="E2209" s="14"/>
      <c r="F2209" s="14"/>
      <c r="G2209" s="14"/>
      <c r="H2209" s="15"/>
      <c r="I2209" s="15"/>
      <c r="J2209" s="3"/>
      <c r="K2209" s="3"/>
      <c r="L2209" s="3"/>
      <c r="M2209" s="3"/>
      <c r="N2209" s="3"/>
      <c r="O2209" s="3"/>
      <c r="P2209" s="3"/>
      <c r="Q2209" s="3"/>
      <c r="R2209" s="3"/>
      <c r="S2209" s="3"/>
      <c r="T2209" s="3"/>
      <c r="U2209" s="3"/>
      <c r="V2209" s="3"/>
      <c r="W2209" s="3"/>
      <c r="X2209" s="3"/>
      <c r="Y2209" s="3"/>
      <c r="Z2209" s="3"/>
      <c r="AA2209" s="3"/>
    </row>
    <row r="2210" ht="105.75" customHeight="1">
      <c r="A2210" s="11"/>
      <c r="B2210" s="12"/>
      <c r="C2210" s="11"/>
      <c r="D2210" s="13"/>
      <c r="E2210" s="16"/>
      <c r="F2210" s="16"/>
      <c r="G2210" s="16"/>
      <c r="H2210" s="15"/>
      <c r="I2210" s="15"/>
      <c r="J2210" s="3"/>
      <c r="K2210" s="3"/>
      <c r="L2210" s="3"/>
      <c r="M2210" s="3"/>
      <c r="N2210" s="3"/>
      <c r="O2210" s="3"/>
      <c r="P2210" s="3"/>
      <c r="Q2210" s="3"/>
      <c r="R2210" s="3"/>
      <c r="S2210" s="3"/>
      <c r="T2210" s="3"/>
      <c r="U2210" s="3"/>
      <c r="V2210" s="3"/>
      <c r="W2210" s="3"/>
      <c r="X2210" s="3"/>
      <c r="Y2210" s="3"/>
      <c r="Z2210" s="3"/>
      <c r="AA2210" s="3"/>
    </row>
    <row r="2211" ht="105.75" customHeight="1">
      <c r="A2211" s="11"/>
      <c r="B2211" s="12"/>
      <c r="C2211" s="11"/>
      <c r="D2211" s="13"/>
      <c r="E2211" s="14"/>
      <c r="F2211" s="14"/>
      <c r="G2211" s="14"/>
      <c r="H2211" s="15"/>
      <c r="I2211" s="15"/>
      <c r="J2211" s="3"/>
      <c r="K2211" s="3"/>
      <c r="L2211" s="3"/>
      <c r="M2211" s="3"/>
      <c r="N2211" s="3"/>
      <c r="O2211" s="3"/>
      <c r="P2211" s="3"/>
      <c r="Q2211" s="3"/>
      <c r="R2211" s="3"/>
      <c r="S2211" s="3"/>
      <c r="T2211" s="3"/>
      <c r="U2211" s="3"/>
      <c r="V2211" s="3"/>
      <c r="W2211" s="3"/>
      <c r="X2211" s="3"/>
      <c r="Y2211" s="3"/>
      <c r="Z2211" s="3"/>
      <c r="AA2211" s="3"/>
    </row>
    <row r="2212" ht="105.75" customHeight="1">
      <c r="A2212" s="11"/>
      <c r="B2212" s="12"/>
      <c r="C2212" s="11"/>
      <c r="D2212" s="13"/>
      <c r="E2212" s="14"/>
      <c r="F2212" s="14"/>
      <c r="G2212" s="14"/>
      <c r="H2212" s="15"/>
      <c r="I2212" s="15"/>
      <c r="J2212" s="3"/>
      <c r="K2212" s="3"/>
      <c r="L2212" s="3"/>
      <c r="M2212" s="3"/>
      <c r="N2212" s="3"/>
      <c r="O2212" s="3"/>
      <c r="P2212" s="3"/>
      <c r="Q2212" s="3"/>
      <c r="R2212" s="3"/>
      <c r="S2212" s="3"/>
      <c r="T2212" s="3"/>
      <c r="U2212" s="3"/>
      <c r="V2212" s="3"/>
      <c r="W2212" s="3"/>
      <c r="X2212" s="3"/>
      <c r="Y2212" s="3"/>
      <c r="Z2212" s="3"/>
      <c r="AA2212" s="3"/>
    </row>
    <row r="2213" ht="105.75" customHeight="1">
      <c r="A2213" s="11"/>
      <c r="B2213" s="12"/>
      <c r="C2213" s="11"/>
      <c r="D2213" s="13"/>
      <c r="E2213" s="14"/>
      <c r="F2213" s="14"/>
      <c r="G2213" s="14"/>
      <c r="H2213" s="15"/>
      <c r="I2213" s="15"/>
      <c r="J2213" s="3"/>
      <c r="K2213" s="3"/>
      <c r="L2213" s="3"/>
      <c r="M2213" s="3"/>
      <c r="N2213" s="3"/>
      <c r="O2213" s="3"/>
      <c r="P2213" s="3"/>
      <c r="Q2213" s="3"/>
      <c r="R2213" s="3"/>
      <c r="S2213" s="3"/>
      <c r="T2213" s="3"/>
      <c r="U2213" s="3"/>
      <c r="V2213" s="3"/>
      <c r="W2213" s="3"/>
      <c r="X2213" s="3"/>
      <c r="Y2213" s="3"/>
      <c r="Z2213" s="3"/>
      <c r="AA2213" s="3"/>
    </row>
    <row r="2214" ht="105.75" customHeight="1">
      <c r="A2214" s="11"/>
      <c r="B2214" s="12"/>
      <c r="C2214" s="11"/>
      <c r="D2214" s="13"/>
      <c r="E2214" s="14"/>
      <c r="F2214" s="14"/>
      <c r="G2214" s="14"/>
      <c r="H2214" s="15"/>
      <c r="I2214" s="15"/>
      <c r="J2214" s="3"/>
      <c r="K2214" s="3"/>
      <c r="L2214" s="3"/>
      <c r="M2214" s="3"/>
      <c r="N2214" s="3"/>
      <c r="O2214" s="3"/>
      <c r="P2214" s="3"/>
      <c r="Q2214" s="3"/>
      <c r="R2214" s="3"/>
      <c r="S2214" s="3"/>
      <c r="T2214" s="3"/>
      <c r="U2214" s="3"/>
      <c r="V2214" s="3"/>
      <c r="W2214" s="3"/>
      <c r="X2214" s="3"/>
      <c r="Y2214" s="3"/>
      <c r="Z2214" s="3"/>
      <c r="AA2214" s="3"/>
    </row>
    <row r="2215" ht="105.75" customHeight="1">
      <c r="A2215" s="11"/>
      <c r="B2215" s="12"/>
      <c r="C2215" s="11"/>
      <c r="D2215" s="13"/>
      <c r="E2215" s="14"/>
      <c r="F2215" s="14"/>
      <c r="G2215" s="14"/>
      <c r="H2215" s="15"/>
      <c r="I2215" s="15"/>
      <c r="J2215" s="3"/>
      <c r="K2215" s="3"/>
      <c r="L2215" s="3"/>
      <c r="M2215" s="3"/>
      <c r="N2215" s="3"/>
      <c r="O2215" s="3"/>
      <c r="P2215" s="3"/>
      <c r="Q2215" s="3"/>
      <c r="R2215" s="3"/>
      <c r="S2215" s="3"/>
      <c r="T2215" s="3"/>
      <c r="U2215" s="3"/>
      <c r="V2215" s="3"/>
      <c r="W2215" s="3"/>
      <c r="X2215" s="3"/>
      <c r="Y2215" s="3"/>
      <c r="Z2215" s="3"/>
      <c r="AA2215" s="3"/>
    </row>
    <row r="2216" ht="105.75" customHeight="1">
      <c r="A2216" s="11"/>
      <c r="B2216" s="12"/>
      <c r="C2216" s="11"/>
      <c r="D2216" s="13"/>
      <c r="E2216" s="14"/>
      <c r="F2216" s="14"/>
      <c r="G2216" s="14"/>
      <c r="H2216" s="15"/>
      <c r="I2216" s="15"/>
      <c r="J2216" s="3"/>
      <c r="K2216" s="3"/>
      <c r="L2216" s="3"/>
      <c r="M2216" s="3"/>
      <c r="N2216" s="3"/>
      <c r="O2216" s="3"/>
      <c r="P2216" s="3"/>
      <c r="Q2216" s="3"/>
      <c r="R2216" s="3"/>
      <c r="S2216" s="3"/>
      <c r="T2216" s="3"/>
      <c r="U2216" s="3"/>
      <c r="V2216" s="3"/>
      <c r="W2216" s="3"/>
      <c r="X2216" s="3"/>
      <c r="Y2216" s="3"/>
      <c r="Z2216" s="3"/>
      <c r="AA2216" s="3"/>
    </row>
    <row r="2217" ht="105.75" customHeight="1">
      <c r="A2217" s="11"/>
      <c r="B2217" s="12"/>
      <c r="C2217" s="11"/>
      <c r="D2217" s="13"/>
      <c r="E2217" s="14"/>
      <c r="F2217" s="14"/>
      <c r="G2217" s="14"/>
      <c r="H2217" s="15"/>
      <c r="I2217" s="15"/>
      <c r="J2217" s="3"/>
      <c r="K2217" s="3"/>
      <c r="L2217" s="3"/>
      <c r="M2217" s="3"/>
      <c r="N2217" s="3"/>
      <c r="O2217" s="3"/>
      <c r="P2217" s="3"/>
      <c r="Q2217" s="3"/>
      <c r="R2217" s="3"/>
      <c r="S2217" s="3"/>
      <c r="T2217" s="3"/>
      <c r="U2217" s="3"/>
      <c r="V2217" s="3"/>
      <c r="W2217" s="3"/>
      <c r="X2217" s="3"/>
      <c r="Y2217" s="3"/>
      <c r="Z2217" s="3"/>
      <c r="AA2217" s="3"/>
    </row>
    <row r="2218" ht="105.75" customHeight="1">
      <c r="A2218" s="11"/>
      <c r="B2218" s="12"/>
      <c r="C2218" s="11"/>
      <c r="D2218" s="13"/>
      <c r="E2218" s="14"/>
      <c r="F2218" s="14"/>
      <c r="G2218" s="14"/>
      <c r="H2218" s="15"/>
      <c r="I2218" s="15"/>
      <c r="J2218" s="3"/>
      <c r="K2218" s="3"/>
      <c r="L2218" s="3"/>
      <c r="M2218" s="3"/>
      <c r="N2218" s="3"/>
      <c r="O2218" s="3"/>
      <c r="P2218" s="3"/>
      <c r="Q2218" s="3"/>
      <c r="R2218" s="3"/>
      <c r="S2218" s="3"/>
      <c r="T2218" s="3"/>
      <c r="U2218" s="3"/>
      <c r="V2218" s="3"/>
      <c r="W2218" s="3"/>
      <c r="X2218" s="3"/>
      <c r="Y2218" s="3"/>
      <c r="Z2218" s="3"/>
      <c r="AA2218" s="3"/>
    </row>
    <row r="2219" ht="105.75" customHeight="1">
      <c r="A2219" s="11"/>
      <c r="B2219" s="12"/>
      <c r="C2219" s="11"/>
      <c r="D2219" s="13"/>
      <c r="E2219" s="14"/>
      <c r="F2219" s="14"/>
      <c r="G2219" s="14"/>
      <c r="H2219" s="15"/>
      <c r="I2219" s="15"/>
      <c r="J2219" s="3"/>
      <c r="K2219" s="3"/>
      <c r="L2219" s="3"/>
      <c r="M2219" s="3"/>
      <c r="N2219" s="3"/>
      <c r="O2219" s="3"/>
      <c r="P2219" s="3"/>
      <c r="Q2219" s="3"/>
      <c r="R2219" s="3"/>
      <c r="S2219" s="3"/>
      <c r="T2219" s="3"/>
      <c r="U2219" s="3"/>
      <c r="V2219" s="3"/>
      <c r="W2219" s="3"/>
      <c r="X2219" s="3"/>
      <c r="Y2219" s="3"/>
      <c r="Z2219" s="3"/>
      <c r="AA2219" s="3"/>
    </row>
    <row r="2220" ht="105.75" customHeight="1">
      <c r="A2220" s="11"/>
      <c r="B2220" s="12"/>
      <c r="C2220" s="11"/>
      <c r="D2220" s="13"/>
      <c r="E2220" s="14"/>
      <c r="F2220" s="14"/>
      <c r="G2220" s="14"/>
      <c r="H2220" s="15"/>
      <c r="I2220" s="15"/>
      <c r="J2220" s="3"/>
      <c r="K2220" s="3"/>
      <c r="L2220" s="3"/>
      <c r="M2220" s="3"/>
      <c r="N2220" s="3"/>
      <c r="O2220" s="3"/>
      <c r="P2220" s="3"/>
      <c r="Q2220" s="3"/>
      <c r="R2220" s="3"/>
      <c r="S2220" s="3"/>
      <c r="T2220" s="3"/>
      <c r="U2220" s="3"/>
      <c r="V2220" s="3"/>
      <c r="W2220" s="3"/>
      <c r="X2220" s="3"/>
      <c r="Y2220" s="3"/>
      <c r="Z2220" s="3"/>
      <c r="AA2220" s="3"/>
    </row>
    <row r="2221" ht="105.75" customHeight="1">
      <c r="A2221" s="11"/>
      <c r="B2221" s="12"/>
      <c r="C2221" s="11"/>
      <c r="D2221" s="13"/>
      <c r="E2221" s="14"/>
      <c r="F2221" s="14"/>
      <c r="G2221" s="14"/>
      <c r="H2221" s="15"/>
      <c r="I2221" s="15"/>
      <c r="J2221" s="3"/>
      <c r="K2221" s="3"/>
      <c r="L2221" s="3"/>
      <c r="M2221" s="3"/>
      <c r="N2221" s="3"/>
      <c r="O2221" s="3"/>
      <c r="P2221" s="3"/>
      <c r="Q2221" s="3"/>
      <c r="R2221" s="3"/>
      <c r="S2221" s="3"/>
      <c r="T2221" s="3"/>
      <c r="U2221" s="3"/>
      <c r="V2221" s="3"/>
      <c r="W2221" s="3"/>
      <c r="X2221" s="3"/>
      <c r="Y2221" s="3"/>
      <c r="Z2221" s="3"/>
      <c r="AA2221" s="3"/>
    </row>
    <row r="2222" ht="105.75" customHeight="1">
      <c r="A2222" s="11"/>
      <c r="B2222" s="12"/>
      <c r="C2222" s="11"/>
      <c r="D2222" s="13"/>
      <c r="E2222" s="14"/>
      <c r="F2222" s="14"/>
      <c r="G2222" s="14"/>
      <c r="H2222" s="15"/>
      <c r="I2222" s="15"/>
      <c r="J2222" s="3"/>
      <c r="K2222" s="3"/>
      <c r="L2222" s="3"/>
      <c r="M2222" s="3"/>
      <c r="N2222" s="3"/>
      <c r="O2222" s="3"/>
      <c r="P2222" s="3"/>
      <c r="Q2222" s="3"/>
      <c r="R2222" s="3"/>
      <c r="S2222" s="3"/>
      <c r="T2222" s="3"/>
      <c r="U2222" s="3"/>
      <c r="V2222" s="3"/>
      <c r="W2222" s="3"/>
      <c r="X2222" s="3"/>
      <c r="Y2222" s="3"/>
      <c r="Z2222" s="3"/>
      <c r="AA2222" s="3"/>
    </row>
    <row r="2223" ht="105.75" customHeight="1">
      <c r="A2223" s="11"/>
      <c r="B2223" s="12"/>
      <c r="C2223" s="11"/>
      <c r="D2223" s="13"/>
      <c r="E2223" s="14"/>
      <c r="F2223" s="14"/>
      <c r="G2223" s="14"/>
      <c r="H2223" s="15"/>
      <c r="I2223" s="15"/>
      <c r="J2223" s="3"/>
      <c r="K2223" s="3"/>
      <c r="L2223" s="3"/>
      <c r="M2223" s="3"/>
      <c r="N2223" s="3"/>
      <c r="O2223" s="3"/>
      <c r="P2223" s="3"/>
      <c r="Q2223" s="3"/>
      <c r="R2223" s="3"/>
      <c r="S2223" s="3"/>
      <c r="T2223" s="3"/>
      <c r="U2223" s="3"/>
      <c r="V2223" s="3"/>
      <c r="W2223" s="3"/>
      <c r="X2223" s="3"/>
      <c r="Y2223" s="3"/>
      <c r="Z2223" s="3"/>
      <c r="AA2223" s="3"/>
    </row>
    <row r="2224" ht="105.75" customHeight="1">
      <c r="A2224" s="11"/>
      <c r="B2224" s="12"/>
      <c r="C2224" s="11"/>
      <c r="D2224" s="13"/>
      <c r="E2224" s="14"/>
      <c r="F2224" s="14"/>
      <c r="G2224" s="14"/>
      <c r="H2224" s="15"/>
      <c r="I2224" s="15"/>
      <c r="J2224" s="3"/>
      <c r="K2224" s="3"/>
      <c r="L2224" s="3"/>
      <c r="M2224" s="3"/>
      <c r="N2224" s="3"/>
      <c r="O2224" s="3"/>
      <c r="P2224" s="3"/>
      <c r="Q2224" s="3"/>
      <c r="R2224" s="3"/>
      <c r="S2224" s="3"/>
      <c r="T2224" s="3"/>
      <c r="U2224" s="3"/>
      <c r="V2224" s="3"/>
      <c r="W2224" s="3"/>
      <c r="X2224" s="3"/>
      <c r="Y2224" s="3"/>
      <c r="Z2224" s="3"/>
      <c r="AA2224" s="3"/>
    </row>
    <row r="2225" ht="105.75" customHeight="1">
      <c r="A2225" s="11"/>
      <c r="B2225" s="12"/>
      <c r="C2225" s="11"/>
      <c r="D2225" s="13"/>
      <c r="E2225" s="16"/>
      <c r="F2225" s="16"/>
      <c r="G2225" s="16"/>
      <c r="H2225" s="15"/>
      <c r="I2225" s="15"/>
      <c r="J2225" s="3"/>
      <c r="K2225" s="3"/>
      <c r="L2225" s="3"/>
      <c r="M2225" s="3"/>
      <c r="N2225" s="3"/>
      <c r="O2225" s="3"/>
      <c r="P2225" s="3"/>
      <c r="Q2225" s="3"/>
      <c r="R2225" s="3"/>
      <c r="S2225" s="3"/>
      <c r="T2225" s="3"/>
      <c r="U2225" s="3"/>
      <c r="V2225" s="3"/>
      <c r="W2225" s="3"/>
      <c r="X2225" s="3"/>
      <c r="Y2225" s="3"/>
      <c r="Z2225" s="3"/>
      <c r="AA2225" s="3"/>
    </row>
    <row r="2226" ht="105.75" customHeight="1">
      <c r="A2226" s="11"/>
      <c r="B2226" s="12"/>
      <c r="C2226" s="11"/>
      <c r="D2226" s="13"/>
      <c r="E2226" s="14"/>
      <c r="F2226" s="14"/>
      <c r="G2226" s="14"/>
      <c r="H2226" s="15"/>
      <c r="I2226" s="15"/>
      <c r="J2226" s="3"/>
      <c r="K2226" s="3"/>
      <c r="L2226" s="3"/>
      <c r="M2226" s="3"/>
      <c r="N2226" s="3"/>
      <c r="O2226" s="3"/>
      <c r="P2226" s="3"/>
      <c r="Q2226" s="3"/>
      <c r="R2226" s="3"/>
      <c r="S2226" s="3"/>
      <c r="T2226" s="3"/>
      <c r="U2226" s="3"/>
      <c r="V2226" s="3"/>
      <c r="W2226" s="3"/>
      <c r="X2226" s="3"/>
      <c r="Y2226" s="3"/>
      <c r="Z2226" s="3"/>
      <c r="AA2226" s="3"/>
    </row>
    <row r="2227" ht="105.75" customHeight="1">
      <c r="A2227" s="11"/>
      <c r="B2227" s="12"/>
      <c r="C2227" s="11"/>
      <c r="D2227" s="13"/>
      <c r="E2227" s="14"/>
      <c r="F2227" s="14"/>
      <c r="G2227" s="14"/>
      <c r="H2227" s="15"/>
      <c r="I2227" s="15"/>
      <c r="J2227" s="3"/>
      <c r="K2227" s="3"/>
      <c r="L2227" s="3"/>
      <c r="M2227" s="3"/>
      <c r="N2227" s="3"/>
      <c r="O2227" s="3"/>
      <c r="P2227" s="3"/>
      <c r="Q2227" s="3"/>
      <c r="R2227" s="3"/>
      <c r="S2227" s="3"/>
      <c r="T2227" s="3"/>
      <c r="U2227" s="3"/>
      <c r="V2227" s="3"/>
      <c r="W2227" s="3"/>
      <c r="X2227" s="3"/>
      <c r="Y2227" s="3"/>
      <c r="Z2227" s="3"/>
      <c r="AA2227" s="3"/>
    </row>
    <row r="2228" ht="105.75" customHeight="1">
      <c r="A2228" s="11"/>
      <c r="B2228" s="12"/>
      <c r="C2228" s="11"/>
      <c r="D2228" s="13"/>
      <c r="E2228" s="16"/>
      <c r="F2228" s="16"/>
      <c r="G2228" s="16"/>
      <c r="H2228" s="15"/>
      <c r="I2228" s="15"/>
      <c r="J2228" s="3"/>
      <c r="K2228" s="3"/>
      <c r="L2228" s="3"/>
      <c r="M2228" s="3"/>
      <c r="N2228" s="3"/>
      <c r="O2228" s="3"/>
      <c r="P2228" s="3"/>
      <c r="Q2228" s="3"/>
      <c r="R2228" s="3"/>
      <c r="S2228" s="3"/>
      <c r="T2228" s="3"/>
      <c r="U2228" s="3"/>
      <c r="V2228" s="3"/>
      <c r="W2228" s="3"/>
      <c r="X2228" s="3"/>
      <c r="Y2228" s="3"/>
      <c r="Z2228" s="3"/>
      <c r="AA2228" s="3"/>
    </row>
    <row r="2229" ht="105.75" customHeight="1">
      <c r="A2229" s="11"/>
      <c r="B2229" s="12"/>
      <c r="C2229" s="11"/>
      <c r="D2229" s="13"/>
      <c r="E2229" s="14"/>
      <c r="F2229" s="14"/>
      <c r="G2229" s="14"/>
      <c r="H2229" s="15"/>
      <c r="I2229" s="15"/>
      <c r="J2229" s="3"/>
      <c r="K2229" s="3"/>
      <c r="L2229" s="3"/>
      <c r="M2229" s="3"/>
      <c r="N2229" s="3"/>
      <c r="O2229" s="3"/>
      <c r="P2229" s="3"/>
      <c r="Q2229" s="3"/>
      <c r="R2229" s="3"/>
      <c r="S2229" s="3"/>
      <c r="T2229" s="3"/>
      <c r="U2229" s="3"/>
      <c r="V2229" s="3"/>
      <c r="W2229" s="3"/>
      <c r="X2229" s="3"/>
      <c r="Y2229" s="3"/>
      <c r="Z2229" s="3"/>
      <c r="AA2229" s="3"/>
    </row>
    <row r="2230" ht="105.75" customHeight="1">
      <c r="A2230" s="11"/>
      <c r="B2230" s="12"/>
      <c r="C2230" s="11"/>
      <c r="D2230" s="13"/>
      <c r="E2230" s="16"/>
      <c r="F2230" s="16"/>
      <c r="G2230" s="16"/>
      <c r="H2230" s="15"/>
      <c r="I2230" s="15"/>
      <c r="J2230" s="3"/>
      <c r="K2230" s="3"/>
      <c r="L2230" s="3"/>
      <c r="M2230" s="3"/>
      <c r="N2230" s="3"/>
      <c r="O2230" s="3"/>
      <c r="P2230" s="3"/>
      <c r="Q2230" s="3"/>
      <c r="R2230" s="3"/>
      <c r="S2230" s="3"/>
      <c r="T2230" s="3"/>
      <c r="U2230" s="3"/>
      <c r="V2230" s="3"/>
      <c r="W2230" s="3"/>
      <c r="X2230" s="3"/>
      <c r="Y2230" s="3"/>
      <c r="Z2230" s="3"/>
      <c r="AA2230" s="3"/>
    </row>
    <row r="2231" ht="105.75" customHeight="1">
      <c r="A2231" s="11"/>
      <c r="B2231" s="12"/>
      <c r="C2231" s="11"/>
      <c r="D2231" s="13"/>
      <c r="E2231" s="14"/>
      <c r="F2231" s="14"/>
      <c r="G2231" s="14"/>
      <c r="H2231" s="15"/>
      <c r="I2231" s="15"/>
      <c r="J2231" s="3"/>
      <c r="K2231" s="3"/>
      <c r="L2231" s="3"/>
      <c r="M2231" s="3"/>
      <c r="N2231" s="3"/>
      <c r="O2231" s="3"/>
      <c r="P2231" s="3"/>
      <c r="Q2231" s="3"/>
      <c r="R2231" s="3"/>
      <c r="S2231" s="3"/>
      <c r="T2231" s="3"/>
      <c r="U2231" s="3"/>
      <c r="V2231" s="3"/>
      <c r="W2231" s="3"/>
      <c r="X2231" s="3"/>
      <c r="Y2231" s="3"/>
      <c r="Z2231" s="3"/>
      <c r="AA2231" s="3"/>
    </row>
    <row r="2232" ht="105.75" customHeight="1">
      <c r="A2232" s="11"/>
      <c r="B2232" s="12"/>
      <c r="C2232" s="11"/>
      <c r="D2232" s="13"/>
      <c r="E2232" s="14"/>
      <c r="F2232" s="14"/>
      <c r="G2232" s="14"/>
      <c r="H2232" s="15"/>
      <c r="I2232" s="15"/>
      <c r="J2232" s="3"/>
      <c r="K2232" s="3"/>
      <c r="L2232" s="3"/>
      <c r="M2232" s="3"/>
      <c r="N2232" s="3"/>
      <c r="O2232" s="3"/>
      <c r="P2232" s="3"/>
      <c r="Q2232" s="3"/>
      <c r="R2232" s="3"/>
      <c r="S2232" s="3"/>
      <c r="T2232" s="3"/>
      <c r="U2232" s="3"/>
      <c r="V2232" s="3"/>
      <c r="W2232" s="3"/>
      <c r="X2232" s="3"/>
      <c r="Y2232" s="3"/>
      <c r="Z2232" s="3"/>
      <c r="AA2232" s="3"/>
    </row>
    <row r="2233" ht="105.75" customHeight="1">
      <c r="A2233" s="11"/>
      <c r="B2233" s="12"/>
      <c r="C2233" s="11"/>
      <c r="D2233" s="13"/>
      <c r="E2233" s="14"/>
      <c r="F2233" s="14"/>
      <c r="G2233" s="14"/>
      <c r="H2233" s="15"/>
      <c r="I2233" s="15"/>
      <c r="J2233" s="3"/>
      <c r="K2233" s="3"/>
      <c r="L2233" s="3"/>
      <c r="M2233" s="3"/>
      <c r="N2233" s="3"/>
      <c r="O2233" s="3"/>
      <c r="P2233" s="3"/>
      <c r="Q2233" s="3"/>
      <c r="R2233" s="3"/>
      <c r="S2233" s="3"/>
      <c r="T2233" s="3"/>
      <c r="U2233" s="3"/>
      <c r="V2233" s="3"/>
      <c r="W2233" s="3"/>
      <c r="X2233" s="3"/>
      <c r="Y2233" s="3"/>
      <c r="Z2233" s="3"/>
      <c r="AA2233" s="3"/>
    </row>
    <row r="2234" ht="105.75" customHeight="1">
      <c r="A2234" s="11"/>
      <c r="B2234" s="12"/>
      <c r="C2234" s="11"/>
      <c r="D2234" s="13"/>
      <c r="E2234" s="14"/>
      <c r="F2234" s="14"/>
      <c r="G2234" s="14"/>
      <c r="H2234" s="15"/>
      <c r="I2234" s="15"/>
      <c r="J2234" s="3"/>
      <c r="K2234" s="3"/>
      <c r="L2234" s="3"/>
      <c r="M2234" s="3"/>
      <c r="N2234" s="3"/>
      <c r="O2234" s="3"/>
      <c r="P2234" s="3"/>
      <c r="Q2234" s="3"/>
      <c r="R2234" s="3"/>
      <c r="S2234" s="3"/>
      <c r="T2234" s="3"/>
      <c r="U2234" s="3"/>
      <c r="V2234" s="3"/>
      <c r="W2234" s="3"/>
      <c r="X2234" s="3"/>
      <c r="Y2234" s="3"/>
      <c r="Z2234" s="3"/>
      <c r="AA2234" s="3"/>
    </row>
    <row r="2235" ht="105.75" customHeight="1">
      <c r="A2235" s="11"/>
      <c r="B2235" s="12"/>
      <c r="C2235" s="11"/>
      <c r="D2235" s="13"/>
      <c r="E2235" s="16"/>
      <c r="F2235" s="16"/>
      <c r="G2235" s="16"/>
      <c r="H2235" s="15"/>
      <c r="I2235" s="15"/>
      <c r="J2235" s="3"/>
      <c r="K2235" s="3"/>
      <c r="L2235" s="3"/>
      <c r="M2235" s="3"/>
      <c r="N2235" s="3"/>
      <c r="O2235" s="3"/>
      <c r="P2235" s="3"/>
      <c r="Q2235" s="3"/>
      <c r="R2235" s="3"/>
      <c r="S2235" s="3"/>
      <c r="T2235" s="3"/>
      <c r="U2235" s="3"/>
      <c r="V2235" s="3"/>
      <c r="W2235" s="3"/>
      <c r="X2235" s="3"/>
      <c r="Y2235" s="3"/>
      <c r="Z2235" s="3"/>
      <c r="AA2235" s="3"/>
    </row>
    <row r="2236" ht="105.75" customHeight="1">
      <c r="A2236" s="11"/>
      <c r="B2236" s="12"/>
      <c r="C2236" s="11"/>
      <c r="D2236" s="13"/>
      <c r="E2236" s="14"/>
      <c r="F2236" s="14"/>
      <c r="G2236" s="14"/>
      <c r="H2236" s="15"/>
      <c r="I2236" s="15"/>
      <c r="J2236" s="3"/>
      <c r="K2236" s="3"/>
      <c r="L2236" s="3"/>
      <c r="M2236" s="3"/>
      <c r="N2236" s="3"/>
      <c r="O2236" s="3"/>
      <c r="P2236" s="3"/>
      <c r="Q2236" s="3"/>
      <c r="R2236" s="3"/>
      <c r="S2236" s="3"/>
      <c r="T2236" s="3"/>
      <c r="U2236" s="3"/>
      <c r="V2236" s="3"/>
      <c r="W2236" s="3"/>
      <c r="X2236" s="3"/>
      <c r="Y2236" s="3"/>
      <c r="Z2236" s="3"/>
      <c r="AA2236" s="3"/>
    </row>
    <row r="2237" ht="105.75" customHeight="1">
      <c r="A2237" s="11"/>
      <c r="B2237" s="12"/>
      <c r="C2237" s="11"/>
      <c r="D2237" s="13"/>
      <c r="E2237" s="16"/>
      <c r="F2237" s="16"/>
      <c r="G2237" s="16"/>
      <c r="H2237" s="15"/>
      <c r="I2237" s="15"/>
      <c r="J2237" s="3"/>
      <c r="K2237" s="3"/>
      <c r="L2237" s="3"/>
      <c r="M2237" s="3"/>
      <c r="N2237" s="3"/>
      <c r="O2237" s="3"/>
      <c r="P2237" s="3"/>
      <c r="Q2237" s="3"/>
      <c r="R2237" s="3"/>
      <c r="S2237" s="3"/>
      <c r="T2237" s="3"/>
      <c r="U2237" s="3"/>
      <c r="V2237" s="3"/>
      <c r="W2237" s="3"/>
      <c r="X2237" s="3"/>
      <c r="Y2237" s="3"/>
      <c r="Z2237" s="3"/>
      <c r="AA2237" s="3"/>
    </row>
    <row r="2238" ht="105.75" customHeight="1">
      <c r="A2238" s="11"/>
      <c r="B2238" s="12"/>
      <c r="C2238" s="11"/>
      <c r="D2238" s="13"/>
      <c r="E2238" s="14"/>
      <c r="F2238" s="14"/>
      <c r="G2238" s="14"/>
      <c r="H2238" s="15"/>
      <c r="I2238" s="15"/>
      <c r="J2238" s="3"/>
      <c r="K2238" s="3"/>
      <c r="L2238" s="3"/>
      <c r="M2238" s="3"/>
      <c r="N2238" s="3"/>
      <c r="O2238" s="3"/>
      <c r="P2238" s="3"/>
      <c r="Q2238" s="3"/>
      <c r="R2238" s="3"/>
      <c r="S2238" s="3"/>
      <c r="T2238" s="3"/>
      <c r="U2238" s="3"/>
      <c r="V2238" s="3"/>
      <c r="W2238" s="3"/>
      <c r="X2238" s="3"/>
      <c r="Y2238" s="3"/>
      <c r="Z2238" s="3"/>
      <c r="AA2238" s="3"/>
    </row>
    <row r="2239" ht="105.75" customHeight="1">
      <c r="A2239" s="11"/>
      <c r="B2239" s="12"/>
      <c r="C2239" s="11"/>
      <c r="D2239" s="13"/>
      <c r="E2239" s="14"/>
      <c r="F2239" s="14"/>
      <c r="G2239" s="14"/>
      <c r="H2239" s="15"/>
      <c r="I2239" s="15"/>
      <c r="J2239" s="3"/>
      <c r="K2239" s="3"/>
      <c r="L2239" s="3"/>
      <c r="M2239" s="3"/>
      <c r="N2239" s="3"/>
      <c r="O2239" s="3"/>
      <c r="P2239" s="3"/>
      <c r="Q2239" s="3"/>
      <c r="R2239" s="3"/>
      <c r="S2239" s="3"/>
      <c r="T2239" s="3"/>
      <c r="U2239" s="3"/>
      <c r="V2239" s="3"/>
      <c r="W2239" s="3"/>
      <c r="X2239" s="3"/>
      <c r="Y2239" s="3"/>
      <c r="Z2239" s="3"/>
      <c r="AA2239" s="3"/>
    </row>
    <row r="2240" ht="105.75" customHeight="1">
      <c r="A2240" s="11"/>
      <c r="B2240" s="12"/>
      <c r="C2240" s="11"/>
      <c r="D2240" s="13"/>
      <c r="E2240" s="14"/>
      <c r="F2240" s="14"/>
      <c r="G2240" s="14"/>
      <c r="H2240" s="15"/>
      <c r="I2240" s="15"/>
      <c r="J2240" s="3"/>
      <c r="K2240" s="3"/>
      <c r="L2240" s="3"/>
      <c r="M2240" s="3"/>
      <c r="N2240" s="3"/>
      <c r="O2240" s="3"/>
      <c r="P2240" s="3"/>
      <c r="Q2240" s="3"/>
      <c r="R2240" s="3"/>
      <c r="S2240" s="3"/>
      <c r="T2240" s="3"/>
      <c r="U2240" s="3"/>
      <c r="V2240" s="3"/>
      <c r="W2240" s="3"/>
      <c r="X2240" s="3"/>
      <c r="Y2240" s="3"/>
      <c r="Z2240" s="3"/>
      <c r="AA2240" s="3"/>
    </row>
    <row r="2241" ht="105.75" customHeight="1">
      <c r="A2241" s="11"/>
      <c r="B2241" s="12"/>
      <c r="C2241" s="11"/>
      <c r="D2241" s="13"/>
      <c r="E2241" s="14"/>
      <c r="F2241" s="14"/>
      <c r="G2241" s="14"/>
      <c r="H2241" s="15"/>
      <c r="I2241" s="15"/>
      <c r="J2241" s="3"/>
      <c r="K2241" s="3"/>
      <c r="L2241" s="3"/>
      <c r="M2241" s="3"/>
      <c r="N2241" s="3"/>
      <c r="O2241" s="3"/>
      <c r="P2241" s="3"/>
      <c r="Q2241" s="3"/>
      <c r="R2241" s="3"/>
      <c r="S2241" s="3"/>
      <c r="T2241" s="3"/>
      <c r="U2241" s="3"/>
      <c r="V2241" s="3"/>
      <c r="W2241" s="3"/>
      <c r="X2241" s="3"/>
      <c r="Y2241" s="3"/>
      <c r="Z2241" s="3"/>
      <c r="AA2241" s="3"/>
    </row>
    <row r="2242" ht="105.75" customHeight="1">
      <c r="A2242" s="11"/>
      <c r="B2242" s="12"/>
      <c r="C2242" s="11"/>
      <c r="D2242" s="13"/>
      <c r="E2242" s="14"/>
      <c r="F2242" s="14"/>
      <c r="G2242" s="14"/>
      <c r="H2242" s="15"/>
      <c r="I2242" s="15"/>
      <c r="J2242" s="3"/>
      <c r="K2242" s="3"/>
      <c r="L2242" s="3"/>
      <c r="M2242" s="3"/>
      <c r="N2242" s="3"/>
      <c r="O2242" s="3"/>
      <c r="P2242" s="3"/>
      <c r="Q2242" s="3"/>
      <c r="R2242" s="3"/>
      <c r="S2242" s="3"/>
      <c r="T2242" s="3"/>
      <c r="U2242" s="3"/>
      <c r="V2242" s="3"/>
      <c r="W2242" s="3"/>
      <c r="X2242" s="3"/>
      <c r="Y2242" s="3"/>
      <c r="Z2242" s="3"/>
      <c r="AA2242" s="3"/>
    </row>
    <row r="2243" ht="105.75" customHeight="1">
      <c r="A2243" s="11"/>
      <c r="B2243" s="12"/>
      <c r="C2243" s="11"/>
      <c r="D2243" s="13"/>
      <c r="E2243" s="14"/>
      <c r="F2243" s="14"/>
      <c r="G2243" s="14"/>
      <c r="H2243" s="15"/>
      <c r="I2243" s="15"/>
      <c r="J2243" s="3"/>
      <c r="K2243" s="3"/>
      <c r="L2243" s="3"/>
      <c r="M2243" s="3"/>
      <c r="N2243" s="3"/>
      <c r="O2243" s="3"/>
      <c r="P2243" s="3"/>
      <c r="Q2243" s="3"/>
      <c r="R2243" s="3"/>
      <c r="S2243" s="3"/>
      <c r="T2243" s="3"/>
      <c r="U2243" s="3"/>
      <c r="V2243" s="3"/>
      <c r="W2243" s="3"/>
      <c r="X2243" s="3"/>
      <c r="Y2243" s="3"/>
      <c r="Z2243" s="3"/>
      <c r="AA2243" s="3"/>
    </row>
    <row r="2244" ht="105.75" customHeight="1">
      <c r="A2244" s="11"/>
      <c r="B2244" s="12"/>
      <c r="C2244" s="11"/>
      <c r="D2244" s="13"/>
      <c r="E2244" s="14"/>
      <c r="F2244" s="14"/>
      <c r="G2244" s="14"/>
      <c r="H2244" s="15"/>
      <c r="I2244" s="15"/>
      <c r="J2244" s="3"/>
      <c r="K2244" s="3"/>
      <c r="L2244" s="3"/>
      <c r="M2244" s="3"/>
      <c r="N2244" s="3"/>
      <c r="O2244" s="3"/>
      <c r="P2244" s="3"/>
      <c r="Q2244" s="3"/>
      <c r="R2244" s="3"/>
      <c r="S2244" s="3"/>
      <c r="T2244" s="3"/>
      <c r="U2244" s="3"/>
      <c r="V2244" s="3"/>
      <c r="W2244" s="3"/>
      <c r="X2244" s="3"/>
      <c r="Y2244" s="3"/>
      <c r="Z2244" s="3"/>
      <c r="AA2244" s="3"/>
    </row>
    <row r="2245" ht="105.75" customHeight="1">
      <c r="A2245" s="11"/>
      <c r="B2245" s="12"/>
      <c r="C2245" s="11"/>
      <c r="D2245" s="13"/>
      <c r="E2245" s="14"/>
      <c r="F2245" s="14"/>
      <c r="G2245" s="14"/>
      <c r="H2245" s="15"/>
      <c r="I2245" s="15"/>
      <c r="J2245" s="3"/>
      <c r="K2245" s="3"/>
      <c r="L2245" s="3"/>
      <c r="M2245" s="3"/>
      <c r="N2245" s="3"/>
      <c r="O2245" s="3"/>
      <c r="P2245" s="3"/>
      <c r="Q2245" s="3"/>
      <c r="R2245" s="3"/>
      <c r="S2245" s="3"/>
      <c r="T2245" s="3"/>
      <c r="U2245" s="3"/>
      <c r="V2245" s="3"/>
      <c r="W2245" s="3"/>
      <c r="X2245" s="3"/>
      <c r="Y2245" s="3"/>
      <c r="Z2245" s="3"/>
      <c r="AA2245" s="3"/>
    </row>
    <row r="2246" ht="105.75" customHeight="1">
      <c r="A2246" s="11"/>
      <c r="B2246" s="12"/>
      <c r="C2246" s="11"/>
      <c r="D2246" s="13"/>
      <c r="E2246" s="14"/>
      <c r="F2246" s="14"/>
      <c r="G2246" s="14"/>
      <c r="H2246" s="15"/>
      <c r="I2246" s="15"/>
      <c r="J2246" s="3"/>
      <c r="K2246" s="3"/>
      <c r="L2246" s="3"/>
      <c r="M2246" s="3"/>
      <c r="N2246" s="3"/>
      <c r="O2246" s="3"/>
      <c r="P2246" s="3"/>
      <c r="Q2246" s="3"/>
      <c r="R2246" s="3"/>
      <c r="S2246" s="3"/>
      <c r="T2246" s="3"/>
      <c r="U2246" s="3"/>
      <c r="V2246" s="3"/>
      <c r="W2246" s="3"/>
      <c r="X2246" s="3"/>
      <c r="Y2246" s="3"/>
      <c r="Z2246" s="3"/>
      <c r="AA2246" s="3"/>
    </row>
    <row r="2247" ht="105.75" customHeight="1">
      <c r="A2247" s="11"/>
      <c r="B2247" s="12"/>
      <c r="C2247" s="11"/>
      <c r="D2247" s="13"/>
      <c r="E2247" s="14"/>
      <c r="F2247" s="14"/>
      <c r="G2247" s="14"/>
      <c r="H2247" s="15"/>
      <c r="I2247" s="15"/>
      <c r="J2247" s="3"/>
      <c r="K2247" s="3"/>
      <c r="L2247" s="3"/>
      <c r="M2247" s="3"/>
      <c r="N2247" s="3"/>
      <c r="O2247" s="3"/>
      <c r="P2247" s="3"/>
      <c r="Q2247" s="3"/>
      <c r="R2247" s="3"/>
      <c r="S2247" s="3"/>
      <c r="T2247" s="3"/>
      <c r="U2247" s="3"/>
      <c r="V2247" s="3"/>
      <c r="W2247" s="3"/>
      <c r="X2247" s="3"/>
      <c r="Y2247" s="3"/>
      <c r="Z2247" s="3"/>
      <c r="AA2247" s="3"/>
    </row>
    <row r="2248" ht="105.75" customHeight="1">
      <c r="A2248" s="11"/>
      <c r="B2248" s="12"/>
      <c r="C2248" s="11"/>
      <c r="D2248" s="13"/>
      <c r="E2248" s="14"/>
      <c r="F2248" s="14"/>
      <c r="G2248" s="14"/>
      <c r="H2248" s="15"/>
      <c r="I2248" s="15"/>
      <c r="J2248" s="3"/>
      <c r="K2248" s="3"/>
      <c r="L2248" s="3"/>
      <c r="M2248" s="3"/>
      <c r="N2248" s="3"/>
      <c r="O2248" s="3"/>
      <c r="P2248" s="3"/>
      <c r="Q2248" s="3"/>
      <c r="R2248" s="3"/>
      <c r="S2248" s="3"/>
      <c r="T2248" s="3"/>
      <c r="U2248" s="3"/>
      <c r="V2248" s="3"/>
      <c r="W2248" s="3"/>
      <c r="X2248" s="3"/>
      <c r="Y2248" s="3"/>
      <c r="Z2248" s="3"/>
      <c r="AA2248" s="3"/>
    </row>
    <row r="2249" ht="105.75" customHeight="1">
      <c r="A2249" s="11"/>
      <c r="B2249" s="12"/>
      <c r="C2249" s="11"/>
      <c r="D2249" s="13"/>
      <c r="E2249" s="16"/>
      <c r="F2249" s="16"/>
      <c r="G2249" s="16"/>
      <c r="H2249" s="15"/>
      <c r="I2249" s="15"/>
      <c r="J2249" s="3"/>
      <c r="K2249" s="3"/>
      <c r="L2249" s="3"/>
      <c r="M2249" s="3"/>
      <c r="N2249" s="3"/>
      <c r="O2249" s="3"/>
      <c r="P2249" s="3"/>
      <c r="Q2249" s="3"/>
      <c r="R2249" s="3"/>
      <c r="S2249" s="3"/>
      <c r="T2249" s="3"/>
      <c r="U2249" s="3"/>
      <c r="V2249" s="3"/>
      <c r="W2249" s="3"/>
      <c r="X2249" s="3"/>
      <c r="Y2249" s="3"/>
      <c r="Z2249" s="3"/>
      <c r="AA2249" s="3"/>
    </row>
    <row r="2250" ht="105.75" customHeight="1">
      <c r="A2250" s="11"/>
      <c r="B2250" s="12"/>
      <c r="C2250" s="11"/>
      <c r="D2250" s="13"/>
      <c r="E2250" s="14"/>
      <c r="F2250" s="14"/>
      <c r="G2250" s="14"/>
      <c r="H2250" s="15"/>
      <c r="I2250" s="15"/>
      <c r="J2250" s="3"/>
      <c r="K2250" s="3"/>
      <c r="L2250" s="3"/>
      <c r="M2250" s="3"/>
      <c r="N2250" s="3"/>
      <c r="O2250" s="3"/>
      <c r="P2250" s="3"/>
      <c r="Q2250" s="3"/>
      <c r="R2250" s="3"/>
      <c r="S2250" s="3"/>
      <c r="T2250" s="3"/>
      <c r="U2250" s="3"/>
      <c r="V2250" s="3"/>
      <c r="W2250" s="3"/>
      <c r="X2250" s="3"/>
      <c r="Y2250" s="3"/>
      <c r="Z2250" s="3"/>
      <c r="AA2250" s="3"/>
    </row>
    <row r="2251" ht="105.75" customHeight="1">
      <c r="A2251" s="11"/>
      <c r="B2251" s="12"/>
      <c r="C2251" s="11"/>
      <c r="D2251" s="13"/>
      <c r="E2251" s="14"/>
      <c r="F2251" s="14"/>
      <c r="G2251" s="14"/>
      <c r="H2251" s="15"/>
      <c r="I2251" s="15"/>
      <c r="J2251" s="3"/>
      <c r="K2251" s="3"/>
      <c r="L2251" s="3"/>
      <c r="M2251" s="3"/>
      <c r="N2251" s="3"/>
      <c r="O2251" s="3"/>
      <c r="P2251" s="3"/>
      <c r="Q2251" s="3"/>
      <c r="R2251" s="3"/>
      <c r="S2251" s="3"/>
      <c r="T2251" s="3"/>
      <c r="U2251" s="3"/>
      <c r="V2251" s="3"/>
      <c r="W2251" s="3"/>
      <c r="X2251" s="3"/>
      <c r="Y2251" s="3"/>
      <c r="Z2251" s="3"/>
      <c r="AA2251" s="3"/>
    </row>
    <row r="2252" ht="105.75" customHeight="1">
      <c r="A2252" s="11"/>
      <c r="B2252" s="12"/>
      <c r="C2252" s="11"/>
      <c r="D2252" s="13"/>
      <c r="E2252" s="16"/>
      <c r="F2252" s="16"/>
      <c r="G2252" s="16"/>
      <c r="H2252" s="15"/>
      <c r="I2252" s="15"/>
      <c r="J2252" s="3"/>
      <c r="K2252" s="3"/>
      <c r="L2252" s="3"/>
      <c r="M2252" s="3"/>
      <c r="N2252" s="3"/>
      <c r="O2252" s="3"/>
      <c r="P2252" s="3"/>
      <c r="Q2252" s="3"/>
      <c r="R2252" s="3"/>
      <c r="S2252" s="3"/>
      <c r="T2252" s="3"/>
      <c r="U2252" s="3"/>
      <c r="V2252" s="3"/>
      <c r="W2252" s="3"/>
      <c r="X2252" s="3"/>
      <c r="Y2252" s="3"/>
      <c r="Z2252" s="3"/>
      <c r="AA2252" s="3"/>
    </row>
    <row r="2253" ht="105.75" customHeight="1">
      <c r="A2253" s="11"/>
      <c r="B2253" s="12"/>
      <c r="C2253" s="11"/>
      <c r="D2253" s="13"/>
      <c r="E2253" s="14"/>
      <c r="F2253" s="14"/>
      <c r="G2253" s="14"/>
      <c r="H2253" s="15"/>
      <c r="I2253" s="15"/>
      <c r="J2253" s="3"/>
      <c r="K2253" s="3"/>
      <c r="L2253" s="3"/>
      <c r="M2253" s="3"/>
      <c r="N2253" s="3"/>
      <c r="O2253" s="3"/>
      <c r="P2253" s="3"/>
      <c r="Q2253" s="3"/>
      <c r="R2253" s="3"/>
      <c r="S2253" s="3"/>
      <c r="T2253" s="3"/>
      <c r="U2253" s="3"/>
      <c r="V2253" s="3"/>
      <c r="W2253" s="3"/>
      <c r="X2253" s="3"/>
      <c r="Y2253" s="3"/>
      <c r="Z2253" s="3"/>
      <c r="AA2253" s="3"/>
    </row>
    <row r="2254" ht="105.75" customHeight="1">
      <c r="A2254" s="11"/>
      <c r="B2254" s="12"/>
      <c r="C2254" s="11"/>
      <c r="D2254" s="13"/>
      <c r="E2254" s="14"/>
      <c r="F2254" s="14"/>
      <c r="G2254" s="14"/>
      <c r="H2254" s="15"/>
      <c r="I2254" s="15"/>
      <c r="J2254" s="3"/>
      <c r="K2254" s="3"/>
      <c r="L2254" s="3"/>
      <c r="M2254" s="3"/>
      <c r="N2254" s="3"/>
      <c r="O2254" s="3"/>
      <c r="P2254" s="3"/>
      <c r="Q2254" s="3"/>
      <c r="R2254" s="3"/>
      <c r="S2254" s="3"/>
      <c r="T2254" s="3"/>
      <c r="U2254" s="3"/>
      <c r="V2254" s="3"/>
      <c r="W2254" s="3"/>
      <c r="X2254" s="3"/>
      <c r="Y2254" s="3"/>
      <c r="Z2254" s="3"/>
      <c r="AA2254" s="3"/>
    </row>
    <row r="2255" ht="105.75" customHeight="1">
      <c r="A2255" s="11"/>
      <c r="B2255" s="12"/>
      <c r="C2255" s="11"/>
      <c r="D2255" s="13"/>
      <c r="E2255" s="14"/>
      <c r="F2255" s="14"/>
      <c r="G2255" s="14"/>
      <c r="H2255" s="15"/>
      <c r="I2255" s="15"/>
      <c r="J2255" s="3"/>
      <c r="K2255" s="3"/>
      <c r="L2255" s="3"/>
      <c r="M2255" s="3"/>
      <c r="N2255" s="3"/>
      <c r="O2255" s="3"/>
      <c r="P2255" s="3"/>
      <c r="Q2255" s="3"/>
      <c r="R2255" s="3"/>
      <c r="S2255" s="3"/>
      <c r="T2255" s="3"/>
      <c r="U2255" s="3"/>
      <c r="V2255" s="3"/>
      <c r="W2255" s="3"/>
      <c r="X2255" s="3"/>
      <c r="Y2255" s="3"/>
      <c r="Z2255" s="3"/>
      <c r="AA2255" s="3"/>
    </row>
    <row r="2256" ht="105.75" customHeight="1">
      <c r="A2256" s="11"/>
      <c r="B2256" s="12"/>
      <c r="C2256" s="11"/>
      <c r="D2256" s="13"/>
      <c r="E2256" s="14"/>
      <c r="F2256" s="14"/>
      <c r="G2256" s="14"/>
      <c r="H2256" s="15"/>
      <c r="I2256" s="15"/>
      <c r="J2256" s="3"/>
      <c r="K2256" s="3"/>
      <c r="L2256" s="3"/>
      <c r="M2256" s="3"/>
      <c r="N2256" s="3"/>
      <c r="O2256" s="3"/>
      <c r="P2256" s="3"/>
      <c r="Q2256" s="3"/>
      <c r="R2256" s="3"/>
      <c r="S2256" s="3"/>
      <c r="T2256" s="3"/>
      <c r="U2256" s="3"/>
      <c r="V2256" s="3"/>
      <c r="W2256" s="3"/>
      <c r="X2256" s="3"/>
      <c r="Y2256" s="3"/>
      <c r="Z2256" s="3"/>
      <c r="AA2256" s="3"/>
    </row>
    <row r="2257" ht="105.75" customHeight="1">
      <c r="A2257" s="11"/>
      <c r="B2257" s="12"/>
      <c r="C2257" s="11"/>
      <c r="D2257" s="13"/>
      <c r="E2257" s="14"/>
      <c r="F2257" s="14"/>
      <c r="G2257" s="14"/>
      <c r="H2257" s="15"/>
      <c r="I2257" s="15"/>
      <c r="J2257" s="3"/>
      <c r="K2257" s="3"/>
      <c r="L2257" s="3"/>
      <c r="M2257" s="3"/>
      <c r="N2257" s="3"/>
      <c r="O2257" s="3"/>
      <c r="P2257" s="3"/>
      <c r="Q2257" s="3"/>
      <c r="R2257" s="3"/>
      <c r="S2257" s="3"/>
      <c r="T2257" s="3"/>
      <c r="U2257" s="3"/>
      <c r="V2257" s="3"/>
      <c r="W2257" s="3"/>
      <c r="X2257" s="3"/>
      <c r="Y2257" s="3"/>
      <c r="Z2257" s="3"/>
      <c r="AA2257" s="3"/>
    </row>
    <row r="2258" ht="105.75" customHeight="1">
      <c r="A2258" s="11"/>
      <c r="B2258" s="12"/>
      <c r="C2258" s="11"/>
      <c r="D2258" s="13"/>
      <c r="E2258" s="14"/>
      <c r="F2258" s="14"/>
      <c r="G2258" s="14"/>
      <c r="H2258" s="15"/>
      <c r="I2258" s="15"/>
      <c r="J2258" s="3"/>
      <c r="K2258" s="3"/>
      <c r="L2258" s="3"/>
      <c r="M2258" s="3"/>
      <c r="N2258" s="3"/>
      <c r="O2258" s="3"/>
      <c r="P2258" s="3"/>
      <c r="Q2258" s="3"/>
      <c r="R2258" s="3"/>
      <c r="S2258" s="3"/>
      <c r="T2258" s="3"/>
      <c r="U2258" s="3"/>
      <c r="V2258" s="3"/>
      <c r="W2258" s="3"/>
      <c r="X2258" s="3"/>
      <c r="Y2258" s="3"/>
      <c r="Z2258" s="3"/>
      <c r="AA2258" s="3"/>
    </row>
    <row r="2259" ht="105.75" customHeight="1">
      <c r="A2259" s="11"/>
      <c r="B2259" s="12"/>
      <c r="C2259" s="11"/>
      <c r="D2259" s="13"/>
      <c r="E2259" s="14"/>
      <c r="F2259" s="14"/>
      <c r="G2259" s="14"/>
      <c r="H2259" s="15"/>
      <c r="I2259" s="15"/>
      <c r="J2259" s="3"/>
      <c r="K2259" s="3"/>
      <c r="L2259" s="3"/>
      <c r="M2259" s="3"/>
      <c r="N2259" s="3"/>
      <c r="O2259" s="3"/>
      <c r="P2259" s="3"/>
      <c r="Q2259" s="3"/>
      <c r="R2259" s="3"/>
      <c r="S2259" s="3"/>
      <c r="T2259" s="3"/>
      <c r="U2259" s="3"/>
      <c r="V2259" s="3"/>
      <c r="W2259" s="3"/>
      <c r="X2259" s="3"/>
      <c r="Y2259" s="3"/>
      <c r="Z2259" s="3"/>
      <c r="AA2259" s="3"/>
    </row>
    <row r="2260" ht="105.75" customHeight="1">
      <c r="A2260" s="11"/>
      <c r="B2260" s="12"/>
      <c r="C2260" s="11"/>
      <c r="D2260" s="13"/>
      <c r="E2260" s="14"/>
      <c r="F2260" s="14"/>
      <c r="G2260" s="14"/>
      <c r="H2260" s="15"/>
      <c r="I2260" s="15"/>
      <c r="J2260" s="3"/>
      <c r="K2260" s="3"/>
      <c r="L2260" s="3"/>
      <c r="M2260" s="3"/>
      <c r="N2260" s="3"/>
      <c r="O2260" s="3"/>
      <c r="P2260" s="3"/>
      <c r="Q2260" s="3"/>
      <c r="R2260" s="3"/>
      <c r="S2260" s="3"/>
      <c r="T2260" s="3"/>
      <c r="U2260" s="3"/>
      <c r="V2260" s="3"/>
      <c r="W2260" s="3"/>
      <c r="X2260" s="3"/>
      <c r="Y2260" s="3"/>
      <c r="Z2260" s="3"/>
      <c r="AA2260" s="3"/>
    </row>
    <row r="2261" ht="105.75" customHeight="1">
      <c r="A2261" s="11"/>
      <c r="B2261" s="12"/>
      <c r="C2261" s="11"/>
      <c r="D2261" s="13"/>
      <c r="E2261" s="14"/>
      <c r="F2261" s="14"/>
      <c r="G2261" s="14"/>
      <c r="H2261" s="15"/>
      <c r="I2261" s="15"/>
      <c r="J2261" s="3"/>
      <c r="K2261" s="3"/>
      <c r="L2261" s="3"/>
      <c r="M2261" s="3"/>
      <c r="N2261" s="3"/>
      <c r="O2261" s="3"/>
      <c r="P2261" s="3"/>
      <c r="Q2261" s="3"/>
      <c r="R2261" s="3"/>
      <c r="S2261" s="3"/>
      <c r="T2261" s="3"/>
      <c r="U2261" s="3"/>
      <c r="V2261" s="3"/>
      <c r="W2261" s="3"/>
      <c r="X2261" s="3"/>
      <c r="Y2261" s="3"/>
      <c r="Z2261" s="3"/>
      <c r="AA2261" s="3"/>
    </row>
    <row r="2262" ht="105.75" customHeight="1">
      <c r="A2262" s="11"/>
      <c r="B2262" s="12"/>
      <c r="C2262" s="11"/>
      <c r="D2262" s="13"/>
      <c r="E2262" s="14"/>
      <c r="F2262" s="14"/>
      <c r="G2262" s="14"/>
      <c r="H2262" s="15"/>
      <c r="I2262" s="15"/>
      <c r="J2262" s="3"/>
      <c r="K2262" s="3"/>
      <c r="L2262" s="3"/>
      <c r="M2262" s="3"/>
      <c r="N2262" s="3"/>
      <c r="O2262" s="3"/>
      <c r="P2262" s="3"/>
      <c r="Q2262" s="3"/>
      <c r="R2262" s="3"/>
      <c r="S2262" s="3"/>
      <c r="T2262" s="3"/>
      <c r="U2262" s="3"/>
      <c r="V2262" s="3"/>
      <c r="W2262" s="3"/>
      <c r="X2262" s="3"/>
      <c r="Y2262" s="3"/>
      <c r="Z2262" s="3"/>
      <c r="AA2262" s="3"/>
    </row>
    <row r="2263" ht="105.75" customHeight="1">
      <c r="A2263" s="11"/>
      <c r="B2263" s="12"/>
      <c r="C2263" s="11"/>
      <c r="D2263" s="13"/>
      <c r="E2263" s="14"/>
      <c r="F2263" s="14"/>
      <c r="G2263" s="14"/>
      <c r="H2263" s="15"/>
      <c r="I2263" s="15"/>
      <c r="J2263" s="3"/>
      <c r="K2263" s="3"/>
      <c r="L2263" s="3"/>
      <c r="M2263" s="3"/>
      <c r="N2263" s="3"/>
      <c r="O2263" s="3"/>
      <c r="P2263" s="3"/>
      <c r="Q2263" s="3"/>
      <c r="R2263" s="3"/>
      <c r="S2263" s="3"/>
      <c r="T2263" s="3"/>
      <c r="U2263" s="3"/>
      <c r="V2263" s="3"/>
      <c r="W2263" s="3"/>
      <c r="X2263" s="3"/>
      <c r="Y2263" s="3"/>
      <c r="Z2263" s="3"/>
      <c r="AA2263" s="3"/>
    </row>
    <row r="2264" ht="105.75" customHeight="1">
      <c r="A2264" s="11"/>
      <c r="B2264" s="12"/>
      <c r="C2264" s="11"/>
      <c r="D2264" s="13"/>
      <c r="E2264" s="14"/>
      <c r="F2264" s="14"/>
      <c r="G2264" s="14"/>
      <c r="H2264" s="15"/>
      <c r="I2264" s="15"/>
      <c r="J2264" s="3"/>
      <c r="K2264" s="3"/>
      <c r="L2264" s="3"/>
      <c r="M2264" s="3"/>
      <c r="N2264" s="3"/>
      <c r="O2264" s="3"/>
      <c r="P2264" s="3"/>
      <c r="Q2264" s="3"/>
      <c r="R2264" s="3"/>
      <c r="S2264" s="3"/>
      <c r="T2264" s="3"/>
      <c r="U2264" s="3"/>
      <c r="V2264" s="3"/>
      <c r="W2264" s="3"/>
      <c r="X2264" s="3"/>
      <c r="Y2264" s="3"/>
      <c r="Z2264" s="3"/>
      <c r="AA2264" s="3"/>
    </row>
    <row r="2265" ht="105.75" customHeight="1">
      <c r="A2265" s="11"/>
      <c r="B2265" s="12"/>
      <c r="C2265" s="11"/>
      <c r="D2265" s="13"/>
      <c r="E2265" s="14"/>
      <c r="F2265" s="14"/>
      <c r="G2265" s="14"/>
      <c r="H2265" s="15"/>
      <c r="I2265" s="15"/>
      <c r="J2265" s="3"/>
      <c r="K2265" s="3"/>
      <c r="L2265" s="3"/>
      <c r="M2265" s="3"/>
      <c r="N2265" s="3"/>
      <c r="O2265" s="3"/>
      <c r="P2265" s="3"/>
      <c r="Q2265" s="3"/>
      <c r="R2265" s="3"/>
      <c r="S2265" s="3"/>
      <c r="T2265" s="3"/>
      <c r="U2265" s="3"/>
      <c r="V2265" s="3"/>
      <c r="W2265" s="3"/>
      <c r="X2265" s="3"/>
      <c r="Y2265" s="3"/>
      <c r="Z2265" s="3"/>
      <c r="AA2265" s="3"/>
    </row>
    <row r="2266" ht="105.75" customHeight="1">
      <c r="A2266" s="11"/>
      <c r="B2266" s="12"/>
      <c r="C2266" s="11"/>
      <c r="D2266" s="13"/>
      <c r="E2266" s="14"/>
      <c r="F2266" s="14"/>
      <c r="G2266" s="14"/>
      <c r="H2266" s="15"/>
      <c r="I2266" s="15"/>
      <c r="J2266" s="3"/>
      <c r="K2266" s="3"/>
      <c r="L2266" s="3"/>
      <c r="M2266" s="3"/>
      <c r="N2266" s="3"/>
      <c r="O2266" s="3"/>
      <c r="P2266" s="3"/>
      <c r="Q2266" s="3"/>
      <c r="R2266" s="3"/>
      <c r="S2266" s="3"/>
      <c r="T2266" s="3"/>
      <c r="U2266" s="3"/>
      <c r="V2266" s="3"/>
      <c r="W2266" s="3"/>
      <c r="X2266" s="3"/>
      <c r="Y2266" s="3"/>
      <c r="Z2266" s="3"/>
      <c r="AA2266" s="3"/>
    </row>
    <row r="2267" ht="105.75" customHeight="1">
      <c r="A2267" s="11"/>
      <c r="B2267" s="12"/>
      <c r="C2267" s="11"/>
      <c r="D2267" s="13"/>
      <c r="E2267" s="14"/>
      <c r="F2267" s="14"/>
      <c r="G2267" s="14"/>
      <c r="H2267" s="15"/>
      <c r="I2267" s="15"/>
      <c r="J2267" s="3"/>
      <c r="K2267" s="3"/>
      <c r="L2267" s="3"/>
      <c r="M2267" s="3"/>
      <c r="N2267" s="3"/>
      <c r="O2267" s="3"/>
      <c r="P2267" s="3"/>
      <c r="Q2267" s="3"/>
      <c r="R2267" s="3"/>
      <c r="S2267" s="3"/>
      <c r="T2267" s="3"/>
      <c r="U2267" s="3"/>
      <c r="V2267" s="3"/>
      <c r="W2267" s="3"/>
      <c r="X2267" s="3"/>
      <c r="Y2267" s="3"/>
      <c r="Z2267" s="3"/>
      <c r="AA2267" s="3"/>
    </row>
    <row r="2268" ht="105.75" customHeight="1">
      <c r="A2268" s="11"/>
      <c r="B2268" s="12"/>
      <c r="C2268" s="11"/>
      <c r="D2268" s="13"/>
      <c r="E2268" s="14"/>
      <c r="F2268" s="14"/>
      <c r="G2268" s="14"/>
      <c r="H2268" s="15"/>
      <c r="I2268" s="15"/>
      <c r="J2268" s="3"/>
      <c r="K2268" s="3"/>
      <c r="L2268" s="3"/>
      <c r="M2268" s="3"/>
      <c r="N2268" s="3"/>
      <c r="O2268" s="3"/>
      <c r="P2268" s="3"/>
      <c r="Q2268" s="3"/>
      <c r="R2268" s="3"/>
      <c r="S2268" s="3"/>
      <c r="T2268" s="3"/>
      <c r="U2268" s="3"/>
      <c r="V2268" s="3"/>
      <c r="W2268" s="3"/>
      <c r="X2268" s="3"/>
      <c r="Y2268" s="3"/>
      <c r="Z2268" s="3"/>
      <c r="AA2268" s="3"/>
    </row>
    <row r="2269" ht="105.75" customHeight="1">
      <c r="A2269" s="11"/>
      <c r="B2269" s="12"/>
      <c r="C2269" s="11"/>
      <c r="D2269" s="13"/>
      <c r="E2269" s="16"/>
      <c r="F2269" s="16"/>
      <c r="G2269" s="16"/>
      <c r="H2269" s="15"/>
      <c r="I2269" s="15"/>
      <c r="J2269" s="3"/>
      <c r="K2269" s="3"/>
      <c r="L2269" s="3"/>
      <c r="M2269" s="3"/>
      <c r="N2269" s="3"/>
      <c r="O2269" s="3"/>
      <c r="P2269" s="3"/>
      <c r="Q2269" s="3"/>
      <c r="R2269" s="3"/>
      <c r="S2269" s="3"/>
      <c r="T2269" s="3"/>
      <c r="U2269" s="3"/>
      <c r="V2269" s="3"/>
      <c r="W2269" s="3"/>
      <c r="X2269" s="3"/>
      <c r="Y2269" s="3"/>
      <c r="Z2269" s="3"/>
      <c r="AA2269" s="3"/>
    </row>
    <row r="2270" ht="105.75" customHeight="1">
      <c r="A2270" s="11"/>
      <c r="B2270" s="12"/>
      <c r="C2270" s="11"/>
      <c r="D2270" s="13"/>
      <c r="E2270" s="14"/>
      <c r="F2270" s="14"/>
      <c r="G2270" s="14"/>
      <c r="H2270" s="15"/>
      <c r="I2270" s="15"/>
      <c r="J2270" s="3"/>
      <c r="K2270" s="3"/>
      <c r="L2270" s="3"/>
      <c r="M2270" s="3"/>
      <c r="N2270" s="3"/>
      <c r="O2270" s="3"/>
      <c r="P2270" s="3"/>
      <c r="Q2270" s="3"/>
      <c r="R2270" s="3"/>
      <c r="S2270" s="3"/>
      <c r="T2270" s="3"/>
      <c r="U2270" s="3"/>
      <c r="V2270" s="3"/>
      <c r="W2270" s="3"/>
      <c r="X2270" s="3"/>
      <c r="Y2270" s="3"/>
      <c r="Z2270" s="3"/>
      <c r="AA2270" s="3"/>
    </row>
    <row r="2271" ht="105.75" customHeight="1">
      <c r="A2271" s="11"/>
      <c r="B2271" s="12"/>
      <c r="C2271" s="11"/>
      <c r="D2271" s="13"/>
      <c r="E2271" s="14"/>
      <c r="F2271" s="14"/>
      <c r="G2271" s="14"/>
      <c r="H2271" s="15"/>
      <c r="I2271" s="15"/>
      <c r="J2271" s="3"/>
      <c r="K2271" s="3"/>
      <c r="L2271" s="3"/>
      <c r="M2271" s="3"/>
      <c r="N2271" s="3"/>
      <c r="O2271" s="3"/>
      <c r="P2271" s="3"/>
      <c r="Q2271" s="3"/>
      <c r="R2271" s="3"/>
      <c r="S2271" s="3"/>
      <c r="T2271" s="3"/>
      <c r="U2271" s="3"/>
      <c r="V2271" s="3"/>
      <c r="W2271" s="3"/>
      <c r="X2271" s="3"/>
      <c r="Y2271" s="3"/>
      <c r="Z2271" s="3"/>
      <c r="AA2271" s="3"/>
    </row>
    <row r="2272" ht="105.75" customHeight="1">
      <c r="A2272" s="11"/>
      <c r="B2272" s="12"/>
      <c r="C2272" s="11"/>
      <c r="D2272" s="13"/>
      <c r="E2272" s="14"/>
      <c r="F2272" s="14"/>
      <c r="G2272" s="14"/>
      <c r="H2272" s="15"/>
      <c r="I2272" s="15"/>
      <c r="J2272" s="3"/>
      <c r="K2272" s="3"/>
      <c r="L2272" s="3"/>
      <c r="M2272" s="3"/>
      <c r="N2272" s="3"/>
      <c r="O2272" s="3"/>
      <c r="P2272" s="3"/>
      <c r="Q2272" s="3"/>
      <c r="R2272" s="3"/>
      <c r="S2272" s="3"/>
      <c r="T2272" s="3"/>
      <c r="U2272" s="3"/>
      <c r="V2272" s="3"/>
      <c r="W2272" s="3"/>
      <c r="X2272" s="3"/>
      <c r="Y2272" s="3"/>
      <c r="Z2272" s="3"/>
      <c r="AA2272" s="3"/>
    </row>
    <row r="2273" ht="105.75" customHeight="1">
      <c r="A2273" s="11"/>
      <c r="B2273" s="12"/>
      <c r="C2273" s="11"/>
      <c r="D2273" s="13"/>
      <c r="E2273" s="14"/>
      <c r="F2273" s="14"/>
      <c r="G2273" s="14"/>
      <c r="H2273" s="15"/>
      <c r="I2273" s="15"/>
      <c r="J2273" s="3"/>
      <c r="K2273" s="3"/>
      <c r="L2273" s="3"/>
      <c r="M2273" s="3"/>
      <c r="N2273" s="3"/>
      <c r="O2273" s="3"/>
      <c r="P2273" s="3"/>
      <c r="Q2273" s="3"/>
      <c r="R2273" s="3"/>
      <c r="S2273" s="3"/>
      <c r="T2273" s="3"/>
      <c r="U2273" s="3"/>
      <c r="V2273" s="3"/>
      <c r="W2273" s="3"/>
      <c r="X2273" s="3"/>
      <c r="Y2273" s="3"/>
      <c r="Z2273" s="3"/>
      <c r="AA2273" s="3"/>
    </row>
    <row r="2274" ht="105.75" customHeight="1">
      <c r="A2274" s="11"/>
      <c r="B2274" s="12"/>
      <c r="C2274" s="11"/>
      <c r="D2274" s="13"/>
      <c r="E2274" s="14"/>
      <c r="F2274" s="14"/>
      <c r="G2274" s="14"/>
      <c r="H2274" s="15"/>
      <c r="I2274" s="15"/>
      <c r="J2274" s="3"/>
      <c r="K2274" s="3"/>
      <c r="L2274" s="3"/>
      <c r="M2274" s="3"/>
      <c r="N2274" s="3"/>
      <c r="O2274" s="3"/>
      <c r="P2274" s="3"/>
      <c r="Q2274" s="3"/>
      <c r="R2274" s="3"/>
      <c r="S2274" s="3"/>
      <c r="T2274" s="3"/>
      <c r="U2274" s="3"/>
      <c r="V2274" s="3"/>
      <c r="W2274" s="3"/>
      <c r="X2274" s="3"/>
      <c r="Y2274" s="3"/>
      <c r="Z2274" s="3"/>
      <c r="AA2274" s="3"/>
    </row>
    <row r="2275" ht="105.75" customHeight="1">
      <c r="A2275" s="11"/>
      <c r="B2275" s="12"/>
      <c r="C2275" s="11"/>
      <c r="D2275" s="13"/>
      <c r="E2275" s="16"/>
      <c r="F2275" s="16"/>
      <c r="G2275" s="16"/>
      <c r="H2275" s="15"/>
      <c r="I2275" s="15"/>
      <c r="J2275" s="3"/>
      <c r="K2275" s="3"/>
      <c r="L2275" s="3"/>
      <c r="M2275" s="3"/>
      <c r="N2275" s="3"/>
      <c r="O2275" s="3"/>
      <c r="P2275" s="3"/>
      <c r="Q2275" s="3"/>
      <c r="R2275" s="3"/>
      <c r="S2275" s="3"/>
      <c r="T2275" s="3"/>
      <c r="U2275" s="3"/>
      <c r="V2275" s="3"/>
      <c r="W2275" s="3"/>
      <c r="X2275" s="3"/>
      <c r="Y2275" s="3"/>
      <c r="Z2275" s="3"/>
      <c r="AA2275" s="3"/>
    </row>
    <row r="2276" ht="105.75" customHeight="1">
      <c r="A2276" s="11"/>
      <c r="B2276" s="12"/>
      <c r="C2276" s="11"/>
      <c r="D2276" s="13"/>
      <c r="E2276" s="14"/>
      <c r="F2276" s="14"/>
      <c r="G2276" s="14"/>
      <c r="H2276" s="15"/>
      <c r="I2276" s="15"/>
      <c r="J2276" s="3"/>
      <c r="K2276" s="3"/>
      <c r="L2276" s="3"/>
      <c r="M2276" s="3"/>
      <c r="N2276" s="3"/>
      <c r="O2276" s="3"/>
      <c r="P2276" s="3"/>
      <c r="Q2276" s="3"/>
      <c r="R2276" s="3"/>
      <c r="S2276" s="3"/>
      <c r="T2276" s="3"/>
      <c r="U2276" s="3"/>
      <c r="V2276" s="3"/>
      <c r="W2276" s="3"/>
      <c r="X2276" s="3"/>
      <c r="Y2276" s="3"/>
      <c r="Z2276" s="3"/>
      <c r="AA2276" s="3"/>
    </row>
    <row r="2277" ht="105.75" customHeight="1">
      <c r="A2277" s="11"/>
      <c r="B2277" s="12"/>
      <c r="C2277" s="11"/>
      <c r="D2277" s="13"/>
      <c r="E2277" s="14"/>
      <c r="F2277" s="14"/>
      <c r="G2277" s="14"/>
      <c r="H2277" s="15"/>
      <c r="I2277" s="15"/>
      <c r="J2277" s="3"/>
      <c r="K2277" s="3"/>
      <c r="L2277" s="3"/>
      <c r="M2277" s="3"/>
      <c r="N2277" s="3"/>
      <c r="O2277" s="3"/>
      <c r="P2277" s="3"/>
      <c r="Q2277" s="3"/>
      <c r="R2277" s="3"/>
      <c r="S2277" s="3"/>
      <c r="T2277" s="3"/>
      <c r="U2277" s="3"/>
      <c r="V2277" s="3"/>
      <c r="W2277" s="3"/>
      <c r="X2277" s="3"/>
      <c r="Y2277" s="3"/>
      <c r="Z2277" s="3"/>
      <c r="AA2277" s="3"/>
    </row>
    <row r="2278" ht="105.75" customHeight="1">
      <c r="A2278" s="11"/>
      <c r="B2278" s="12"/>
      <c r="C2278" s="11"/>
      <c r="D2278" s="13"/>
      <c r="E2278" s="14"/>
      <c r="F2278" s="14"/>
      <c r="G2278" s="14"/>
      <c r="H2278" s="15"/>
      <c r="I2278" s="15"/>
      <c r="J2278" s="3"/>
      <c r="K2278" s="3"/>
      <c r="L2278" s="3"/>
      <c r="M2278" s="3"/>
      <c r="N2278" s="3"/>
      <c r="O2278" s="3"/>
      <c r="P2278" s="3"/>
      <c r="Q2278" s="3"/>
      <c r="R2278" s="3"/>
      <c r="S2278" s="3"/>
      <c r="T2278" s="3"/>
      <c r="U2278" s="3"/>
      <c r="V2278" s="3"/>
      <c r="W2278" s="3"/>
      <c r="X2278" s="3"/>
      <c r="Y2278" s="3"/>
      <c r="Z2278" s="3"/>
      <c r="AA2278" s="3"/>
    </row>
    <row r="2279" ht="105.75" customHeight="1">
      <c r="A2279" s="11"/>
      <c r="B2279" s="12"/>
      <c r="C2279" s="11"/>
      <c r="D2279" s="13"/>
      <c r="E2279" s="14"/>
      <c r="F2279" s="14"/>
      <c r="G2279" s="14"/>
      <c r="H2279" s="15"/>
      <c r="I2279" s="15"/>
      <c r="J2279" s="3"/>
      <c r="K2279" s="3"/>
      <c r="L2279" s="3"/>
      <c r="M2279" s="3"/>
      <c r="N2279" s="3"/>
      <c r="O2279" s="3"/>
      <c r="P2279" s="3"/>
      <c r="Q2279" s="3"/>
      <c r="R2279" s="3"/>
      <c r="S2279" s="3"/>
      <c r="T2279" s="3"/>
      <c r="U2279" s="3"/>
      <c r="V2279" s="3"/>
      <c r="W2279" s="3"/>
      <c r="X2279" s="3"/>
      <c r="Y2279" s="3"/>
      <c r="Z2279" s="3"/>
      <c r="AA2279" s="3"/>
    </row>
    <row r="2280" ht="105.75" customHeight="1">
      <c r="A2280" s="11"/>
      <c r="B2280" s="12"/>
      <c r="C2280" s="11"/>
      <c r="D2280" s="13"/>
      <c r="E2280" s="14"/>
      <c r="F2280" s="14"/>
      <c r="G2280" s="14"/>
      <c r="H2280" s="15"/>
      <c r="I2280" s="15"/>
      <c r="J2280" s="3"/>
      <c r="K2280" s="3"/>
      <c r="L2280" s="3"/>
      <c r="M2280" s="3"/>
      <c r="N2280" s="3"/>
      <c r="O2280" s="3"/>
      <c r="P2280" s="3"/>
      <c r="Q2280" s="3"/>
      <c r="R2280" s="3"/>
      <c r="S2280" s="3"/>
      <c r="T2280" s="3"/>
      <c r="U2280" s="3"/>
      <c r="V2280" s="3"/>
      <c r="W2280" s="3"/>
      <c r="X2280" s="3"/>
      <c r="Y2280" s="3"/>
      <c r="Z2280" s="3"/>
      <c r="AA2280" s="3"/>
    </row>
    <row r="2281" ht="105.75" customHeight="1">
      <c r="A2281" s="11"/>
      <c r="B2281" s="12"/>
      <c r="C2281" s="11"/>
      <c r="D2281" s="13"/>
      <c r="E2281" s="14"/>
      <c r="F2281" s="14"/>
      <c r="G2281" s="14"/>
      <c r="H2281" s="15"/>
      <c r="I2281" s="15"/>
      <c r="J2281" s="3"/>
      <c r="K2281" s="3"/>
      <c r="L2281" s="3"/>
      <c r="M2281" s="3"/>
      <c r="N2281" s="3"/>
      <c r="O2281" s="3"/>
      <c r="P2281" s="3"/>
      <c r="Q2281" s="3"/>
      <c r="R2281" s="3"/>
      <c r="S2281" s="3"/>
      <c r="T2281" s="3"/>
      <c r="U2281" s="3"/>
      <c r="V2281" s="3"/>
      <c r="W2281" s="3"/>
      <c r="X2281" s="3"/>
      <c r="Y2281" s="3"/>
      <c r="Z2281" s="3"/>
      <c r="AA2281" s="3"/>
    </row>
    <row r="2282" ht="105.75" customHeight="1">
      <c r="A2282" s="11"/>
      <c r="B2282" s="12"/>
      <c r="C2282" s="11"/>
      <c r="D2282" s="13"/>
      <c r="E2282" s="14"/>
      <c r="F2282" s="14"/>
      <c r="G2282" s="14"/>
      <c r="H2282" s="15"/>
      <c r="I2282" s="15"/>
      <c r="J2282" s="3"/>
      <c r="K2282" s="3"/>
      <c r="L2282" s="3"/>
      <c r="M2282" s="3"/>
      <c r="N2282" s="3"/>
      <c r="O2282" s="3"/>
      <c r="P2282" s="3"/>
      <c r="Q2282" s="3"/>
      <c r="R2282" s="3"/>
      <c r="S2282" s="3"/>
      <c r="T2282" s="3"/>
      <c r="U2282" s="3"/>
      <c r="V2282" s="3"/>
      <c r="W2282" s="3"/>
      <c r="X2282" s="3"/>
      <c r="Y2282" s="3"/>
      <c r="Z2282" s="3"/>
      <c r="AA2282" s="3"/>
    </row>
    <row r="2283" ht="105.75" customHeight="1">
      <c r="A2283" s="11"/>
      <c r="B2283" s="12"/>
      <c r="C2283" s="11"/>
      <c r="D2283" s="13"/>
      <c r="E2283" s="14"/>
      <c r="F2283" s="14"/>
      <c r="G2283" s="14"/>
      <c r="H2283" s="15"/>
      <c r="I2283" s="15"/>
      <c r="J2283" s="3"/>
      <c r="K2283" s="3"/>
      <c r="L2283" s="3"/>
      <c r="M2283" s="3"/>
      <c r="N2283" s="3"/>
      <c r="O2283" s="3"/>
      <c r="P2283" s="3"/>
      <c r="Q2283" s="3"/>
      <c r="R2283" s="3"/>
      <c r="S2283" s="3"/>
      <c r="T2283" s="3"/>
      <c r="U2283" s="3"/>
      <c r="V2283" s="3"/>
      <c r="W2283" s="3"/>
      <c r="X2283" s="3"/>
      <c r="Y2283" s="3"/>
      <c r="Z2283" s="3"/>
      <c r="AA2283" s="3"/>
    </row>
    <row r="2284" ht="105.75" customHeight="1">
      <c r="A2284" s="11"/>
      <c r="B2284" s="12"/>
      <c r="C2284" s="11"/>
      <c r="D2284" s="13"/>
      <c r="E2284" s="14"/>
      <c r="F2284" s="14"/>
      <c r="G2284" s="14"/>
      <c r="H2284" s="15"/>
      <c r="I2284" s="15"/>
      <c r="J2284" s="3"/>
      <c r="K2284" s="3"/>
      <c r="L2284" s="3"/>
      <c r="M2284" s="3"/>
      <c r="N2284" s="3"/>
      <c r="O2284" s="3"/>
      <c r="P2284" s="3"/>
      <c r="Q2284" s="3"/>
      <c r="R2284" s="3"/>
      <c r="S2284" s="3"/>
      <c r="T2284" s="3"/>
      <c r="U2284" s="3"/>
      <c r="V2284" s="3"/>
      <c r="W2284" s="3"/>
      <c r="X2284" s="3"/>
      <c r="Y2284" s="3"/>
      <c r="Z2284" s="3"/>
      <c r="AA2284" s="3"/>
    </row>
    <row r="2285" ht="105.75" customHeight="1">
      <c r="A2285" s="11"/>
      <c r="B2285" s="12"/>
      <c r="C2285" s="11"/>
      <c r="D2285" s="13"/>
      <c r="E2285" s="14"/>
      <c r="F2285" s="14"/>
      <c r="G2285" s="14"/>
      <c r="H2285" s="15"/>
      <c r="I2285" s="15"/>
      <c r="J2285" s="3"/>
      <c r="K2285" s="3"/>
      <c r="L2285" s="3"/>
      <c r="M2285" s="3"/>
      <c r="N2285" s="3"/>
      <c r="O2285" s="3"/>
      <c r="P2285" s="3"/>
      <c r="Q2285" s="3"/>
      <c r="R2285" s="3"/>
      <c r="S2285" s="3"/>
      <c r="T2285" s="3"/>
      <c r="U2285" s="3"/>
      <c r="V2285" s="3"/>
      <c r="W2285" s="3"/>
      <c r="X2285" s="3"/>
      <c r="Y2285" s="3"/>
      <c r="Z2285" s="3"/>
      <c r="AA2285" s="3"/>
    </row>
    <row r="2286" ht="105.75" customHeight="1">
      <c r="A2286" s="11"/>
      <c r="B2286" s="12"/>
      <c r="C2286" s="11"/>
      <c r="D2286" s="13"/>
      <c r="E2286" s="14"/>
      <c r="F2286" s="14"/>
      <c r="G2286" s="14"/>
      <c r="H2286" s="15"/>
      <c r="I2286" s="15"/>
      <c r="J2286" s="3"/>
      <c r="K2286" s="3"/>
      <c r="L2286" s="3"/>
      <c r="M2286" s="3"/>
      <c r="N2286" s="3"/>
      <c r="O2286" s="3"/>
      <c r="P2286" s="3"/>
      <c r="Q2286" s="3"/>
      <c r="R2286" s="3"/>
      <c r="S2286" s="3"/>
      <c r="T2286" s="3"/>
      <c r="U2286" s="3"/>
      <c r="V2286" s="3"/>
      <c r="W2286" s="3"/>
      <c r="X2286" s="3"/>
      <c r="Y2286" s="3"/>
      <c r="Z2286" s="3"/>
      <c r="AA2286" s="3"/>
    </row>
    <row r="2287" ht="105.75" customHeight="1">
      <c r="A2287" s="11"/>
      <c r="B2287" s="12"/>
      <c r="C2287" s="11"/>
      <c r="D2287" s="13"/>
      <c r="E2287" s="16"/>
      <c r="F2287" s="16"/>
      <c r="G2287" s="16"/>
      <c r="H2287" s="15"/>
      <c r="I2287" s="15"/>
      <c r="J2287" s="3"/>
      <c r="K2287" s="3"/>
      <c r="L2287" s="3"/>
      <c r="M2287" s="3"/>
      <c r="N2287" s="3"/>
      <c r="O2287" s="3"/>
      <c r="P2287" s="3"/>
      <c r="Q2287" s="3"/>
      <c r="R2287" s="3"/>
      <c r="S2287" s="3"/>
      <c r="T2287" s="3"/>
      <c r="U2287" s="3"/>
      <c r="V2287" s="3"/>
      <c r="W2287" s="3"/>
      <c r="X2287" s="3"/>
      <c r="Y2287" s="3"/>
      <c r="Z2287" s="3"/>
      <c r="AA2287" s="3"/>
    </row>
    <row r="2288" ht="105.75" customHeight="1">
      <c r="A2288" s="11"/>
      <c r="B2288" s="12"/>
      <c r="C2288" s="11"/>
      <c r="D2288" s="13"/>
      <c r="E2288" s="14"/>
      <c r="F2288" s="14"/>
      <c r="G2288" s="14"/>
      <c r="H2288" s="15"/>
      <c r="I2288" s="15"/>
      <c r="J2288" s="3"/>
      <c r="K2288" s="3"/>
      <c r="L2288" s="3"/>
      <c r="M2288" s="3"/>
      <c r="N2288" s="3"/>
      <c r="O2288" s="3"/>
      <c r="P2288" s="3"/>
      <c r="Q2288" s="3"/>
      <c r="R2288" s="3"/>
      <c r="S2288" s="3"/>
      <c r="T2288" s="3"/>
      <c r="U2288" s="3"/>
      <c r="V2288" s="3"/>
      <c r="W2288" s="3"/>
      <c r="X2288" s="3"/>
      <c r="Y2288" s="3"/>
      <c r="Z2288" s="3"/>
      <c r="AA2288" s="3"/>
    </row>
    <row r="2289" ht="105.75" customHeight="1">
      <c r="A2289" s="11"/>
      <c r="B2289" s="12"/>
      <c r="C2289" s="11"/>
      <c r="D2289" s="13"/>
      <c r="E2289" s="16"/>
      <c r="F2289" s="16"/>
      <c r="G2289" s="16"/>
      <c r="H2289" s="15"/>
      <c r="I2289" s="15"/>
      <c r="J2289" s="3"/>
      <c r="K2289" s="3"/>
      <c r="L2289" s="3"/>
      <c r="M2289" s="3"/>
      <c r="N2289" s="3"/>
      <c r="O2289" s="3"/>
      <c r="P2289" s="3"/>
      <c r="Q2289" s="3"/>
      <c r="R2289" s="3"/>
      <c r="S2289" s="3"/>
      <c r="T2289" s="3"/>
      <c r="U2289" s="3"/>
      <c r="V2289" s="3"/>
      <c r="W2289" s="3"/>
      <c r="X2289" s="3"/>
      <c r="Y2289" s="3"/>
      <c r="Z2289" s="3"/>
      <c r="AA2289" s="3"/>
    </row>
    <row r="2290" ht="105.75" customHeight="1">
      <c r="A2290" s="11"/>
      <c r="B2290" s="12"/>
      <c r="C2290" s="11"/>
      <c r="D2290" s="13"/>
      <c r="E2290" s="14"/>
      <c r="F2290" s="14"/>
      <c r="G2290" s="14"/>
      <c r="H2290" s="15"/>
      <c r="I2290" s="15"/>
      <c r="J2290" s="3"/>
      <c r="K2290" s="3"/>
      <c r="L2290" s="3"/>
      <c r="M2290" s="3"/>
      <c r="N2290" s="3"/>
      <c r="O2290" s="3"/>
      <c r="P2290" s="3"/>
      <c r="Q2290" s="3"/>
      <c r="R2290" s="3"/>
      <c r="S2290" s="3"/>
      <c r="T2290" s="3"/>
      <c r="U2290" s="3"/>
      <c r="V2290" s="3"/>
      <c r="W2290" s="3"/>
      <c r="X2290" s="3"/>
      <c r="Y2290" s="3"/>
      <c r="Z2290" s="3"/>
      <c r="AA2290" s="3"/>
    </row>
    <row r="2291" ht="105.75" customHeight="1">
      <c r="A2291" s="11"/>
      <c r="B2291" s="12"/>
      <c r="C2291" s="11"/>
      <c r="D2291" s="13"/>
      <c r="E2291" s="14"/>
      <c r="F2291" s="14"/>
      <c r="G2291" s="14"/>
      <c r="H2291" s="15"/>
      <c r="I2291" s="15"/>
      <c r="J2291" s="3"/>
      <c r="K2291" s="3"/>
      <c r="L2291" s="3"/>
      <c r="M2291" s="3"/>
      <c r="N2291" s="3"/>
      <c r="O2291" s="3"/>
      <c r="P2291" s="3"/>
      <c r="Q2291" s="3"/>
      <c r="R2291" s="3"/>
      <c r="S2291" s="3"/>
      <c r="T2291" s="3"/>
      <c r="U2291" s="3"/>
      <c r="V2291" s="3"/>
      <c r="W2291" s="3"/>
      <c r="X2291" s="3"/>
      <c r="Y2291" s="3"/>
      <c r="Z2291" s="3"/>
      <c r="AA2291" s="3"/>
    </row>
    <row r="2292" ht="105.75" customHeight="1">
      <c r="A2292" s="11"/>
      <c r="B2292" s="12"/>
      <c r="C2292" s="11"/>
      <c r="D2292" s="13"/>
      <c r="E2292" s="14"/>
      <c r="F2292" s="14"/>
      <c r="G2292" s="14"/>
      <c r="H2292" s="15"/>
      <c r="I2292" s="15"/>
      <c r="J2292" s="3"/>
      <c r="K2292" s="3"/>
      <c r="L2292" s="3"/>
      <c r="M2292" s="3"/>
      <c r="N2292" s="3"/>
      <c r="O2292" s="3"/>
      <c r="P2292" s="3"/>
      <c r="Q2292" s="3"/>
      <c r="R2292" s="3"/>
      <c r="S2292" s="3"/>
      <c r="T2292" s="3"/>
      <c r="U2292" s="3"/>
      <c r="V2292" s="3"/>
      <c r="W2292" s="3"/>
      <c r="X2292" s="3"/>
      <c r="Y2292" s="3"/>
      <c r="Z2292" s="3"/>
      <c r="AA2292" s="3"/>
    </row>
    <row r="2293" ht="105.75" customHeight="1">
      <c r="A2293" s="11"/>
      <c r="B2293" s="12"/>
      <c r="C2293" s="11"/>
      <c r="D2293" s="13"/>
      <c r="E2293" s="14"/>
      <c r="F2293" s="14"/>
      <c r="G2293" s="14"/>
      <c r="H2293" s="15"/>
      <c r="I2293" s="15"/>
      <c r="J2293" s="3"/>
      <c r="K2293" s="3"/>
      <c r="L2293" s="3"/>
      <c r="M2293" s="3"/>
      <c r="N2293" s="3"/>
      <c r="O2293" s="3"/>
      <c r="P2293" s="3"/>
      <c r="Q2293" s="3"/>
      <c r="R2293" s="3"/>
      <c r="S2293" s="3"/>
      <c r="T2293" s="3"/>
      <c r="U2293" s="3"/>
      <c r="V2293" s="3"/>
      <c r="W2293" s="3"/>
      <c r="X2293" s="3"/>
      <c r="Y2293" s="3"/>
      <c r="Z2293" s="3"/>
      <c r="AA2293" s="3"/>
    </row>
    <row r="2294" ht="105.75" customHeight="1">
      <c r="A2294" s="11"/>
      <c r="B2294" s="12"/>
      <c r="C2294" s="11"/>
      <c r="D2294" s="13"/>
      <c r="E2294" s="14"/>
      <c r="F2294" s="14"/>
      <c r="G2294" s="14"/>
      <c r="H2294" s="15"/>
      <c r="I2294" s="15"/>
      <c r="J2294" s="3"/>
      <c r="K2294" s="3"/>
      <c r="L2294" s="3"/>
      <c r="M2294" s="3"/>
      <c r="N2294" s="3"/>
      <c r="O2294" s="3"/>
      <c r="P2294" s="3"/>
      <c r="Q2294" s="3"/>
      <c r="R2294" s="3"/>
      <c r="S2294" s="3"/>
      <c r="T2294" s="3"/>
      <c r="U2294" s="3"/>
      <c r="V2294" s="3"/>
      <c r="W2294" s="3"/>
      <c r="X2294" s="3"/>
      <c r="Y2294" s="3"/>
      <c r="Z2294" s="3"/>
      <c r="AA2294" s="3"/>
    </row>
    <row r="2295" ht="105.75" customHeight="1">
      <c r="A2295" s="11"/>
      <c r="B2295" s="12"/>
      <c r="C2295" s="11"/>
      <c r="D2295" s="13"/>
      <c r="E2295" s="14"/>
      <c r="F2295" s="14"/>
      <c r="G2295" s="14"/>
      <c r="H2295" s="15"/>
      <c r="I2295" s="15"/>
      <c r="J2295" s="3"/>
      <c r="K2295" s="3"/>
      <c r="L2295" s="3"/>
      <c r="M2295" s="3"/>
      <c r="N2295" s="3"/>
      <c r="O2295" s="3"/>
      <c r="P2295" s="3"/>
      <c r="Q2295" s="3"/>
      <c r="R2295" s="3"/>
      <c r="S2295" s="3"/>
      <c r="T2295" s="3"/>
      <c r="U2295" s="3"/>
      <c r="V2295" s="3"/>
      <c r="W2295" s="3"/>
      <c r="X2295" s="3"/>
      <c r="Y2295" s="3"/>
      <c r="Z2295" s="3"/>
      <c r="AA2295" s="3"/>
    </row>
    <row r="2296" ht="105.75" customHeight="1">
      <c r="A2296" s="11"/>
      <c r="B2296" s="12"/>
      <c r="C2296" s="11"/>
      <c r="D2296" s="13"/>
      <c r="E2296" s="14"/>
      <c r="F2296" s="14"/>
      <c r="G2296" s="14"/>
      <c r="H2296" s="15"/>
      <c r="I2296" s="15"/>
      <c r="J2296" s="3"/>
      <c r="K2296" s="3"/>
      <c r="L2296" s="3"/>
      <c r="M2296" s="3"/>
      <c r="N2296" s="3"/>
      <c r="O2296" s="3"/>
      <c r="P2296" s="3"/>
      <c r="Q2296" s="3"/>
      <c r="R2296" s="3"/>
      <c r="S2296" s="3"/>
      <c r="T2296" s="3"/>
      <c r="U2296" s="3"/>
      <c r="V2296" s="3"/>
      <c r="W2296" s="3"/>
      <c r="X2296" s="3"/>
      <c r="Y2296" s="3"/>
      <c r="Z2296" s="3"/>
      <c r="AA2296" s="3"/>
    </row>
    <row r="2297" ht="105.75" customHeight="1">
      <c r="A2297" s="11"/>
      <c r="B2297" s="12"/>
      <c r="C2297" s="11"/>
      <c r="D2297" s="13"/>
      <c r="E2297" s="14"/>
      <c r="F2297" s="14"/>
      <c r="G2297" s="14"/>
      <c r="H2297" s="15"/>
      <c r="I2297" s="15"/>
      <c r="J2297" s="3"/>
      <c r="K2297" s="3"/>
      <c r="L2297" s="3"/>
      <c r="M2297" s="3"/>
      <c r="N2297" s="3"/>
      <c r="O2297" s="3"/>
      <c r="P2297" s="3"/>
      <c r="Q2297" s="3"/>
      <c r="R2297" s="3"/>
      <c r="S2297" s="3"/>
      <c r="T2297" s="3"/>
      <c r="U2297" s="3"/>
      <c r="V2297" s="3"/>
      <c r="W2297" s="3"/>
      <c r="X2297" s="3"/>
      <c r="Y2297" s="3"/>
      <c r="Z2297" s="3"/>
      <c r="AA2297" s="3"/>
    </row>
    <row r="2298" ht="105.75" customHeight="1">
      <c r="A2298" s="11"/>
      <c r="B2298" s="12"/>
      <c r="C2298" s="11"/>
      <c r="D2298" s="13"/>
      <c r="E2298" s="14"/>
      <c r="F2298" s="14"/>
      <c r="G2298" s="14"/>
      <c r="H2298" s="15"/>
      <c r="I2298" s="15"/>
      <c r="J2298" s="3"/>
      <c r="K2298" s="3"/>
      <c r="L2298" s="3"/>
      <c r="M2298" s="3"/>
      <c r="N2298" s="3"/>
      <c r="O2298" s="3"/>
      <c r="P2298" s="3"/>
      <c r="Q2298" s="3"/>
      <c r="R2298" s="3"/>
      <c r="S2298" s="3"/>
      <c r="T2298" s="3"/>
      <c r="U2298" s="3"/>
      <c r="V2298" s="3"/>
      <c r="W2298" s="3"/>
      <c r="X2298" s="3"/>
      <c r="Y2298" s="3"/>
      <c r="Z2298" s="3"/>
      <c r="AA2298" s="3"/>
    </row>
    <row r="2299" ht="105.75" customHeight="1">
      <c r="A2299" s="11"/>
      <c r="B2299" s="12"/>
      <c r="C2299" s="11"/>
      <c r="D2299" s="13"/>
      <c r="E2299" s="14"/>
      <c r="F2299" s="14"/>
      <c r="G2299" s="14"/>
      <c r="H2299" s="15"/>
      <c r="I2299" s="15"/>
      <c r="J2299" s="3"/>
      <c r="K2299" s="3"/>
      <c r="L2299" s="3"/>
      <c r="M2299" s="3"/>
      <c r="N2299" s="3"/>
      <c r="O2299" s="3"/>
      <c r="P2299" s="3"/>
      <c r="Q2299" s="3"/>
      <c r="R2299" s="3"/>
      <c r="S2299" s="3"/>
      <c r="T2299" s="3"/>
      <c r="U2299" s="3"/>
      <c r="V2299" s="3"/>
      <c r="W2299" s="3"/>
      <c r="X2299" s="3"/>
      <c r="Y2299" s="3"/>
      <c r="Z2299" s="3"/>
      <c r="AA2299" s="3"/>
    </row>
    <row r="2300" ht="105.75" customHeight="1">
      <c r="A2300" s="11"/>
      <c r="B2300" s="12"/>
      <c r="C2300" s="11"/>
      <c r="D2300" s="13"/>
      <c r="E2300" s="14"/>
      <c r="F2300" s="14"/>
      <c r="G2300" s="14"/>
      <c r="H2300" s="15"/>
      <c r="I2300" s="15"/>
      <c r="J2300" s="3"/>
      <c r="K2300" s="3"/>
      <c r="L2300" s="3"/>
      <c r="M2300" s="3"/>
      <c r="N2300" s="3"/>
      <c r="O2300" s="3"/>
      <c r="P2300" s="3"/>
      <c r="Q2300" s="3"/>
      <c r="R2300" s="3"/>
      <c r="S2300" s="3"/>
      <c r="T2300" s="3"/>
      <c r="U2300" s="3"/>
      <c r="V2300" s="3"/>
      <c r="W2300" s="3"/>
      <c r="X2300" s="3"/>
      <c r="Y2300" s="3"/>
      <c r="Z2300" s="3"/>
      <c r="AA2300" s="3"/>
    </row>
    <row r="2301" ht="105.75" customHeight="1">
      <c r="A2301" s="11"/>
      <c r="B2301" s="12"/>
      <c r="C2301" s="11"/>
      <c r="D2301" s="13"/>
      <c r="E2301" s="14"/>
      <c r="F2301" s="14"/>
      <c r="G2301" s="14"/>
      <c r="H2301" s="15"/>
      <c r="I2301" s="15"/>
      <c r="J2301" s="3"/>
      <c r="K2301" s="3"/>
      <c r="L2301" s="3"/>
      <c r="M2301" s="3"/>
      <c r="N2301" s="3"/>
      <c r="O2301" s="3"/>
      <c r="P2301" s="3"/>
      <c r="Q2301" s="3"/>
      <c r="R2301" s="3"/>
      <c r="S2301" s="3"/>
      <c r="T2301" s="3"/>
      <c r="U2301" s="3"/>
      <c r="V2301" s="3"/>
      <c r="W2301" s="3"/>
      <c r="X2301" s="3"/>
      <c r="Y2301" s="3"/>
      <c r="Z2301" s="3"/>
      <c r="AA2301" s="3"/>
    </row>
    <row r="2302" ht="105.75" customHeight="1">
      <c r="A2302" s="11"/>
      <c r="B2302" s="12"/>
      <c r="C2302" s="11"/>
      <c r="D2302" s="13"/>
      <c r="E2302" s="14"/>
      <c r="F2302" s="14"/>
      <c r="G2302" s="14"/>
      <c r="H2302" s="15"/>
      <c r="I2302" s="15"/>
      <c r="J2302" s="3"/>
      <c r="K2302" s="3"/>
      <c r="L2302" s="3"/>
      <c r="M2302" s="3"/>
      <c r="N2302" s="3"/>
      <c r="O2302" s="3"/>
      <c r="P2302" s="3"/>
      <c r="Q2302" s="3"/>
      <c r="R2302" s="3"/>
      <c r="S2302" s="3"/>
      <c r="T2302" s="3"/>
      <c r="U2302" s="3"/>
      <c r="V2302" s="3"/>
      <c r="W2302" s="3"/>
      <c r="X2302" s="3"/>
      <c r="Y2302" s="3"/>
      <c r="Z2302" s="3"/>
      <c r="AA2302" s="3"/>
    </row>
    <row r="2303" ht="105.75" customHeight="1">
      <c r="A2303" s="11"/>
      <c r="B2303" s="12"/>
      <c r="C2303" s="11"/>
      <c r="D2303" s="13"/>
      <c r="E2303" s="14"/>
      <c r="F2303" s="14"/>
      <c r="G2303" s="14"/>
      <c r="H2303" s="15"/>
      <c r="I2303" s="15"/>
      <c r="J2303" s="3"/>
      <c r="K2303" s="3"/>
      <c r="L2303" s="3"/>
      <c r="M2303" s="3"/>
      <c r="N2303" s="3"/>
      <c r="O2303" s="3"/>
      <c r="P2303" s="3"/>
      <c r="Q2303" s="3"/>
      <c r="R2303" s="3"/>
      <c r="S2303" s="3"/>
      <c r="T2303" s="3"/>
      <c r="U2303" s="3"/>
      <c r="V2303" s="3"/>
      <c r="W2303" s="3"/>
      <c r="X2303" s="3"/>
      <c r="Y2303" s="3"/>
      <c r="Z2303" s="3"/>
      <c r="AA2303" s="3"/>
    </row>
    <row r="2304" ht="105.75" customHeight="1">
      <c r="A2304" s="11"/>
      <c r="B2304" s="12"/>
      <c r="C2304" s="11"/>
      <c r="D2304" s="13"/>
      <c r="E2304" s="14"/>
      <c r="F2304" s="14"/>
      <c r="G2304" s="14"/>
      <c r="H2304" s="15"/>
      <c r="I2304" s="15"/>
      <c r="J2304" s="3"/>
      <c r="K2304" s="3"/>
      <c r="L2304" s="3"/>
      <c r="M2304" s="3"/>
      <c r="N2304" s="3"/>
      <c r="O2304" s="3"/>
      <c r="P2304" s="3"/>
      <c r="Q2304" s="3"/>
      <c r="R2304" s="3"/>
      <c r="S2304" s="3"/>
      <c r="T2304" s="3"/>
      <c r="U2304" s="3"/>
      <c r="V2304" s="3"/>
      <c r="W2304" s="3"/>
      <c r="X2304" s="3"/>
      <c r="Y2304" s="3"/>
      <c r="Z2304" s="3"/>
      <c r="AA2304" s="3"/>
    </row>
    <row r="2305" ht="105.75" customHeight="1">
      <c r="A2305" s="11"/>
      <c r="B2305" s="12"/>
      <c r="C2305" s="11"/>
      <c r="D2305" s="13"/>
      <c r="E2305" s="14"/>
      <c r="F2305" s="14"/>
      <c r="G2305" s="14"/>
      <c r="H2305" s="15"/>
      <c r="I2305" s="15"/>
      <c r="J2305" s="3"/>
      <c r="K2305" s="3"/>
      <c r="L2305" s="3"/>
      <c r="M2305" s="3"/>
      <c r="N2305" s="3"/>
      <c r="O2305" s="3"/>
      <c r="P2305" s="3"/>
      <c r="Q2305" s="3"/>
      <c r="R2305" s="3"/>
      <c r="S2305" s="3"/>
      <c r="T2305" s="3"/>
      <c r="U2305" s="3"/>
      <c r="V2305" s="3"/>
      <c r="W2305" s="3"/>
      <c r="X2305" s="3"/>
      <c r="Y2305" s="3"/>
      <c r="Z2305" s="3"/>
      <c r="AA2305" s="3"/>
    </row>
    <row r="2306" ht="105.75" customHeight="1">
      <c r="A2306" s="11"/>
      <c r="B2306" s="12"/>
      <c r="C2306" s="11"/>
      <c r="D2306" s="13"/>
      <c r="E2306" s="14"/>
      <c r="F2306" s="14"/>
      <c r="G2306" s="14"/>
      <c r="H2306" s="15"/>
      <c r="I2306" s="15"/>
      <c r="J2306" s="3"/>
      <c r="K2306" s="3"/>
      <c r="L2306" s="3"/>
      <c r="M2306" s="3"/>
      <c r="N2306" s="3"/>
      <c r="O2306" s="3"/>
      <c r="P2306" s="3"/>
      <c r="Q2306" s="3"/>
      <c r="R2306" s="3"/>
      <c r="S2306" s="3"/>
      <c r="T2306" s="3"/>
      <c r="U2306" s="3"/>
      <c r="V2306" s="3"/>
      <c r="W2306" s="3"/>
      <c r="X2306" s="3"/>
      <c r="Y2306" s="3"/>
      <c r="Z2306" s="3"/>
      <c r="AA2306" s="3"/>
    </row>
    <row r="2307" ht="105.75" customHeight="1">
      <c r="A2307" s="11"/>
      <c r="B2307" s="12"/>
      <c r="C2307" s="11"/>
      <c r="D2307" s="13"/>
      <c r="E2307" s="14"/>
      <c r="F2307" s="14"/>
      <c r="G2307" s="14"/>
      <c r="H2307" s="15"/>
      <c r="I2307" s="15"/>
      <c r="J2307" s="3"/>
      <c r="K2307" s="3"/>
      <c r="L2307" s="3"/>
      <c r="M2307" s="3"/>
      <c r="N2307" s="3"/>
      <c r="O2307" s="3"/>
      <c r="P2307" s="3"/>
      <c r="Q2307" s="3"/>
      <c r="R2307" s="3"/>
      <c r="S2307" s="3"/>
      <c r="T2307" s="3"/>
      <c r="U2307" s="3"/>
      <c r="V2307" s="3"/>
      <c r="W2307" s="3"/>
      <c r="X2307" s="3"/>
      <c r="Y2307" s="3"/>
      <c r="Z2307" s="3"/>
      <c r="AA2307" s="3"/>
    </row>
    <row r="2308" ht="105.75" customHeight="1">
      <c r="A2308" s="11"/>
      <c r="B2308" s="12"/>
      <c r="C2308" s="11"/>
      <c r="D2308" s="13"/>
      <c r="E2308" s="14"/>
      <c r="F2308" s="14"/>
      <c r="G2308" s="14"/>
      <c r="H2308" s="15"/>
      <c r="I2308" s="15"/>
      <c r="J2308" s="3"/>
      <c r="K2308" s="3"/>
      <c r="L2308" s="3"/>
      <c r="M2308" s="3"/>
      <c r="N2308" s="3"/>
      <c r="O2308" s="3"/>
      <c r="P2308" s="3"/>
      <c r="Q2308" s="3"/>
      <c r="R2308" s="3"/>
      <c r="S2308" s="3"/>
      <c r="T2308" s="3"/>
      <c r="U2308" s="3"/>
      <c r="V2308" s="3"/>
      <c r="W2308" s="3"/>
      <c r="X2308" s="3"/>
      <c r="Y2308" s="3"/>
      <c r="Z2308" s="3"/>
      <c r="AA2308" s="3"/>
    </row>
    <row r="2309" ht="105.75" customHeight="1">
      <c r="A2309" s="11"/>
      <c r="B2309" s="12"/>
      <c r="C2309" s="11"/>
      <c r="D2309" s="13"/>
      <c r="E2309" s="16"/>
      <c r="F2309" s="16"/>
      <c r="G2309" s="16"/>
      <c r="H2309" s="15"/>
      <c r="I2309" s="15"/>
      <c r="J2309" s="3"/>
      <c r="K2309" s="3"/>
      <c r="L2309" s="3"/>
      <c r="M2309" s="3"/>
      <c r="N2309" s="3"/>
      <c r="O2309" s="3"/>
      <c r="P2309" s="3"/>
      <c r="Q2309" s="3"/>
      <c r="R2309" s="3"/>
      <c r="S2309" s="3"/>
      <c r="T2309" s="3"/>
      <c r="U2309" s="3"/>
      <c r="V2309" s="3"/>
      <c r="W2309" s="3"/>
      <c r="X2309" s="3"/>
      <c r="Y2309" s="3"/>
      <c r="Z2309" s="3"/>
      <c r="AA2309" s="3"/>
    </row>
    <row r="2310" ht="105.75" customHeight="1">
      <c r="A2310" s="11"/>
      <c r="B2310" s="12"/>
      <c r="C2310" s="11"/>
      <c r="D2310" s="13"/>
      <c r="E2310" s="14"/>
      <c r="F2310" s="14"/>
      <c r="G2310" s="14"/>
      <c r="H2310" s="15"/>
      <c r="I2310" s="15"/>
      <c r="J2310" s="3"/>
      <c r="K2310" s="3"/>
      <c r="L2310" s="3"/>
      <c r="M2310" s="3"/>
      <c r="N2310" s="3"/>
      <c r="O2310" s="3"/>
      <c r="P2310" s="3"/>
      <c r="Q2310" s="3"/>
      <c r="R2310" s="3"/>
      <c r="S2310" s="3"/>
      <c r="T2310" s="3"/>
      <c r="U2310" s="3"/>
      <c r="V2310" s="3"/>
      <c r="W2310" s="3"/>
      <c r="X2310" s="3"/>
      <c r="Y2310" s="3"/>
      <c r="Z2310" s="3"/>
      <c r="AA2310" s="3"/>
    </row>
    <row r="2311" ht="105.75" customHeight="1">
      <c r="A2311" s="11"/>
      <c r="B2311" s="12"/>
      <c r="C2311" s="11"/>
      <c r="D2311" s="13"/>
      <c r="E2311" s="14"/>
      <c r="F2311" s="14"/>
      <c r="G2311" s="14"/>
      <c r="H2311" s="15"/>
      <c r="I2311" s="15"/>
      <c r="J2311" s="3"/>
      <c r="K2311" s="3"/>
      <c r="L2311" s="3"/>
      <c r="M2311" s="3"/>
      <c r="N2311" s="3"/>
      <c r="O2311" s="3"/>
      <c r="P2311" s="3"/>
      <c r="Q2311" s="3"/>
      <c r="R2311" s="3"/>
      <c r="S2311" s="3"/>
      <c r="T2311" s="3"/>
      <c r="U2311" s="3"/>
      <c r="V2311" s="3"/>
      <c r="W2311" s="3"/>
      <c r="X2311" s="3"/>
      <c r="Y2311" s="3"/>
      <c r="Z2311" s="3"/>
      <c r="AA2311" s="3"/>
    </row>
    <row r="2312" ht="105.75" customHeight="1">
      <c r="A2312" s="11"/>
      <c r="B2312" s="12"/>
      <c r="C2312" s="11"/>
      <c r="D2312" s="13"/>
      <c r="E2312" s="14"/>
      <c r="F2312" s="14"/>
      <c r="G2312" s="14"/>
      <c r="H2312" s="15"/>
      <c r="I2312" s="15"/>
      <c r="J2312" s="3"/>
      <c r="K2312" s="3"/>
      <c r="L2312" s="3"/>
      <c r="M2312" s="3"/>
      <c r="N2312" s="3"/>
      <c r="O2312" s="3"/>
      <c r="P2312" s="3"/>
      <c r="Q2312" s="3"/>
      <c r="R2312" s="3"/>
      <c r="S2312" s="3"/>
      <c r="T2312" s="3"/>
      <c r="U2312" s="3"/>
      <c r="V2312" s="3"/>
      <c r="W2312" s="3"/>
      <c r="X2312" s="3"/>
      <c r="Y2312" s="3"/>
      <c r="Z2312" s="3"/>
      <c r="AA2312" s="3"/>
    </row>
    <row r="2313" ht="105.75" customHeight="1">
      <c r="A2313" s="11"/>
      <c r="B2313" s="12"/>
      <c r="C2313" s="11"/>
      <c r="D2313" s="13"/>
      <c r="E2313" s="16"/>
      <c r="F2313" s="16"/>
      <c r="G2313" s="16"/>
      <c r="H2313" s="15"/>
      <c r="I2313" s="15"/>
      <c r="J2313" s="3"/>
      <c r="K2313" s="3"/>
      <c r="L2313" s="3"/>
      <c r="M2313" s="3"/>
      <c r="N2313" s="3"/>
      <c r="O2313" s="3"/>
      <c r="P2313" s="3"/>
      <c r="Q2313" s="3"/>
      <c r="R2313" s="3"/>
      <c r="S2313" s="3"/>
      <c r="T2313" s="3"/>
      <c r="U2313" s="3"/>
      <c r="V2313" s="3"/>
      <c r="W2313" s="3"/>
      <c r="X2313" s="3"/>
      <c r="Y2313" s="3"/>
      <c r="Z2313" s="3"/>
      <c r="AA2313" s="3"/>
    </row>
    <row r="2314" ht="105.75" customHeight="1">
      <c r="A2314" s="11"/>
      <c r="B2314" s="12"/>
      <c r="C2314" s="11"/>
      <c r="D2314" s="13"/>
      <c r="E2314" s="14"/>
      <c r="F2314" s="14"/>
      <c r="G2314" s="14"/>
      <c r="H2314" s="15"/>
      <c r="I2314" s="15"/>
      <c r="J2314" s="3"/>
      <c r="K2314" s="3"/>
      <c r="L2314" s="3"/>
      <c r="M2314" s="3"/>
      <c r="N2314" s="3"/>
      <c r="O2314" s="3"/>
      <c r="P2314" s="3"/>
      <c r="Q2314" s="3"/>
      <c r="R2314" s="3"/>
      <c r="S2314" s="3"/>
      <c r="T2314" s="3"/>
      <c r="U2314" s="3"/>
      <c r="V2314" s="3"/>
      <c r="W2314" s="3"/>
      <c r="X2314" s="3"/>
      <c r="Y2314" s="3"/>
      <c r="Z2314" s="3"/>
      <c r="AA2314" s="3"/>
    </row>
    <row r="2315" ht="105.75" customHeight="1">
      <c r="A2315" s="11"/>
      <c r="B2315" s="12"/>
      <c r="C2315" s="11"/>
      <c r="D2315" s="13"/>
      <c r="E2315" s="14"/>
      <c r="F2315" s="14"/>
      <c r="G2315" s="14"/>
      <c r="H2315" s="15"/>
      <c r="I2315" s="15"/>
      <c r="J2315" s="3"/>
      <c r="K2315" s="3"/>
      <c r="L2315" s="3"/>
      <c r="M2315" s="3"/>
      <c r="N2315" s="3"/>
      <c r="O2315" s="3"/>
      <c r="P2315" s="3"/>
      <c r="Q2315" s="3"/>
      <c r="R2315" s="3"/>
      <c r="S2315" s="3"/>
      <c r="T2315" s="3"/>
      <c r="U2315" s="3"/>
      <c r="V2315" s="3"/>
      <c r="W2315" s="3"/>
      <c r="X2315" s="3"/>
      <c r="Y2315" s="3"/>
      <c r="Z2315" s="3"/>
      <c r="AA2315" s="3"/>
    </row>
    <row r="2316" ht="105.75" customHeight="1">
      <c r="A2316" s="11"/>
      <c r="B2316" s="12"/>
      <c r="C2316" s="11"/>
      <c r="D2316" s="13"/>
      <c r="E2316" s="16"/>
      <c r="F2316" s="16"/>
      <c r="G2316" s="16"/>
      <c r="H2316" s="15"/>
      <c r="I2316" s="15"/>
      <c r="J2316" s="3"/>
      <c r="K2316" s="3"/>
      <c r="L2316" s="3"/>
      <c r="M2316" s="3"/>
      <c r="N2316" s="3"/>
      <c r="O2316" s="3"/>
      <c r="P2316" s="3"/>
      <c r="Q2316" s="3"/>
      <c r="R2316" s="3"/>
      <c r="S2316" s="3"/>
      <c r="T2316" s="3"/>
      <c r="U2316" s="3"/>
      <c r="V2316" s="3"/>
      <c r="W2316" s="3"/>
      <c r="X2316" s="3"/>
      <c r="Y2316" s="3"/>
      <c r="Z2316" s="3"/>
      <c r="AA2316" s="3"/>
    </row>
    <row r="2317" ht="105.75" customHeight="1">
      <c r="A2317" s="11"/>
      <c r="B2317" s="12"/>
      <c r="C2317" s="11"/>
      <c r="D2317" s="13"/>
      <c r="E2317" s="14"/>
      <c r="F2317" s="14"/>
      <c r="G2317" s="14"/>
      <c r="H2317" s="15"/>
      <c r="I2317" s="15"/>
      <c r="J2317" s="3"/>
      <c r="K2317" s="3"/>
      <c r="L2317" s="3"/>
      <c r="M2317" s="3"/>
      <c r="N2317" s="3"/>
      <c r="O2317" s="3"/>
      <c r="P2317" s="3"/>
      <c r="Q2317" s="3"/>
      <c r="R2317" s="3"/>
      <c r="S2317" s="3"/>
      <c r="T2317" s="3"/>
      <c r="U2317" s="3"/>
      <c r="V2317" s="3"/>
      <c r="W2317" s="3"/>
      <c r="X2317" s="3"/>
      <c r="Y2317" s="3"/>
      <c r="Z2317" s="3"/>
      <c r="AA2317" s="3"/>
    </row>
    <row r="2318" ht="105.75" customHeight="1">
      <c r="A2318" s="11"/>
      <c r="B2318" s="12"/>
      <c r="C2318" s="11"/>
      <c r="D2318" s="13"/>
      <c r="E2318" s="14"/>
      <c r="F2318" s="14"/>
      <c r="G2318" s="14"/>
      <c r="H2318" s="15"/>
      <c r="I2318" s="15"/>
      <c r="J2318" s="3"/>
      <c r="K2318" s="3"/>
      <c r="L2318" s="3"/>
      <c r="M2318" s="3"/>
      <c r="N2318" s="3"/>
      <c r="O2318" s="3"/>
      <c r="P2318" s="3"/>
      <c r="Q2318" s="3"/>
      <c r="R2318" s="3"/>
      <c r="S2318" s="3"/>
      <c r="T2318" s="3"/>
      <c r="U2318" s="3"/>
      <c r="V2318" s="3"/>
      <c r="W2318" s="3"/>
      <c r="X2318" s="3"/>
      <c r="Y2318" s="3"/>
      <c r="Z2318" s="3"/>
      <c r="AA2318" s="3"/>
    </row>
    <row r="2319" ht="105.75" customHeight="1">
      <c r="A2319" s="11"/>
      <c r="B2319" s="12"/>
      <c r="C2319" s="11"/>
      <c r="D2319" s="13"/>
      <c r="E2319" s="14"/>
      <c r="F2319" s="14"/>
      <c r="G2319" s="14"/>
      <c r="H2319" s="15"/>
      <c r="I2319" s="15"/>
      <c r="J2319" s="3"/>
      <c r="K2319" s="3"/>
      <c r="L2319" s="3"/>
      <c r="M2319" s="3"/>
      <c r="N2319" s="3"/>
      <c r="O2319" s="3"/>
      <c r="P2319" s="3"/>
      <c r="Q2319" s="3"/>
      <c r="R2319" s="3"/>
      <c r="S2319" s="3"/>
      <c r="T2319" s="3"/>
      <c r="U2319" s="3"/>
      <c r="V2319" s="3"/>
      <c r="W2319" s="3"/>
      <c r="X2319" s="3"/>
      <c r="Y2319" s="3"/>
      <c r="Z2319" s="3"/>
      <c r="AA2319" s="3"/>
    </row>
    <row r="2320" ht="105.75" customHeight="1">
      <c r="A2320" s="11"/>
      <c r="B2320" s="12"/>
      <c r="C2320" s="11"/>
      <c r="D2320" s="13"/>
      <c r="E2320" s="14"/>
      <c r="F2320" s="14"/>
      <c r="G2320" s="14"/>
      <c r="H2320" s="15"/>
      <c r="I2320" s="15"/>
      <c r="J2320" s="3"/>
      <c r="K2320" s="3"/>
      <c r="L2320" s="3"/>
      <c r="M2320" s="3"/>
      <c r="N2320" s="3"/>
      <c r="O2320" s="3"/>
      <c r="P2320" s="3"/>
      <c r="Q2320" s="3"/>
      <c r="R2320" s="3"/>
      <c r="S2320" s="3"/>
      <c r="T2320" s="3"/>
      <c r="U2320" s="3"/>
      <c r="V2320" s="3"/>
      <c r="W2320" s="3"/>
      <c r="X2320" s="3"/>
      <c r="Y2320" s="3"/>
      <c r="Z2320" s="3"/>
      <c r="AA2320" s="3"/>
    </row>
    <row r="2321" ht="105.75" customHeight="1">
      <c r="A2321" s="11"/>
      <c r="B2321" s="12"/>
      <c r="C2321" s="11"/>
      <c r="D2321" s="13"/>
      <c r="E2321" s="14"/>
      <c r="F2321" s="14"/>
      <c r="G2321" s="14"/>
      <c r="H2321" s="15"/>
      <c r="I2321" s="15"/>
      <c r="J2321" s="3"/>
      <c r="K2321" s="3"/>
      <c r="L2321" s="3"/>
      <c r="M2321" s="3"/>
      <c r="N2321" s="3"/>
      <c r="O2321" s="3"/>
      <c r="P2321" s="3"/>
      <c r="Q2321" s="3"/>
      <c r="R2321" s="3"/>
      <c r="S2321" s="3"/>
      <c r="T2321" s="3"/>
      <c r="U2321" s="3"/>
      <c r="V2321" s="3"/>
      <c r="W2321" s="3"/>
      <c r="X2321" s="3"/>
      <c r="Y2321" s="3"/>
      <c r="Z2321" s="3"/>
      <c r="AA2321" s="3"/>
    </row>
    <row r="2322" ht="105.75" customHeight="1">
      <c r="A2322" s="11"/>
      <c r="B2322" s="12"/>
      <c r="C2322" s="11"/>
      <c r="D2322" s="13"/>
      <c r="E2322" s="16"/>
      <c r="F2322" s="16"/>
      <c r="G2322" s="16"/>
      <c r="H2322" s="15"/>
      <c r="I2322" s="15"/>
      <c r="J2322" s="3"/>
      <c r="K2322" s="3"/>
      <c r="L2322" s="3"/>
      <c r="M2322" s="3"/>
      <c r="N2322" s="3"/>
      <c r="O2322" s="3"/>
      <c r="P2322" s="3"/>
      <c r="Q2322" s="3"/>
      <c r="R2322" s="3"/>
      <c r="S2322" s="3"/>
      <c r="T2322" s="3"/>
      <c r="U2322" s="3"/>
      <c r="V2322" s="3"/>
      <c r="W2322" s="3"/>
      <c r="X2322" s="3"/>
      <c r="Y2322" s="3"/>
      <c r="Z2322" s="3"/>
      <c r="AA2322" s="3"/>
    </row>
    <row r="2323" ht="105.75" customHeight="1">
      <c r="A2323" s="11"/>
      <c r="B2323" s="12"/>
      <c r="C2323" s="11"/>
      <c r="D2323" s="13"/>
      <c r="E2323" s="14"/>
      <c r="F2323" s="14"/>
      <c r="G2323" s="14"/>
      <c r="H2323" s="15"/>
      <c r="I2323" s="15"/>
      <c r="J2323" s="3"/>
      <c r="K2323" s="3"/>
      <c r="L2323" s="3"/>
      <c r="M2323" s="3"/>
      <c r="N2323" s="3"/>
      <c r="O2323" s="3"/>
      <c r="P2323" s="3"/>
      <c r="Q2323" s="3"/>
      <c r="R2323" s="3"/>
      <c r="S2323" s="3"/>
      <c r="T2323" s="3"/>
      <c r="U2323" s="3"/>
      <c r="V2323" s="3"/>
      <c r="W2323" s="3"/>
      <c r="X2323" s="3"/>
      <c r="Y2323" s="3"/>
      <c r="Z2323" s="3"/>
      <c r="AA2323" s="3"/>
    </row>
    <row r="2324" ht="105.75" customHeight="1">
      <c r="A2324" s="11"/>
      <c r="B2324" s="12"/>
      <c r="C2324" s="11"/>
      <c r="D2324" s="13"/>
      <c r="E2324" s="14"/>
      <c r="F2324" s="14"/>
      <c r="G2324" s="14"/>
      <c r="H2324" s="15"/>
      <c r="I2324" s="15"/>
      <c r="J2324" s="3"/>
      <c r="K2324" s="3"/>
      <c r="L2324" s="3"/>
      <c r="M2324" s="3"/>
      <c r="N2324" s="3"/>
      <c r="O2324" s="3"/>
      <c r="P2324" s="3"/>
      <c r="Q2324" s="3"/>
      <c r="R2324" s="3"/>
      <c r="S2324" s="3"/>
      <c r="T2324" s="3"/>
      <c r="U2324" s="3"/>
      <c r="V2324" s="3"/>
      <c r="W2324" s="3"/>
      <c r="X2324" s="3"/>
      <c r="Y2324" s="3"/>
      <c r="Z2324" s="3"/>
      <c r="AA2324" s="3"/>
    </row>
    <row r="2325" ht="105.75" customHeight="1">
      <c r="A2325" s="11"/>
      <c r="B2325" s="12"/>
      <c r="C2325" s="11"/>
      <c r="D2325" s="13"/>
      <c r="E2325" s="16"/>
      <c r="F2325" s="16"/>
      <c r="G2325" s="16"/>
      <c r="H2325" s="15"/>
      <c r="I2325" s="15"/>
      <c r="J2325" s="3"/>
      <c r="K2325" s="3"/>
      <c r="L2325" s="3"/>
      <c r="M2325" s="3"/>
      <c r="N2325" s="3"/>
      <c r="O2325" s="3"/>
      <c r="P2325" s="3"/>
      <c r="Q2325" s="3"/>
      <c r="R2325" s="3"/>
      <c r="S2325" s="3"/>
      <c r="T2325" s="3"/>
      <c r="U2325" s="3"/>
      <c r="V2325" s="3"/>
      <c r="W2325" s="3"/>
      <c r="X2325" s="3"/>
      <c r="Y2325" s="3"/>
      <c r="Z2325" s="3"/>
      <c r="AA2325" s="3"/>
    </row>
    <row r="2326" ht="105.75" customHeight="1">
      <c r="A2326" s="11"/>
      <c r="B2326" s="12"/>
      <c r="C2326" s="11"/>
      <c r="D2326" s="13"/>
      <c r="E2326" s="14"/>
      <c r="F2326" s="14"/>
      <c r="G2326" s="14"/>
      <c r="H2326" s="15"/>
      <c r="I2326" s="15"/>
      <c r="J2326" s="3"/>
      <c r="K2326" s="3"/>
      <c r="L2326" s="3"/>
      <c r="M2326" s="3"/>
      <c r="N2326" s="3"/>
      <c r="O2326" s="3"/>
      <c r="P2326" s="3"/>
      <c r="Q2326" s="3"/>
      <c r="R2326" s="3"/>
      <c r="S2326" s="3"/>
      <c r="T2326" s="3"/>
      <c r="U2326" s="3"/>
      <c r="V2326" s="3"/>
      <c r="W2326" s="3"/>
      <c r="X2326" s="3"/>
      <c r="Y2326" s="3"/>
      <c r="Z2326" s="3"/>
      <c r="AA2326" s="3"/>
    </row>
    <row r="2327" ht="105.75" customHeight="1">
      <c r="A2327" s="11"/>
      <c r="B2327" s="12"/>
      <c r="C2327" s="11"/>
      <c r="D2327" s="13"/>
      <c r="E2327" s="16"/>
      <c r="F2327" s="16"/>
      <c r="G2327" s="16"/>
      <c r="H2327" s="15"/>
      <c r="I2327" s="15"/>
      <c r="J2327" s="3"/>
      <c r="K2327" s="3"/>
      <c r="L2327" s="3"/>
      <c r="M2327" s="3"/>
      <c r="N2327" s="3"/>
      <c r="O2327" s="3"/>
      <c r="P2327" s="3"/>
      <c r="Q2327" s="3"/>
      <c r="R2327" s="3"/>
      <c r="S2327" s="3"/>
      <c r="T2327" s="3"/>
      <c r="U2327" s="3"/>
      <c r="V2327" s="3"/>
      <c r="W2327" s="3"/>
      <c r="X2327" s="3"/>
      <c r="Y2327" s="3"/>
      <c r="Z2327" s="3"/>
      <c r="AA2327" s="3"/>
    </row>
    <row r="2328" ht="105.75" customHeight="1">
      <c r="A2328" s="11"/>
      <c r="B2328" s="12"/>
      <c r="C2328" s="11"/>
      <c r="D2328" s="13"/>
      <c r="E2328" s="14"/>
      <c r="F2328" s="14"/>
      <c r="G2328" s="14"/>
      <c r="H2328" s="15"/>
      <c r="I2328" s="15"/>
      <c r="J2328" s="3"/>
      <c r="K2328" s="3"/>
      <c r="L2328" s="3"/>
      <c r="M2328" s="3"/>
      <c r="N2328" s="3"/>
      <c r="O2328" s="3"/>
      <c r="P2328" s="3"/>
      <c r="Q2328" s="3"/>
      <c r="R2328" s="3"/>
      <c r="S2328" s="3"/>
      <c r="T2328" s="3"/>
      <c r="U2328" s="3"/>
      <c r="V2328" s="3"/>
      <c r="W2328" s="3"/>
      <c r="X2328" s="3"/>
      <c r="Y2328" s="3"/>
      <c r="Z2328" s="3"/>
      <c r="AA2328" s="3"/>
    </row>
    <row r="2329" ht="105.75" customHeight="1">
      <c r="A2329" s="11"/>
      <c r="B2329" s="12"/>
      <c r="C2329" s="11"/>
      <c r="D2329" s="13"/>
      <c r="E2329" s="14"/>
      <c r="F2329" s="14"/>
      <c r="G2329" s="14"/>
      <c r="H2329" s="15"/>
      <c r="I2329" s="15"/>
      <c r="J2329" s="3"/>
      <c r="K2329" s="3"/>
      <c r="L2329" s="3"/>
      <c r="M2329" s="3"/>
      <c r="N2329" s="3"/>
      <c r="O2329" s="3"/>
      <c r="P2329" s="3"/>
      <c r="Q2329" s="3"/>
      <c r="R2329" s="3"/>
      <c r="S2329" s="3"/>
      <c r="T2329" s="3"/>
      <c r="U2329" s="3"/>
      <c r="V2329" s="3"/>
      <c r="W2329" s="3"/>
      <c r="X2329" s="3"/>
      <c r="Y2329" s="3"/>
      <c r="Z2329" s="3"/>
      <c r="AA2329" s="3"/>
    </row>
    <row r="2330" ht="105.75" customHeight="1">
      <c r="A2330" s="11"/>
      <c r="B2330" s="12"/>
      <c r="C2330" s="11"/>
      <c r="D2330" s="13"/>
      <c r="E2330" s="14"/>
      <c r="F2330" s="14"/>
      <c r="G2330" s="14"/>
      <c r="H2330" s="15"/>
      <c r="I2330" s="15"/>
      <c r="J2330" s="3"/>
      <c r="K2330" s="3"/>
      <c r="L2330" s="3"/>
      <c r="M2330" s="3"/>
      <c r="N2330" s="3"/>
      <c r="O2330" s="3"/>
      <c r="P2330" s="3"/>
      <c r="Q2330" s="3"/>
      <c r="R2330" s="3"/>
      <c r="S2330" s="3"/>
      <c r="T2330" s="3"/>
      <c r="U2330" s="3"/>
      <c r="V2330" s="3"/>
      <c r="W2330" s="3"/>
      <c r="X2330" s="3"/>
      <c r="Y2330" s="3"/>
      <c r="Z2330" s="3"/>
      <c r="AA2330" s="3"/>
    </row>
    <row r="2331" ht="105.75" customHeight="1">
      <c r="A2331" s="11"/>
      <c r="B2331" s="12"/>
      <c r="C2331" s="11"/>
      <c r="D2331" s="13"/>
      <c r="E2331" s="14"/>
      <c r="F2331" s="14"/>
      <c r="G2331" s="14"/>
      <c r="H2331" s="15"/>
      <c r="I2331" s="15"/>
      <c r="J2331" s="3"/>
      <c r="K2331" s="3"/>
      <c r="L2331" s="3"/>
      <c r="M2331" s="3"/>
      <c r="N2331" s="3"/>
      <c r="O2331" s="3"/>
      <c r="P2331" s="3"/>
      <c r="Q2331" s="3"/>
      <c r="R2331" s="3"/>
      <c r="S2331" s="3"/>
      <c r="T2331" s="3"/>
      <c r="U2331" s="3"/>
      <c r="V2331" s="3"/>
      <c r="W2331" s="3"/>
      <c r="X2331" s="3"/>
      <c r="Y2331" s="3"/>
      <c r="Z2331" s="3"/>
      <c r="AA2331" s="3"/>
    </row>
    <row r="2332" ht="105.75" customHeight="1">
      <c r="A2332" s="11"/>
      <c r="B2332" s="12"/>
      <c r="C2332" s="11"/>
      <c r="D2332" s="13"/>
      <c r="E2332" s="14"/>
      <c r="F2332" s="14"/>
      <c r="G2332" s="14"/>
      <c r="H2332" s="15"/>
      <c r="I2332" s="15"/>
      <c r="J2332" s="3"/>
      <c r="K2332" s="3"/>
      <c r="L2332" s="3"/>
      <c r="M2332" s="3"/>
      <c r="N2332" s="3"/>
      <c r="O2332" s="3"/>
      <c r="P2332" s="3"/>
      <c r="Q2332" s="3"/>
      <c r="R2332" s="3"/>
      <c r="S2332" s="3"/>
      <c r="T2332" s="3"/>
      <c r="U2332" s="3"/>
      <c r="V2332" s="3"/>
      <c r="W2332" s="3"/>
      <c r="X2332" s="3"/>
      <c r="Y2332" s="3"/>
      <c r="Z2332" s="3"/>
      <c r="AA2332" s="3"/>
    </row>
    <row r="2333" ht="105.75" customHeight="1">
      <c r="A2333" s="11"/>
      <c r="B2333" s="12"/>
      <c r="C2333" s="11"/>
      <c r="D2333" s="13"/>
      <c r="E2333" s="14"/>
      <c r="F2333" s="14"/>
      <c r="G2333" s="14"/>
      <c r="H2333" s="15"/>
      <c r="I2333" s="15"/>
      <c r="J2333" s="3"/>
      <c r="K2333" s="3"/>
      <c r="L2333" s="3"/>
      <c r="M2333" s="3"/>
      <c r="N2333" s="3"/>
      <c r="O2333" s="3"/>
      <c r="P2333" s="3"/>
      <c r="Q2333" s="3"/>
      <c r="R2333" s="3"/>
      <c r="S2333" s="3"/>
      <c r="T2333" s="3"/>
      <c r="U2333" s="3"/>
      <c r="V2333" s="3"/>
      <c r="W2333" s="3"/>
      <c r="X2333" s="3"/>
      <c r="Y2333" s="3"/>
      <c r="Z2333" s="3"/>
      <c r="AA2333" s="3"/>
    </row>
    <row r="2334" ht="105.75" customHeight="1">
      <c r="A2334" s="11"/>
      <c r="B2334" s="12"/>
      <c r="C2334" s="11"/>
      <c r="D2334" s="13"/>
      <c r="E2334" s="14"/>
      <c r="F2334" s="14"/>
      <c r="G2334" s="14"/>
      <c r="H2334" s="15"/>
      <c r="I2334" s="15"/>
      <c r="J2334" s="3"/>
      <c r="K2334" s="3"/>
      <c r="L2334" s="3"/>
      <c r="M2334" s="3"/>
      <c r="N2334" s="3"/>
      <c r="O2334" s="3"/>
      <c r="P2334" s="3"/>
      <c r="Q2334" s="3"/>
      <c r="R2334" s="3"/>
      <c r="S2334" s="3"/>
      <c r="T2334" s="3"/>
      <c r="U2334" s="3"/>
      <c r="V2334" s="3"/>
      <c r="W2334" s="3"/>
      <c r="X2334" s="3"/>
      <c r="Y2334" s="3"/>
      <c r="Z2334" s="3"/>
      <c r="AA2334" s="3"/>
    </row>
    <row r="2335" ht="105.75" customHeight="1">
      <c r="A2335" s="11"/>
      <c r="B2335" s="12"/>
      <c r="C2335" s="11"/>
      <c r="D2335" s="13"/>
      <c r="E2335" s="14"/>
      <c r="F2335" s="14"/>
      <c r="G2335" s="14"/>
      <c r="H2335" s="15"/>
      <c r="I2335" s="15"/>
      <c r="J2335" s="3"/>
      <c r="K2335" s="3"/>
      <c r="L2335" s="3"/>
      <c r="M2335" s="3"/>
      <c r="N2335" s="3"/>
      <c r="O2335" s="3"/>
      <c r="P2335" s="3"/>
      <c r="Q2335" s="3"/>
      <c r="R2335" s="3"/>
      <c r="S2335" s="3"/>
      <c r="T2335" s="3"/>
      <c r="U2335" s="3"/>
      <c r="V2335" s="3"/>
      <c r="W2335" s="3"/>
      <c r="X2335" s="3"/>
      <c r="Y2335" s="3"/>
      <c r="Z2335" s="3"/>
      <c r="AA2335" s="3"/>
    </row>
    <row r="2336" ht="105.75" customHeight="1">
      <c r="A2336" s="11"/>
      <c r="B2336" s="12"/>
      <c r="C2336" s="11"/>
      <c r="D2336" s="13"/>
      <c r="E2336" s="14"/>
      <c r="F2336" s="14"/>
      <c r="G2336" s="14"/>
      <c r="H2336" s="15"/>
      <c r="I2336" s="15"/>
      <c r="J2336" s="3"/>
      <c r="K2336" s="3"/>
      <c r="L2336" s="3"/>
      <c r="M2336" s="3"/>
      <c r="N2336" s="3"/>
      <c r="O2336" s="3"/>
      <c r="P2336" s="3"/>
      <c r="Q2336" s="3"/>
      <c r="R2336" s="3"/>
      <c r="S2336" s="3"/>
      <c r="T2336" s="3"/>
      <c r="U2336" s="3"/>
      <c r="V2336" s="3"/>
      <c r="W2336" s="3"/>
      <c r="X2336" s="3"/>
      <c r="Y2336" s="3"/>
      <c r="Z2336" s="3"/>
      <c r="AA2336" s="3"/>
    </row>
    <row r="2337" ht="105.75" customHeight="1">
      <c r="A2337" s="11"/>
      <c r="B2337" s="12"/>
      <c r="C2337" s="11"/>
      <c r="D2337" s="13"/>
      <c r="E2337" s="14"/>
      <c r="F2337" s="14"/>
      <c r="G2337" s="14"/>
      <c r="H2337" s="15"/>
      <c r="I2337" s="15"/>
      <c r="J2337" s="3"/>
      <c r="K2337" s="3"/>
      <c r="L2337" s="3"/>
      <c r="M2337" s="3"/>
      <c r="N2337" s="3"/>
      <c r="O2337" s="3"/>
      <c r="P2337" s="3"/>
      <c r="Q2337" s="3"/>
      <c r="R2337" s="3"/>
      <c r="S2337" s="3"/>
      <c r="T2337" s="3"/>
      <c r="U2337" s="3"/>
      <c r="V2337" s="3"/>
      <c r="W2337" s="3"/>
      <c r="X2337" s="3"/>
      <c r="Y2337" s="3"/>
      <c r="Z2337" s="3"/>
      <c r="AA2337" s="3"/>
    </row>
    <row r="2338" ht="105.75" customHeight="1">
      <c r="A2338" s="11"/>
      <c r="B2338" s="12"/>
      <c r="C2338" s="11"/>
      <c r="D2338" s="13"/>
      <c r="E2338" s="14"/>
      <c r="F2338" s="14"/>
      <c r="G2338" s="14"/>
      <c r="H2338" s="15"/>
      <c r="I2338" s="15"/>
      <c r="J2338" s="3"/>
      <c r="K2338" s="3"/>
      <c r="L2338" s="3"/>
      <c r="M2338" s="3"/>
      <c r="N2338" s="3"/>
      <c r="O2338" s="3"/>
      <c r="P2338" s="3"/>
      <c r="Q2338" s="3"/>
      <c r="R2338" s="3"/>
      <c r="S2338" s="3"/>
      <c r="T2338" s="3"/>
      <c r="U2338" s="3"/>
      <c r="V2338" s="3"/>
      <c r="W2338" s="3"/>
      <c r="X2338" s="3"/>
      <c r="Y2338" s="3"/>
      <c r="Z2338" s="3"/>
      <c r="AA2338" s="3"/>
    </row>
    <row r="2339" ht="105.75" customHeight="1">
      <c r="A2339" s="11"/>
      <c r="B2339" s="12"/>
      <c r="C2339" s="11"/>
      <c r="D2339" s="13"/>
      <c r="E2339" s="14"/>
      <c r="F2339" s="14"/>
      <c r="G2339" s="14"/>
      <c r="H2339" s="15"/>
      <c r="I2339" s="15"/>
      <c r="J2339" s="3"/>
      <c r="K2339" s="3"/>
      <c r="L2339" s="3"/>
      <c r="M2339" s="3"/>
      <c r="N2339" s="3"/>
      <c r="O2339" s="3"/>
      <c r="P2339" s="3"/>
      <c r="Q2339" s="3"/>
      <c r="R2339" s="3"/>
      <c r="S2339" s="3"/>
      <c r="T2339" s="3"/>
      <c r="U2339" s="3"/>
      <c r="V2339" s="3"/>
      <c r="W2339" s="3"/>
      <c r="X2339" s="3"/>
      <c r="Y2339" s="3"/>
      <c r="Z2339" s="3"/>
      <c r="AA2339" s="3"/>
    </row>
    <row r="2340" ht="105.75" customHeight="1">
      <c r="A2340" s="11"/>
      <c r="B2340" s="12"/>
      <c r="C2340" s="11"/>
      <c r="D2340" s="13"/>
      <c r="E2340" s="14"/>
      <c r="F2340" s="14"/>
      <c r="G2340" s="14"/>
      <c r="H2340" s="15"/>
      <c r="I2340" s="15"/>
      <c r="J2340" s="3"/>
      <c r="K2340" s="3"/>
      <c r="L2340" s="3"/>
      <c r="M2340" s="3"/>
      <c r="N2340" s="3"/>
      <c r="O2340" s="3"/>
      <c r="P2340" s="3"/>
      <c r="Q2340" s="3"/>
      <c r="R2340" s="3"/>
      <c r="S2340" s="3"/>
      <c r="T2340" s="3"/>
      <c r="U2340" s="3"/>
      <c r="V2340" s="3"/>
      <c r="W2340" s="3"/>
      <c r="X2340" s="3"/>
      <c r="Y2340" s="3"/>
      <c r="Z2340" s="3"/>
      <c r="AA2340" s="3"/>
    </row>
    <row r="2341" ht="105.75" customHeight="1">
      <c r="A2341" s="11"/>
      <c r="B2341" s="12"/>
      <c r="C2341" s="11"/>
      <c r="D2341" s="13"/>
      <c r="E2341" s="14"/>
      <c r="F2341" s="14"/>
      <c r="G2341" s="14"/>
      <c r="H2341" s="15"/>
      <c r="I2341" s="15"/>
      <c r="J2341" s="3"/>
      <c r="K2341" s="3"/>
      <c r="L2341" s="3"/>
      <c r="M2341" s="3"/>
      <c r="N2341" s="3"/>
      <c r="O2341" s="3"/>
      <c r="P2341" s="3"/>
      <c r="Q2341" s="3"/>
      <c r="R2341" s="3"/>
      <c r="S2341" s="3"/>
      <c r="T2341" s="3"/>
      <c r="U2341" s="3"/>
      <c r="V2341" s="3"/>
      <c r="W2341" s="3"/>
      <c r="X2341" s="3"/>
      <c r="Y2341" s="3"/>
      <c r="Z2341" s="3"/>
      <c r="AA2341" s="3"/>
    </row>
    <row r="2342" ht="105.75" customHeight="1">
      <c r="A2342" s="11"/>
      <c r="B2342" s="12"/>
      <c r="C2342" s="11"/>
      <c r="D2342" s="13"/>
      <c r="E2342" s="14"/>
      <c r="F2342" s="14"/>
      <c r="G2342" s="14"/>
      <c r="H2342" s="15"/>
      <c r="I2342" s="15"/>
      <c r="J2342" s="3"/>
      <c r="K2342" s="3"/>
      <c r="L2342" s="3"/>
      <c r="M2342" s="3"/>
      <c r="N2342" s="3"/>
      <c r="O2342" s="3"/>
      <c r="P2342" s="3"/>
      <c r="Q2342" s="3"/>
      <c r="R2342" s="3"/>
      <c r="S2342" s="3"/>
      <c r="T2342" s="3"/>
      <c r="U2342" s="3"/>
      <c r="V2342" s="3"/>
      <c r="W2342" s="3"/>
      <c r="X2342" s="3"/>
      <c r="Y2342" s="3"/>
      <c r="Z2342" s="3"/>
      <c r="AA2342" s="3"/>
    </row>
    <row r="2343" ht="105.75" customHeight="1">
      <c r="A2343" s="11"/>
      <c r="B2343" s="12"/>
      <c r="C2343" s="11"/>
      <c r="D2343" s="13"/>
      <c r="E2343" s="16"/>
      <c r="F2343" s="16"/>
      <c r="G2343" s="16"/>
      <c r="H2343" s="15"/>
      <c r="I2343" s="15"/>
      <c r="J2343" s="3"/>
      <c r="K2343" s="3"/>
      <c r="L2343" s="3"/>
      <c r="M2343" s="3"/>
      <c r="N2343" s="3"/>
      <c r="O2343" s="3"/>
      <c r="P2343" s="3"/>
      <c r="Q2343" s="3"/>
      <c r="R2343" s="3"/>
      <c r="S2343" s="3"/>
      <c r="T2343" s="3"/>
      <c r="U2343" s="3"/>
      <c r="V2343" s="3"/>
      <c r="W2343" s="3"/>
      <c r="X2343" s="3"/>
      <c r="Y2343" s="3"/>
      <c r="Z2343" s="3"/>
      <c r="AA2343" s="3"/>
    </row>
    <row r="2344" ht="105.75" customHeight="1">
      <c r="A2344" s="11"/>
      <c r="B2344" s="12"/>
      <c r="C2344" s="11"/>
      <c r="D2344" s="13"/>
      <c r="E2344" s="16"/>
      <c r="F2344" s="16"/>
      <c r="G2344" s="16"/>
      <c r="H2344" s="15"/>
      <c r="I2344" s="15"/>
      <c r="J2344" s="3"/>
      <c r="K2344" s="3"/>
      <c r="L2344" s="3"/>
      <c r="M2344" s="3"/>
      <c r="N2344" s="3"/>
      <c r="O2344" s="3"/>
      <c r="P2344" s="3"/>
      <c r="Q2344" s="3"/>
      <c r="R2344" s="3"/>
      <c r="S2344" s="3"/>
      <c r="T2344" s="3"/>
      <c r="U2344" s="3"/>
      <c r="V2344" s="3"/>
      <c r="W2344" s="3"/>
      <c r="X2344" s="3"/>
      <c r="Y2344" s="3"/>
      <c r="Z2344" s="3"/>
      <c r="AA2344" s="3"/>
    </row>
    <row r="2345" ht="105.75" customHeight="1">
      <c r="A2345" s="11"/>
      <c r="B2345" s="12"/>
      <c r="C2345" s="11"/>
      <c r="D2345" s="13"/>
      <c r="E2345" s="14"/>
      <c r="F2345" s="14"/>
      <c r="G2345" s="14"/>
      <c r="H2345" s="15"/>
      <c r="I2345" s="15"/>
      <c r="J2345" s="3"/>
      <c r="K2345" s="3"/>
      <c r="L2345" s="3"/>
      <c r="M2345" s="3"/>
      <c r="N2345" s="3"/>
      <c r="O2345" s="3"/>
      <c r="P2345" s="3"/>
      <c r="Q2345" s="3"/>
      <c r="R2345" s="3"/>
      <c r="S2345" s="3"/>
      <c r="T2345" s="3"/>
      <c r="U2345" s="3"/>
      <c r="V2345" s="3"/>
      <c r="W2345" s="3"/>
      <c r="X2345" s="3"/>
      <c r="Y2345" s="3"/>
      <c r="Z2345" s="3"/>
      <c r="AA2345" s="3"/>
    </row>
    <row r="2346" ht="105.75" customHeight="1">
      <c r="A2346" s="11"/>
      <c r="B2346" s="12"/>
      <c r="C2346" s="11"/>
      <c r="D2346" s="13"/>
      <c r="E2346" s="14"/>
      <c r="F2346" s="14"/>
      <c r="G2346" s="14"/>
      <c r="H2346" s="15"/>
      <c r="I2346" s="15"/>
      <c r="J2346" s="3"/>
      <c r="K2346" s="3"/>
      <c r="L2346" s="3"/>
      <c r="M2346" s="3"/>
      <c r="N2346" s="3"/>
      <c r="O2346" s="3"/>
      <c r="P2346" s="3"/>
      <c r="Q2346" s="3"/>
      <c r="R2346" s="3"/>
      <c r="S2346" s="3"/>
      <c r="T2346" s="3"/>
      <c r="U2346" s="3"/>
      <c r="V2346" s="3"/>
      <c r="W2346" s="3"/>
      <c r="X2346" s="3"/>
      <c r="Y2346" s="3"/>
      <c r="Z2346" s="3"/>
      <c r="AA2346" s="3"/>
    </row>
    <row r="2347" ht="105.75" customHeight="1">
      <c r="A2347" s="11"/>
      <c r="B2347" s="12"/>
      <c r="C2347" s="11"/>
      <c r="D2347" s="13"/>
      <c r="E2347" s="14"/>
      <c r="F2347" s="14"/>
      <c r="G2347" s="14"/>
      <c r="H2347" s="15"/>
      <c r="I2347" s="15"/>
      <c r="J2347" s="3"/>
      <c r="K2347" s="3"/>
      <c r="L2347" s="3"/>
      <c r="M2347" s="3"/>
      <c r="N2347" s="3"/>
      <c r="O2347" s="3"/>
      <c r="P2347" s="3"/>
      <c r="Q2347" s="3"/>
      <c r="R2347" s="3"/>
      <c r="S2347" s="3"/>
      <c r="T2347" s="3"/>
      <c r="U2347" s="3"/>
      <c r="V2347" s="3"/>
      <c r="W2347" s="3"/>
      <c r="X2347" s="3"/>
      <c r="Y2347" s="3"/>
      <c r="Z2347" s="3"/>
      <c r="AA2347" s="3"/>
    </row>
    <row r="2348" ht="105.75" customHeight="1">
      <c r="A2348" s="11"/>
      <c r="B2348" s="12"/>
      <c r="C2348" s="11"/>
      <c r="D2348" s="13"/>
      <c r="E2348" s="14"/>
      <c r="F2348" s="14"/>
      <c r="G2348" s="14"/>
      <c r="H2348" s="15"/>
      <c r="I2348" s="15"/>
      <c r="J2348" s="3"/>
      <c r="K2348" s="3"/>
      <c r="L2348" s="3"/>
      <c r="M2348" s="3"/>
      <c r="N2348" s="3"/>
      <c r="O2348" s="3"/>
      <c r="P2348" s="3"/>
      <c r="Q2348" s="3"/>
      <c r="R2348" s="3"/>
      <c r="S2348" s="3"/>
      <c r="T2348" s="3"/>
      <c r="U2348" s="3"/>
      <c r="V2348" s="3"/>
      <c r="W2348" s="3"/>
      <c r="X2348" s="3"/>
      <c r="Y2348" s="3"/>
      <c r="Z2348" s="3"/>
      <c r="AA2348" s="3"/>
    </row>
    <row r="2349" ht="105.75" customHeight="1">
      <c r="A2349" s="11"/>
      <c r="B2349" s="12"/>
      <c r="C2349" s="11"/>
      <c r="D2349" s="13"/>
      <c r="E2349" s="16"/>
      <c r="F2349" s="16"/>
      <c r="G2349" s="16"/>
      <c r="H2349" s="15"/>
      <c r="I2349" s="15"/>
      <c r="J2349" s="3"/>
      <c r="K2349" s="3"/>
      <c r="L2349" s="3"/>
      <c r="M2349" s="3"/>
      <c r="N2349" s="3"/>
      <c r="O2349" s="3"/>
      <c r="P2349" s="3"/>
      <c r="Q2349" s="3"/>
      <c r="R2349" s="3"/>
      <c r="S2349" s="3"/>
      <c r="T2349" s="3"/>
      <c r="U2349" s="3"/>
      <c r="V2349" s="3"/>
      <c r="W2349" s="3"/>
      <c r="X2349" s="3"/>
      <c r="Y2349" s="3"/>
      <c r="Z2349" s="3"/>
      <c r="AA2349" s="3"/>
    </row>
    <row r="2350" ht="105.75" customHeight="1">
      <c r="A2350" s="11"/>
      <c r="B2350" s="12"/>
      <c r="C2350" s="11"/>
      <c r="D2350" s="13"/>
      <c r="E2350" s="14"/>
      <c r="F2350" s="14"/>
      <c r="G2350" s="14"/>
      <c r="H2350" s="15"/>
      <c r="I2350" s="15"/>
      <c r="J2350" s="3"/>
      <c r="K2350" s="3"/>
      <c r="L2350" s="3"/>
      <c r="M2350" s="3"/>
      <c r="N2350" s="3"/>
      <c r="O2350" s="3"/>
      <c r="P2350" s="3"/>
      <c r="Q2350" s="3"/>
      <c r="R2350" s="3"/>
      <c r="S2350" s="3"/>
      <c r="T2350" s="3"/>
      <c r="U2350" s="3"/>
      <c r="V2350" s="3"/>
      <c r="W2350" s="3"/>
      <c r="X2350" s="3"/>
      <c r="Y2350" s="3"/>
      <c r="Z2350" s="3"/>
      <c r="AA2350" s="3"/>
    </row>
    <row r="2351" ht="105.75" customHeight="1">
      <c r="A2351" s="11"/>
      <c r="B2351" s="12"/>
      <c r="C2351" s="11"/>
      <c r="D2351" s="13"/>
      <c r="E2351" s="14"/>
      <c r="F2351" s="14"/>
      <c r="G2351" s="14"/>
      <c r="H2351" s="15"/>
      <c r="I2351" s="15"/>
      <c r="J2351" s="3"/>
      <c r="K2351" s="3"/>
      <c r="L2351" s="3"/>
      <c r="M2351" s="3"/>
      <c r="N2351" s="3"/>
      <c r="O2351" s="3"/>
      <c r="P2351" s="3"/>
      <c r="Q2351" s="3"/>
      <c r="R2351" s="3"/>
      <c r="S2351" s="3"/>
      <c r="T2351" s="3"/>
      <c r="U2351" s="3"/>
      <c r="V2351" s="3"/>
      <c r="W2351" s="3"/>
      <c r="X2351" s="3"/>
      <c r="Y2351" s="3"/>
      <c r="Z2351" s="3"/>
      <c r="AA2351" s="3"/>
    </row>
    <row r="2352" ht="105.75" customHeight="1">
      <c r="A2352" s="11"/>
      <c r="B2352" s="12"/>
      <c r="C2352" s="11"/>
      <c r="D2352" s="13"/>
      <c r="E2352" s="14"/>
      <c r="F2352" s="14"/>
      <c r="G2352" s="14"/>
      <c r="H2352" s="15"/>
      <c r="I2352" s="15"/>
      <c r="J2352" s="3"/>
      <c r="K2352" s="3"/>
      <c r="L2352" s="3"/>
      <c r="M2352" s="3"/>
      <c r="N2352" s="3"/>
      <c r="O2352" s="3"/>
      <c r="P2352" s="3"/>
      <c r="Q2352" s="3"/>
      <c r="R2352" s="3"/>
      <c r="S2352" s="3"/>
      <c r="T2352" s="3"/>
      <c r="U2352" s="3"/>
      <c r="V2352" s="3"/>
      <c r="W2352" s="3"/>
      <c r="X2352" s="3"/>
      <c r="Y2352" s="3"/>
      <c r="Z2352" s="3"/>
      <c r="AA2352" s="3"/>
    </row>
    <row r="2353" ht="105.75" customHeight="1">
      <c r="A2353" s="11"/>
      <c r="B2353" s="12"/>
      <c r="C2353" s="11"/>
      <c r="D2353" s="13"/>
      <c r="E2353" s="16"/>
      <c r="F2353" s="16"/>
      <c r="G2353" s="16"/>
      <c r="H2353" s="15"/>
      <c r="I2353" s="15"/>
      <c r="J2353" s="3"/>
      <c r="K2353" s="3"/>
      <c r="L2353" s="3"/>
      <c r="M2353" s="3"/>
      <c r="N2353" s="3"/>
      <c r="O2353" s="3"/>
      <c r="P2353" s="3"/>
      <c r="Q2353" s="3"/>
      <c r="R2353" s="3"/>
      <c r="S2353" s="3"/>
      <c r="T2353" s="3"/>
      <c r="U2353" s="3"/>
      <c r="V2353" s="3"/>
      <c r="W2353" s="3"/>
      <c r="X2353" s="3"/>
      <c r="Y2353" s="3"/>
      <c r="Z2353" s="3"/>
      <c r="AA2353" s="3"/>
    </row>
    <row r="2354" ht="105.75" customHeight="1">
      <c r="A2354" s="11"/>
      <c r="B2354" s="12"/>
      <c r="C2354" s="11"/>
      <c r="D2354" s="13"/>
      <c r="E2354" s="14"/>
      <c r="F2354" s="14"/>
      <c r="G2354" s="14"/>
      <c r="H2354" s="15"/>
      <c r="I2354" s="15"/>
      <c r="J2354" s="3"/>
      <c r="K2354" s="3"/>
      <c r="L2354" s="3"/>
      <c r="M2354" s="3"/>
      <c r="N2354" s="3"/>
      <c r="O2354" s="3"/>
      <c r="P2354" s="3"/>
      <c r="Q2354" s="3"/>
      <c r="R2354" s="3"/>
      <c r="S2354" s="3"/>
      <c r="T2354" s="3"/>
      <c r="U2354" s="3"/>
      <c r="V2354" s="3"/>
      <c r="W2354" s="3"/>
      <c r="X2354" s="3"/>
      <c r="Y2354" s="3"/>
      <c r="Z2354" s="3"/>
      <c r="AA2354" s="3"/>
    </row>
    <row r="2355" ht="105.75" customHeight="1">
      <c r="A2355" s="11"/>
      <c r="B2355" s="12"/>
      <c r="C2355" s="11"/>
      <c r="D2355" s="13"/>
      <c r="E2355" s="14"/>
      <c r="F2355" s="14"/>
      <c r="G2355" s="14"/>
      <c r="H2355" s="15"/>
      <c r="I2355" s="15"/>
      <c r="J2355" s="3"/>
      <c r="K2355" s="3"/>
      <c r="L2355" s="3"/>
      <c r="M2355" s="3"/>
      <c r="N2355" s="3"/>
      <c r="O2355" s="3"/>
      <c r="P2355" s="3"/>
      <c r="Q2355" s="3"/>
      <c r="R2355" s="3"/>
      <c r="S2355" s="3"/>
      <c r="T2355" s="3"/>
      <c r="U2355" s="3"/>
      <c r="V2355" s="3"/>
      <c r="W2355" s="3"/>
      <c r="X2355" s="3"/>
      <c r="Y2355" s="3"/>
      <c r="Z2355" s="3"/>
      <c r="AA2355" s="3"/>
    </row>
    <row r="2356" ht="105.75" customHeight="1">
      <c r="A2356" s="11"/>
      <c r="B2356" s="12"/>
      <c r="C2356" s="11"/>
      <c r="D2356" s="13"/>
      <c r="E2356" s="14"/>
      <c r="F2356" s="14"/>
      <c r="G2356" s="14"/>
      <c r="H2356" s="15"/>
      <c r="I2356" s="15"/>
      <c r="J2356" s="3"/>
      <c r="K2356" s="3"/>
      <c r="L2356" s="3"/>
      <c r="M2356" s="3"/>
      <c r="N2356" s="3"/>
      <c r="O2356" s="3"/>
      <c r="P2356" s="3"/>
      <c r="Q2356" s="3"/>
      <c r="R2356" s="3"/>
      <c r="S2356" s="3"/>
      <c r="T2356" s="3"/>
      <c r="U2356" s="3"/>
      <c r="V2356" s="3"/>
      <c r="W2356" s="3"/>
      <c r="X2356" s="3"/>
      <c r="Y2356" s="3"/>
      <c r="Z2356" s="3"/>
      <c r="AA2356" s="3"/>
    </row>
    <row r="2357" ht="105.75" customHeight="1">
      <c r="A2357" s="11"/>
      <c r="B2357" s="12"/>
      <c r="C2357" s="11"/>
      <c r="D2357" s="13"/>
      <c r="E2357" s="16"/>
      <c r="F2357" s="16"/>
      <c r="G2357" s="16"/>
      <c r="H2357" s="15"/>
      <c r="I2357" s="15"/>
      <c r="J2357" s="3"/>
      <c r="K2357" s="3"/>
      <c r="L2357" s="3"/>
      <c r="M2357" s="3"/>
      <c r="N2357" s="3"/>
      <c r="O2357" s="3"/>
      <c r="P2357" s="3"/>
      <c r="Q2357" s="3"/>
      <c r="R2357" s="3"/>
      <c r="S2357" s="3"/>
      <c r="T2357" s="3"/>
      <c r="U2357" s="3"/>
      <c r="V2357" s="3"/>
      <c r="W2357" s="3"/>
      <c r="X2357" s="3"/>
      <c r="Y2357" s="3"/>
      <c r="Z2357" s="3"/>
      <c r="AA2357" s="3"/>
    </row>
    <row r="2358" ht="105.75" customHeight="1">
      <c r="A2358" s="11"/>
      <c r="B2358" s="12"/>
      <c r="C2358" s="11"/>
      <c r="D2358" s="13"/>
      <c r="E2358" s="14"/>
      <c r="F2358" s="14"/>
      <c r="G2358" s="14"/>
      <c r="H2358" s="15"/>
      <c r="I2358" s="15"/>
      <c r="J2358" s="3"/>
      <c r="K2358" s="3"/>
      <c r="L2358" s="3"/>
      <c r="M2358" s="3"/>
      <c r="N2358" s="3"/>
      <c r="O2358" s="3"/>
      <c r="P2358" s="3"/>
      <c r="Q2358" s="3"/>
      <c r="R2358" s="3"/>
      <c r="S2358" s="3"/>
      <c r="T2358" s="3"/>
      <c r="U2358" s="3"/>
      <c r="V2358" s="3"/>
      <c r="W2358" s="3"/>
      <c r="X2358" s="3"/>
      <c r="Y2358" s="3"/>
      <c r="Z2358" s="3"/>
      <c r="AA2358" s="3"/>
    </row>
    <row r="2359" ht="105.75" customHeight="1">
      <c r="A2359" s="11"/>
      <c r="B2359" s="12"/>
      <c r="C2359" s="11"/>
      <c r="D2359" s="13"/>
      <c r="E2359" s="16"/>
      <c r="F2359" s="16"/>
      <c r="G2359" s="16"/>
      <c r="H2359" s="15"/>
      <c r="I2359" s="15"/>
      <c r="J2359" s="3"/>
      <c r="K2359" s="3"/>
      <c r="L2359" s="3"/>
      <c r="M2359" s="3"/>
      <c r="N2359" s="3"/>
      <c r="O2359" s="3"/>
      <c r="P2359" s="3"/>
      <c r="Q2359" s="3"/>
      <c r="R2359" s="3"/>
      <c r="S2359" s="3"/>
      <c r="T2359" s="3"/>
      <c r="U2359" s="3"/>
      <c r="V2359" s="3"/>
      <c r="W2359" s="3"/>
      <c r="X2359" s="3"/>
      <c r="Y2359" s="3"/>
      <c r="Z2359" s="3"/>
      <c r="AA2359" s="3"/>
    </row>
    <row r="2360" ht="105.75" customHeight="1">
      <c r="A2360" s="11"/>
      <c r="B2360" s="12"/>
      <c r="C2360" s="11"/>
      <c r="D2360" s="13"/>
      <c r="E2360" s="14"/>
      <c r="F2360" s="14"/>
      <c r="G2360" s="14"/>
      <c r="H2360" s="15"/>
      <c r="I2360" s="15"/>
      <c r="J2360" s="3"/>
      <c r="K2360" s="3"/>
      <c r="L2360" s="3"/>
      <c r="M2360" s="3"/>
      <c r="N2360" s="3"/>
      <c r="O2360" s="3"/>
      <c r="P2360" s="3"/>
      <c r="Q2360" s="3"/>
      <c r="R2360" s="3"/>
      <c r="S2360" s="3"/>
      <c r="T2360" s="3"/>
      <c r="U2360" s="3"/>
      <c r="V2360" s="3"/>
      <c r="W2360" s="3"/>
      <c r="X2360" s="3"/>
      <c r="Y2360" s="3"/>
      <c r="Z2360" s="3"/>
      <c r="AA2360" s="3"/>
    </row>
    <row r="2361" ht="105.75" customHeight="1">
      <c r="A2361" s="11"/>
      <c r="B2361" s="12"/>
      <c r="C2361" s="11"/>
      <c r="D2361" s="13"/>
      <c r="E2361" s="14"/>
      <c r="F2361" s="14"/>
      <c r="G2361" s="14"/>
      <c r="H2361" s="15"/>
      <c r="I2361" s="15"/>
      <c r="J2361" s="3"/>
      <c r="K2361" s="3"/>
      <c r="L2361" s="3"/>
      <c r="M2361" s="3"/>
      <c r="N2361" s="3"/>
      <c r="O2361" s="3"/>
      <c r="P2361" s="3"/>
      <c r="Q2361" s="3"/>
      <c r="R2361" s="3"/>
      <c r="S2361" s="3"/>
      <c r="T2361" s="3"/>
      <c r="U2361" s="3"/>
      <c r="V2361" s="3"/>
      <c r="W2361" s="3"/>
      <c r="X2361" s="3"/>
      <c r="Y2361" s="3"/>
      <c r="Z2361" s="3"/>
      <c r="AA2361" s="3"/>
    </row>
    <row r="2362" ht="105.75" customHeight="1">
      <c r="A2362" s="11"/>
      <c r="B2362" s="12"/>
      <c r="C2362" s="11"/>
      <c r="D2362" s="13"/>
      <c r="E2362" s="14"/>
      <c r="F2362" s="14"/>
      <c r="G2362" s="14"/>
      <c r="H2362" s="15"/>
      <c r="I2362" s="15"/>
      <c r="J2362" s="3"/>
      <c r="K2362" s="3"/>
      <c r="L2362" s="3"/>
      <c r="M2362" s="3"/>
      <c r="N2362" s="3"/>
      <c r="O2362" s="3"/>
      <c r="P2362" s="3"/>
      <c r="Q2362" s="3"/>
      <c r="R2362" s="3"/>
      <c r="S2362" s="3"/>
      <c r="T2362" s="3"/>
      <c r="U2362" s="3"/>
      <c r="V2362" s="3"/>
      <c r="W2362" s="3"/>
      <c r="X2362" s="3"/>
      <c r="Y2362" s="3"/>
      <c r="Z2362" s="3"/>
      <c r="AA2362" s="3"/>
    </row>
    <row r="2363" ht="105.75" customHeight="1">
      <c r="A2363" s="11"/>
      <c r="B2363" s="12"/>
      <c r="C2363" s="11"/>
      <c r="D2363" s="13"/>
      <c r="E2363" s="14"/>
      <c r="F2363" s="14"/>
      <c r="G2363" s="14"/>
      <c r="H2363" s="15"/>
      <c r="I2363" s="15"/>
      <c r="J2363" s="3"/>
      <c r="K2363" s="3"/>
      <c r="L2363" s="3"/>
      <c r="M2363" s="3"/>
      <c r="N2363" s="3"/>
      <c r="O2363" s="3"/>
      <c r="P2363" s="3"/>
      <c r="Q2363" s="3"/>
      <c r="R2363" s="3"/>
      <c r="S2363" s="3"/>
      <c r="T2363" s="3"/>
      <c r="U2363" s="3"/>
      <c r="V2363" s="3"/>
      <c r="W2363" s="3"/>
      <c r="X2363" s="3"/>
      <c r="Y2363" s="3"/>
      <c r="Z2363" s="3"/>
      <c r="AA2363" s="3"/>
    </row>
    <row r="2364" ht="105.75" customHeight="1">
      <c r="A2364" s="11"/>
      <c r="B2364" s="12"/>
      <c r="C2364" s="11"/>
      <c r="D2364" s="13"/>
      <c r="E2364" s="14"/>
      <c r="F2364" s="14"/>
      <c r="G2364" s="14"/>
      <c r="H2364" s="15"/>
      <c r="I2364" s="15"/>
      <c r="J2364" s="3"/>
      <c r="K2364" s="3"/>
      <c r="L2364" s="3"/>
      <c r="M2364" s="3"/>
      <c r="N2364" s="3"/>
      <c r="O2364" s="3"/>
      <c r="P2364" s="3"/>
      <c r="Q2364" s="3"/>
      <c r="R2364" s="3"/>
      <c r="S2364" s="3"/>
      <c r="T2364" s="3"/>
      <c r="U2364" s="3"/>
      <c r="V2364" s="3"/>
      <c r="W2364" s="3"/>
      <c r="X2364" s="3"/>
      <c r="Y2364" s="3"/>
      <c r="Z2364" s="3"/>
      <c r="AA2364" s="3"/>
    </row>
    <row r="2365" ht="105.75" customHeight="1">
      <c r="A2365" s="11"/>
      <c r="B2365" s="12"/>
      <c r="C2365" s="11"/>
      <c r="D2365" s="13"/>
      <c r="E2365" s="16"/>
      <c r="F2365" s="16"/>
      <c r="G2365" s="16"/>
      <c r="H2365" s="15"/>
      <c r="I2365" s="15"/>
      <c r="J2365" s="3"/>
      <c r="K2365" s="3"/>
      <c r="L2365" s="3"/>
      <c r="M2365" s="3"/>
      <c r="N2365" s="3"/>
      <c r="O2365" s="3"/>
      <c r="P2365" s="3"/>
      <c r="Q2365" s="3"/>
      <c r="R2365" s="3"/>
      <c r="S2365" s="3"/>
      <c r="T2365" s="3"/>
      <c r="U2365" s="3"/>
      <c r="V2365" s="3"/>
      <c r="W2365" s="3"/>
      <c r="X2365" s="3"/>
      <c r="Y2365" s="3"/>
      <c r="Z2365" s="3"/>
      <c r="AA2365" s="3"/>
    </row>
    <row r="2366" ht="105.75" customHeight="1">
      <c r="A2366" s="11"/>
      <c r="B2366" s="12"/>
      <c r="C2366" s="11"/>
      <c r="D2366" s="13"/>
      <c r="E2366" s="14"/>
      <c r="F2366" s="14"/>
      <c r="G2366" s="14"/>
      <c r="H2366" s="15"/>
      <c r="I2366" s="15"/>
      <c r="J2366" s="3"/>
      <c r="K2366" s="3"/>
      <c r="L2366" s="3"/>
      <c r="M2366" s="3"/>
      <c r="N2366" s="3"/>
      <c r="O2366" s="3"/>
      <c r="P2366" s="3"/>
      <c r="Q2366" s="3"/>
      <c r="R2366" s="3"/>
      <c r="S2366" s="3"/>
      <c r="T2366" s="3"/>
      <c r="U2366" s="3"/>
      <c r="V2366" s="3"/>
      <c r="W2366" s="3"/>
      <c r="X2366" s="3"/>
      <c r="Y2366" s="3"/>
      <c r="Z2366" s="3"/>
      <c r="AA2366" s="3"/>
    </row>
    <row r="2367" ht="105.75" customHeight="1">
      <c r="A2367" s="11"/>
      <c r="B2367" s="12"/>
      <c r="C2367" s="11"/>
      <c r="D2367" s="13"/>
      <c r="E2367" s="14"/>
      <c r="F2367" s="14"/>
      <c r="G2367" s="14"/>
      <c r="H2367" s="15"/>
      <c r="I2367" s="15"/>
      <c r="J2367" s="3"/>
      <c r="K2367" s="3"/>
      <c r="L2367" s="3"/>
      <c r="M2367" s="3"/>
      <c r="N2367" s="3"/>
      <c r="O2367" s="3"/>
      <c r="P2367" s="3"/>
      <c r="Q2367" s="3"/>
      <c r="R2367" s="3"/>
      <c r="S2367" s="3"/>
      <c r="T2367" s="3"/>
      <c r="U2367" s="3"/>
      <c r="V2367" s="3"/>
      <c r="W2367" s="3"/>
      <c r="X2367" s="3"/>
      <c r="Y2367" s="3"/>
      <c r="Z2367" s="3"/>
      <c r="AA2367" s="3"/>
    </row>
    <row r="2368" ht="105.75" customHeight="1">
      <c r="A2368" s="11"/>
      <c r="B2368" s="12"/>
      <c r="C2368" s="11"/>
      <c r="D2368" s="13"/>
      <c r="E2368" s="14"/>
      <c r="F2368" s="14"/>
      <c r="G2368" s="14"/>
      <c r="H2368" s="15"/>
      <c r="I2368" s="15"/>
      <c r="J2368" s="3"/>
      <c r="K2368" s="3"/>
      <c r="L2368" s="3"/>
      <c r="M2368" s="3"/>
      <c r="N2368" s="3"/>
      <c r="O2368" s="3"/>
      <c r="P2368" s="3"/>
      <c r="Q2368" s="3"/>
      <c r="R2368" s="3"/>
      <c r="S2368" s="3"/>
      <c r="T2368" s="3"/>
      <c r="U2368" s="3"/>
      <c r="V2368" s="3"/>
      <c r="W2368" s="3"/>
      <c r="X2368" s="3"/>
      <c r="Y2368" s="3"/>
      <c r="Z2368" s="3"/>
      <c r="AA2368" s="3"/>
    </row>
    <row r="2369" ht="105.75" customHeight="1">
      <c r="A2369" s="11"/>
      <c r="B2369" s="12"/>
      <c r="C2369" s="11"/>
      <c r="D2369" s="13"/>
      <c r="E2369" s="14"/>
      <c r="F2369" s="14"/>
      <c r="G2369" s="14"/>
      <c r="H2369" s="15"/>
      <c r="I2369" s="15"/>
      <c r="J2369" s="3"/>
      <c r="K2369" s="3"/>
      <c r="L2369" s="3"/>
      <c r="M2369" s="3"/>
      <c r="N2369" s="3"/>
      <c r="O2369" s="3"/>
      <c r="P2369" s="3"/>
      <c r="Q2369" s="3"/>
      <c r="R2369" s="3"/>
      <c r="S2369" s="3"/>
      <c r="T2369" s="3"/>
      <c r="U2369" s="3"/>
      <c r="V2369" s="3"/>
      <c r="W2369" s="3"/>
      <c r="X2369" s="3"/>
      <c r="Y2369" s="3"/>
      <c r="Z2369" s="3"/>
      <c r="AA2369" s="3"/>
    </row>
    <row r="2370" ht="105.75" customHeight="1">
      <c r="A2370" s="11"/>
      <c r="B2370" s="12"/>
      <c r="C2370" s="11"/>
      <c r="D2370" s="13"/>
      <c r="E2370" s="14"/>
      <c r="F2370" s="14"/>
      <c r="G2370" s="14"/>
      <c r="H2370" s="15"/>
      <c r="I2370" s="15"/>
      <c r="J2370" s="3"/>
      <c r="K2370" s="3"/>
      <c r="L2370" s="3"/>
      <c r="M2370" s="3"/>
      <c r="N2370" s="3"/>
      <c r="O2370" s="3"/>
      <c r="P2370" s="3"/>
      <c r="Q2370" s="3"/>
      <c r="R2370" s="3"/>
      <c r="S2370" s="3"/>
      <c r="T2370" s="3"/>
      <c r="U2370" s="3"/>
      <c r="V2370" s="3"/>
      <c r="W2370" s="3"/>
      <c r="X2370" s="3"/>
      <c r="Y2370" s="3"/>
      <c r="Z2370" s="3"/>
      <c r="AA2370" s="3"/>
    </row>
    <row r="2371" ht="105.75" customHeight="1">
      <c r="A2371" s="11"/>
      <c r="B2371" s="12"/>
      <c r="C2371" s="11"/>
      <c r="D2371" s="13"/>
      <c r="E2371" s="14"/>
      <c r="F2371" s="14"/>
      <c r="G2371" s="14"/>
      <c r="H2371" s="15"/>
      <c r="I2371" s="15"/>
      <c r="J2371" s="3"/>
      <c r="K2371" s="3"/>
      <c r="L2371" s="3"/>
      <c r="M2371" s="3"/>
      <c r="N2371" s="3"/>
      <c r="O2371" s="3"/>
      <c r="P2371" s="3"/>
      <c r="Q2371" s="3"/>
      <c r="R2371" s="3"/>
      <c r="S2371" s="3"/>
      <c r="T2371" s="3"/>
      <c r="U2371" s="3"/>
      <c r="V2371" s="3"/>
      <c r="W2371" s="3"/>
      <c r="X2371" s="3"/>
      <c r="Y2371" s="3"/>
      <c r="Z2371" s="3"/>
      <c r="AA2371" s="3"/>
    </row>
    <row r="2372" ht="105.75" customHeight="1">
      <c r="A2372" s="11"/>
      <c r="B2372" s="12"/>
      <c r="C2372" s="11"/>
      <c r="D2372" s="13"/>
      <c r="E2372" s="14"/>
      <c r="F2372" s="14"/>
      <c r="G2372" s="14"/>
      <c r="H2372" s="15"/>
      <c r="I2372" s="15"/>
      <c r="J2372" s="3"/>
      <c r="K2372" s="3"/>
      <c r="L2372" s="3"/>
      <c r="M2372" s="3"/>
      <c r="N2372" s="3"/>
      <c r="O2372" s="3"/>
      <c r="P2372" s="3"/>
      <c r="Q2372" s="3"/>
      <c r="R2372" s="3"/>
      <c r="S2372" s="3"/>
      <c r="T2372" s="3"/>
      <c r="U2372" s="3"/>
      <c r="V2372" s="3"/>
      <c r="W2372" s="3"/>
      <c r="X2372" s="3"/>
      <c r="Y2372" s="3"/>
      <c r="Z2372" s="3"/>
      <c r="AA2372" s="3"/>
    </row>
    <row r="2373" ht="105.75" customHeight="1">
      <c r="A2373" s="11"/>
      <c r="B2373" s="12"/>
      <c r="C2373" s="11"/>
      <c r="D2373" s="13"/>
      <c r="E2373" s="14"/>
      <c r="F2373" s="14"/>
      <c r="G2373" s="14"/>
      <c r="H2373" s="15"/>
      <c r="I2373" s="15"/>
      <c r="J2373" s="3"/>
      <c r="K2373" s="3"/>
      <c r="L2373" s="3"/>
      <c r="M2373" s="3"/>
      <c r="N2373" s="3"/>
      <c r="O2373" s="3"/>
      <c r="P2373" s="3"/>
      <c r="Q2373" s="3"/>
      <c r="R2373" s="3"/>
      <c r="S2373" s="3"/>
      <c r="T2373" s="3"/>
      <c r="U2373" s="3"/>
      <c r="V2373" s="3"/>
      <c r="W2373" s="3"/>
      <c r="X2373" s="3"/>
      <c r="Y2373" s="3"/>
      <c r="Z2373" s="3"/>
      <c r="AA2373" s="3"/>
    </row>
    <row r="2374" ht="105.75" customHeight="1">
      <c r="A2374" s="11"/>
      <c r="B2374" s="12"/>
      <c r="C2374" s="11"/>
      <c r="D2374" s="13"/>
      <c r="E2374" s="14"/>
      <c r="F2374" s="14"/>
      <c r="G2374" s="14"/>
      <c r="H2374" s="15"/>
      <c r="I2374" s="15"/>
      <c r="J2374" s="3"/>
      <c r="K2374" s="3"/>
      <c r="L2374" s="3"/>
      <c r="M2374" s="3"/>
      <c r="N2374" s="3"/>
      <c r="O2374" s="3"/>
      <c r="P2374" s="3"/>
      <c r="Q2374" s="3"/>
      <c r="R2374" s="3"/>
      <c r="S2374" s="3"/>
      <c r="T2374" s="3"/>
      <c r="U2374" s="3"/>
      <c r="V2374" s="3"/>
      <c r="W2374" s="3"/>
      <c r="X2374" s="3"/>
      <c r="Y2374" s="3"/>
      <c r="Z2374" s="3"/>
      <c r="AA2374" s="3"/>
    </row>
    <row r="2375" ht="105.75" customHeight="1">
      <c r="A2375" s="11"/>
      <c r="B2375" s="12"/>
      <c r="C2375" s="11"/>
      <c r="D2375" s="13"/>
      <c r="E2375" s="14"/>
      <c r="F2375" s="14"/>
      <c r="G2375" s="14"/>
      <c r="H2375" s="15"/>
      <c r="I2375" s="15"/>
      <c r="J2375" s="3"/>
      <c r="K2375" s="3"/>
      <c r="L2375" s="3"/>
      <c r="M2375" s="3"/>
      <c r="N2375" s="3"/>
      <c r="O2375" s="3"/>
      <c r="P2375" s="3"/>
      <c r="Q2375" s="3"/>
      <c r="R2375" s="3"/>
      <c r="S2375" s="3"/>
      <c r="T2375" s="3"/>
      <c r="U2375" s="3"/>
      <c r="V2375" s="3"/>
      <c r="W2375" s="3"/>
      <c r="X2375" s="3"/>
      <c r="Y2375" s="3"/>
      <c r="Z2375" s="3"/>
      <c r="AA2375" s="3"/>
    </row>
    <row r="2376" ht="105.75" customHeight="1">
      <c r="A2376" s="11"/>
      <c r="B2376" s="12"/>
      <c r="C2376" s="11"/>
      <c r="D2376" s="13"/>
      <c r="E2376" s="14"/>
      <c r="F2376" s="14"/>
      <c r="G2376" s="14"/>
      <c r="H2376" s="15"/>
      <c r="I2376" s="15"/>
      <c r="J2376" s="3"/>
      <c r="K2376" s="3"/>
      <c r="L2376" s="3"/>
      <c r="M2376" s="3"/>
      <c r="N2376" s="3"/>
      <c r="O2376" s="3"/>
      <c r="P2376" s="3"/>
      <c r="Q2376" s="3"/>
      <c r="R2376" s="3"/>
      <c r="S2376" s="3"/>
      <c r="T2376" s="3"/>
      <c r="U2376" s="3"/>
      <c r="V2376" s="3"/>
      <c r="W2376" s="3"/>
      <c r="X2376" s="3"/>
      <c r="Y2376" s="3"/>
      <c r="Z2376" s="3"/>
      <c r="AA2376" s="3"/>
    </row>
    <row r="2377" ht="105.75" customHeight="1">
      <c r="A2377" s="11"/>
      <c r="B2377" s="12"/>
      <c r="C2377" s="11"/>
      <c r="D2377" s="13"/>
      <c r="E2377" s="14"/>
      <c r="F2377" s="14"/>
      <c r="G2377" s="14"/>
      <c r="H2377" s="15"/>
      <c r="I2377" s="15"/>
      <c r="J2377" s="3"/>
      <c r="K2377" s="3"/>
      <c r="L2377" s="3"/>
      <c r="M2377" s="3"/>
      <c r="N2377" s="3"/>
      <c r="O2377" s="3"/>
      <c r="P2377" s="3"/>
      <c r="Q2377" s="3"/>
      <c r="R2377" s="3"/>
      <c r="S2377" s="3"/>
      <c r="T2377" s="3"/>
      <c r="U2377" s="3"/>
      <c r="V2377" s="3"/>
      <c r="W2377" s="3"/>
      <c r="X2377" s="3"/>
      <c r="Y2377" s="3"/>
      <c r="Z2377" s="3"/>
      <c r="AA2377" s="3"/>
    </row>
    <row r="2378" ht="105.75" customHeight="1">
      <c r="A2378" s="11"/>
      <c r="B2378" s="12"/>
      <c r="C2378" s="11"/>
      <c r="D2378" s="13"/>
      <c r="E2378" s="14"/>
      <c r="F2378" s="14"/>
      <c r="G2378" s="14"/>
      <c r="H2378" s="15"/>
      <c r="I2378" s="15"/>
      <c r="J2378" s="3"/>
      <c r="K2378" s="3"/>
      <c r="L2378" s="3"/>
      <c r="M2378" s="3"/>
      <c r="N2378" s="3"/>
      <c r="O2378" s="3"/>
      <c r="P2378" s="3"/>
      <c r="Q2378" s="3"/>
      <c r="R2378" s="3"/>
      <c r="S2378" s="3"/>
      <c r="T2378" s="3"/>
      <c r="U2378" s="3"/>
      <c r="V2378" s="3"/>
      <c r="W2378" s="3"/>
      <c r="X2378" s="3"/>
      <c r="Y2378" s="3"/>
      <c r="Z2378" s="3"/>
      <c r="AA2378" s="3"/>
    </row>
    <row r="2379" ht="105.75" customHeight="1">
      <c r="A2379" s="11"/>
      <c r="B2379" s="12"/>
      <c r="C2379" s="11"/>
      <c r="D2379" s="13"/>
      <c r="E2379" s="14"/>
      <c r="F2379" s="14"/>
      <c r="G2379" s="14"/>
      <c r="H2379" s="15"/>
      <c r="I2379" s="15"/>
      <c r="J2379" s="3"/>
      <c r="K2379" s="3"/>
      <c r="L2379" s="3"/>
      <c r="M2379" s="3"/>
      <c r="N2379" s="3"/>
      <c r="O2379" s="3"/>
      <c r="P2379" s="3"/>
      <c r="Q2379" s="3"/>
      <c r="R2379" s="3"/>
      <c r="S2379" s="3"/>
      <c r="T2379" s="3"/>
      <c r="U2379" s="3"/>
      <c r="V2379" s="3"/>
      <c r="W2379" s="3"/>
      <c r="X2379" s="3"/>
      <c r="Y2379" s="3"/>
      <c r="Z2379" s="3"/>
      <c r="AA2379" s="3"/>
    </row>
    <row r="2380" ht="105.75" customHeight="1">
      <c r="A2380" s="11"/>
      <c r="B2380" s="12"/>
      <c r="C2380" s="11"/>
      <c r="D2380" s="13"/>
      <c r="E2380" s="16"/>
      <c r="F2380" s="16"/>
      <c r="G2380" s="16"/>
      <c r="H2380" s="15"/>
      <c r="I2380" s="15"/>
      <c r="J2380" s="3"/>
      <c r="K2380" s="3"/>
      <c r="L2380" s="3"/>
      <c r="M2380" s="3"/>
      <c r="N2380" s="3"/>
      <c r="O2380" s="3"/>
      <c r="P2380" s="3"/>
      <c r="Q2380" s="3"/>
      <c r="R2380" s="3"/>
      <c r="S2380" s="3"/>
      <c r="T2380" s="3"/>
      <c r="U2380" s="3"/>
      <c r="V2380" s="3"/>
      <c r="W2380" s="3"/>
      <c r="X2380" s="3"/>
      <c r="Y2380" s="3"/>
      <c r="Z2380" s="3"/>
      <c r="AA2380" s="3"/>
    </row>
    <row r="2381" ht="105.75" customHeight="1">
      <c r="A2381" s="11"/>
      <c r="B2381" s="12"/>
      <c r="C2381" s="11"/>
      <c r="D2381" s="13"/>
      <c r="E2381" s="14"/>
      <c r="F2381" s="14"/>
      <c r="G2381" s="14"/>
      <c r="H2381" s="15"/>
      <c r="I2381" s="15"/>
      <c r="J2381" s="3"/>
      <c r="K2381" s="3"/>
      <c r="L2381" s="3"/>
      <c r="M2381" s="3"/>
      <c r="N2381" s="3"/>
      <c r="O2381" s="3"/>
      <c r="P2381" s="3"/>
      <c r="Q2381" s="3"/>
      <c r="R2381" s="3"/>
      <c r="S2381" s="3"/>
      <c r="T2381" s="3"/>
      <c r="U2381" s="3"/>
      <c r="V2381" s="3"/>
      <c r="W2381" s="3"/>
      <c r="X2381" s="3"/>
      <c r="Y2381" s="3"/>
      <c r="Z2381" s="3"/>
      <c r="AA2381" s="3"/>
    </row>
    <row r="2382" ht="105.75" customHeight="1">
      <c r="A2382" s="11"/>
      <c r="B2382" s="12"/>
      <c r="C2382" s="11"/>
      <c r="D2382" s="13"/>
      <c r="E2382" s="14"/>
      <c r="F2382" s="14"/>
      <c r="G2382" s="14"/>
      <c r="H2382" s="15"/>
      <c r="I2382" s="15"/>
      <c r="J2382" s="3"/>
      <c r="K2382" s="3"/>
      <c r="L2382" s="3"/>
      <c r="M2382" s="3"/>
      <c r="N2382" s="3"/>
      <c r="O2382" s="3"/>
      <c r="P2382" s="3"/>
      <c r="Q2382" s="3"/>
      <c r="R2382" s="3"/>
      <c r="S2382" s="3"/>
      <c r="T2382" s="3"/>
      <c r="U2382" s="3"/>
      <c r="V2382" s="3"/>
      <c r="W2382" s="3"/>
      <c r="X2382" s="3"/>
      <c r="Y2382" s="3"/>
      <c r="Z2382" s="3"/>
      <c r="AA2382" s="3"/>
    </row>
    <row r="2383" ht="105.75" customHeight="1">
      <c r="A2383" s="11"/>
      <c r="B2383" s="12"/>
      <c r="C2383" s="11"/>
      <c r="D2383" s="13"/>
      <c r="E2383" s="14"/>
      <c r="F2383" s="14"/>
      <c r="G2383" s="14"/>
      <c r="H2383" s="15"/>
      <c r="I2383" s="15"/>
      <c r="J2383" s="3"/>
      <c r="K2383" s="3"/>
      <c r="L2383" s="3"/>
      <c r="M2383" s="3"/>
      <c r="N2383" s="3"/>
      <c r="O2383" s="3"/>
      <c r="P2383" s="3"/>
      <c r="Q2383" s="3"/>
      <c r="R2383" s="3"/>
      <c r="S2383" s="3"/>
      <c r="T2383" s="3"/>
      <c r="U2383" s="3"/>
      <c r="V2383" s="3"/>
      <c r="W2383" s="3"/>
      <c r="X2383" s="3"/>
      <c r="Y2383" s="3"/>
      <c r="Z2383" s="3"/>
      <c r="AA2383" s="3"/>
    </row>
    <row r="2384" ht="105.75" customHeight="1">
      <c r="A2384" s="11"/>
      <c r="B2384" s="12"/>
      <c r="C2384" s="11"/>
      <c r="D2384" s="13"/>
      <c r="E2384" s="14"/>
      <c r="F2384" s="14"/>
      <c r="G2384" s="14"/>
      <c r="H2384" s="15"/>
      <c r="I2384" s="15"/>
      <c r="J2384" s="3"/>
      <c r="K2384" s="3"/>
      <c r="L2384" s="3"/>
      <c r="M2384" s="3"/>
      <c r="N2384" s="3"/>
      <c r="O2384" s="3"/>
      <c r="P2384" s="3"/>
      <c r="Q2384" s="3"/>
      <c r="R2384" s="3"/>
      <c r="S2384" s="3"/>
      <c r="T2384" s="3"/>
      <c r="U2384" s="3"/>
      <c r="V2384" s="3"/>
      <c r="W2384" s="3"/>
      <c r="X2384" s="3"/>
      <c r="Y2384" s="3"/>
      <c r="Z2384" s="3"/>
      <c r="AA2384" s="3"/>
    </row>
    <row r="2385" ht="105.75" customHeight="1">
      <c r="A2385" s="11"/>
      <c r="B2385" s="12"/>
      <c r="C2385" s="11"/>
      <c r="D2385" s="13"/>
      <c r="E2385" s="14"/>
      <c r="F2385" s="14"/>
      <c r="G2385" s="14"/>
      <c r="H2385" s="15"/>
      <c r="I2385" s="15"/>
      <c r="J2385" s="3"/>
      <c r="K2385" s="3"/>
      <c r="L2385" s="3"/>
      <c r="M2385" s="3"/>
      <c r="N2385" s="3"/>
      <c r="O2385" s="3"/>
      <c r="P2385" s="3"/>
      <c r="Q2385" s="3"/>
      <c r="R2385" s="3"/>
      <c r="S2385" s="3"/>
      <c r="T2385" s="3"/>
      <c r="U2385" s="3"/>
      <c r="V2385" s="3"/>
      <c r="W2385" s="3"/>
      <c r="X2385" s="3"/>
      <c r="Y2385" s="3"/>
      <c r="Z2385" s="3"/>
      <c r="AA2385" s="3"/>
    </row>
    <row r="2386" ht="105.75" customHeight="1">
      <c r="A2386" s="11"/>
      <c r="B2386" s="12"/>
      <c r="C2386" s="11"/>
      <c r="D2386" s="13"/>
      <c r="E2386" s="14"/>
      <c r="F2386" s="14"/>
      <c r="G2386" s="14"/>
      <c r="H2386" s="15"/>
      <c r="I2386" s="15"/>
      <c r="J2386" s="3"/>
      <c r="K2386" s="3"/>
      <c r="L2386" s="3"/>
      <c r="M2386" s="3"/>
      <c r="N2386" s="3"/>
      <c r="O2386" s="3"/>
      <c r="P2386" s="3"/>
      <c r="Q2386" s="3"/>
      <c r="R2386" s="3"/>
      <c r="S2386" s="3"/>
      <c r="T2386" s="3"/>
      <c r="U2386" s="3"/>
      <c r="V2386" s="3"/>
      <c r="W2386" s="3"/>
      <c r="X2386" s="3"/>
      <c r="Y2386" s="3"/>
      <c r="Z2386" s="3"/>
      <c r="AA2386" s="3"/>
    </row>
    <row r="2387" ht="105.75" customHeight="1">
      <c r="A2387" s="11"/>
      <c r="B2387" s="12"/>
      <c r="C2387" s="11"/>
      <c r="D2387" s="13"/>
      <c r="E2387" s="14"/>
      <c r="F2387" s="14"/>
      <c r="G2387" s="14"/>
      <c r="H2387" s="15"/>
      <c r="I2387" s="15"/>
      <c r="J2387" s="3"/>
      <c r="K2387" s="3"/>
      <c r="L2387" s="3"/>
      <c r="M2387" s="3"/>
      <c r="N2387" s="3"/>
      <c r="O2387" s="3"/>
      <c r="P2387" s="3"/>
      <c r="Q2387" s="3"/>
      <c r="R2387" s="3"/>
      <c r="S2387" s="3"/>
      <c r="T2387" s="3"/>
      <c r="U2387" s="3"/>
      <c r="V2387" s="3"/>
      <c r="W2387" s="3"/>
      <c r="X2387" s="3"/>
      <c r="Y2387" s="3"/>
      <c r="Z2387" s="3"/>
      <c r="AA2387" s="3"/>
    </row>
    <row r="2388" ht="105.75" customHeight="1">
      <c r="A2388" s="11"/>
      <c r="B2388" s="12"/>
      <c r="C2388" s="11"/>
      <c r="D2388" s="13"/>
      <c r="E2388" s="14"/>
      <c r="F2388" s="14"/>
      <c r="G2388" s="14"/>
      <c r="H2388" s="15"/>
      <c r="I2388" s="15"/>
      <c r="J2388" s="3"/>
      <c r="K2388" s="3"/>
      <c r="L2388" s="3"/>
      <c r="M2388" s="3"/>
      <c r="N2388" s="3"/>
      <c r="O2388" s="3"/>
      <c r="P2388" s="3"/>
      <c r="Q2388" s="3"/>
      <c r="R2388" s="3"/>
      <c r="S2388" s="3"/>
      <c r="T2388" s="3"/>
      <c r="U2388" s="3"/>
      <c r="V2388" s="3"/>
      <c r="W2388" s="3"/>
      <c r="X2388" s="3"/>
      <c r="Y2388" s="3"/>
      <c r="Z2388" s="3"/>
      <c r="AA2388" s="3"/>
    </row>
    <row r="2389" ht="105.75" customHeight="1">
      <c r="A2389" s="11"/>
      <c r="B2389" s="12"/>
      <c r="C2389" s="11"/>
      <c r="D2389" s="13"/>
      <c r="E2389" s="14"/>
      <c r="F2389" s="14"/>
      <c r="G2389" s="14"/>
      <c r="H2389" s="15"/>
      <c r="I2389" s="15"/>
      <c r="J2389" s="3"/>
      <c r="K2389" s="3"/>
      <c r="L2389" s="3"/>
      <c r="M2389" s="3"/>
      <c r="N2389" s="3"/>
      <c r="O2389" s="3"/>
      <c r="P2389" s="3"/>
      <c r="Q2389" s="3"/>
      <c r="R2389" s="3"/>
      <c r="S2389" s="3"/>
      <c r="T2389" s="3"/>
      <c r="U2389" s="3"/>
      <c r="V2389" s="3"/>
      <c r="W2389" s="3"/>
      <c r="X2389" s="3"/>
      <c r="Y2389" s="3"/>
      <c r="Z2389" s="3"/>
      <c r="AA2389" s="3"/>
    </row>
    <row r="2390" ht="105.75" customHeight="1">
      <c r="A2390" s="11"/>
      <c r="B2390" s="12"/>
      <c r="C2390" s="11"/>
      <c r="D2390" s="13"/>
      <c r="E2390" s="14"/>
      <c r="F2390" s="14"/>
      <c r="G2390" s="14"/>
      <c r="H2390" s="15"/>
      <c r="I2390" s="15"/>
      <c r="J2390" s="3"/>
      <c r="K2390" s="3"/>
      <c r="L2390" s="3"/>
      <c r="M2390" s="3"/>
      <c r="N2390" s="3"/>
      <c r="O2390" s="3"/>
      <c r="P2390" s="3"/>
      <c r="Q2390" s="3"/>
      <c r="R2390" s="3"/>
      <c r="S2390" s="3"/>
      <c r="T2390" s="3"/>
      <c r="U2390" s="3"/>
      <c r="V2390" s="3"/>
      <c r="W2390" s="3"/>
      <c r="X2390" s="3"/>
      <c r="Y2390" s="3"/>
      <c r="Z2390" s="3"/>
      <c r="AA2390" s="3"/>
    </row>
    <row r="2391" ht="105.75" customHeight="1">
      <c r="A2391" s="11"/>
      <c r="B2391" s="12"/>
      <c r="C2391" s="11"/>
      <c r="D2391" s="13"/>
      <c r="E2391" s="16"/>
      <c r="F2391" s="16"/>
      <c r="G2391" s="16"/>
      <c r="H2391" s="15"/>
      <c r="I2391" s="15"/>
      <c r="J2391" s="3"/>
      <c r="K2391" s="3"/>
      <c r="L2391" s="3"/>
      <c r="M2391" s="3"/>
      <c r="N2391" s="3"/>
      <c r="O2391" s="3"/>
      <c r="P2391" s="3"/>
      <c r="Q2391" s="3"/>
      <c r="R2391" s="3"/>
      <c r="S2391" s="3"/>
      <c r="T2391" s="3"/>
      <c r="U2391" s="3"/>
      <c r="V2391" s="3"/>
      <c r="W2391" s="3"/>
      <c r="X2391" s="3"/>
      <c r="Y2391" s="3"/>
      <c r="Z2391" s="3"/>
      <c r="AA2391" s="3"/>
    </row>
    <row r="2392" ht="105.75" customHeight="1">
      <c r="A2392" s="11"/>
      <c r="B2392" s="12"/>
      <c r="C2392" s="11"/>
      <c r="D2392" s="13"/>
      <c r="E2392" s="14"/>
      <c r="F2392" s="14"/>
      <c r="G2392" s="14"/>
      <c r="H2392" s="15"/>
      <c r="I2392" s="15"/>
      <c r="J2392" s="3"/>
      <c r="K2392" s="3"/>
      <c r="L2392" s="3"/>
      <c r="M2392" s="3"/>
      <c r="N2392" s="3"/>
      <c r="O2392" s="3"/>
      <c r="P2392" s="3"/>
      <c r="Q2392" s="3"/>
      <c r="R2392" s="3"/>
      <c r="S2392" s="3"/>
      <c r="T2392" s="3"/>
      <c r="U2392" s="3"/>
      <c r="V2392" s="3"/>
      <c r="W2392" s="3"/>
      <c r="X2392" s="3"/>
      <c r="Y2392" s="3"/>
      <c r="Z2392" s="3"/>
      <c r="AA2392" s="3"/>
    </row>
    <row r="2393" ht="105.75" customHeight="1">
      <c r="A2393" s="11"/>
      <c r="B2393" s="12"/>
      <c r="C2393" s="11"/>
      <c r="D2393" s="13"/>
      <c r="E2393" s="14"/>
      <c r="F2393" s="14"/>
      <c r="G2393" s="14"/>
      <c r="H2393" s="15"/>
      <c r="I2393" s="15"/>
      <c r="J2393" s="3"/>
      <c r="K2393" s="3"/>
      <c r="L2393" s="3"/>
      <c r="M2393" s="3"/>
      <c r="N2393" s="3"/>
      <c r="O2393" s="3"/>
      <c r="P2393" s="3"/>
      <c r="Q2393" s="3"/>
      <c r="R2393" s="3"/>
      <c r="S2393" s="3"/>
      <c r="T2393" s="3"/>
      <c r="U2393" s="3"/>
      <c r="V2393" s="3"/>
      <c r="W2393" s="3"/>
      <c r="X2393" s="3"/>
      <c r="Y2393" s="3"/>
      <c r="Z2393" s="3"/>
      <c r="AA2393" s="3"/>
    </row>
    <row r="2394" ht="105.75" customHeight="1">
      <c r="A2394" s="11"/>
      <c r="B2394" s="12"/>
      <c r="C2394" s="11"/>
      <c r="D2394" s="13"/>
      <c r="E2394" s="14"/>
      <c r="F2394" s="14"/>
      <c r="G2394" s="14"/>
      <c r="H2394" s="15"/>
      <c r="I2394" s="15"/>
      <c r="J2394" s="3"/>
      <c r="K2394" s="3"/>
      <c r="L2394" s="3"/>
      <c r="M2394" s="3"/>
      <c r="N2394" s="3"/>
      <c r="O2394" s="3"/>
      <c r="P2394" s="3"/>
      <c r="Q2394" s="3"/>
      <c r="R2394" s="3"/>
      <c r="S2394" s="3"/>
      <c r="T2394" s="3"/>
      <c r="U2394" s="3"/>
      <c r="V2394" s="3"/>
      <c r="W2394" s="3"/>
      <c r="X2394" s="3"/>
      <c r="Y2394" s="3"/>
      <c r="Z2394" s="3"/>
      <c r="AA2394" s="3"/>
    </row>
    <row r="2395" ht="105.75" customHeight="1">
      <c r="A2395" s="11"/>
      <c r="B2395" s="12"/>
      <c r="C2395" s="11"/>
      <c r="D2395" s="13"/>
      <c r="E2395" s="14"/>
      <c r="F2395" s="14"/>
      <c r="G2395" s="14"/>
      <c r="H2395" s="15"/>
      <c r="I2395" s="15"/>
      <c r="J2395" s="3"/>
      <c r="K2395" s="3"/>
      <c r="L2395" s="3"/>
      <c r="M2395" s="3"/>
      <c r="N2395" s="3"/>
      <c r="O2395" s="3"/>
      <c r="P2395" s="3"/>
      <c r="Q2395" s="3"/>
      <c r="R2395" s="3"/>
      <c r="S2395" s="3"/>
      <c r="T2395" s="3"/>
      <c r="U2395" s="3"/>
      <c r="V2395" s="3"/>
      <c r="W2395" s="3"/>
      <c r="X2395" s="3"/>
      <c r="Y2395" s="3"/>
      <c r="Z2395" s="3"/>
      <c r="AA2395" s="3"/>
    </row>
    <row r="2396" ht="105.75" customHeight="1">
      <c r="A2396" s="11"/>
      <c r="B2396" s="12"/>
      <c r="C2396" s="11"/>
      <c r="D2396" s="13"/>
      <c r="E2396" s="14"/>
      <c r="F2396" s="14"/>
      <c r="G2396" s="14"/>
      <c r="H2396" s="15"/>
      <c r="I2396" s="15"/>
      <c r="J2396" s="3"/>
      <c r="K2396" s="3"/>
      <c r="L2396" s="3"/>
      <c r="M2396" s="3"/>
      <c r="N2396" s="3"/>
      <c r="O2396" s="3"/>
      <c r="P2396" s="3"/>
      <c r="Q2396" s="3"/>
      <c r="R2396" s="3"/>
      <c r="S2396" s="3"/>
      <c r="T2396" s="3"/>
      <c r="U2396" s="3"/>
      <c r="V2396" s="3"/>
      <c r="W2396" s="3"/>
      <c r="X2396" s="3"/>
      <c r="Y2396" s="3"/>
      <c r="Z2396" s="3"/>
      <c r="AA2396" s="3"/>
    </row>
    <row r="2397" ht="105.75" customHeight="1">
      <c r="A2397" s="11"/>
      <c r="B2397" s="12"/>
      <c r="C2397" s="11"/>
      <c r="D2397" s="13"/>
      <c r="E2397" s="14"/>
      <c r="F2397" s="14"/>
      <c r="G2397" s="14"/>
      <c r="H2397" s="15"/>
      <c r="I2397" s="15"/>
      <c r="J2397" s="3"/>
      <c r="K2397" s="3"/>
      <c r="L2397" s="3"/>
      <c r="M2397" s="3"/>
      <c r="N2397" s="3"/>
      <c r="O2397" s="3"/>
      <c r="P2397" s="3"/>
      <c r="Q2397" s="3"/>
      <c r="R2397" s="3"/>
      <c r="S2397" s="3"/>
      <c r="T2397" s="3"/>
      <c r="U2397" s="3"/>
      <c r="V2397" s="3"/>
      <c r="W2397" s="3"/>
      <c r="X2397" s="3"/>
      <c r="Y2397" s="3"/>
      <c r="Z2397" s="3"/>
      <c r="AA2397" s="3"/>
    </row>
    <row r="2398" ht="105.75" customHeight="1">
      <c r="A2398" s="11"/>
      <c r="B2398" s="12"/>
      <c r="C2398" s="11"/>
      <c r="D2398" s="13"/>
      <c r="E2398" s="14"/>
      <c r="F2398" s="14"/>
      <c r="G2398" s="14"/>
      <c r="H2398" s="15"/>
      <c r="I2398" s="15"/>
      <c r="J2398" s="3"/>
      <c r="K2398" s="3"/>
      <c r="L2398" s="3"/>
      <c r="M2398" s="3"/>
      <c r="N2398" s="3"/>
      <c r="O2398" s="3"/>
      <c r="P2398" s="3"/>
      <c r="Q2398" s="3"/>
      <c r="R2398" s="3"/>
      <c r="S2398" s="3"/>
      <c r="T2398" s="3"/>
      <c r="U2398" s="3"/>
      <c r="V2398" s="3"/>
      <c r="W2398" s="3"/>
      <c r="X2398" s="3"/>
      <c r="Y2398" s="3"/>
      <c r="Z2398" s="3"/>
      <c r="AA2398" s="3"/>
    </row>
    <row r="2399" ht="105.75" customHeight="1">
      <c r="A2399" s="11"/>
      <c r="B2399" s="12"/>
      <c r="C2399" s="11"/>
      <c r="D2399" s="13"/>
      <c r="E2399" s="16"/>
      <c r="F2399" s="16"/>
      <c r="G2399" s="16"/>
      <c r="H2399" s="15"/>
      <c r="I2399" s="15"/>
      <c r="J2399" s="3"/>
      <c r="K2399" s="3"/>
      <c r="L2399" s="3"/>
      <c r="M2399" s="3"/>
      <c r="N2399" s="3"/>
      <c r="O2399" s="3"/>
      <c r="P2399" s="3"/>
      <c r="Q2399" s="3"/>
      <c r="R2399" s="3"/>
      <c r="S2399" s="3"/>
      <c r="T2399" s="3"/>
      <c r="U2399" s="3"/>
      <c r="V2399" s="3"/>
      <c r="W2399" s="3"/>
      <c r="X2399" s="3"/>
      <c r="Y2399" s="3"/>
      <c r="Z2399" s="3"/>
      <c r="AA2399" s="3"/>
    </row>
    <row r="2400" ht="105.75" customHeight="1">
      <c r="A2400" s="11"/>
      <c r="B2400" s="12"/>
      <c r="C2400" s="11"/>
      <c r="D2400" s="13"/>
      <c r="E2400" s="14"/>
      <c r="F2400" s="14"/>
      <c r="G2400" s="14"/>
      <c r="H2400" s="15"/>
      <c r="I2400" s="15"/>
      <c r="J2400" s="3"/>
      <c r="K2400" s="3"/>
      <c r="L2400" s="3"/>
      <c r="M2400" s="3"/>
      <c r="N2400" s="3"/>
      <c r="O2400" s="3"/>
      <c r="P2400" s="3"/>
      <c r="Q2400" s="3"/>
      <c r="R2400" s="3"/>
      <c r="S2400" s="3"/>
      <c r="T2400" s="3"/>
      <c r="U2400" s="3"/>
      <c r="V2400" s="3"/>
      <c r="W2400" s="3"/>
      <c r="X2400" s="3"/>
      <c r="Y2400" s="3"/>
      <c r="Z2400" s="3"/>
      <c r="AA2400" s="3"/>
    </row>
    <row r="2401" ht="105.75" customHeight="1">
      <c r="A2401" s="11"/>
      <c r="B2401" s="12"/>
      <c r="C2401" s="11"/>
      <c r="D2401" s="13"/>
      <c r="E2401" s="16"/>
      <c r="F2401" s="16"/>
      <c r="G2401" s="16"/>
      <c r="H2401" s="15"/>
      <c r="I2401" s="15"/>
      <c r="J2401" s="3"/>
      <c r="K2401" s="3"/>
      <c r="L2401" s="3"/>
      <c r="M2401" s="3"/>
      <c r="N2401" s="3"/>
      <c r="O2401" s="3"/>
      <c r="P2401" s="3"/>
      <c r="Q2401" s="3"/>
      <c r="R2401" s="3"/>
      <c r="S2401" s="3"/>
      <c r="T2401" s="3"/>
      <c r="U2401" s="3"/>
      <c r="V2401" s="3"/>
      <c r="W2401" s="3"/>
      <c r="X2401" s="3"/>
      <c r="Y2401" s="3"/>
      <c r="Z2401" s="3"/>
      <c r="AA2401" s="3"/>
    </row>
    <row r="2402" ht="105.75" customHeight="1">
      <c r="A2402" s="11"/>
      <c r="B2402" s="12"/>
      <c r="C2402" s="11"/>
      <c r="D2402" s="13"/>
      <c r="E2402" s="14"/>
      <c r="F2402" s="14"/>
      <c r="G2402" s="14"/>
      <c r="H2402" s="15"/>
      <c r="I2402" s="15"/>
      <c r="J2402" s="3"/>
      <c r="K2402" s="3"/>
      <c r="L2402" s="3"/>
      <c r="M2402" s="3"/>
      <c r="N2402" s="3"/>
      <c r="O2402" s="3"/>
      <c r="P2402" s="3"/>
      <c r="Q2402" s="3"/>
      <c r="R2402" s="3"/>
      <c r="S2402" s="3"/>
      <c r="T2402" s="3"/>
      <c r="U2402" s="3"/>
      <c r="V2402" s="3"/>
      <c r="W2402" s="3"/>
      <c r="X2402" s="3"/>
      <c r="Y2402" s="3"/>
      <c r="Z2402" s="3"/>
      <c r="AA2402" s="3"/>
    </row>
    <row r="2403" ht="105.75" customHeight="1">
      <c r="A2403" s="11"/>
      <c r="B2403" s="12"/>
      <c r="C2403" s="11"/>
      <c r="D2403" s="13"/>
      <c r="E2403" s="16"/>
      <c r="F2403" s="16"/>
      <c r="G2403" s="16"/>
      <c r="H2403" s="15"/>
      <c r="I2403" s="15"/>
      <c r="J2403" s="3"/>
      <c r="K2403" s="3"/>
      <c r="L2403" s="3"/>
      <c r="M2403" s="3"/>
      <c r="N2403" s="3"/>
      <c r="O2403" s="3"/>
      <c r="P2403" s="3"/>
      <c r="Q2403" s="3"/>
      <c r="R2403" s="3"/>
      <c r="S2403" s="3"/>
      <c r="T2403" s="3"/>
      <c r="U2403" s="3"/>
      <c r="V2403" s="3"/>
      <c r="W2403" s="3"/>
      <c r="X2403" s="3"/>
      <c r="Y2403" s="3"/>
      <c r="Z2403" s="3"/>
      <c r="AA2403" s="3"/>
    </row>
    <row r="2404" ht="105.75" customHeight="1">
      <c r="A2404" s="11"/>
      <c r="B2404" s="12"/>
      <c r="C2404" s="11"/>
      <c r="D2404" s="13"/>
      <c r="E2404" s="16"/>
      <c r="F2404" s="16"/>
      <c r="G2404" s="16"/>
      <c r="H2404" s="15"/>
      <c r="I2404" s="15"/>
      <c r="J2404" s="3"/>
      <c r="K2404" s="3"/>
      <c r="L2404" s="3"/>
      <c r="M2404" s="3"/>
      <c r="N2404" s="3"/>
      <c r="O2404" s="3"/>
      <c r="P2404" s="3"/>
      <c r="Q2404" s="3"/>
      <c r="R2404" s="3"/>
      <c r="S2404" s="3"/>
      <c r="T2404" s="3"/>
      <c r="U2404" s="3"/>
      <c r="V2404" s="3"/>
      <c r="W2404" s="3"/>
      <c r="X2404" s="3"/>
      <c r="Y2404" s="3"/>
      <c r="Z2404" s="3"/>
      <c r="AA2404" s="3"/>
    </row>
    <row r="2405" ht="105.75" customHeight="1">
      <c r="A2405" s="11"/>
      <c r="B2405" s="12"/>
      <c r="C2405" s="11"/>
      <c r="D2405" s="13"/>
      <c r="E2405" s="16"/>
      <c r="F2405" s="16"/>
      <c r="G2405" s="16"/>
      <c r="H2405" s="15"/>
      <c r="I2405" s="15"/>
      <c r="J2405" s="3"/>
      <c r="K2405" s="3"/>
      <c r="L2405" s="3"/>
      <c r="M2405" s="3"/>
      <c r="N2405" s="3"/>
      <c r="O2405" s="3"/>
      <c r="P2405" s="3"/>
      <c r="Q2405" s="3"/>
      <c r="R2405" s="3"/>
      <c r="S2405" s="3"/>
      <c r="T2405" s="3"/>
      <c r="U2405" s="3"/>
      <c r="V2405" s="3"/>
      <c r="W2405" s="3"/>
      <c r="X2405" s="3"/>
      <c r="Y2405" s="3"/>
      <c r="Z2405" s="3"/>
      <c r="AA2405" s="3"/>
    </row>
    <row r="2406" ht="105.75" customHeight="1">
      <c r="A2406" s="11"/>
      <c r="B2406" s="12"/>
      <c r="C2406" s="11"/>
      <c r="D2406" s="13"/>
      <c r="E2406" s="14"/>
      <c r="F2406" s="14"/>
      <c r="G2406" s="14"/>
      <c r="H2406" s="15"/>
      <c r="I2406" s="15"/>
      <c r="J2406" s="3"/>
      <c r="K2406" s="3"/>
      <c r="L2406" s="3"/>
      <c r="M2406" s="3"/>
      <c r="N2406" s="3"/>
      <c r="O2406" s="3"/>
      <c r="P2406" s="3"/>
      <c r="Q2406" s="3"/>
      <c r="R2406" s="3"/>
      <c r="S2406" s="3"/>
      <c r="T2406" s="3"/>
      <c r="U2406" s="3"/>
      <c r="V2406" s="3"/>
      <c r="W2406" s="3"/>
      <c r="X2406" s="3"/>
      <c r="Y2406" s="3"/>
      <c r="Z2406" s="3"/>
      <c r="AA2406" s="3"/>
    </row>
    <row r="2407" ht="105.75" customHeight="1">
      <c r="A2407" s="11"/>
      <c r="B2407" s="12"/>
      <c r="C2407" s="11"/>
      <c r="D2407" s="13"/>
      <c r="E2407" s="14"/>
      <c r="F2407" s="14"/>
      <c r="G2407" s="14"/>
      <c r="H2407" s="15"/>
      <c r="I2407" s="15"/>
      <c r="J2407" s="3"/>
      <c r="K2407" s="3"/>
      <c r="L2407" s="3"/>
      <c r="M2407" s="3"/>
      <c r="N2407" s="3"/>
      <c r="O2407" s="3"/>
      <c r="P2407" s="3"/>
      <c r="Q2407" s="3"/>
      <c r="R2407" s="3"/>
      <c r="S2407" s="3"/>
      <c r="T2407" s="3"/>
      <c r="U2407" s="3"/>
      <c r="V2407" s="3"/>
      <c r="W2407" s="3"/>
      <c r="X2407" s="3"/>
      <c r="Y2407" s="3"/>
      <c r="Z2407" s="3"/>
      <c r="AA2407" s="3"/>
    </row>
    <row r="2408" ht="105.75" customHeight="1">
      <c r="A2408" s="11"/>
      <c r="B2408" s="12"/>
      <c r="C2408" s="11"/>
      <c r="D2408" s="13"/>
      <c r="E2408" s="16"/>
      <c r="F2408" s="16"/>
      <c r="G2408" s="16"/>
      <c r="H2408" s="15"/>
      <c r="I2408" s="15"/>
      <c r="J2408" s="3"/>
      <c r="K2408" s="3"/>
      <c r="L2408" s="3"/>
      <c r="M2408" s="3"/>
      <c r="N2408" s="3"/>
      <c r="O2408" s="3"/>
      <c r="P2408" s="3"/>
      <c r="Q2408" s="3"/>
      <c r="R2408" s="3"/>
      <c r="S2408" s="3"/>
      <c r="T2408" s="3"/>
      <c r="U2408" s="3"/>
      <c r="V2408" s="3"/>
      <c r="W2408" s="3"/>
      <c r="X2408" s="3"/>
      <c r="Y2408" s="3"/>
      <c r="Z2408" s="3"/>
      <c r="AA2408" s="3"/>
    </row>
    <row r="2409" ht="105.75" customHeight="1">
      <c r="A2409" s="11"/>
      <c r="B2409" s="12"/>
      <c r="C2409" s="11"/>
      <c r="D2409" s="13"/>
      <c r="E2409" s="16"/>
      <c r="F2409" s="16"/>
      <c r="G2409" s="16"/>
      <c r="H2409" s="15"/>
      <c r="I2409" s="15"/>
      <c r="J2409" s="3"/>
      <c r="K2409" s="3"/>
      <c r="L2409" s="3"/>
      <c r="M2409" s="3"/>
      <c r="N2409" s="3"/>
      <c r="O2409" s="3"/>
      <c r="P2409" s="3"/>
      <c r="Q2409" s="3"/>
      <c r="R2409" s="3"/>
      <c r="S2409" s="3"/>
      <c r="T2409" s="3"/>
      <c r="U2409" s="3"/>
      <c r="V2409" s="3"/>
      <c r="W2409" s="3"/>
      <c r="X2409" s="3"/>
      <c r="Y2409" s="3"/>
      <c r="Z2409" s="3"/>
      <c r="AA2409" s="3"/>
    </row>
    <row r="2410" ht="105.75" customHeight="1">
      <c r="A2410" s="11"/>
      <c r="B2410" s="12"/>
      <c r="C2410" s="11"/>
      <c r="D2410" s="13"/>
      <c r="E2410" s="14"/>
      <c r="F2410" s="14"/>
      <c r="G2410" s="14"/>
      <c r="H2410" s="15"/>
      <c r="I2410" s="15"/>
      <c r="J2410" s="3"/>
      <c r="K2410" s="3"/>
      <c r="L2410" s="3"/>
      <c r="M2410" s="3"/>
      <c r="N2410" s="3"/>
      <c r="O2410" s="3"/>
      <c r="P2410" s="3"/>
      <c r="Q2410" s="3"/>
      <c r="R2410" s="3"/>
      <c r="S2410" s="3"/>
      <c r="T2410" s="3"/>
      <c r="U2410" s="3"/>
      <c r="V2410" s="3"/>
      <c r="W2410" s="3"/>
      <c r="X2410" s="3"/>
      <c r="Y2410" s="3"/>
      <c r="Z2410" s="3"/>
      <c r="AA2410" s="3"/>
    </row>
    <row r="2411" ht="105.75" customHeight="1">
      <c r="A2411" s="11"/>
      <c r="B2411" s="12"/>
      <c r="C2411" s="11"/>
      <c r="D2411" s="13"/>
      <c r="E2411" s="14"/>
      <c r="F2411" s="14"/>
      <c r="G2411" s="14"/>
      <c r="H2411" s="15"/>
      <c r="I2411" s="15"/>
      <c r="J2411" s="3"/>
      <c r="K2411" s="3"/>
      <c r="L2411" s="3"/>
      <c r="M2411" s="3"/>
      <c r="N2411" s="3"/>
      <c r="O2411" s="3"/>
      <c r="P2411" s="3"/>
      <c r="Q2411" s="3"/>
      <c r="R2411" s="3"/>
      <c r="S2411" s="3"/>
      <c r="T2411" s="3"/>
      <c r="U2411" s="3"/>
      <c r="V2411" s="3"/>
      <c r="W2411" s="3"/>
      <c r="X2411" s="3"/>
      <c r="Y2411" s="3"/>
      <c r="Z2411" s="3"/>
      <c r="AA2411" s="3"/>
    </row>
    <row r="2412" ht="105.75" customHeight="1">
      <c r="A2412" s="11"/>
      <c r="B2412" s="12"/>
      <c r="C2412" s="11"/>
      <c r="D2412" s="13"/>
      <c r="E2412" s="14"/>
      <c r="F2412" s="14"/>
      <c r="G2412" s="14"/>
      <c r="H2412" s="15"/>
      <c r="I2412" s="15"/>
      <c r="J2412" s="3"/>
      <c r="K2412" s="3"/>
      <c r="L2412" s="3"/>
      <c r="M2412" s="3"/>
      <c r="N2412" s="3"/>
      <c r="O2412" s="3"/>
      <c r="P2412" s="3"/>
      <c r="Q2412" s="3"/>
      <c r="R2412" s="3"/>
      <c r="S2412" s="3"/>
      <c r="T2412" s="3"/>
      <c r="U2412" s="3"/>
      <c r="V2412" s="3"/>
      <c r="W2412" s="3"/>
      <c r="X2412" s="3"/>
      <c r="Y2412" s="3"/>
      <c r="Z2412" s="3"/>
      <c r="AA2412" s="3"/>
    </row>
    <row r="2413" ht="105.75" customHeight="1">
      <c r="A2413" s="11"/>
      <c r="B2413" s="12"/>
      <c r="C2413" s="11"/>
      <c r="D2413" s="13"/>
      <c r="E2413" s="14"/>
      <c r="F2413" s="14"/>
      <c r="G2413" s="14"/>
      <c r="H2413" s="15"/>
      <c r="I2413" s="15"/>
      <c r="J2413" s="3"/>
      <c r="K2413" s="3"/>
      <c r="L2413" s="3"/>
      <c r="M2413" s="3"/>
      <c r="N2413" s="3"/>
      <c r="O2413" s="3"/>
      <c r="P2413" s="3"/>
      <c r="Q2413" s="3"/>
      <c r="R2413" s="3"/>
      <c r="S2413" s="3"/>
      <c r="T2413" s="3"/>
      <c r="U2413" s="3"/>
      <c r="V2413" s="3"/>
      <c r="W2413" s="3"/>
      <c r="X2413" s="3"/>
      <c r="Y2413" s="3"/>
      <c r="Z2413" s="3"/>
      <c r="AA2413" s="3"/>
    </row>
    <row r="2414" ht="105.75" customHeight="1">
      <c r="A2414" s="11"/>
      <c r="B2414" s="12"/>
      <c r="C2414" s="11"/>
      <c r="D2414" s="13"/>
      <c r="E2414" s="14"/>
      <c r="F2414" s="14"/>
      <c r="G2414" s="14"/>
      <c r="H2414" s="15"/>
      <c r="I2414" s="15"/>
      <c r="J2414" s="3"/>
      <c r="K2414" s="3"/>
      <c r="L2414" s="3"/>
      <c r="M2414" s="3"/>
      <c r="N2414" s="3"/>
      <c r="O2414" s="3"/>
      <c r="P2414" s="3"/>
      <c r="Q2414" s="3"/>
      <c r="R2414" s="3"/>
      <c r="S2414" s="3"/>
      <c r="T2414" s="3"/>
      <c r="U2414" s="3"/>
      <c r="V2414" s="3"/>
      <c r="W2414" s="3"/>
      <c r="X2414" s="3"/>
      <c r="Y2414" s="3"/>
      <c r="Z2414" s="3"/>
      <c r="AA2414" s="3"/>
    </row>
    <row r="2415" ht="105.75" customHeight="1">
      <c r="A2415" s="11"/>
      <c r="B2415" s="12"/>
      <c r="C2415" s="11"/>
      <c r="D2415" s="13"/>
      <c r="E2415" s="14"/>
      <c r="F2415" s="14"/>
      <c r="G2415" s="14"/>
      <c r="H2415" s="15"/>
      <c r="I2415" s="15"/>
      <c r="J2415" s="3"/>
      <c r="K2415" s="3"/>
      <c r="L2415" s="3"/>
      <c r="M2415" s="3"/>
      <c r="N2415" s="3"/>
      <c r="O2415" s="3"/>
      <c r="P2415" s="3"/>
      <c r="Q2415" s="3"/>
      <c r="R2415" s="3"/>
      <c r="S2415" s="3"/>
      <c r="T2415" s="3"/>
      <c r="U2415" s="3"/>
      <c r="V2415" s="3"/>
      <c r="W2415" s="3"/>
      <c r="X2415" s="3"/>
      <c r="Y2415" s="3"/>
      <c r="Z2415" s="3"/>
      <c r="AA2415" s="3"/>
    </row>
    <row r="2416" ht="105.75" customHeight="1">
      <c r="A2416" s="11"/>
      <c r="B2416" s="12"/>
      <c r="C2416" s="11"/>
      <c r="D2416" s="13"/>
      <c r="E2416" s="14"/>
      <c r="F2416" s="14"/>
      <c r="G2416" s="14"/>
      <c r="H2416" s="15"/>
      <c r="I2416" s="15"/>
      <c r="J2416" s="3"/>
      <c r="K2416" s="3"/>
      <c r="L2416" s="3"/>
      <c r="M2416" s="3"/>
      <c r="N2416" s="3"/>
      <c r="O2416" s="3"/>
      <c r="P2416" s="3"/>
      <c r="Q2416" s="3"/>
      <c r="R2416" s="3"/>
      <c r="S2416" s="3"/>
      <c r="T2416" s="3"/>
      <c r="U2416" s="3"/>
      <c r="V2416" s="3"/>
      <c r="W2416" s="3"/>
      <c r="X2416" s="3"/>
      <c r="Y2416" s="3"/>
      <c r="Z2416" s="3"/>
      <c r="AA2416" s="3"/>
    </row>
    <row r="2417" ht="105.75" customHeight="1">
      <c r="A2417" s="11"/>
      <c r="B2417" s="12"/>
      <c r="C2417" s="11"/>
      <c r="D2417" s="13"/>
      <c r="E2417" s="14"/>
      <c r="F2417" s="14"/>
      <c r="G2417" s="14"/>
      <c r="H2417" s="15"/>
      <c r="I2417" s="15"/>
      <c r="J2417" s="3"/>
      <c r="K2417" s="3"/>
      <c r="L2417" s="3"/>
      <c r="M2417" s="3"/>
      <c r="N2417" s="3"/>
      <c r="O2417" s="3"/>
      <c r="P2417" s="3"/>
      <c r="Q2417" s="3"/>
      <c r="R2417" s="3"/>
      <c r="S2417" s="3"/>
      <c r="T2417" s="3"/>
      <c r="U2417" s="3"/>
      <c r="V2417" s="3"/>
      <c r="W2417" s="3"/>
      <c r="X2417" s="3"/>
      <c r="Y2417" s="3"/>
      <c r="Z2417" s="3"/>
      <c r="AA2417" s="3"/>
    </row>
    <row r="2418" ht="105.75" customHeight="1">
      <c r="A2418" s="11"/>
      <c r="B2418" s="12"/>
      <c r="C2418" s="11"/>
      <c r="D2418" s="13"/>
      <c r="E2418" s="14"/>
      <c r="F2418" s="14"/>
      <c r="G2418" s="14"/>
      <c r="H2418" s="15"/>
      <c r="I2418" s="15"/>
      <c r="J2418" s="3"/>
      <c r="K2418" s="3"/>
      <c r="L2418" s="3"/>
      <c r="M2418" s="3"/>
      <c r="N2418" s="3"/>
      <c r="O2418" s="3"/>
      <c r="P2418" s="3"/>
      <c r="Q2418" s="3"/>
      <c r="R2418" s="3"/>
      <c r="S2418" s="3"/>
      <c r="T2418" s="3"/>
      <c r="U2418" s="3"/>
      <c r="V2418" s="3"/>
      <c r="W2418" s="3"/>
      <c r="X2418" s="3"/>
      <c r="Y2418" s="3"/>
      <c r="Z2418" s="3"/>
      <c r="AA2418" s="3"/>
    </row>
    <row r="2419" ht="105.75" customHeight="1">
      <c r="A2419" s="11"/>
      <c r="B2419" s="12"/>
      <c r="C2419" s="11"/>
      <c r="D2419" s="13"/>
      <c r="E2419" s="14"/>
      <c r="F2419" s="14"/>
      <c r="G2419" s="14"/>
      <c r="H2419" s="15"/>
      <c r="I2419" s="15"/>
      <c r="J2419" s="3"/>
      <c r="K2419" s="3"/>
      <c r="L2419" s="3"/>
      <c r="M2419" s="3"/>
      <c r="N2419" s="3"/>
      <c r="O2419" s="3"/>
      <c r="P2419" s="3"/>
      <c r="Q2419" s="3"/>
      <c r="R2419" s="3"/>
      <c r="S2419" s="3"/>
      <c r="T2419" s="3"/>
      <c r="U2419" s="3"/>
      <c r="V2419" s="3"/>
      <c r="W2419" s="3"/>
      <c r="X2419" s="3"/>
      <c r="Y2419" s="3"/>
      <c r="Z2419" s="3"/>
      <c r="AA2419" s="3"/>
    </row>
    <row r="2420" ht="105.75" customHeight="1">
      <c r="A2420" s="11"/>
      <c r="B2420" s="12"/>
      <c r="C2420" s="11"/>
      <c r="D2420" s="13"/>
      <c r="E2420" s="16"/>
      <c r="F2420" s="16"/>
      <c r="G2420" s="16"/>
      <c r="H2420" s="15"/>
      <c r="I2420" s="15"/>
      <c r="J2420" s="3"/>
      <c r="K2420" s="3"/>
      <c r="L2420" s="3"/>
      <c r="M2420" s="3"/>
      <c r="N2420" s="3"/>
      <c r="O2420" s="3"/>
      <c r="P2420" s="3"/>
      <c r="Q2420" s="3"/>
      <c r="R2420" s="3"/>
      <c r="S2420" s="3"/>
      <c r="T2420" s="3"/>
      <c r="U2420" s="3"/>
      <c r="V2420" s="3"/>
      <c r="W2420" s="3"/>
      <c r="X2420" s="3"/>
      <c r="Y2420" s="3"/>
      <c r="Z2420" s="3"/>
      <c r="AA2420" s="3"/>
    </row>
    <row r="2421" ht="105.75" customHeight="1">
      <c r="A2421" s="11"/>
      <c r="B2421" s="12"/>
      <c r="C2421" s="11"/>
      <c r="D2421" s="13"/>
      <c r="E2421" s="14"/>
      <c r="F2421" s="14"/>
      <c r="G2421" s="14"/>
      <c r="H2421" s="15"/>
      <c r="I2421" s="15"/>
      <c r="J2421" s="3"/>
      <c r="K2421" s="3"/>
      <c r="L2421" s="3"/>
      <c r="M2421" s="3"/>
      <c r="N2421" s="3"/>
      <c r="O2421" s="3"/>
      <c r="P2421" s="3"/>
      <c r="Q2421" s="3"/>
      <c r="R2421" s="3"/>
      <c r="S2421" s="3"/>
      <c r="T2421" s="3"/>
      <c r="U2421" s="3"/>
      <c r="V2421" s="3"/>
      <c r="W2421" s="3"/>
      <c r="X2421" s="3"/>
      <c r="Y2421" s="3"/>
      <c r="Z2421" s="3"/>
      <c r="AA2421" s="3"/>
    </row>
    <row r="2422" ht="105.75" customHeight="1">
      <c r="A2422" s="11"/>
      <c r="B2422" s="12"/>
      <c r="C2422" s="11"/>
      <c r="D2422" s="13"/>
      <c r="E2422" s="14"/>
      <c r="F2422" s="14"/>
      <c r="G2422" s="14"/>
      <c r="H2422" s="15"/>
      <c r="I2422" s="15"/>
      <c r="J2422" s="3"/>
      <c r="K2422" s="3"/>
      <c r="L2422" s="3"/>
      <c r="M2422" s="3"/>
      <c r="N2422" s="3"/>
      <c r="O2422" s="3"/>
      <c r="P2422" s="3"/>
      <c r="Q2422" s="3"/>
      <c r="R2422" s="3"/>
      <c r="S2422" s="3"/>
      <c r="T2422" s="3"/>
      <c r="U2422" s="3"/>
      <c r="V2422" s="3"/>
      <c r="W2422" s="3"/>
      <c r="X2422" s="3"/>
      <c r="Y2422" s="3"/>
      <c r="Z2422" s="3"/>
      <c r="AA2422" s="3"/>
    </row>
    <row r="2423" ht="105.75" customHeight="1">
      <c r="A2423" s="11"/>
      <c r="B2423" s="12"/>
      <c r="C2423" s="11"/>
      <c r="D2423" s="13"/>
      <c r="E2423" s="14"/>
      <c r="F2423" s="14"/>
      <c r="G2423" s="14"/>
      <c r="H2423" s="15"/>
      <c r="I2423" s="15"/>
      <c r="J2423" s="3"/>
      <c r="K2423" s="3"/>
      <c r="L2423" s="3"/>
      <c r="M2423" s="3"/>
      <c r="N2423" s="3"/>
      <c r="O2423" s="3"/>
      <c r="P2423" s="3"/>
      <c r="Q2423" s="3"/>
      <c r="R2423" s="3"/>
      <c r="S2423" s="3"/>
      <c r="T2423" s="3"/>
      <c r="U2423" s="3"/>
      <c r="V2423" s="3"/>
      <c r="W2423" s="3"/>
      <c r="X2423" s="3"/>
      <c r="Y2423" s="3"/>
      <c r="Z2423" s="3"/>
      <c r="AA2423" s="3"/>
    </row>
    <row r="2424" ht="105.75" customHeight="1">
      <c r="A2424" s="11"/>
      <c r="B2424" s="12"/>
      <c r="C2424" s="11"/>
      <c r="D2424" s="13"/>
      <c r="E2424" s="14"/>
      <c r="F2424" s="14"/>
      <c r="G2424" s="14"/>
      <c r="H2424" s="15"/>
      <c r="I2424" s="15"/>
      <c r="J2424" s="3"/>
      <c r="K2424" s="3"/>
      <c r="L2424" s="3"/>
      <c r="M2424" s="3"/>
      <c r="N2424" s="3"/>
      <c r="O2424" s="3"/>
      <c r="P2424" s="3"/>
      <c r="Q2424" s="3"/>
      <c r="R2424" s="3"/>
      <c r="S2424" s="3"/>
      <c r="T2424" s="3"/>
      <c r="U2424" s="3"/>
      <c r="V2424" s="3"/>
      <c r="W2424" s="3"/>
      <c r="X2424" s="3"/>
      <c r="Y2424" s="3"/>
      <c r="Z2424" s="3"/>
      <c r="AA2424" s="3"/>
    </row>
    <row r="2425" ht="105.75" customHeight="1">
      <c r="A2425" s="11"/>
      <c r="B2425" s="12"/>
      <c r="C2425" s="11"/>
      <c r="D2425" s="13"/>
      <c r="E2425" s="14"/>
      <c r="F2425" s="14"/>
      <c r="G2425" s="14"/>
      <c r="H2425" s="15"/>
      <c r="I2425" s="15"/>
      <c r="J2425" s="3"/>
      <c r="K2425" s="3"/>
      <c r="L2425" s="3"/>
      <c r="M2425" s="3"/>
      <c r="N2425" s="3"/>
      <c r="O2425" s="3"/>
      <c r="P2425" s="3"/>
      <c r="Q2425" s="3"/>
      <c r="R2425" s="3"/>
      <c r="S2425" s="3"/>
      <c r="T2425" s="3"/>
      <c r="U2425" s="3"/>
      <c r="V2425" s="3"/>
      <c r="W2425" s="3"/>
      <c r="X2425" s="3"/>
      <c r="Y2425" s="3"/>
      <c r="Z2425" s="3"/>
      <c r="AA2425" s="3"/>
    </row>
    <row r="2426" ht="105.75" customHeight="1">
      <c r="A2426" s="11"/>
      <c r="B2426" s="12"/>
      <c r="C2426" s="11"/>
      <c r="D2426" s="13"/>
      <c r="E2426" s="14"/>
      <c r="F2426" s="14"/>
      <c r="G2426" s="14"/>
      <c r="H2426" s="15"/>
      <c r="I2426" s="15"/>
      <c r="J2426" s="3"/>
      <c r="K2426" s="3"/>
      <c r="L2426" s="3"/>
      <c r="M2426" s="3"/>
      <c r="N2426" s="3"/>
      <c r="O2426" s="3"/>
      <c r="P2426" s="3"/>
      <c r="Q2426" s="3"/>
      <c r="R2426" s="3"/>
      <c r="S2426" s="3"/>
      <c r="T2426" s="3"/>
      <c r="U2426" s="3"/>
      <c r="V2426" s="3"/>
      <c r="W2426" s="3"/>
      <c r="X2426" s="3"/>
      <c r="Y2426" s="3"/>
      <c r="Z2426" s="3"/>
      <c r="AA2426" s="3"/>
    </row>
    <row r="2427" ht="105.75" customHeight="1">
      <c r="A2427" s="11"/>
      <c r="B2427" s="12"/>
      <c r="C2427" s="11"/>
      <c r="D2427" s="13"/>
      <c r="E2427" s="14"/>
      <c r="F2427" s="14"/>
      <c r="G2427" s="14"/>
      <c r="H2427" s="15"/>
      <c r="I2427" s="15"/>
      <c r="J2427" s="3"/>
      <c r="K2427" s="3"/>
      <c r="L2427" s="3"/>
      <c r="M2427" s="3"/>
      <c r="N2427" s="3"/>
      <c r="O2427" s="3"/>
      <c r="P2427" s="3"/>
      <c r="Q2427" s="3"/>
      <c r="R2427" s="3"/>
      <c r="S2427" s="3"/>
      <c r="T2427" s="3"/>
      <c r="U2427" s="3"/>
      <c r="V2427" s="3"/>
      <c r="W2427" s="3"/>
      <c r="X2427" s="3"/>
      <c r="Y2427" s="3"/>
      <c r="Z2427" s="3"/>
      <c r="AA2427" s="3"/>
    </row>
    <row r="2428" ht="105.75" customHeight="1">
      <c r="A2428" s="11"/>
      <c r="B2428" s="12"/>
      <c r="C2428" s="11"/>
      <c r="D2428" s="13"/>
      <c r="E2428" s="14"/>
      <c r="F2428" s="14"/>
      <c r="G2428" s="14"/>
      <c r="H2428" s="15"/>
      <c r="I2428" s="15"/>
      <c r="J2428" s="3"/>
      <c r="K2428" s="3"/>
      <c r="L2428" s="3"/>
      <c r="M2428" s="3"/>
      <c r="N2428" s="3"/>
      <c r="O2428" s="3"/>
      <c r="P2428" s="3"/>
      <c r="Q2428" s="3"/>
      <c r="R2428" s="3"/>
      <c r="S2428" s="3"/>
      <c r="T2428" s="3"/>
      <c r="U2428" s="3"/>
      <c r="V2428" s="3"/>
      <c r="W2428" s="3"/>
      <c r="X2428" s="3"/>
      <c r="Y2428" s="3"/>
      <c r="Z2428" s="3"/>
      <c r="AA2428" s="3"/>
    </row>
    <row r="2429" ht="105.75" customHeight="1">
      <c r="A2429" s="11"/>
      <c r="B2429" s="12"/>
      <c r="C2429" s="11"/>
      <c r="D2429" s="13"/>
      <c r="E2429" s="14"/>
      <c r="F2429" s="14"/>
      <c r="G2429" s="14"/>
      <c r="H2429" s="15"/>
      <c r="I2429" s="15"/>
      <c r="J2429" s="3"/>
      <c r="K2429" s="3"/>
      <c r="L2429" s="3"/>
      <c r="M2429" s="3"/>
      <c r="N2429" s="3"/>
      <c r="O2429" s="3"/>
      <c r="P2429" s="3"/>
      <c r="Q2429" s="3"/>
      <c r="R2429" s="3"/>
      <c r="S2429" s="3"/>
      <c r="T2429" s="3"/>
      <c r="U2429" s="3"/>
      <c r="V2429" s="3"/>
      <c r="W2429" s="3"/>
      <c r="X2429" s="3"/>
      <c r="Y2429" s="3"/>
      <c r="Z2429" s="3"/>
      <c r="AA2429" s="3"/>
    </row>
    <row r="2430" ht="105.75" customHeight="1">
      <c r="A2430" s="11"/>
      <c r="B2430" s="12"/>
      <c r="C2430" s="11"/>
      <c r="D2430" s="13"/>
      <c r="E2430" s="14"/>
      <c r="F2430" s="14"/>
      <c r="G2430" s="14"/>
      <c r="H2430" s="15"/>
      <c r="I2430" s="15"/>
      <c r="J2430" s="3"/>
      <c r="K2430" s="3"/>
      <c r="L2430" s="3"/>
      <c r="M2430" s="3"/>
      <c r="N2430" s="3"/>
      <c r="O2430" s="3"/>
      <c r="P2430" s="3"/>
      <c r="Q2430" s="3"/>
      <c r="R2430" s="3"/>
      <c r="S2430" s="3"/>
      <c r="T2430" s="3"/>
      <c r="U2430" s="3"/>
      <c r="V2430" s="3"/>
      <c r="W2430" s="3"/>
      <c r="X2430" s="3"/>
      <c r="Y2430" s="3"/>
      <c r="Z2430" s="3"/>
      <c r="AA2430" s="3"/>
    </row>
    <row r="2431" ht="105.75" customHeight="1">
      <c r="A2431" s="11"/>
      <c r="B2431" s="12"/>
      <c r="C2431" s="11"/>
      <c r="D2431" s="13"/>
      <c r="E2431" s="16"/>
      <c r="F2431" s="16"/>
      <c r="G2431" s="16"/>
      <c r="H2431" s="15"/>
      <c r="I2431" s="15"/>
      <c r="J2431" s="3"/>
      <c r="K2431" s="3"/>
      <c r="L2431" s="3"/>
      <c r="M2431" s="3"/>
      <c r="N2431" s="3"/>
      <c r="O2431" s="3"/>
      <c r="P2431" s="3"/>
      <c r="Q2431" s="3"/>
      <c r="R2431" s="3"/>
      <c r="S2431" s="3"/>
      <c r="T2431" s="3"/>
      <c r="U2431" s="3"/>
      <c r="V2431" s="3"/>
      <c r="W2431" s="3"/>
      <c r="X2431" s="3"/>
      <c r="Y2431" s="3"/>
      <c r="Z2431" s="3"/>
      <c r="AA2431" s="3"/>
    </row>
    <row r="2432" ht="105.75" customHeight="1">
      <c r="A2432" s="11"/>
      <c r="B2432" s="12"/>
      <c r="C2432" s="11"/>
      <c r="D2432" s="13"/>
      <c r="E2432" s="16"/>
      <c r="F2432" s="16"/>
      <c r="G2432" s="16"/>
      <c r="H2432" s="15"/>
      <c r="I2432" s="15"/>
      <c r="J2432" s="3"/>
      <c r="K2432" s="3"/>
      <c r="L2432" s="3"/>
      <c r="M2432" s="3"/>
      <c r="N2432" s="3"/>
      <c r="O2432" s="3"/>
      <c r="P2432" s="3"/>
      <c r="Q2432" s="3"/>
      <c r="R2432" s="3"/>
      <c r="S2432" s="3"/>
      <c r="T2432" s="3"/>
      <c r="U2432" s="3"/>
      <c r="V2432" s="3"/>
      <c r="W2432" s="3"/>
      <c r="X2432" s="3"/>
      <c r="Y2432" s="3"/>
      <c r="Z2432" s="3"/>
      <c r="AA2432" s="3"/>
    </row>
    <row r="2433" ht="105.75" customHeight="1">
      <c r="A2433" s="11"/>
      <c r="B2433" s="12"/>
      <c r="C2433" s="11"/>
      <c r="D2433" s="13"/>
      <c r="E2433" s="14"/>
      <c r="F2433" s="14"/>
      <c r="G2433" s="14"/>
      <c r="H2433" s="15"/>
      <c r="I2433" s="15"/>
      <c r="J2433" s="3"/>
      <c r="K2433" s="3"/>
      <c r="L2433" s="3"/>
      <c r="M2433" s="3"/>
      <c r="N2433" s="3"/>
      <c r="O2433" s="3"/>
      <c r="P2433" s="3"/>
      <c r="Q2433" s="3"/>
      <c r="R2433" s="3"/>
      <c r="S2433" s="3"/>
      <c r="T2433" s="3"/>
      <c r="U2433" s="3"/>
      <c r="V2433" s="3"/>
      <c r="W2433" s="3"/>
      <c r="X2433" s="3"/>
      <c r="Y2433" s="3"/>
      <c r="Z2433" s="3"/>
      <c r="AA2433" s="3"/>
    </row>
    <row r="2434" ht="105.75" customHeight="1">
      <c r="A2434" s="11"/>
      <c r="B2434" s="12"/>
      <c r="C2434" s="11"/>
      <c r="D2434" s="13"/>
      <c r="E2434" s="14"/>
      <c r="F2434" s="14"/>
      <c r="G2434" s="14"/>
      <c r="H2434" s="15"/>
      <c r="I2434" s="15"/>
      <c r="J2434" s="3"/>
      <c r="K2434" s="3"/>
      <c r="L2434" s="3"/>
      <c r="M2434" s="3"/>
      <c r="N2434" s="3"/>
      <c r="O2434" s="3"/>
      <c r="P2434" s="3"/>
      <c r="Q2434" s="3"/>
      <c r="R2434" s="3"/>
      <c r="S2434" s="3"/>
      <c r="T2434" s="3"/>
      <c r="U2434" s="3"/>
      <c r="V2434" s="3"/>
      <c r="W2434" s="3"/>
      <c r="X2434" s="3"/>
      <c r="Y2434" s="3"/>
      <c r="Z2434" s="3"/>
      <c r="AA2434" s="3"/>
    </row>
    <row r="2435" ht="105.75" customHeight="1">
      <c r="A2435" s="11"/>
      <c r="B2435" s="12"/>
      <c r="C2435" s="11"/>
      <c r="D2435" s="13"/>
      <c r="E2435" s="14"/>
      <c r="F2435" s="14"/>
      <c r="G2435" s="14"/>
      <c r="H2435" s="15"/>
      <c r="I2435" s="15"/>
      <c r="J2435" s="3"/>
      <c r="K2435" s="3"/>
      <c r="L2435" s="3"/>
      <c r="M2435" s="3"/>
      <c r="N2435" s="3"/>
      <c r="O2435" s="3"/>
      <c r="P2435" s="3"/>
      <c r="Q2435" s="3"/>
      <c r="R2435" s="3"/>
      <c r="S2435" s="3"/>
      <c r="T2435" s="3"/>
      <c r="U2435" s="3"/>
      <c r="V2435" s="3"/>
      <c r="W2435" s="3"/>
      <c r="X2435" s="3"/>
      <c r="Y2435" s="3"/>
      <c r="Z2435" s="3"/>
      <c r="AA2435" s="3"/>
    </row>
    <row r="2436" ht="105.75" customHeight="1">
      <c r="A2436" s="11"/>
      <c r="B2436" s="12"/>
      <c r="C2436" s="11"/>
      <c r="D2436" s="13"/>
      <c r="E2436" s="14"/>
      <c r="F2436" s="14"/>
      <c r="G2436" s="14"/>
      <c r="H2436" s="15"/>
      <c r="I2436" s="15"/>
      <c r="J2436" s="3"/>
      <c r="K2436" s="3"/>
      <c r="L2436" s="3"/>
      <c r="M2436" s="3"/>
      <c r="N2436" s="3"/>
      <c r="O2436" s="3"/>
      <c r="P2436" s="3"/>
      <c r="Q2436" s="3"/>
      <c r="R2436" s="3"/>
      <c r="S2436" s="3"/>
      <c r="T2436" s="3"/>
      <c r="U2436" s="3"/>
      <c r="V2436" s="3"/>
      <c r="W2436" s="3"/>
      <c r="X2436" s="3"/>
      <c r="Y2436" s="3"/>
      <c r="Z2436" s="3"/>
      <c r="AA2436" s="3"/>
    </row>
    <row r="2437" ht="105.75" customHeight="1">
      <c r="A2437" s="11"/>
      <c r="B2437" s="12"/>
      <c r="C2437" s="11"/>
      <c r="D2437" s="13"/>
      <c r="E2437" s="14"/>
      <c r="F2437" s="14"/>
      <c r="G2437" s="14"/>
      <c r="H2437" s="15"/>
      <c r="I2437" s="15"/>
      <c r="J2437" s="3"/>
      <c r="K2437" s="3"/>
      <c r="L2437" s="3"/>
      <c r="M2437" s="3"/>
      <c r="N2437" s="3"/>
      <c r="O2437" s="3"/>
      <c r="P2437" s="3"/>
      <c r="Q2437" s="3"/>
      <c r="R2437" s="3"/>
      <c r="S2437" s="3"/>
      <c r="T2437" s="3"/>
      <c r="U2437" s="3"/>
      <c r="V2437" s="3"/>
      <c r="W2437" s="3"/>
      <c r="X2437" s="3"/>
      <c r="Y2437" s="3"/>
      <c r="Z2437" s="3"/>
      <c r="AA2437" s="3"/>
    </row>
    <row r="2438" ht="105.75" customHeight="1">
      <c r="A2438" s="11"/>
      <c r="B2438" s="12"/>
      <c r="C2438" s="11"/>
      <c r="D2438" s="13"/>
      <c r="E2438" s="14"/>
      <c r="F2438" s="14"/>
      <c r="G2438" s="14"/>
      <c r="H2438" s="15"/>
      <c r="I2438" s="15"/>
      <c r="J2438" s="3"/>
      <c r="K2438" s="3"/>
      <c r="L2438" s="3"/>
      <c r="M2438" s="3"/>
      <c r="N2438" s="3"/>
      <c r="O2438" s="3"/>
      <c r="P2438" s="3"/>
      <c r="Q2438" s="3"/>
      <c r="R2438" s="3"/>
      <c r="S2438" s="3"/>
      <c r="T2438" s="3"/>
      <c r="U2438" s="3"/>
      <c r="V2438" s="3"/>
      <c r="W2438" s="3"/>
      <c r="X2438" s="3"/>
      <c r="Y2438" s="3"/>
      <c r="Z2438" s="3"/>
      <c r="AA2438" s="3"/>
    </row>
    <row r="2439" ht="105.75" customHeight="1">
      <c r="A2439" s="11"/>
      <c r="B2439" s="12"/>
      <c r="C2439" s="11"/>
      <c r="D2439" s="13"/>
      <c r="E2439" s="16"/>
      <c r="F2439" s="16"/>
      <c r="G2439" s="16"/>
      <c r="H2439" s="15"/>
      <c r="I2439" s="15"/>
      <c r="J2439" s="3"/>
      <c r="K2439" s="3"/>
      <c r="L2439" s="3"/>
      <c r="M2439" s="3"/>
      <c r="N2439" s="3"/>
      <c r="O2439" s="3"/>
      <c r="P2439" s="3"/>
      <c r="Q2439" s="3"/>
      <c r="R2439" s="3"/>
      <c r="S2439" s="3"/>
      <c r="T2439" s="3"/>
      <c r="U2439" s="3"/>
      <c r="V2439" s="3"/>
      <c r="W2439" s="3"/>
      <c r="X2439" s="3"/>
      <c r="Y2439" s="3"/>
      <c r="Z2439" s="3"/>
      <c r="AA2439" s="3"/>
    </row>
    <row r="2440" ht="105.75" customHeight="1">
      <c r="A2440" s="11"/>
      <c r="B2440" s="12"/>
      <c r="C2440" s="11"/>
      <c r="D2440" s="13"/>
      <c r="E2440" s="14"/>
      <c r="F2440" s="14"/>
      <c r="G2440" s="14"/>
      <c r="H2440" s="15"/>
      <c r="I2440" s="15"/>
      <c r="J2440" s="3"/>
      <c r="K2440" s="3"/>
      <c r="L2440" s="3"/>
      <c r="M2440" s="3"/>
      <c r="N2440" s="3"/>
      <c r="O2440" s="3"/>
      <c r="P2440" s="3"/>
      <c r="Q2440" s="3"/>
      <c r="R2440" s="3"/>
      <c r="S2440" s="3"/>
      <c r="T2440" s="3"/>
      <c r="U2440" s="3"/>
      <c r="V2440" s="3"/>
      <c r="W2440" s="3"/>
      <c r="X2440" s="3"/>
      <c r="Y2440" s="3"/>
      <c r="Z2440" s="3"/>
      <c r="AA2440" s="3"/>
    </row>
    <row r="2441" ht="105.75" customHeight="1">
      <c r="A2441" s="11"/>
      <c r="B2441" s="12"/>
      <c r="C2441" s="11"/>
      <c r="D2441" s="13"/>
      <c r="E2441" s="16"/>
      <c r="F2441" s="16"/>
      <c r="G2441" s="16"/>
      <c r="H2441" s="15"/>
      <c r="I2441" s="15"/>
      <c r="J2441" s="3"/>
      <c r="K2441" s="3"/>
      <c r="L2441" s="3"/>
      <c r="M2441" s="3"/>
      <c r="N2441" s="3"/>
      <c r="O2441" s="3"/>
      <c r="P2441" s="3"/>
      <c r="Q2441" s="3"/>
      <c r="R2441" s="3"/>
      <c r="S2441" s="3"/>
      <c r="T2441" s="3"/>
      <c r="U2441" s="3"/>
      <c r="V2441" s="3"/>
      <c r="W2441" s="3"/>
      <c r="X2441" s="3"/>
      <c r="Y2441" s="3"/>
      <c r="Z2441" s="3"/>
      <c r="AA2441" s="3"/>
    </row>
    <row r="2442" ht="105.75" customHeight="1">
      <c r="A2442" s="11"/>
      <c r="B2442" s="12"/>
      <c r="C2442" s="11"/>
      <c r="D2442" s="13"/>
      <c r="E2442" s="14"/>
      <c r="F2442" s="14"/>
      <c r="G2442" s="14"/>
      <c r="H2442" s="15"/>
      <c r="I2442" s="15"/>
      <c r="J2442" s="3"/>
      <c r="K2442" s="3"/>
      <c r="L2442" s="3"/>
      <c r="M2442" s="3"/>
      <c r="N2442" s="3"/>
      <c r="O2442" s="3"/>
      <c r="P2442" s="3"/>
      <c r="Q2442" s="3"/>
      <c r="R2442" s="3"/>
      <c r="S2442" s="3"/>
      <c r="T2442" s="3"/>
      <c r="U2442" s="3"/>
      <c r="V2442" s="3"/>
      <c r="W2442" s="3"/>
      <c r="X2442" s="3"/>
      <c r="Y2442" s="3"/>
      <c r="Z2442" s="3"/>
      <c r="AA2442" s="3"/>
    </row>
    <row r="2443" ht="105.75" customHeight="1">
      <c r="A2443" s="11"/>
      <c r="B2443" s="12"/>
      <c r="C2443" s="11"/>
      <c r="D2443" s="13"/>
      <c r="E2443" s="16"/>
      <c r="F2443" s="16"/>
      <c r="G2443" s="16"/>
      <c r="H2443" s="15"/>
      <c r="I2443" s="15"/>
      <c r="J2443" s="3"/>
      <c r="K2443" s="3"/>
      <c r="L2443" s="3"/>
      <c r="M2443" s="3"/>
      <c r="N2443" s="3"/>
      <c r="O2443" s="3"/>
      <c r="P2443" s="3"/>
      <c r="Q2443" s="3"/>
      <c r="R2443" s="3"/>
      <c r="S2443" s="3"/>
      <c r="T2443" s="3"/>
      <c r="U2443" s="3"/>
      <c r="V2443" s="3"/>
      <c r="W2443" s="3"/>
      <c r="X2443" s="3"/>
      <c r="Y2443" s="3"/>
      <c r="Z2443" s="3"/>
      <c r="AA2443" s="3"/>
    </row>
    <row r="2444" ht="105.75" customHeight="1">
      <c r="A2444" s="11"/>
      <c r="B2444" s="12"/>
      <c r="C2444" s="11"/>
      <c r="D2444" s="13"/>
      <c r="E2444" s="14"/>
      <c r="F2444" s="14"/>
      <c r="G2444" s="14"/>
      <c r="H2444" s="15"/>
      <c r="I2444" s="15"/>
      <c r="J2444" s="3"/>
      <c r="K2444" s="3"/>
      <c r="L2444" s="3"/>
      <c r="M2444" s="3"/>
      <c r="N2444" s="3"/>
      <c r="O2444" s="3"/>
      <c r="P2444" s="3"/>
      <c r="Q2444" s="3"/>
      <c r="R2444" s="3"/>
      <c r="S2444" s="3"/>
      <c r="T2444" s="3"/>
      <c r="U2444" s="3"/>
      <c r="V2444" s="3"/>
      <c r="W2444" s="3"/>
      <c r="X2444" s="3"/>
      <c r="Y2444" s="3"/>
      <c r="Z2444" s="3"/>
      <c r="AA2444" s="3"/>
    </row>
    <row r="2445" ht="105.75" customHeight="1">
      <c r="A2445" s="11"/>
      <c r="B2445" s="12"/>
      <c r="C2445" s="11"/>
      <c r="D2445" s="13"/>
      <c r="E2445" s="16"/>
      <c r="F2445" s="16"/>
      <c r="G2445" s="16"/>
      <c r="H2445" s="15"/>
      <c r="I2445" s="15"/>
      <c r="J2445" s="3"/>
      <c r="K2445" s="3"/>
      <c r="L2445" s="3"/>
      <c r="M2445" s="3"/>
      <c r="N2445" s="3"/>
      <c r="O2445" s="3"/>
      <c r="P2445" s="3"/>
      <c r="Q2445" s="3"/>
      <c r="R2445" s="3"/>
      <c r="S2445" s="3"/>
      <c r="T2445" s="3"/>
      <c r="U2445" s="3"/>
      <c r="V2445" s="3"/>
      <c r="W2445" s="3"/>
      <c r="X2445" s="3"/>
      <c r="Y2445" s="3"/>
      <c r="Z2445" s="3"/>
      <c r="AA2445" s="3"/>
    </row>
    <row r="2446" ht="105.75" customHeight="1">
      <c r="A2446" s="11"/>
      <c r="B2446" s="12"/>
      <c r="C2446" s="11"/>
      <c r="D2446" s="13"/>
      <c r="E2446" s="14"/>
      <c r="F2446" s="14"/>
      <c r="G2446" s="14"/>
      <c r="H2446" s="15"/>
      <c r="I2446" s="15"/>
      <c r="J2446" s="3"/>
      <c r="K2446" s="3"/>
      <c r="L2446" s="3"/>
      <c r="M2446" s="3"/>
      <c r="N2446" s="3"/>
      <c r="O2446" s="3"/>
      <c r="P2446" s="3"/>
      <c r="Q2446" s="3"/>
      <c r="R2446" s="3"/>
      <c r="S2446" s="3"/>
      <c r="T2446" s="3"/>
      <c r="U2446" s="3"/>
      <c r="V2446" s="3"/>
      <c r="W2446" s="3"/>
      <c r="X2446" s="3"/>
      <c r="Y2446" s="3"/>
      <c r="Z2446" s="3"/>
      <c r="AA2446" s="3"/>
    </row>
    <row r="2447" ht="105.75" customHeight="1">
      <c r="A2447" s="11"/>
      <c r="B2447" s="12"/>
      <c r="C2447" s="11"/>
      <c r="D2447" s="13"/>
      <c r="E2447" s="16"/>
      <c r="F2447" s="16"/>
      <c r="G2447" s="16"/>
      <c r="H2447" s="15"/>
      <c r="I2447" s="15"/>
      <c r="J2447" s="3"/>
      <c r="K2447" s="3"/>
      <c r="L2447" s="3"/>
      <c r="M2447" s="3"/>
      <c r="N2447" s="3"/>
      <c r="O2447" s="3"/>
      <c r="P2447" s="3"/>
      <c r="Q2447" s="3"/>
      <c r="R2447" s="3"/>
      <c r="S2447" s="3"/>
      <c r="T2447" s="3"/>
      <c r="U2447" s="3"/>
      <c r="V2447" s="3"/>
      <c r="W2447" s="3"/>
      <c r="X2447" s="3"/>
      <c r="Y2447" s="3"/>
      <c r="Z2447" s="3"/>
      <c r="AA2447" s="3"/>
    </row>
    <row r="2448" ht="105.75" customHeight="1">
      <c r="A2448" s="11"/>
      <c r="B2448" s="12"/>
      <c r="C2448" s="11"/>
      <c r="D2448" s="13"/>
      <c r="E2448" s="16"/>
      <c r="F2448" s="16"/>
      <c r="G2448" s="16"/>
      <c r="H2448" s="15"/>
      <c r="I2448" s="15"/>
      <c r="J2448" s="3"/>
      <c r="K2448" s="3"/>
      <c r="L2448" s="3"/>
      <c r="M2448" s="3"/>
      <c r="N2448" s="3"/>
      <c r="O2448" s="3"/>
      <c r="P2448" s="3"/>
      <c r="Q2448" s="3"/>
      <c r="R2448" s="3"/>
      <c r="S2448" s="3"/>
      <c r="T2448" s="3"/>
      <c r="U2448" s="3"/>
      <c r="V2448" s="3"/>
      <c r="W2448" s="3"/>
      <c r="X2448" s="3"/>
      <c r="Y2448" s="3"/>
      <c r="Z2448" s="3"/>
      <c r="AA2448" s="3"/>
    </row>
    <row r="2449" ht="105.75" customHeight="1">
      <c r="A2449" s="11"/>
      <c r="B2449" s="12"/>
      <c r="C2449" s="11"/>
      <c r="D2449" s="13"/>
      <c r="E2449" s="14"/>
      <c r="F2449" s="14"/>
      <c r="G2449" s="14"/>
      <c r="H2449" s="15"/>
      <c r="I2449" s="15"/>
      <c r="J2449" s="3"/>
      <c r="K2449" s="3"/>
      <c r="L2449" s="3"/>
      <c r="M2449" s="3"/>
      <c r="N2449" s="3"/>
      <c r="O2449" s="3"/>
      <c r="P2449" s="3"/>
      <c r="Q2449" s="3"/>
      <c r="R2449" s="3"/>
      <c r="S2449" s="3"/>
      <c r="T2449" s="3"/>
      <c r="U2449" s="3"/>
      <c r="V2449" s="3"/>
      <c r="W2449" s="3"/>
      <c r="X2449" s="3"/>
      <c r="Y2449" s="3"/>
      <c r="Z2449" s="3"/>
      <c r="AA2449" s="3"/>
    </row>
    <row r="2450" ht="105.75" customHeight="1">
      <c r="A2450" s="11"/>
      <c r="B2450" s="12"/>
      <c r="C2450" s="11"/>
      <c r="D2450" s="13"/>
      <c r="E2450" s="14"/>
      <c r="F2450" s="14"/>
      <c r="G2450" s="14"/>
      <c r="H2450" s="15"/>
      <c r="I2450" s="15"/>
      <c r="J2450" s="3"/>
      <c r="K2450" s="3"/>
      <c r="L2450" s="3"/>
      <c r="M2450" s="3"/>
      <c r="N2450" s="3"/>
      <c r="O2450" s="3"/>
      <c r="P2450" s="3"/>
      <c r="Q2450" s="3"/>
      <c r="R2450" s="3"/>
      <c r="S2450" s="3"/>
      <c r="T2450" s="3"/>
      <c r="U2450" s="3"/>
      <c r="V2450" s="3"/>
      <c r="W2450" s="3"/>
      <c r="X2450" s="3"/>
      <c r="Y2450" s="3"/>
      <c r="Z2450" s="3"/>
      <c r="AA2450" s="3"/>
    </row>
    <row r="2451" ht="105.75" customHeight="1">
      <c r="A2451" s="11"/>
      <c r="B2451" s="12"/>
      <c r="C2451" s="11"/>
      <c r="D2451" s="13"/>
      <c r="E2451" s="16"/>
      <c r="F2451" s="16"/>
      <c r="G2451" s="16"/>
      <c r="H2451" s="15"/>
      <c r="I2451" s="15"/>
      <c r="J2451" s="3"/>
      <c r="K2451" s="3"/>
      <c r="L2451" s="3"/>
      <c r="M2451" s="3"/>
      <c r="N2451" s="3"/>
      <c r="O2451" s="3"/>
      <c r="P2451" s="3"/>
      <c r="Q2451" s="3"/>
      <c r="R2451" s="3"/>
      <c r="S2451" s="3"/>
      <c r="T2451" s="3"/>
      <c r="U2451" s="3"/>
      <c r="V2451" s="3"/>
      <c r="W2451" s="3"/>
      <c r="X2451" s="3"/>
      <c r="Y2451" s="3"/>
      <c r="Z2451" s="3"/>
      <c r="AA2451" s="3"/>
    </row>
    <row r="2452" ht="105.75" customHeight="1">
      <c r="A2452" s="11"/>
      <c r="B2452" s="12"/>
      <c r="C2452" s="11"/>
      <c r="D2452" s="13"/>
      <c r="E2452" s="14"/>
      <c r="F2452" s="14"/>
      <c r="G2452" s="14"/>
      <c r="H2452" s="15"/>
      <c r="I2452" s="15"/>
      <c r="J2452" s="3"/>
      <c r="K2452" s="3"/>
      <c r="L2452" s="3"/>
      <c r="M2452" s="3"/>
      <c r="N2452" s="3"/>
      <c r="O2452" s="3"/>
      <c r="P2452" s="3"/>
      <c r="Q2452" s="3"/>
      <c r="R2452" s="3"/>
      <c r="S2452" s="3"/>
      <c r="T2452" s="3"/>
      <c r="U2452" s="3"/>
      <c r="V2452" s="3"/>
      <c r="W2452" s="3"/>
      <c r="X2452" s="3"/>
      <c r="Y2452" s="3"/>
      <c r="Z2452" s="3"/>
      <c r="AA2452" s="3"/>
    </row>
    <row r="2453" ht="105.75" customHeight="1">
      <c r="A2453" s="11"/>
      <c r="B2453" s="12"/>
      <c r="C2453" s="11"/>
      <c r="D2453" s="13"/>
      <c r="E2453" s="16"/>
      <c r="F2453" s="16"/>
      <c r="G2453" s="16"/>
      <c r="H2453" s="15"/>
      <c r="I2453" s="15"/>
      <c r="J2453" s="3"/>
      <c r="K2453" s="3"/>
      <c r="L2453" s="3"/>
      <c r="M2453" s="3"/>
      <c r="N2453" s="3"/>
      <c r="O2453" s="3"/>
      <c r="P2453" s="3"/>
      <c r="Q2453" s="3"/>
      <c r="R2453" s="3"/>
      <c r="S2453" s="3"/>
      <c r="T2453" s="3"/>
      <c r="U2453" s="3"/>
      <c r="V2453" s="3"/>
      <c r="W2453" s="3"/>
      <c r="X2453" s="3"/>
      <c r="Y2453" s="3"/>
      <c r="Z2453" s="3"/>
      <c r="AA2453" s="3"/>
    </row>
    <row r="2454" ht="105.75" customHeight="1">
      <c r="A2454" s="11"/>
      <c r="B2454" s="12"/>
      <c r="C2454" s="11"/>
      <c r="D2454" s="13"/>
      <c r="E2454" s="14"/>
      <c r="F2454" s="14"/>
      <c r="G2454" s="14"/>
      <c r="H2454" s="15"/>
      <c r="I2454" s="15"/>
      <c r="J2454" s="3"/>
      <c r="K2454" s="3"/>
      <c r="L2454" s="3"/>
      <c r="M2454" s="3"/>
      <c r="N2454" s="3"/>
      <c r="O2454" s="3"/>
      <c r="P2454" s="3"/>
      <c r="Q2454" s="3"/>
      <c r="R2454" s="3"/>
      <c r="S2454" s="3"/>
      <c r="T2454" s="3"/>
      <c r="U2454" s="3"/>
      <c r="V2454" s="3"/>
      <c r="W2454" s="3"/>
      <c r="X2454" s="3"/>
      <c r="Y2454" s="3"/>
      <c r="Z2454" s="3"/>
      <c r="AA2454" s="3"/>
    </row>
    <row r="2455" ht="105.75" customHeight="1">
      <c r="A2455" s="11"/>
      <c r="B2455" s="12"/>
      <c r="C2455" s="11"/>
      <c r="D2455" s="13"/>
      <c r="E2455" s="14"/>
      <c r="F2455" s="14"/>
      <c r="G2455" s="14"/>
      <c r="H2455" s="15"/>
      <c r="I2455" s="15"/>
      <c r="J2455" s="3"/>
      <c r="K2455" s="3"/>
      <c r="L2455" s="3"/>
      <c r="M2455" s="3"/>
      <c r="N2455" s="3"/>
      <c r="O2455" s="3"/>
      <c r="P2455" s="3"/>
      <c r="Q2455" s="3"/>
      <c r="R2455" s="3"/>
      <c r="S2455" s="3"/>
      <c r="T2455" s="3"/>
      <c r="U2455" s="3"/>
      <c r="V2455" s="3"/>
      <c r="W2455" s="3"/>
      <c r="X2455" s="3"/>
      <c r="Y2455" s="3"/>
      <c r="Z2455" s="3"/>
      <c r="AA2455" s="3"/>
    </row>
    <row r="2456" ht="105.75" customHeight="1">
      <c r="A2456" s="11"/>
      <c r="B2456" s="12"/>
      <c r="C2456" s="11"/>
      <c r="D2456" s="13"/>
      <c r="E2456" s="14"/>
      <c r="F2456" s="14"/>
      <c r="G2456" s="14"/>
      <c r="H2456" s="15"/>
      <c r="I2456" s="15"/>
      <c r="J2456" s="3"/>
      <c r="K2456" s="3"/>
      <c r="L2456" s="3"/>
      <c r="M2456" s="3"/>
      <c r="N2456" s="3"/>
      <c r="O2456" s="3"/>
      <c r="P2456" s="3"/>
      <c r="Q2456" s="3"/>
      <c r="R2456" s="3"/>
      <c r="S2456" s="3"/>
      <c r="T2456" s="3"/>
      <c r="U2456" s="3"/>
      <c r="V2456" s="3"/>
      <c r="W2456" s="3"/>
      <c r="X2456" s="3"/>
      <c r="Y2456" s="3"/>
      <c r="Z2456" s="3"/>
      <c r="AA2456" s="3"/>
    </row>
    <row r="2457" ht="105.75" customHeight="1">
      <c r="A2457" s="11"/>
      <c r="B2457" s="12"/>
      <c r="C2457" s="11"/>
      <c r="D2457" s="13"/>
      <c r="E2457" s="14"/>
      <c r="F2457" s="14"/>
      <c r="G2457" s="14"/>
      <c r="H2457" s="15"/>
      <c r="I2457" s="15"/>
      <c r="J2457" s="3"/>
      <c r="K2457" s="3"/>
      <c r="L2457" s="3"/>
      <c r="M2457" s="3"/>
      <c r="N2457" s="3"/>
      <c r="O2457" s="3"/>
      <c r="P2457" s="3"/>
      <c r="Q2457" s="3"/>
      <c r="R2457" s="3"/>
      <c r="S2457" s="3"/>
      <c r="T2457" s="3"/>
      <c r="U2457" s="3"/>
      <c r="V2457" s="3"/>
      <c r="W2457" s="3"/>
      <c r="X2457" s="3"/>
      <c r="Y2457" s="3"/>
      <c r="Z2457" s="3"/>
      <c r="AA2457" s="3"/>
    </row>
    <row r="2458" ht="105.75" customHeight="1">
      <c r="A2458" s="11"/>
      <c r="B2458" s="12"/>
      <c r="C2458" s="11"/>
      <c r="D2458" s="13"/>
      <c r="E2458" s="14"/>
      <c r="F2458" s="14"/>
      <c r="G2458" s="14"/>
      <c r="H2458" s="15"/>
      <c r="I2458" s="15"/>
      <c r="J2458" s="3"/>
      <c r="K2458" s="3"/>
      <c r="L2458" s="3"/>
      <c r="M2458" s="3"/>
      <c r="N2458" s="3"/>
      <c r="O2458" s="3"/>
      <c r="P2458" s="3"/>
      <c r="Q2458" s="3"/>
      <c r="R2458" s="3"/>
      <c r="S2458" s="3"/>
      <c r="T2458" s="3"/>
      <c r="U2458" s="3"/>
      <c r="V2458" s="3"/>
      <c r="W2458" s="3"/>
      <c r="X2458" s="3"/>
      <c r="Y2458" s="3"/>
      <c r="Z2458" s="3"/>
      <c r="AA2458" s="3"/>
    </row>
    <row r="2459" ht="105.75" customHeight="1">
      <c r="A2459" s="11"/>
      <c r="B2459" s="12"/>
      <c r="C2459" s="11"/>
      <c r="D2459" s="13"/>
      <c r="E2459" s="14"/>
      <c r="F2459" s="14"/>
      <c r="G2459" s="14"/>
      <c r="H2459" s="15"/>
      <c r="I2459" s="15"/>
      <c r="J2459" s="3"/>
      <c r="K2459" s="3"/>
      <c r="L2459" s="3"/>
      <c r="M2459" s="3"/>
      <c r="N2459" s="3"/>
      <c r="O2459" s="3"/>
      <c r="P2459" s="3"/>
      <c r="Q2459" s="3"/>
      <c r="R2459" s="3"/>
      <c r="S2459" s="3"/>
      <c r="T2459" s="3"/>
      <c r="U2459" s="3"/>
      <c r="V2459" s="3"/>
      <c r="W2459" s="3"/>
      <c r="X2459" s="3"/>
      <c r="Y2459" s="3"/>
      <c r="Z2459" s="3"/>
      <c r="AA2459" s="3"/>
    </row>
    <row r="2460" ht="105.75" customHeight="1">
      <c r="A2460" s="11"/>
      <c r="B2460" s="12"/>
      <c r="C2460" s="11"/>
      <c r="D2460" s="13"/>
      <c r="E2460" s="14"/>
      <c r="F2460" s="14"/>
      <c r="G2460" s="14"/>
      <c r="H2460" s="15"/>
      <c r="I2460" s="15"/>
      <c r="J2460" s="3"/>
      <c r="K2460" s="3"/>
      <c r="L2460" s="3"/>
      <c r="M2460" s="3"/>
      <c r="N2460" s="3"/>
      <c r="O2460" s="3"/>
      <c r="P2460" s="3"/>
      <c r="Q2460" s="3"/>
      <c r="R2460" s="3"/>
      <c r="S2460" s="3"/>
      <c r="T2460" s="3"/>
      <c r="U2460" s="3"/>
      <c r="V2460" s="3"/>
      <c r="W2460" s="3"/>
      <c r="X2460" s="3"/>
      <c r="Y2460" s="3"/>
      <c r="Z2460" s="3"/>
      <c r="AA2460" s="3"/>
    </row>
    <row r="2461" ht="105.75" customHeight="1">
      <c r="A2461" s="11"/>
      <c r="B2461" s="12"/>
      <c r="C2461" s="11"/>
      <c r="D2461" s="13"/>
      <c r="E2461" s="14"/>
      <c r="F2461" s="14"/>
      <c r="G2461" s="14"/>
      <c r="H2461" s="15"/>
      <c r="I2461" s="15"/>
      <c r="J2461" s="3"/>
      <c r="K2461" s="3"/>
      <c r="L2461" s="3"/>
      <c r="M2461" s="3"/>
      <c r="N2461" s="3"/>
      <c r="O2461" s="3"/>
      <c r="P2461" s="3"/>
      <c r="Q2461" s="3"/>
      <c r="R2461" s="3"/>
      <c r="S2461" s="3"/>
      <c r="T2461" s="3"/>
      <c r="U2461" s="3"/>
      <c r="V2461" s="3"/>
      <c r="W2461" s="3"/>
      <c r="X2461" s="3"/>
      <c r="Y2461" s="3"/>
      <c r="Z2461" s="3"/>
      <c r="AA2461" s="3"/>
    </row>
    <row r="2462" ht="105.75" customHeight="1">
      <c r="A2462" s="11"/>
      <c r="B2462" s="12"/>
      <c r="C2462" s="11"/>
      <c r="D2462" s="13"/>
      <c r="E2462" s="14"/>
      <c r="F2462" s="14"/>
      <c r="G2462" s="14"/>
      <c r="H2462" s="15"/>
      <c r="I2462" s="15"/>
      <c r="J2462" s="3"/>
      <c r="K2462" s="3"/>
      <c r="L2462" s="3"/>
      <c r="M2462" s="3"/>
      <c r="N2462" s="3"/>
      <c r="O2462" s="3"/>
      <c r="P2462" s="3"/>
      <c r="Q2462" s="3"/>
      <c r="R2462" s="3"/>
      <c r="S2462" s="3"/>
      <c r="T2462" s="3"/>
      <c r="U2462" s="3"/>
      <c r="V2462" s="3"/>
      <c r="W2462" s="3"/>
      <c r="X2462" s="3"/>
      <c r="Y2462" s="3"/>
      <c r="Z2462" s="3"/>
      <c r="AA2462" s="3"/>
    </row>
    <row r="2463" ht="105.75" customHeight="1">
      <c r="A2463" s="11"/>
      <c r="B2463" s="12"/>
      <c r="C2463" s="11"/>
      <c r="D2463" s="13"/>
      <c r="E2463" s="14"/>
      <c r="F2463" s="14"/>
      <c r="G2463" s="14"/>
      <c r="H2463" s="15"/>
      <c r="I2463" s="15"/>
      <c r="J2463" s="3"/>
      <c r="K2463" s="3"/>
      <c r="L2463" s="3"/>
      <c r="M2463" s="3"/>
      <c r="N2463" s="3"/>
      <c r="O2463" s="3"/>
      <c r="P2463" s="3"/>
      <c r="Q2463" s="3"/>
      <c r="R2463" s="3"/>
      <c r="S2463" s="3"/>
      <c r="T2463" s="3"/>
      <c r="U2463" s="3"/>
      <c r="V2463" s="3"/>
      <c r="W2463" s="3"/>
      <c r="X2463" s="3"/>
      <c r="Y2463" s="3"/>
      <c r="Z2463" s="3"/>
      <c r="AA2463" s="3"/>
    </row>
    <row r="2464" ht="105.75" customHeight="1">
      <c r="A2464" s="11"/>
      <c r="B2464" s="12"/>
      <c r="C2464" s="11"/>
      <c r="D2464" s="13"/>
      <c r="E2464" s="14"/>
      <c r="F2464" s="14"/>
      <c r="G2464" s="14"/>
      <c r="H2464" s="15"/>
      <c r="I2464" s="15"/>
      <c r="J2464" s="3"/>
      <c r="K2464" s="3"/>
      <c r="L2464" s="3"/>
      <c r="M2464" s="3"/>
      <c r="N2464" s="3"/>
      <c r="O2464" s="3"/>
      <c r="P2464" s="3"/>
      <c r="Q2464" s="3"/>
      <c r="R2464" s="3"/>
      <c r="S2464" s="3"/>
      <c r="T2464" s="3"/>
      <c r="U2464" s="3"/>
      <c r="V2464" s="3"/>
      <c r="W2464" s="3"/>
      <c r="X2464" s="3"/>
      <c r="Y2464" s="3"/>
      <c r="Z2464" s="3"/>
      <c r="AA2464" s="3"/>
    </row>
    <row r="2465" ht="105.75" customHeight="1">
      <c r="A2465" s="11"/>
      <c r="B2465" s="12"/>
      <c r="C2465" s="11"/>
      <c r="D2465" s="13"/>
      <c r="E2465" s="14"/>
      <c r="F2465" s="14"/>
      <c r="G2465" s="14"/>
      <c r="H2465" s="15"/>
      <c r="I2465" s="15"/>
      <c r="J2465" s="3"/>
      <c r="K2465" s="3"/>
      <c r="L2465" s="3"/>
      <c r="M2465" s="3"/>
      <c r="N2465" s="3"/>
      <c r="O2465" s="3"/>
      <c r="P2465" s="3"/>
      <c r="Q2465" s="3"/>
      <c r="R2465" s="3"/>
      <c r="S2465" s="3"/>
      <c r="T2465" s="3"/>
      <c r="U2465" s="3"/>
      <c r="V2465" s="3"/>
      <c r="W2465" s="3"/>
      <c r="X2465" s="3"/>
      <c r="Y2465" s="3"/>
      <c r="Z2465" s="3"/>
      <c r="AA2465" s="3"/>
    </row>
    <row r="2466" ht="105.75" customHeight="1">
      <c r="A2466" s="11"/>
      <c r="B2466" s="12"/>
      <c r="C2466" s="11"/>
      <c r="D2466" s="13"/>
      <c r="E2466" s="14"/>
      <c r="F2466" s="14"/>
      <c r="G2466" s="14"/>
      <c r="H2466" s="15"/>
      <c r="I2466" s="15"/>
      <c r="J2466" s="3"/>
      <c r="K2466" s="3"/>
      <c r="L2466" s="3"/>
      <c r="M2466" s="3"/>
      <c r="N2466" s="3"/>
      <c r="O2466" s="3"/>
      <c r="P2466" s="3"/>
      <c r="Q2466" s="3"/>
      <c r="R2466" s="3"/>
      <c r="S2466" s="3"/>
      <c r="T2466" s="3"/>
      <c r="U2466" s="3"/>
      <c r="V2466" s="3"/>
      <c r="W2466" s="3"/>
      <c r="X2466" s="3"/>
      <c r="Y2466" s="3"/>
      <c r="Z2466" s="3"/>
      <c r="AA2466" s="3"/>
    </row>
    <row r="2467" ht="105.75" customHeight="1">
      <c r="A2467" s="11"/>
      <c r="B2467" s="12"/>
      <c r="C2467" s="11"/>
      <c r="D2467" s="13"/>
      <c r="E2467" s="14"/>
      <c r="F2467" s="14"/>
      <c r="G2467" s="14"/>
      <c r="H2467" s="15"/>
      <c r="I2467" s="15"/>
      <c r="J2467" s="3"/>
      <c r="K2467" s="3"/>
      <c r="L2467" s="3"/>
      <c r="M2467" s="3"/>
      <c r="N2467" s="3"/>
      <c r="O2467" s="3"/>
      <c r="P2467" s="3"/>
      <c r="Q2467" s="3"/>
      <c r="R2467" s="3"/>
      <c r="S2467" s="3"/>
      <c r="T2467" s="3"/>
      <c r="U2467" s="3"/>
      <c r="V2467" s="3"/>
      <c r="W2467" s="3"/>
      <c r="X2467" s="3"/>
      <c r="Y2467" s="3"/>
      <c r="Z2467" s="3"/>
      <c r="AA2467" s="3"/>
    </row>
    <row r="2468" ht="105.75" customHeight="1">
      <c r="A2468" s="11"/>
      <c r="B2468" s="12"/>
      <c r="C2468" s="11"/>
      <c r="D2468" s="13"/>
      <c r="E2468" s="14"/>
      <c r="F2468" s="14"/>
      <c r="G2468" s="14"/>
      <c r="H2468" s="15"/>
      <c r="I2468" s="15"/>
      <c r="J2468" s="3"/>
      <c r="K2468" s="3"/>
      <c r="L2468" s="3"/>
      <c r="M2468" s="3"/>
      <c r="N2468" s="3"/>
      <c r="O2468" s="3"/>
      <c r="P2468" s="3"/>
      <c r="Q2468" s="3"/>
      <c r="R2468" s="3"/>
      <c r="S2468" s="3"/>
      <c r="T2468" s="3"/>
      <c r="U2468" s="3"/>
      <c r="V2468" s="3"/>
      <c r="W2468" s="3"/>
      <c r="X2468" s="3"/>
      <c r="Y2468" s="3"/>
      <c r="Z2468" s="3"/>
      <c r="AA2468" s="3"/>
    </row>
    <row r="2469" ht="105.75" customHeight="1">
      <c r="A2469" s="11"/>
      <c r="B2469" s="12"/>
      <c r="C2469" s="11"/>
      <c r="D2469" s="13"/>
      <c r="E2469" s="14"/>
      <c r="F2469" s="14"/>
      <c r="G2469" s="14"/>
      <c r="H2469" s="15"/>
      <c r="I2469" s="15"/>
      <c r="J2469" s="3"/>
      <c r="K2469" s="3"/>
      <c r="L2469" s="3"/>
      <c r="M2469" s="3"/>
      <c r="N2469" s="3"/>
      <c r="O2469" s="3"/>
      <c r="P2469" s="3"/>
      <c r="Q2469" s="3"/>
      <c r="R2469" s="3"/>
      <c r="S2469" s="3"/>
      <c r="T2469" s="3"/>
      <c r="U2469" s="3"/>
      <c r="V2469" s="3"/>
      <c r="W2469" s="3"/>
      <c r="X2469" s="3"/>
      <c r="Y2469" s="3"/>
      <c r="Z2469" s="3"/>
      <c r="AA2469" s="3"/>
    </row>
    <row r="2470" ht="105.75" customHeight="1">
      <c r="A2470" s="11"/>
      <c r="B2470" s="12"/>
      <c r="C2470" s="11"/>
      <c r="D2470" s="13"/>
      <c r="E2470" s="16"/>
      <c r="F2470" s="16"/>
      <c r="G2470" s="16"/>
      <c r="H2470" s="15"/>
      <c r="I2470" s="15"/>
      <c r="J2470" s="3"/>
      <c r="K2470" s="3"/>
      <c r="L2470" s="3"/>
      <c r="M2470" s="3"/>
      <c r="N2470" s="3"/>
      <c r="O2470" s="3"/>
      <c r="P2470" s="3"/>
      <c r="Q2470" s="3"/>
      <c r="R2470" s="3"/>
      <c r="S2470" s="3"/>
      <c r="T2470" s="3"/>
      <c r="U2470" s="3"/>
      <c r="V2470" s="3"/>
      <c r="W2470" s="3"/>
      <c r="X2470" s="3"/>
      <c r="Y2470" s="3"/>
      <c r="Z2470" s="3"/>
      <c r="AA2470" s="3"/>
    </row>
    <row r="2471" ht="105.75" customHeight="1">
      <c r="A2471" s="11"/>
      <c r="B2471" s="12"/>
      <c r="C2471" s="11"/>
      <c r="D2471" s="13"/>
      <c r="E2471" s="14"/>
      <c r="F2471" s="14"/>
      <c r="G2471" s="14"/>
      <c r="H2471" s="15"/>
      <c r="I2471" s="15"/>
      <c r="J2471" s="3"/>
      <c r="K2471" s="3"/>
      <c r="L2471" s="3"/>
      <c r="M2471" s="3"/>
      <c r="N2471" s="3"/>
      <c r="O2471" s="3"/>
      <c r="P2471" s="3"/>
      <c r="Q2471" s="3"/>
      <c r="R2471" s="3"/>
      <c r="S2471" s="3"/>
      <c r="T2471" s="3"/>
      <c r="U2471" s="3"/>
      <c r="V2471" s="3"/>
      <c r="W2471" s="3"/>
      <c r="X2471" s="3"/>
      <c r="Y2471" s="3"/>
      <c r="Z2471" s="3"/>
      <c r="AA2471" s="3"/>
    </row>
    <row r="2472" ht="105.75" customHeight="1">
      <c r="A2472" s="11"/>
      <c r="B2472" s="12"/>
      <c r="C2472" s="11"/>
      <c r="D2472" s="13"/>
      <c r="E2472" s="16"/>
      <c r="F2472" s="16"/>
      <c r="G2472" s="16"/>
      <c r="H2472" s="15"/>
      <c r="I2472" s="15"/>
      <c r="J2472" s="3"/>
      <c r="K2472" s="3"/>
      <c r="L2472" s="3"/>
      <c r="M2472" s="3"/>
      <c r="N2472" s="3"/>
      <c r="O2472" s="3"/>
      <c r="P2472" s="3"/>
      <c r="Q2472" s="3"/>
      <c r="R2472" s="3"/>
      <c r="S2472" s="3"/>
      <c r="T2472" s="3"/>
      <c r="U2472" s="3"/>
      <c r="V2472" s="3"/>
      <c r="W2472" s="3"/>
      <c r="X2472" s="3"/>
      <c r="Y2472" s="3"/>
      <c r="Z2472" s="3"/>
      <c r="AA2472" s="3"/>
    </row>
    <row r="2473" ht="105.75" customHeight="1">
      <c r="A2473" s="11"/>
      <c r="B2473" s="12"/>
      <c r="C2473" s="11"/>
      <c r="D2473" s="13"/>
      <c r="E2473" s="14"/>
      <c r="F2473" s="14"/>
      <c r="G2473" s="14"/>
      <c r="H2473" s="15"/>
      <c r="I2473" s="15"/>
      <c r="J2473" s="3"/>
      <c r="K2473" s="3"/>
      <c r="L2473" s="3"/>
      <c r="M2473" s="3"/>
      <c r="N2473" s="3"/>
      <c r="O2473" s="3"/>
      <c r="P2473" s="3"/>
      <c r="Q2473" s="3"/>
      <c r="R2473" s="3"/>
      <c r="S2473" s="3"/>
      <c r="T2473" s="3"/>
      <c r="U2473" s="3"/>
      <c r="V2473" s="3"/>
      <c r="W2473" s="3"/>
      <c r="X2473" s="3"/>
      <c r="Y2473" s="3"/>
      <c r="Z2473" s="3"/>
      <c r="AA2473" s="3"/>
    </row>
    <row r="2474" ht="105.75" customHeight="1">
      <c r="A2474" s="11"/>
      <c r="B2474" s="12"/>
      <c r="C2474" s="11"/>
      <c r="D2474" s="13"/>
      <c r="E2474" s="14"/>
      <c r="F2474" s="14"/>
      <c r="G2474" s="14"/>
      <c r="H2474" s="15"/>
      <c r="I2474" s="15"/>
      <c r="J2474" s="3"/>
      <c r="K2474" s="3"/>
      <c r="L2474" s="3"/>
      <c r="M2474" s="3"/>
      <c r="N2474" s="3"/>
      <c r="O2474" s="3"/>
      <c r="P2474" s="3"/>
      <c r="Q2474" s="3"/>
      <c r="R2474" s="3"/>
      <c r="S2474" s="3"/>
      <c r="T2474" s="3"/>
      <c r="U2474" s="3"/>
      <c r="V2474" s="3"/>
      <c r="W2474" s="3"/>
      <c r="X2474" s="3"/>
      <c r="Y2474" s="3"/>
      <c r="Z2474" s="3"/>
      <c r="AA2474" s="3"/>
    </row>
    <row r="2475" ht="105.75" customHeight="1">
      <c r="A2475" s="11"/>
      <c r="B2475" s="12"/>
      <c r="C2475" s="11"/>
      <c r="D2475" s="13"/>
      <c r="E2475" s="14"/>
      <c r="F2475" s="14"/>
      <c r="G2475" s="14"/>
      <c r="H2475" s="15"/>
      <c r="I2475" s="15"/>
      <c r="J2475" s="3"/>
      <c r="K2475" s="3"/>
      <c r="L2475" s="3"/>
      <c r="M2475" s="3"/>
      <c r="N2475" s="3"/>
      <c r="O2475" s="3"/>
      <c r="P2475" s="3"/>
      <c r="Q2475" s="3"/>
      <c r="R2475" s="3"/>
      <c r="S2475" s="3"/>
      <c r="T2475" s="3"/>
      <c r="U2475" s="3"/>
      <c r="V2475" s="3"/>
      <c r="W2475" s="3"/>
      <c r="X2475" s="3"/>
      <c r="Y2475" s="3"/>
      <c r="Z2475" s="3"/>
      <c r="AA2475" s="3"/>
    </row>
    <row r="2476" ht="105.75" customHeight="1">
      <c r="A2476" s="11"/>
      <c r="B2476" s="12"/>
      <c r="C2476" s="11"/>
      <c r="D2476" s="13"/>
      <c r="E2476" s="14"/>
      <c r="F2476" s="14"/>
      <c r="G2476" s="14"/>
      <c r="H2476" s="15"/>
      <c r="I2476" s="15"/>
      <c r="J2476" s="3"/>
      <c r="K2476" s="3"/>
      <c r="L2476" s="3"/>
      <c r="M2476" s="3"/>
      <c r="N2476" s="3"/>
      <c r="O2476" s="3"/>
      <c r="P2476" s="3"/>
      <c r="Q2476" s="3"/>
      <c r="R2476" s="3"/>
      <c r="S2476" s="3"/>
      <c r="T2476" s="3"/>
      <c r="U2476" s="3"/>
      <c r="V2476" s="3"/>
      <c r="W2476" s="3"/>
      <c r="X2476" s="3"/>
      <c r="Y2476" s="3"/>
      <c r="Z2476" s="3"/>
      <c r="AA2476" s="3"/>
    </row>
    <row r="2477" ht="105.75" customHeight="1">
      <c r="A2477" s="11"/>
      <c r="B2477" s="12"/>
      <c r="C2477" s="11"/>
      <c r="D2477" s="13"/>
      <c r="E2477" s="14"/>
      <c r="F2477" s="14"/>
      <c r="G2477" s="14"/>
      <c r="H2477" s="15"/>
      <c r="I2477" s="15"/>
      <c r="J2477" s="3"/>
      <c r="K2477" s="3"/>
      <c r="L2477" s="3"/>
      <c r="M2477" s="3"/>
      <c r="N2477" s="3"/>
      <c r="O2477" s="3"/>
      <c r="P2477" s="3"/>
      <c r="Q2477" s="3"/>
      <c r="R2477" s="3"/>
      <c r="S2477" s="3"/>
      <c r="T2477" s="3"/>
      <c r="U2477" s="3"/>
      <c r="V2477" s="3"/>
      <c r="W2477" s="3"/>
      <c r="X2477" s="3"/>
      <c r="Y2477" s="3"/>
      <c r="Z2477" s="3"/>
      <c r="AA2477" s="3"/>
    </row>
    <row r="2478" ht="105.75" customHeight="1">
      <c r="A2478" s="11"/>
      <c r="B2478" s="12"/>
      <c r="C2478" s="11"/>
      <c r="D2478" s="13"/>
      <c r="E2478" s="16"/>
      <c r="F2478" s="16"/>
      <c r="G2478" s="16"/>
      <c r="H2478" s="15"/>
      <c r="I2478" s="15"/>
      <c r="J2478" s="3"/>
      <c r="K2478" s="3"/>
      <c r="L2478" s="3"/>
      <c r="M2478" s="3"/>
      <c r="N2478" s="3"/>
      <c r="O2478" s="3"/>
      <c r="P2478" s="3"/>
      <c r="Q2478" s="3"/>
      <c r="R2478" s="3"/>
      <c r="S2478" s="3"/>
      <c r="T2478" s="3"/>
      <c r="U2478" s="3"/>
      <c r="V2478" s="3"/>
      <c r="W2478" s="3"/>
      <c r="X2478" s="3"/>
      <c r="Y2478" s="3"/>
      <c r="Z2478" s="3"/>
      <c r="AA2478" s="3"/>
    </row>
    <row r="2479" ht="105.75" customHeight="1">
      <c r="A2479" s="11"/>
      <c r="B2479" s="12"/>
      <c r="C2479" s="11"/>
      <c r="D2479" s="13"/>
      <c r="E2479" s="14"/>
      <c r="F2479" s="14"/>
      <c r="G2479" s="14"/>
      <c r="H2479" s="15"/>
      <c r="I2479" s="15"/>
      <c r="J2479" s="3"/>
      <c r="K2479" s="3"/>
      <c r="L2479" s="3"/>
      <c r="M2479" s="3"/>
      <c r="N2479" s="3"/>
      <c r="O2479" s="3"/>
      <c r="P2479" s="3"/>
      <c r="Q2479" s="3"/>
      <c r="R2479" s="3"/>
      <c r="S2479" s="3"/>
      <c r="T2479" s="3"/>
      <c r="U2479" s="3"/>
      <c r="V2479" s="3"/>
      <c r="W2479" s="3"/>
      <c r="X2479" s="3"/>
      <c r="Y2479" s="3"/>
      <c r="Z2479" s="3"/>
      <c r="AA2479" s="3"/>
    </row>
    <row r="2480" ht="105.75" customHeight="1">
      <c r="A2480" s="11"/>
      <c r="B2480" s="12"/>
      <c r="C2480" s="11"/>
      <c r="D2480" s="13"/>
      <c r="E2480" s="14"/>
      <c r="F2480" s="14"/>
      <c r="G2480" s="14"/>
      <c r="H2480" s="15"/>
      <c r="I2480" s="15"/>
      <c r="J2480" s="3"/>
      <c r="K2480" s="3"/>
      <c r="L2480" s="3"/>
      <c r="M2480" s="3"/>
      <c r="N2480" s="3"/>
      <c r="O2480" s="3"/>
      <c r="P2480" s="3"/>
      <c r="Q2480" s="3"/>
      <c r="R2480" s="3"/>
      <c r="S2480" s="3"/>
      <c r="T2480" s="3"/>
      <c r="U2480" s="3"/>
      <c r="V2480" s="3"/>
      <c r="W2480" s="3"/>
      <c r="X2480" s="3"/>
      <c r="Y2480" s="3"/>
      <c r="Z2480" s="3"/>
      <c r="AA2480" s="3"/>
    </row>
    <row r="2481" ht="105.75" customHeight="1">
      <c r="A2481" s="11"/>
      <c r="B2481" s="12"/>
      <c r="C2481" s="11"/>
      <c r="D2481" s="13"/>
      <c r="E2481" s="14"/>
      <c r="F2481" s="14"/>
      <c r="G2481" s="14"/>
      <c r="H2481" s="15"/>
      <c r="I2481" s="15"/>
      <c r="J2481" s="3"/>
      <c r="K2481" s="3"/>
      <c r="L2481" s="3"/>
      <c r="M2481" s="3"/>
      <c r="N2481" s="3"/>
      <c r="O2481" s="3"/>
      <c r="P2481" s="3"/>
      <c r="Q2481" s="3"/>
      <c r="R2481" s="3"/>
      <c r="S2481" s="3"/>
      <c r="T2481" s="3"/>
      <c r="U2481" s="3"/>
      <c r="V2481" s="3"/>
      <c r="W2481" s="3"/>
      <c r="X2481" s="3"/>
      <c r="Y2481" s="3"/>
      <c r="Z2481" s="3"/>
      <c r="AA2481" s="3"/>
    </row>
    <row r="2482" ht="105.75" customHeight="1">
      <c r="A2482" s="11"/>
      <c r="B2482" s="12"/>
      <c r="C2482" s="11"/>
      <c r="D2482" s="13"/>
      <c r="E2482" s="14"/>
      <c r="F2482" s="14"/>
      <c r="G2482" s="14"/>
      <c r="H2482" s="15"/>
      <c r="I2482" s="15"/>
      <c r="J2482" s="3"/>
      <c r="K2482" s="3"/>
      <c r="L2482" s="3"/>
      <c r="M2482" s="3"/>
      <c r="N2482" s="3"/>
      <c r="O2482" s="3"/>
      <c r="P2482" s="3"/>
      <c r="Q2482" s="3"/>
      <c r="R2482" s="3"/>
      <c r="S2482" s="3"/>
      <c r="T2482" s="3"/>
      <c r="U2482" s="3"/>
      <c r="V2482" s="3"/>
      <c r="W2482" s="3"/>
      <c r="X2482" s="3"/>
      <c r="Y2482" s="3"/>
      <c r="Z2482" s="3"/>
      <c r="AA2482" s="3"/>
    </row>
    <row r="2483" ht="105.75" customHeight="1">
      <c r="A2483" s="11"/>
      <c r="B2483" s="12"/>
      <c r="C2483" s="11"/>
      <c r="D2483" s="13"/>
      <c r="E2483" s="14"/>
      <c r="F2483" s="14"/>
      <c r="G2483" s="14"/>
      <c r="H2483" s="15"/>
      <c r="I2483" s="15"/>
      <c r="J2483" s="3"/>
      <c r="K2483" s="3"/>
      <c r="L2483" s="3"/>
      <c r="M2483" s="3"/>
      <c r="N2483" s="3"/>
      <c r="O2483" s="3"/>
      <c r="P2483" s="3"/>
      <c r="Q2483" s="3"/>
      <c r="R2483" s="3"/>
      <c r="S2483" s="3"/>
      <c r="T2483" s="3"/>
      <c r="U2483" s="3"/>
      <c r="V2483" s="3"/>
      <c r="W2483" s="3"/>
      <c r="X2483" s="3"/>
      <c r="Y2483" s="3"/>
      <c r="Z2483" s="3"/>
      <c r="AA2483" s="3"/>
    </row>
    <row r="2484" ht="105.75" customHeight="1">
      <c r="A2484" s="11"/>
      <c r="B2484" s="12"/>
      <c r="C2484" s="11"/>
      <c r="D2484" s="13"/>
      <c r="E2484" s="14"/>
      <c r="F2484" s="14"/>
      <c r="G2484" s="14"/>
      <c r="H2484" s="15"/>
      <c r="I2484" s="15"/>
      <c r="J2484" s="3"/>
      <c r="K2484" s="3"/>
      <c r="L2484" s="3"/>
      <c r="M2484" s="3"/>
      <c r="N2484" s="3"/>
      <c r="O2484" s="3"/>
      <c r="P2484" s="3"/>
      <c r="Q2484" s="3"/>
      <c r="R2484" s="3"/>
      <c r="S2484" s="3"/>
      <c r="T2484" s="3"/>
      <c r="U2484" s="3"/>
      <c r="V2484" s="3"/>
      <c r="W2484" s="3"/>
      <c r="X2484" s="3"/>
      <c r="Y2484" s="3"/>
      <c r="Z2484" s="3"/>
      <c r="AA2484" s="3"/>
    </row>
    <row r="2485" ht="105.75" customHeight="1">
      <c r="A2485" s="11"/>
      <c r="B2485" s="12"/>
      <c r="C2485" s="11"/>
      <c r="D2485" s="13"/>
      <c r="E2485" s="14"/>
      <c r="F2485" s="14"/>
      <c r="G2485" s="14"/>
      <c r="H2485" s="15"/>
      <c r="I2485" s="15"/>
      <c r="J2485" s="3"/>
      <c r="K2485" s="3"/>
      <c r="L2485" s="3"/>
      <c r="M2485" s="3"/>
      <c r="N2485" s="3"/>
      <c r="O2485" s="3"/>
      <c r="P2485" s="3"/>
      <c r="Q2485" s="3"/>
      <c r="R2485" s="3"/>
      <c r="S2485" s="3"/>
      <c r="T2485" s="3"/>
      <c r="U2485" s="3"/>
      <c r="V2485" s="3"/>
      <c r="W2485" s="3"/>
      <c r="X2485" s="3"/>
      <c r="Y2485" s="3"/>
      <c r="Z2485" s="3"/>
      <c r="AA2485" s="3"/>
    </row>
    <row r="2486" ht="105.75" customHeight="1">
      <c r="A2486" s="11"/>
      <c r="B2486" s="12"/>
      <c r="C2486" s="11"/>
      <c r="D2486" s="13"/>
      <c r="E2486" s="14"/>
      <c r="F2486" s="14"/>
      <c r="G2486" s="14"/>
      <c r="H2486" s="15"/>
      <c r="I2486" s="15"/>
      <c r="J2486" s="3"/>
      <c r="K2486" s="3"/>
      <c r="L2486" s="3"/>
      <c r="M2486" s="3"/>
      <c r="N2486" s="3"/>
      <c r="O2486" s="3"/>
      <c r="P2486" s="3"/>
      <c r="Q2486" s="3"/>
      <c r="R2486" s="3"/>
      <c r="S2486" s="3"/>
      <c r="T2486" s="3"/>
      <c r="U2486" s="3"/>
      <c r="V2486" s="3"/>
      <c r="W2486" s="3"/>
      <c r="X2486" s="3"/>
      <c r="Y2486" s="3"/>
      <c r="Z2486" s="3"/>
      <c r="AA2486" s="3"/>
    </row>
    <row r="2487" ht="105.75" customHeight="1">
      <c r="A2487" s="11"/>
      <c r="B2487" s="12"/>
      <c r="C2487" s="11"/>
      <c r="D2487" s="13"/>
      <c r="E2487" s="14"/>
      <c r="F2487" s="14"/>
      <c r="G2487" s="14"/>
      <c r="H2487" s="15"/>
      <c r="I2487" s="15"/>
      <c r="J2487" s="3"/>
      <c r="K2487" s="3"/>
      <c r="L2487" s="3"/>
      <c r="M2487" s="3"/>
      <c r="N2487" s="3"/>
      <c r="O2487" s="3"/>
      <c r="P2487" s="3"/>
      <c r="Q2487" s="3"/>
      <c r="R2487" s="3"/>
      <c r="S2487" s="3"/>
      <c r="T2487" s="3"/>
      <c r="U2487" s="3"/>
      <c r="V2487" s="3"/>
      <c r="W2487" s="3"/>
      <c r="X2487" s="3"/>
      <c r="Y2487" s="3"/>
      <c r="Z2487" s="3"/>
      <c r="AA2487" s="3"/>
    </row>
    <row r="2488" ht="105.75" customHeight="1">
      <c r="A2488" s="11"/>
      <c r="B2488" s="12"/>
      <c r="C2488" s="11"/>
      <c r="D2488" s="13"/>
      <c r="E2488" s="14"/>
      <c r="F2488" s="14"/>
      <c r="G2488" s="14"/>
      <c r="H2488" s="15"/>
      <c r="I2488" s="15"/>
      <c r="J2488" s="3"/>
      <c r="K2488" s="3"/>
      <c r="L2488" s="3"/>
      <c r="M2488" s="3"/>
      <c r="N2488" s="3"/>
      <c r="O2488" s="3"/>
      <c r="P2488" s="3"/>
      <c r="Q2488" s="3"/>
      <c r="R2488" s="3"/>
      <c r="S2488" s="3"/>
      <c r="T2488" s="3"/>
      <c r="U2488" s="3"/>
      <c r="V2488" s="3"/>
      <c r="W2488" s="3"/>
      <c r="X2488" s="3"/>
      <c r="Y2488" s="3"/>
      <c r="Z2488" s="3"/>
      <c r="AA2488" s="3"/>
    </row>
    <row r="2489" ht="105.75" customHeight="1">
      <c r="A2489" s="11"/>
      <c r="B2489" s="12"/>
      <c r="C2489" s="11"/>
      <c r="D2489" s="13"/>
      <c r="E2489" s="14"/>
      <c r="F2489" s="14"/>
      <c r="G2489" s="14"/>
      <c r="H2489" s="15"/>
      <c r="I2489" s="15"/>
      <c r="J2489" s="3"/>
      <c r="K2489" s="3"/>
      <c r="L2489" s="3"/>
      <c r="M2489" s="3"/>
      <c r="N2489" s="3"/>
      <c r="O2489" s="3"/>
      <c r="P2489" s="3"/>
      <c r="Q2489" s="3"/>
      <c r="R2489" s="3"/>
      <c r="S2489" s="3"/>
      <c r="T2489" s="3"/>
      <c r="U2489" s="3"/>
      <c r="V2489" s="3"/>
      <c r="W2489" s="3"/>
      <c r="X2489" s="3"/>
      <c r="Y2489" s="3"/>
      <c r="Z2489" s="3"/>
      <c r="AA2489" s="3"/>
    </row>
    <row r="2490" ht="105.75" customHeight="1">
      <c r="A2490" s="11"/>
      <c r="B2490" s="12"/>
      <c r="C2490" s="11"/>
      <c r="D2490" s="13"/>
      <c r="E2490" s="14"/>
      <c r="F2490" s="14"/>
      <c r="G2490" s="14"/>
      <c r="H2490" s="15"/>
      <c r="I2490" s="15"/>
      <c r="J2490" s="3"/>
      <c r="K2490" s="3"/>
      <c r="L2490" s="3"/>
      <c r="M2490" s="3"/>
      <c r="N2490" s="3"/>
      <c r="O2490" s="3"/>
      <c r="P2490" s="3"/>
      <c r="Q2490" s="3"/>
      <c r="R2490" s="3"/>
      <c r="S2490" s="3"/>
      <c r="T2490" s="3"/>
      <c r="U2490" s="3"/>
      <c r="V2490" s="3"/>
      <c r="W2490" s="3"/>
      <c r="X2490" s="3"/>
      <c r="Y2490" s="3"/>
      <c r="Z2490" s="3"/>
      <c r="AA2490" s="3"/>
    </row>
    <row r="2491" ht="105.75" customHeight="1">
      <c r="A2491" s="11"/>
      <c r="B2491" s="12"/>
      <c r="C2491" s="11"/>
      <c r="D2491" s="13"/>
      <c r="E2491" s="14"/>
      <c r="F2491" s="14"/>
      <c r="G2491" s="14"/>
      <c r="H2491" s="15"/>
      <c r="I2491" s="15"/>
      <c r="J2491" s="3"/>
      <c r="K2491" s="3"/>
      <c r="L2491" s="3"/>
      <c r="M2491" s="3"/>
      <c r="N2491" s="3"/>
      <c r="O2491" s="3"/>
      <c r="P2491" s="3"/>
      <c r="Q2491" s="3"/>
      <c r="R2491" s="3"/>
      <c r="S2491" s="3"/>
      <c r="T2491" s="3"/>
      <c r="U2491" s="3"/>
      <c r="V2491" s="3"/>
      <c r="W2491" s="3"/>
      <c r="X2491" s="3"/>
      <c r="Y2491" s="3"/>
      <c r="Z2491" s="3"/>
      <c r="AA2491" s="3"/>
    </row>
    <row r="2492" ht="105.75" customHeight="1">
      <c r="A2492" s="11"/>
      <c r="B2492" s="12"/>
      <c r="C2492" s="11"/>
      <c r="D2492" s="13"/>
      <c r="E2492" s="14"/>
      <c r="F2492" s="14"/>
      <c r="G2492" s="14"/>
      <c r="H2492" s="15"/>
      <c r="I2492" s="15"/>
      <c r="J2492" s="3"/>
      <c r="K2492" s="3"/>
      <c r="L2492" s="3"/>
      <c r="M2492" s="3"/>
      <c r="N2492" s="3"/>
      <c r="O2492" s="3"/>
      <c r="P2492" s="3"/>
      <c r="Q2492" s="3"/>
      <c r="R2492" s="3"/>
      <c r="S2492" s="3"/>
      <c r="T2492" s="3"/>
      <c r="U2492" s="3"/>
      <c r="V2492" s="3"/>
      <c r="W2492" s="3"/>
      <c r="X2492" s="3"/>
      <c r="Y2492" s="3"/>
      <c r="Z2492" s="3"/>
      <c r="AA2492" s="3"/>
    </row>
    <row r="2493" ht="105.75" customHeight="1">
      <c r="A2493" s="11"/>
      <c r="B2493" s="12"/>
      <c r="C2493" s="11"/>
      <c r="D2493" s="13"/>
      <c r="E2493" s="14"/>
      <c r="F2493" s="14"/>
      <c r="G2493" s="14"/>
      <c r="H2493" s="15"/>
      <c r="I2493" s="15"/>
      <c r="J2493" s="3"/>
      <c r="K2493" s="3"/>
      <c r="L2493" s="3"/>
      <c r="M2493" s="3"/>
      <c r="N2493" s="3"/>
      <c r="O2493" s="3"/>
      <c r="P2493" s="3"/>
      <c r="Q2493" s="3"/>
      <c r="R2493" s="3"/>
      <c r="S2493" s="3"/>
      <c r="T2493" s="3"/>
      <c r="U2493" s="3"/>
      <c r="V2493" s="3"/>
      <c r="W2493" s="3"/>
      <c r="X2493" s="3"/>
      <c r="Y2493" s="3"/>
      <c r="Z2493" s="3"/>
      <c r="AA2493" s="3"/>
    </row>
    <row r="2494" ht="105.75" customHeight="1">
      <c r="A2494" s="11"/>
      <c r="B2494" s="12"/>
      <c r="C2494" s="11"/>
      <c r="D2494" s="13"/>
      <c r="E2494" s="14"/>
      <c r="F2494" s="14"/>
      <c r="G2494" s="14"/>
      <c r="H2494" s="15"/>
      <c r="I2494" s="15"/>
      <c r="J2494" s="3"/>
      <c r="K2494" s="3"/>
      <c r="L2494" s="3"/>
      <c r="M2494" s="3"/>
      <c r="N2494" s="3"/>
      <c r="O2494" s="3"/>
      <c r="P2494" s="3"/>
      <c r="Q2494" s="3"/>
      <c r="R2494" s="3"/>
      <c r="S2494" s="3"/>
      <c r="T2494" s="3"/>
      <c r="U2494" s="3"/>
      <c r="V2494" s="3"/>
      <c r="W2494" s="3"/>
      <c r="X2494" s="3"/>
      <c r="Y2494" s="3"/>
      <c r="Z2494" s="3"/>
      <c r="AA2494" s="3"/>
    </row>
    <row r="2495" ht="105.75" customHeight="1">
      <c r="A2495" s="11"/>
      <c r="B2495" s="12"/>
      <c r="C2495" s="11"/>
      <c r="D2495" s="13"/>
      <c r="E2495" s="14"/>
      <c r="F2495" s="14"/>
      <c r="G2495" s="14"/>
      <c r="H2495" s="15"/>
      <c r="I2495" s="15"/>
      <c r="J2495" s="3"/>
      <c r="K2495" s="3"/>
      <c r="L2495" s="3"/>
      <c r="M2495" s="3"/>
      <c r="N2495" s="3"/>
      <c r="O2495" s="3"/>
      <c r="P2495" s="3"/>
      <c r="Q2495" s="3"/>
      <c r="R2495" s="3"/>
      <c r="S2495" s="3"/>
      <c r="T2495" s="3"/>
      <c r="U2495" s="3"/>
      <c r="V2495" s="3"/>
      <c r="W2495" s="3"/>
      <c r="X2495" s="3"/>
      <c r="Y2495" s="3"/>
      <c r="Z2495" s="3"/>
      <c r="AA2495" s="3"/>
    </row>
    <row r="2496" ht="105.75" customHeight="1">
      <c r="A2496" s="11"/>
      <c r="B2496" s="12"/>
      <c r="C2496" s="11"/>
      <c r="D2496" s="13"/>
      <c r="E2496" s="14"/>
      <c r="F2496" s="14"/>
      <c r="G2496" s="14"/>
      <c r="H2496" s="15"/>
      <c r="I2496" s="15"/>
      <c r="J2496" s="3"/>
      <c r="K2496" s="3"/>
      <c r="L2496" s="3"/>
      <c r="M2496" s="3"/>
      <c r="N2496" s="3"/>
      <c r="O2496" s="3"/>
      <c r="P2496" s="3"/>
      <c r="Q2496" s="3"/>
      <c r="R2496" s="3"/>
      <c r="S2496" s="3"/>
      <c r="T2496" s="3"/>
      <c r="U2496" s="3"/>
      <c r="V2496" s="3"/>
      <c r="W2496" s="3"/>
      <c r="X2496" s="3"/>
      <c r="Y2496" s="3"/>
      <c r="Z2496" s="3"/>
      <c r="AA2496" s="3"/>
    </row>
    <row r="2497" ht="105.75" customHeight="1">
      <c r="A2497" s="11"/>
      <c r="B2497" s="12"/>
      <c r="C2497" s="11"/>
      <c r="D2497" s="13"/>
      <c r="E2497" s="14"/>
      <c r="F2497" s="14"/>
      <c r="G2497" s="14"/>
      <c r="H2497" s="15"/>
      <c r="I2497" s="15"/>
      <c r="J2497" s="3"/>
      <c r="K2497" s="3"/>
      <c r="L2497" s="3"/>
      <c r="M2497" s="3"/>
      <c r="N2497" s="3"/>
      <c r="O2497" s="3"/>
      <c r="P2497" s="3"/>
      <c r="Q2497" s="3"/>
      <c r="R2497" s="3"/>
      <c r="S2497" s="3"/>
      <c r="T2497" s="3"/>
      <c r="U2497" s="3"/>
      <c r="V2497" s="3"/>
      <c r="W2497" s="3"/>
      <c r="X2497" s="3"/>
      <c r="Y2497" s="3"/>
      <c r="Z2497" s="3"/>
      <c r="AA2497" s="3"/>
    </row>
    <row r="2498" ht="105.75" customHeight="1">
      <c r="A2498" s="11"/>
      <c r="B2498" s="12"/>
      <c r="C2498" s="11"/>
      <c r="D2498" s="13"/>
      <c r="E2498" s="14"/>
      <c r="F2498" s="14"/>
      <c r="G2498" s="14"/>
      <c r="H2498" s="15"/>
      <c r="I2498" s="15"/>
      <c r="J2498" s="3"/>
      <c r="K2498" s="3"/>
      <c r="L2498" s="3"/>
      <c r="M2498" s="3"/>
      <c r="N2498" s="3"/>
      <c r="O2498" s="3"/>
      <c r="P2498" s="3"/>
      <c r="Q2498" s="3"/>
      <c r="R2498" s="3"/>
      <c r="S2498" s="3"/>
      <c r="T2498" s="3"/>
      <c r="U2498" s="3"/>
      <c r="V2498" s="3"/>
      <c r="W2498" s="3"/>
      <c r="X2498" s="3"/>
      <c r="Y2498" s="3"/>
      <c r="Z2498" s="3"/>
      <c r="AA2498" s="3"/>
    </row>
    <row r="2499" ht="105.75" customHeight="1">
      <c r="A2499" s="11"/>
      <c r="B2499" s="12"/>
      <c r="C2499" s="11"/>
      <c r="D2499" s="13"/>
      <c r="E2499" s="16"/>
      <c r="F2499" s="16"/>
      <c r="G2499" s="16"/>
      <c r="H2499" s="15"/>
      <c r="I2499" s="15"/>
      <c r="J2499" s="3"/>
      <c r="K2499" s="3"/>
      <c r="L2499" s="3"/>
      <c r="M2499" s="3"/>
      <c r="N2499" s="3"/>
      <c r="O2499" s="3"/>
      <c r="P2499" s="3"/>
      <c r="Q2499" s="3"/>
      <c r="R2499" s="3"/>
      <c r="S2499" s="3"/>
      <c r="T2499" s="3"/>
      <c r="U2499" s="3"/>
      <c r="V2499" s="3"/>
      <c r="W2499" s="3"/>
      <c r="X2499" s="3"/>
      <c r="Y2499" s="3"/>
      <c r="Z2499" s="3"/>
      <c r="AA2499" s="3"/>
    </row>
    <row r="2500" ht="105.75" customHeight="1">
      <c r="A2500" s="11"/>
      <c r="B2500" s="12"/>
      <c r="C2500" s="11"/>
      <c r="D2500" s="13"/>
      <c r="E2500" s="14"/>
      <c r="F2500" s="14"/>
      <c r="G2500" s="14"/>
      <c r="H2500" s="15"/>
      <c r="I2500" s="15"/>
      <c r="J2500" s="3"/>
      <c r="K2500" s="3"/>
      <c r="L2500" s="3"/>
      <c r="M2500" s="3"/>
      <c r="N2500" s="3"/>
      <c r="O2500" s="3"/>
      <c r="P2500" s="3"/>
      <c r="Q2500" s="3"/>
      <c r="R2500" s="3"/>
      <c r="S2500" s="3"/>
      <c r="T2500" s="3"/>
      <c r="U2500" s="3"/>
      <c r="V2500" s="3"/>
      <c r="W2500" s="3"/>
      <c r="X2500" s="3"/>
      <c r="Y2500" s="3"/>
      <c r="Z2500" s="3"/>
      <c r="AA2500" s="3"/>
    </row>
    <row r="2501" ht="105.75" customHeight="1">
      <c r="A2501" s="11"/>
      <c r="B2501" s="12"/>
      <c r="C2501" s="11"/>
      <c r="D2501" s="13"/>
      <c r="E2501" s="14"/>
      <c r="F2501" s="14"/>
      <c r="G2501" s="14"/>
      <c r="H2501" s="15"/>
      <c r="I2501" s="15"/>
      <c r="J2501" s="3"/>
      <c r="K2501" s="3"/>
      <c r="L2501" s="3"/>
      <c r="M2501" s="3"/>
      <c r="N2501" s="3"/>
      <c r="O2501" s="3"/>
      <c r="P2501" s="3"/>
      <c r="Q2501" s="3"/>
      <c r="R2501" s="3"/>
      <c r="S2501" s="3"/>
      <c r="T2501" s="3"/>
      <c r="U2501" s="3"/>
      <c r="V2501" s="3"/>
      <c r="W2501" s="3"/>
      <c r="X2501" s="3"/>
      <c r="Y2501" s="3"/>
      <c r="Z2501" s="3"/>
      <c r="AA2501" s="3"/>
    </row>
    <row r="2502" ht="105.75" customHeight="1">
      <c r="A2502" s="11"/>
      <c r="B2502" s="12"/>
      <c r="C2502" s="11"/>
      <c r="D2502" s="13"/>
      <c r="E2502" s="14"/>
      <c r="F2502" s="14"/>
      <c r="G2502" s="14"/>
      <c r="H2502" s="15"/>
      <c r="I2502" s="15"/>
      <c r="J2502" s="3"/>
      <c r="K2502" s="3"/>
      <c r="L2502" s="3"/>
      <c r="M2502" s="3"/>
      <c r="N2502" s="3"/>
      <c r="O2502" s="3"/>
      <c r="P2502" s="3"/>
      <c r="Q2502" s="3"/>
      <c r="R2502" s="3"/>
      <c r="S2502" s="3"/>
      <c r="T2502" s="3"/>
      <c r="U2502" s="3"/>
      <c r="V2502" s="3"/>
      <c r="W2502" s="3"/>
      <c r="X2502" s="3"/>
      <c r="Y2502" s="3"/>
      <c r="Z2502" s="3"/>
      <c r="AA2502" s="3"/>
    </row>
    <row r="2503" ht="105.75" customHeight="1">
      <c r="A2503" s="11"/>
      <c r="B2503" s="12"/>
      <c r="C2503" s="11"/>
      <c r="D2503" s="13"/>
      <c r="E2503" s="14"/>
      <c r="F2503" s="14"/>
      <c r="G2503" s="14"/>
      <c r="H2503" s="15"/>
      <c r="I2503" s="15"/>
      <c r="J2503" s="3"/>
      <c r="K2503" s="3"/>
      <c r="L2503" s="3"/>
      <c r="M2503" s="3"/>
      <c r="N2503" s="3"/>
      <c r="O2503" s="3"/>
      <c r="P2503" s="3"/>
      <c r="Q2503" s="3"/>
      <c r="R2503" s="3"/>
      <c r="S2503" s="3"/>
      <c r="T2503" s="3"/>
      <c r="U2503" s="3"/>
      <c r="V2503" s="3"/>
      <c r="W2503" s="3"/>
      <c r="X2503" s="3"/>
      <c r="Y2503" s="3"/>
      <c r="Z2503" s="3"/>
      <c r="AA2503" s="3"/>
    </row>
    <row r="2504" ht="105.75" customHeight="1">
      <c r="A2504" s="11"/>
      <c r="B2504" s="12"/>
      <c r="C2504" s="11"/>
      <c r="D2504" s="13"/>
      <c r="E2504" s="14"/>
      <c r="F2504" s="14"/>
      <c r="G2504" s="14"/>
      <c r="H2504" s="15"/>
      <c r="I2504" s="15"/>
      <c r="J2504" s="3"/>
      <c r="K2504" s="3"/>
      <c r="L2504" s="3"/>
      <c r="M2504" s="3"/>
      <c r="N2504" s="3"/>
      <c r="O2504" s="3"/>
      <c r="P2504" s="3"/>
      <c r="Q2504" s="3"/>
      <c r="R2504" s="3"/>
      <c r="S2504" s="3"/>
      <c r="T2504" s="3"/>
      <c r="U2504" s="3"/>
      <c r="V2504" s="3"/>
      <c r="W2504" s="3"/>
      <c r="X2504" s="3"/>
      <c r="Y2504" s="3"/>
      <c r="Z2504" s="3"/>
      <c r="AA2504" s="3"/>
    </row>
    <row r="2505" ht="105.75" customHeight="1">
      <c r="A2505" s="11"/>
      <c r="B2505" s="12"/>
      <c r="C2505" s="11"/>
      <c r="D2505" s="13"/>
      <c r="E2505" s="14"/>
      <c r="F2505" s="14"/>
      <c r="G2505" s="14"/>
      <c r="H2505" s="15"/>
      <c r="I2505" s="15"/>
      <c r="J2505" s="3"/>
      <c r="K2505" s="3"/>
      <c r="L2505" s="3"/>
      <c r="M2505" s="3"/>
      <c r="N2505" s="3"/>
      <c r="O2505" s="3"/>
      <c r="P2505" s="3"/>
      <c r="Q2505" s="3"/>
      <c r="R2505" s="3"/>
      <c r="S2505" s="3"/>
      <c r="T2505" s="3"/>
      <c r="U2505" s="3"/>
      <c r="V2505" s="3"/>
      <c r="W2505" s="3"/>
      <c r="X2505" s="3"/>
      <c r="Y2505" s="3"/>
      <c r="Z2505" s="3"/>
      <c r="AA2505" s="3"/>
    </row>
    <row r="2506" ht="105.75" customHeight="1">
      <c r="A2506" s="11"/>
      <c r="B2506" s="12"/>
      <c r="C2506" s="11"/>
      <c r="D2506" s="13"/>
      <c r="E2506" s="14"/>
      <c r="F2506" s="14"/>
      <c r="G2506" s="14"/>
      <c r="H2506" s="15"/>
      <c r="I2506" s="15"/>
      <c r="J2506" s="3"/>
      <c r="K2506" s="3"/>
      <c r="L2506" s="3"/>
      <c r="M2506" s="3"/>
      <c r="N2506" s="3"/>
      <c r="O2506" s="3"/>
      <c r="P2506" s="3"/>
      <c r="Q2506" s="3"/>
      <c r="R2506" s="3"/>
      <c r="S2506" s="3"/>
      <c r="T2506" s="3"/>
      <c r="U2506" s="3"/>
      <c r="V2506" s="3"/>
      <c r="W2506" s="3"/>
      <c r="X2506" s="3"/>
      <c r="Y2506" s="3"/>
      <c r="Z2506" s="3"/>
      <c r="AA2506" s="3"/>
    </row>
    <row r="2507" ht="105.75" customHeight="1">
      <c r="A2507" s="11"/>
      <c r="B2507" s="12"/>
      <c r="C2507" s="11"/>
      <c r="D2507" s="13"/>
      <c r="E2507" s="14"/>
      <c r="F2507" s="14"/>
      <c r="G2507" s="14"/>
      <c r="H2507" s="15"/>
      <c r="I2507" s="15"/>
      <c r="J2507" s="3"/>
      <c r="K2507" s="3"/>
      <c r="L2507" s="3"/>
      <c r="M2507" s="3"/>
      <c r="N2507" s="3"/>
      <c r="O2507" s="3"/>
      <c r="P2507" s="3"/>
      <c r="Q2507" s="3"/>
      <c r="R2507" s="3"/>
      <c r="S2507" s="3"/>
      <c r="T2507" s="3"/>
      <c r="U2507" s="3"/>
      <c r="V2507" s="3"/>
      <c r="W2507" s="3"/>
      <c r="X2507" s="3"/>
      <c r="Y2507" s="3"/>
      <c r="Z2507" s="3"/>
      <c r="AA2507" s="3"/>
    </row>
    <row r="2508" ht="105.75" customHeight="1">
      <c r="A2508" s="11"/>
      <c r="B2508" s="12"/>
      <c r="C2508" s="11"/>
      <c r="D2508" s="13"/>
      <c r="E2508" s="14"/>
      <c r="F2508" s="14"/>
      <c r="G2508" s="14"/>
      <c r="H2508" s="15"/>
      <c r="I2508" s="15"/>
      <c r="J2508" s="3"/>
      <c r="K2508" s="3"/>
      <c r="L2508" s="3"/>
      <c r="M2508" s="3"/>
      <c r="N2508" s="3"/>
      <c r="O2508" s="3"/>
      <c r="P2508" s="3"/>
      <c r="Q2508" s="3"/>
      <c r="R2508" s="3"/>
      <c r="S2508" s="3"/>
      <c r="T2508" s="3"/>
      <c r="U2508" s="3"/>
      <c r="V2508" s="3"/>
      <c r="W2508" s="3"/>
      <c r="X2508" s="3"/>
      <c r="Y2508" s="3"/>
      <c r="Z2508" s="3"/>
      <c r="AA2508" s="3"/>
    </row>
    <row r="2509" ht="105.75" customHeight="1">
      <c r="A2509" s="11"/>
      <c r="B2509" s="12"/>
      <c r="C2509" s="11"/>
      <c r="D2509" s="13"/>
      <c r="E2509" s="14"/>
      <c r="F2509" s="14"/>
      <c r="G2509" s="14"/>
      <c r="H2509" s="15"/>
      <c r="I2509" s="15"/>
      <c r="J2509" s="3"/>
      <c r="K2509" s="3"/>
      <c r="L2509" s="3"/>
      <c r="M2509" s="3"/>
      <c r="N2509" s="3"/>
      <c r="O2509" s="3"/>
      <c r="P2509" s="3"/>
      <c r="Q2509" s="3"/>
      <c r="R2509" s="3"/>
      <c r="S2509" s="3"/>
      <c r="T2509" s="3"/>
      <c r="U2509" s="3"/>
      <c r="V2509" s="3"/>
      <c r="W2509" s="3"/>
      <c r="X2509" s="3"/>
      <c r="Y2509" s="3"/>
      <c r="Z2509" s="3"/>
      <c r="AA2509" s="3"/>
    </row>
    <row r="2510" ht="105.75" customHeight="1">
      <c r="A2510" s="11"/>
      <c r="B2510" s="12"/>
      <c r="C2510" s="11"/>
      <c r="D2510" s="13"/>
      <c r="E2510" s="14"/>
      <c r="F2510" s="14"/>
      <c r="G2510" s="14"/>
      <c r="H2510" s="15"/>
      <c r="I2510" s="15"/>
      <c r="J2510" s="3"/>
      <c r="K2510" s="3"/>
      <c r="L2510" s="3"/>
      <c r="M2510" s="3"/>
      <c r="N2510" s="3"/>
      <c r="O2510" s="3"/>
      <c r="P2510" s="3"/>
      <c r="Q2510" s="3"/>
      <c r="R2510" s="3"/>
      <c r="S2510" s="3"/>
      <c r="T2510" s="3"/>
      <c r="U2510" s="3"/>
      <c r="V2510" s="3"/>
      <c r="W2510" s="3"/>
      <c r="X2510" s="3"/>
      <c r="Y2510" s="3"/>
      <c r="Z2510" s="3"/>
      <c r="AA2510" s="3"/>
    </row>
    <row r="2511" ht="105.75" customHeight="1">
      <c r="A2511" s="11"/>
      <c r="B2511" s="12"/>
      <c r="C2511" s="11"/>
      <c r="D2511" s="13"/>
      <c r="E2511" s="14"/>
      <c r="F2511" s="14"/>
      <c r="G2511" s="14"/>
      <c r="H2511" s="15"/>
      <c r="I2511" s="15"/>
      <c r="J2511" s="3"/>
      <c r="K2511" s="3"/>
      <c r="L2511" s="3"/>
      <c r="M2511" s="3"/>
      <c r="N2511" s="3"/>
      <c r="O2511" s="3"/>
      <c r="P2511" s="3"/>
      <c r="Q2511" s="3"/>
      <c r="R2511" s="3"/>
      <c r="S2511" s="3"/>
      <c r="T2511" s="3"/>
      <c r="U2511" s="3"/>
      <c r="V2511" s="3"/>
      <c r="W2511" s="3"/>
      <c r="X2511" s="3"/>
      <c r="Y2511" s="3"/>
      <c r="Z2511" s="3"/>
      <c r="AA2511" s="3"/>
    </row>
    <row r="2512" ht="105.75" customHeight="1">
      <c r="A2512" s="11"/>
      <c r="B2512" s="12"/>
      <c r="C2512" s="11"/>
      <c r="D2512" s="13"/>
      <c r="E2512" s="14"/>
      <c r="F2512" s="14"/>
      <c r="G2512" s="14"/>
      <c r="H2512" s="15"/>
      <c r="I2512" s="15"/>
      <c r="J2512" s="3"/>
      <c r="K2512" s="3"/>
      <c r="L2512" s="3"/>
      <c r="M2512" s="3"/>
      <c r="N2512" s="3"/>
      <c r="O2512" s="3"/>
      <c r="P2512" s="3"/>
      <c r="Q2512" s="3"/>
      <c r="R2512" s="3"/>
      <c r="S2512" s="3"/>
      <c r="T2512" s="3"/>
      <c r="U2512" s="3"/>
      <c r="V2512" s="3"/>
      <c r="W2512" s="3"/>
      <c r="X2512" s="3"/>
      <c r="Y2512" s="3"/>
      <c r="Z2512" s="3"/>
      <c r="AA2512" s="3"/>
    </row>
    <row r="2513" ht="105.75" customHeight="1">
      <c r="A2513" s="11"/>
      <c r="B2513" s="12"/>
      <c r="C2513" s="11"/>
      <c r="D2513" s="13"/>
      <c r="E2513" s="14"/>
      <c r="F2513" s="14"/>
      <c r="G2513" s="14"/>
      <c r="H2513" s="15"/>
      <c r="I2513" s="15"/>
      <c r="J2513" s="3"/>
      <c r="K2513" s="3"/>
      <c r="L2513" s="3"/>
      <c r="M2513" s="3"/>
      <c r="N2513" s="3"/>
      <c r="O2513" s="3"/>
      <c r="P2513" s="3"/>
      <c r="Q2513" s="3"/>
      <c r="R2513" s="3"/>
      <c r="S2513" s="3"/>
      <c r="T2513" s="3"/>
      <c r="U2513" s="3"/>
      <c r="V2513" s="3"/>
      <c r="W2513" s="3"/>
      <c r="X2513" s="3"/>
      <c r="Y2513" s="3"/>
      <c r="Z2513" s="3"/>
      <c r="AA2513" s="3"/>
    </row>
    <row r="2514" ht="105.75" customHeight="1">
      <c r="A2514" s="11"/>
      <c r="B2514" s="12"/>
      <c r="C2514" s="11"/>
      <c r="D2514" s="13"/>
      <c r="E2514" s="16"/>
      <c r="F2514" s="16"/>
      <c r="G2514" s="16"/>
      <c r="H2514" s="15"/>
      <c r="I2514" s="15"/>
      <c r="J2514" s="3"/>
      <c r="K2514" s="3"/>
      <c r="L2514" s="3"/>
      <c r="M2514" s="3"/>
      <c r="N2514" s="3"/>
      <c r="O2514" s="3"/>
      <c r="P2514" s="3"/>
      <c r="Q2514" s="3"/>
      <c r="R2514" s="3"/>
      <c r="S2514" s="3"/>
      <c r="T2514" s="3"/>
      <c r="U2514" s="3"/>
      <c r="V2514" s="3"/>
      <c r="W2514" s="3"/>
      <c r="X2514" s="3"/>
      <c r="Y2514" s="3"/>
      <c r="Z2514" s="3"/>
      <c r="AA2514" s="3"/>
    </row>
    <row r="2515" ht="105.75" customHeight="1">
      <c r="A2515" s="11"/>
      <c r="B2515" s="12"/>
      <c r="C2515" s="11"/>
      <c r="D2515" s="13"/>
      <c r="E2515" s="14"/>
      <c r="F2515" s="14"/>
      <c r="G2515" s="14"/>
      <c r="H2515" s="15"/>
      <c r="I2515" s="15"/>
      <c r="J2515" s="3"/>
      <c r="K2515" s="3"/>
      <c r="L2515" s="3"/>
      <c r="M2515" s="3"/>
      <c r="N2515" s="3"/>
      <c r="O2515" s="3"/>
      <c r="P2515" s="3"/>
      <c r="Q2515" s="3"/>
      <c r="R2515" s="3"/>
      <c r="S2515" s="3"/>
      <c r="T2515" s="3"/>
      <c r="U2515" s="3"/>
      <c r="V2515" s="3"/>
      <c r="W2515" s="3"/>
      <c r="X2515" s="3"/>
      <c r="Y2515" s="3"/>
      <c r="Z2515" s="3"/>
      <c r="AA2515" s="3"/>
    </row>
    <row r="2516" ht="105.75" customHeight="1">
      <c r="A2516" s="11"/>
      <c r="B2516" s="12"/>
      <c r="C2516" s="11"/>
      <c r="D2516" s="13"/>
      <c r="E2516" s="14"/>
      <c r="F2516" s="14"/>
      <c r="G2516" s="14"/>
      <c r="H2516" s="15"/>
      <c r="I2516" s="15"/>
      <c r="J2516" s="3"/>
      <c r="K2516" s="3"/>
      <c r="L2516" s="3"/>
      <c r="M2516" s="3"/>
      <c r="N2516" s="3"/>
      <c r="O2516" s="3"/>
      <c r="P2516" s="3"/>
      <c r="Q2516" s="3"/>
      <c r="R2516" s="3"/>
      <c r="S2516" s="3"/>
      <c r="T2516" s="3"/>
      <c r="U2516" s="3"/>
      <c r="V2516" s="3"/>
      <c r="W2516" s="3"/>
      <c r="X2516" s="3"/>
      <c r="Y2516" s="3"/>
      <c r="Z2516" s="3"/>
      <c r="AA2516" s="3"/>
    </row>
    <row r="2517" ht="105.75" customHeight="1">
      <c r="A2517" s="11"/>
      <c r="B2517" s="12"/>
      <c r="C2517" s="11"/>
      <c r="D2517" s="13"/>
      <c r="E2517" s="14"/>
      <c r="F2517" s="14"/>
      <c r="G2517" s="14"/>
      <c r="H2517" s="15"/>
      <c r="I2517" s="15"/>
      <c r="J2517" s="3"/>
      <c r="K2517" s="3"/>
      <c r="L2517" s="3"/>
      <c r="M2517" s="3"/>
      <c r="N2517" s="3"/>
      <c r="O2517" s="3"/>
      <c r="P2517" s="3"/>
      <c r="Q2517" s="3"/>
      <c r="R2517" s="3"/>
      <c r="S2517" s="3"/>
      <c r="T2517" s="3"/>
      <c r="U2517" s="3"/>
      <c r="V2517" s="3"/>
      <c r="W2517" s="3"/>
      <c r="X2517" s="3"/>
      <c r="Y2517" s="3"/>
      <c r="Z2517" s="3"/>
      <c r="AA2517" s="3"/>
    </row>
    <row r="2518" ht="105.75" customHeight="1">
      <c r="A2518" s="11"/>
      <c r="B2518" s="12"/>
      <c r="C2518" s="11"/>
      <c r="D2518" s="13"/>
      <c r="E2518" s="16"/>
      <c r="F2518" s="16"/>
      <c r="G2518" s="16"/>
      <c r="H2518" s="15"/>
      <c r="I2518" s="15"/>
      <c r="J2518" s="3"/>
      <c r="K2518" s="3"/>
      <c r="L2518" s="3"/>
      <c r="M2518" s="3"/>
      <c r="N2518" s="3"/>
      <c r="O2518" s="3"/>
      <c r="P2518" s="3"/>
      <c r="Q2518" s="3"/>
      <c r="R2518" s="3"/>
      <c r="S2518" s="3"/>
      <c r="T2518" s="3"/>
      <c r="U2518" s="3"/>
      <c r="V2518" s="3"/>
      <c r="W2518" s="3"/>
      <c r="X2518" s="3"/>
      <c r="Y2518" s="3"/>
      <c r="Z2518" s="3"/>
      <c r="AA2518" s="3"/>
    </row>
    <row r="2519" ht="105.75" customHeight="1">
      <c r="A2519" s="11"/>
      <c r="B2519" s="12"/>
      <c r="C2519" s="11"/>
      <c r="D2519" s="13"/>
      <c r="E2519" s="14"/>
      <c r="F2519" s="14"/>
      <c r="G2519" s="14"/>
      <c r="H2519" s="15"/>
      <c r="I2519" s="15"/>
      <c r="J2519" s="3"/>
      <c r="K2519" s="3"/>
      <c r="L2519" s="3"/>
      <c r="M2519" s="3"/>
      <c r="N2519" s="3"/>
      <c r="O2519" s="3"/>
      <c r="P2519" s="3"/>
      <c r="Q2519" s="3"/>
      <c r="R2519" s="3"/>
      <c r="S2519" s="3"/>
      <c r="T2519" s="3"/>
      <c r="U2519" s="3"/>
      <c r="V2519" s="3"/>
      <c r="W2519" s="3"/>
      <c r="X2519" s="3"/>
      <c r="Y2519" s="3"/>
      <c r="Z2519" s="3"/>
      <c r="AA2519" s="3"/>
    </row>
    <row r="2520" ht="105.75" customHeight="1">
      <c r="A2520" s="11"/>
      <c r="B2520" s="12"/>
      <c r="C2520" s="11"/>
      <c r="D2520" s="13"/>
      <c r="E2520" s="14"/>
      <c r="F2520" s="14"/>
      <c r="G2520" s="14"/>
      <c r="H2520" s="15"/>
      <c r="I2520" s="15"/>
      <c r="J2520" s="3"/>
      <c r="K2520" s="3"/>
      <c r="L2520" s="3"/>
      <c r="M2520" s="3"/>
      <c r="N2520" s="3"/>
      <c r="O2520" s="3"/>
      <c r="P2520" s="3"/>
      <c r="Q2520" s="3"/>
      <c r="R2520" s="3"/>
      <c r="S2520" s="3"/>
      <c r="T2520" s="3"/>
      <c r="U2520" s="3"/>
      <c r="V2520" s="3"/>
      <c r="W2520" s="3"/>
      <c r="X2520" s="3"/>
      <c r="Y2520" s="3"/>
      <c r="Z2520" s="3"/>
      <c r="AA2520" s="3"/>
    </row>
    <row r="2521" ht="105.75" customHeight="1">
      <c r="A2521" s="11"/>
      <c r="B2521" s="12"/>
      <c r="C2521" s="11"/>
      <c r="D2521" s="13"/>
      <c r="E2521" s="14"/>
      <c r="F2521" s="14"/>
      <c r="G2521" s="14"/>
      <c r="H2521" s="15"/>
      <c r="I2521" s="15"/>
      <c r="J2521" s="3"/>
      <c r="K2521" s="3"/>
      <c r="L2521" s="3"/>
      <c r="M2521" s="3"/>
      <c r="N2521" s="3"/>
      <c r="O2521" s="3"/>
      <c r="P2521" s="3"/>
      <c r="Q2521" s="3"/>
      <c r="R2521" s="3"/>
      <c r="S2521" s="3"/>
      <c r="T2521" s="3"/>
      <c r="U2521" s="3"/>
      <c r="V2521" s="3"/>
      <c r="W2521" s="3"/>
      <c r="X2521" s="3"/>
      <c r="Y2521" s="3"/>
      <c r="Z2521" s="3"/>
      <c r="AA2521" s="3"/>
    </row>
    <row r="2522" ht="105.75" customHeight="1">
      <c r="A2522" s="11"/>
      <c r="B2522" s="12"/>
      <c r="C2522" s="11"/>
      <c r="D2522" s="13"/>
      <c r="E2522" s="14"/>
      <c r="F2522" s="14"/>
      <c r="G2522" s="14"/>
      <c r="H2522" s="15"/>
      <c r="I2522" s="15"/>
      <c r="J2522" s="3"/>
      <c r="K2522" s="3"/>
      <c r="L2522" s="3"/>
      <c r="M2522" s="3"/>
      <c r="N2522" s="3"/>
      <c r="O2522" s="3"/>
      <c r="P2522" s="3"/>
      <c r="Q2522" s="3"/>
      <c r="R2522" s="3"/>
      <c r="S2522" s="3"/>
      <c r="T2522" s="3"/>
      <c r="U2522" s="3"/>
      <c r="V2522" s="3"/>
      <c r="W2522" s="3"/>
      <c r="X2522" s="3"/>
      <c r="Y2522" s="3"/>
      <c r="Z2522" s="3"/>
      <c r="AA2522" s="3"/>
    </row>
    <row r="2523" ht="105.75" customHeight="1">
      <c r="A2523" s="11"/>
      <c r="B2523" s="12"/>
      <c r="C2523" s="11"/>
      <c r="D2523" s="13"/>
      <c r="E2523" s="16"/>
      <c r="F2523" s="16"/>
      <c r="G2523" s="16"/>
      <c r="H2523" s="15"/>
      <c r="I2523" s="15"/>
      <c r="J2523" s="3"/>
      <c r="K2523" s="3"/>
      <c r="L2523" s="3"/>
      <c r="M2523" s="3"/>
      <c r="N2523" s="3"/>
      <c r="O2523" s="3"/>
      <c r="P2523" s="3"/>
      <c r="Q2523" s="3"/>
      <c r="R2523" s="3"/>
      <c r="S2523" s="3"/>
      <c r="T2523" s="3"/>
      <c r="U2523" s="3"/>
      <c r="V2523" s="3"/>
      <c r="W2523" s="3"/>
      <c r="X2523" s="3"/>
      <c r="Y2523" s="3"/>
      <c r="Z2523" s="3"/>
      <c r="AA2523" s="3"/>
    </row>
    <row r="2524" ht="105.75" customHeight="1">
      <c r="A2524" s="11"/>
      <c r="B2524" s="12"/>
      <c r="C2524" s="11"/>
      <c r="D2524" s="13"/>
      <c r="E2524" s="14"/>
      <c r="F2524" s="14"/>
      <c r="G2524" s="14"/>
      <c r="H2524" s="15"/>
      <c r="I2524" s="15"/>
      <c r="J2524" s="3"/>
      <c r="K2524" s="3"/>
      <c r="L2524" s="3"/>
      <c r="M2524" s="3"/>
      <c r="N2524" s="3"/>
      <c r="O2524" s="3"/>
      <c r="P2524" s="3"/>
      <c r="Q2524" s="3"/>
      <c r="R2524" s="3"/>
      <c r="S2524" s="3"/>
      <c r="T2524" s="3"/>
      <c r="U2524" s="3"/>
      <c r="V2524" s="3"/>
      <c r="W2524" s="3"/>
      <c r="X2524" s="3"/>
      <c r="Y2524" s="3"/>
      <c r="Z2524" s="3"/>
      <c r="AA2524" s="3"/>
    </row>
    <row r="2525" ht="105.75" customHeight="1">
      <c r="A2525" s="11"/>
      <c r="B2525" s="12"/>
      <c r="C2525" s="11"/>
      <c r="D2525" s="13"/>
      <c r="E2525" s="16"/>
      <c r="F2525" s="16"/>
      <c r="G2525" s="16"/>
      <c r="H2525" s="15"/>
      <c r="I2525" s="15"/>
      <c r="J2525" s="3"/>
      <c r="K2525" s="3"/>
      <c r="L2525" s="3"/>
      <c r="M2525" s="3"/>
      <c r="N2525" s="3"/>
      <c r="O2525" s="3"/>
      <c r="P2525" s="3"/>
      <c r="Q2525" s="3"/>
      <c r="R2525" s="3"/>
      <c r="S2525" s="3"/>
      <c r="T2525" s="3"/>
      <c r="U2525" s="3"/>
      <c r="V2525" s="3"/>
      <c r="W2525" s="3"/>
      <c r="X2525" s="3"/>
      <c r="Y2525" s="3"/>
      <c r="Z2525" s="3"/>
      <c r="AA2525" s="3"/>
    </row>
    <row r="2526" ht="105.75" customHeight="1">
      <c r="A2526" s="11"/>
      <c r="B2526" s="12"/>
      <c r="C2526" s="11"/>
      <c r="D2526" s="13"/>
      <c r="E2526" s="14"/>
      <c r="F2526" s="14"/>
      <c r="G2526" s="14"/>
      <c r="H2526" s="15"/>
      <c r="I2526" s="15"/>
      <c r="J2526" s="3"/>
      <c r="K2526" s="3"/>
      <c r="L2526" s="3"/>
      <c r="M2526" s="3"/>
      <c r="N2526" s="3"/>
      <c r="O2526" s="3"/>
      <c r="P2526" s="3"/>
      <c r="Q2526" s="3"/>
      <c r="R2526" s="3"/>
      <c r="S2526" s="3"/>
      <c r="T2526" s="3"/>
      <c r="U2526" s="3"/>
      <c r="V2526" s="3"/>
      <c r="W2526" s="3"/>
      <c r="X2526" s="3"/>
      <c r="Y2526" s="3"/>
      <c r="Z2526" s="3"/>
      <c r="AA2526" s="3"/>
    </row>
    <row r="2527" ht="105.75" customHeight="1">
      <c r="A2527" s="11"/>
      <c r="B2527" s="12"/>
      <c r="C2527" s="11"/>
      <c r="D2527" s="13"/>
      <c r="E2527" s="16"/>
      <c r="F2527" s="16"/>
      <c r="G2527" s="16"/>
      <c r="H2527" s="15"/>
      <c r="I2527" s="15"/>
      <c r="J2527" s="3"/>
      <c r="K2527" s="3"/>
      <c r="L2527" s="3"/>
      <c r="M2527" s="3"/>
      <c r="N2527" s="3"/>
      <c r="O2527" s="3"/>
      <c r="P2527" s="3"/>
      <c r="Q2527" s="3"/>
      <c r="R2527" s="3"/>
      <c r="S2527" s="3"/>
      <c r="T2527" s="3"/>
      <c r="U2527" s="3"/>
      <c r="V2527" s="3"/>
      <c r="W2527" s="3"/>
      <c r="X2527" s="3"/>
      <c r="Y2527" s="3"/>
      <c r="Z2527" s="3"/>
      <c r="AA2527" s="3"/>
    </row>
    <row r="2528" ht="105.75" customHeight="1">
      <c r="A2528" s="11"/>
      <c r="B2528" s="12"/>
      <c r="C2528" s="11"/>
      <c r="D2528" s="13"/>
      <c r="E2528" s="14"/>
      <c r="F2528" s="14"/>
      <c r="G2528" s="14"/>
      <c r="H2528" s="15"/>
      <c r="I2528" s="15"/>
      <c r="J2528" s="3"/>
      <c r="K2528" s="3"/>
      <c r="L2528" s="3"/>
      <c r="M2528" s="3"/>
      <c r="N2528" s="3"/>
      <c r="O2528" s="3"/>
      <c r="P2528" s="3"/>
      <c r="Q2528" s="3"/>
      <c r="R2528" s="3"/>
      <c r="S2528" s="3"/>
      <c r="T2528" s="3"/>
      <c r="U2528" s="3"/>
      <c r="V2528" s="3"/>
      <c r="W2528" s="3"/>
      <c r="X2528" s="3"/>
      <c r="Y2528" s="3"/>
      <c r="Z2528" s="3"/>
      <c r="AA2528" s="3"/>
    </row>
    <row r="2529" ht="105.75" customHeight="1">
      <c r="A2529" s="11"/>
      <c r="B2529" s="12"/>
      <c r="C2529" s="11"/>
      <c r="D2529" s="13"/>
      <c r="E2529" s="16"/>
      <c r="F2529" s="16"/>
      <c r="G2529" s="16"/>
      <c r="H2529" s="15"/>
      <c r="I2529" s="15"/>
      <c r="J2529" s="3"/>
      <c r="K2529" s="3"/>
      <c r="L2529" s="3"/>
      <c r="M2529" s="3"/>
      <c r="N2529" s="3"/>
      <c r="O2529" s="3"/>
      <c r="P2529" s="3"/>
      <c r="Q2529" s="3"/>
      <c r="R2529" s="3"/>
      <c r="S2529" s="3"/>
      <c r="T2529" s="3"/>
      <c r="U2529" s="3"/>
      <c r="V2529" s="3"/>
      <c r="W2529" s="3"/>
      <c r="X2529" s="3"/>
      <c r="Y2529" s="3"/>
      <c r="Z2529" s="3"/>
      <c r="AA2529" s="3"/>
    </row>
    <row r="2530" ht="105.75" customHeight="1">
      <c r="A2530" s="11"/>
      <c r="B2530" s="12"/>
      <c r="C2530" s="11"/>
      <c r="D2530" s="13"/>
      <c r="E2530" s="14"/>
      <c r="F2530" s="14"/>
      <c r="G2530" s="14"/>
      <c r="H2530" s="15"/>
      <c r="I2530" s="15"/>
      <c r="J2530" s="3"/>
      <c r="K2530" s="3"/>
      <c r="L2530" s="3"/>
      <c r="M2530" s="3"/>
      <c r="N2530" s="3"/>
      <c r="O2530" s="3"/>
      <c r="P2530" s="3"/>
      <c r="Q2530" s="3"/>
      <c r="R2530" s="3"/>
      <c r="S2530" s="3"/>
      <c r="T2530" s="3"/>
      <c r="U2530" s="3"/>
      <c r="V2530" s="3"/>
      <c r="W2530" s="3"/>
      <c r="X2530" s="3"/>
      <c r="Y2530" s="3"/>
      <c r="Z2530" s="3"/>
      <c r="AA2530" s="3"/>
    </row>
    <row r="2531" ht="105.75" customHeight="1">
      <c r="A2531" s="11"/>
      <c r="B2531" s="12"/>
      <c r="C2531" s="11"/>
      <c r="D2531" s="13"/>
      <c r="E2531" s="16"/>
      <c r="F2531" s="16"/>
      <c r="G2531" s="16"/>
      <c r="H2531" s="15"/>
      <c r="I2531" s="15"/>
      <c r="J2531" s="3"/>
      <c r="K2531" s="3"/>
      <c r="L2531" s="3"/>
      <c r="M2531" s="3"/>
      <c r="N2531" s="3"/>
      <c r="O2531" s="3"/>
      <c r="P2531" s="3"/>
      <c r="Q2531" s="3"/>
      <c r="R2531" s="3"/>
      <c r="S2531" s="3"/>
      <c r="T2531" s="3"/>
      <c r="U2531" s="3"/>
      <c r="V2531" s="3"/>
      <c r="W2531" s="3"/>
      <c r="X2531" s="3"/>
      <c r="Y2531" s="3"/>
      <c r="Z2531" s="3"/>
      <c r="AA2531" s="3"/>
    </row>
    <row r="2532" ht="105.75" customHeight="1">
      <c r="A2532" s="11"/>
      <c r="B2532" s="12"/>
      <c r="C2532" s="11"/>
      <c r="D2532" s="13"/>
      <c r="E2532" s="14"/>
      <c r="F2532" s="14"/>
      <c r="G2532" s="14"/>
      <c r="H2532" s="15"/>
      <c r="I2532" s="15"/>
      <c r="J2532" s="3"/>
      <c r="K2532" s="3"/>
      <c r="L2532" s="3"/>
      <c r="M2532" s="3"/>
      <c r="N2532" s="3"/>
      <c r="O2532" s="3"/>
      <c r="P2532" s="3"/>
      <c r="Q2532" s="3"/>
      <c r="R2532" s="3"/>
      <c r="S2532" s="3"/>
      <c r="T2532" s="3"/>
      <c r="U2532" s="3"/>
      <c r="V2532" s="3"/>
      <c r="W2532" s="3"/>
      <c r="X2532" s="3"/>
      <c r="Y2532" s="3"/>
      <c r="Z2532" s="3"/>
      <c r="AA2532" s="3"/>
    </row>
    <row r="2533" ht="105.75" customHeight="1">
      <c r="A2533" s="11"/>
      <c r="B2533" s="12"/>
      <c r="C2533" s="11"/>
      <c r="D2533" s="13"/>
      <c r="E2533" s="16"/>
      <c r="F2533" s="16"/>
      <c r="G2533" s="16"/>
      <c r="H2533" s="15"/>
      <c r="I2533" s="15"/>
      <c r="J2533" s="3"/>
      <c r="K2533" s="3"/>
      <c r="L2533" s="3"/>
      <c r="M2533" s="3"/>
      <c r="N2533" s="3"/>
      <c r="O2533" s="3"/>
      <c r="P2533" s="3"/>
      <c r="Q2533" s="3"/>
      <c r="R2533" s="3"/>
      <c r="S2533" s="3"/>
      <c r="T2533" s="3"/>
      <c r="U2533" s="3"/>
      <c r="V2533" s="3"/>
      <c r="W2533" s="3"/>
      <c r="X2533" s="3"/>
      <c r="Y2533" s="3"/>
      <c r="Z2533" s="3"/>
      <c r="AA2533" s="3"/>
    </row>
    <row r="2534" ht="105.75" customHeight="1">
      <c r="A2534" s="11"/>
      <c r="B2534" s="12"/>
      <c r="C2534" s="11"/>
      <c r="D2534" s="13"/>
      <c r="E2534" s="14"/>
      <c r="F2534" s="14"/>
      <c r="G2534" s="14"/>
      <c r="H2534" s="15"/>
      <c r="I2534" s="15"/>
      <c r="J2534" s="3"/>
      <c r="K2534" s="3"/>
      <c r="L2534" s="3"/>
      <c r="M2534" s="3"/>
      <c r="N2534" s="3"/>
      <c r="O2534" s="3"/>
      <c r="P2534" s="3"/>
      <c r="Q2534" s="3"/>
      <c r="R2534" s="3"/>
      <c r="S2534" s="3"/>
      <c r="T2534" s="3"/>
      <c r="U2534" s="3"/>
      <c r="V2534" s="3"/>
      <c r="W2534" s="3"/>
      <c r="X2534" s="3"/>
      <c r="Y2534" s="3"/>
      <c r="Z2534" s="3"/>
      <c r="AA2534" s="3"/>
    </row>
    <row r="2535" ht="105.75" customHeight="1">
      <c r="A2535" s="11"/>
      <c r="B2535" s="12"/>
      <c r="C2535" s="11"/>
      <c r="D2535" s="13"/>
      <c r="E2535" s="16"/>
      <c r="F2535" s="16"/>
      <c r="G2535" s="16"/>
      <c r="H2535" s="15"/>
      <c r="I2535" s="15"/>
      <c r="J2535" s="3"/>
      <c r="K2535" s="3"/>
      <c r="L2535" s="3"/>
      <c r="M2535" s="3"/>
      <c r="N2535" s="3"/>
      <c r="O2535" s="3"/>
      <c r="P2535" s="3"/>
      <c r="Q2535" s="3"/>
      <c r="R2535" s="3"/>
      <c r="S2535" s="3"/>
      <c r="T2535" s="3"/>
      <c r="U2535" s="3"/>
      <c r="V2535" s="3"/>
      <c r="W2535" s="3"/>
      <c r="X2535" s="3"/>
      <c r="Y2535" s="3"/>
      <c r="Z2535" s="3"/>
      <c r="AA2535" s="3"/>
    </row>
    <row r="2536" ht="105.75" customHeight="1">
      <c r="A2536" s="11"/>
      <c r="B2536" s="12"/>
      <c r="C2536" s="11"/>
      <c r="D2536" s="13"/>
      <c r="E2536" s="14"/>
      <c r="F2536" s="14"/>
      <c r="G2536" s="14"/>
      <c r="H2536" s="15"/>
      <c r="I2536" s="15"/>
      <c r="J2536" s="3"/>
      <c r="K2536" s="3"/>
      <c r="L2536" s="3"/>
      <c r="M2536" s="3"/>
      <c r="N2536" s="3"/>
      <c r="O2536" s="3"/>
      <c r="P2536" s="3"/>
      <c r="Q2536" s="3"/>
      <c r="R2536" s="3"/>
      <c r="S2536" s="3"/>
      <c r="T2536" s="3"/>
      <c r="U2536" s="3"/>
      <c r="V2536" s="3"/>
      <c r="W2536" s="3"/>
      <c r="X2536" s="3"/>
      <c r="Y2536" s="3"/>
      <c r="Z2536" s="3"/>
      <c r="AA2536" s="3"/>
    </row>
    <row r="2537" ht="105.75" customHeight="1">
      <c r="A2537" s="11"/>
      <c r="B2537" s="12"/>
      <c r="C2537" s="11"/>
      <c r="D2537" s="13"/>
      <c r="E2537" s="16"/>
      <c r="F2537" s="16"/>
      <c r="G2537" s="16"/>
      <c r="H2537" s="15"/>
      <c r="I2537" s="15"/>
      <c r="J2537" s="3"/>
      <c r="K2537" s="3"/>
      <c r="L2537" s="3"/>
      <c r="M2537" s="3"/>
      <c r="N2537" s="3"/>
      <c r="O2537" s="3"/>
      <c r="P2537" s="3"/>
      <c r="Q2537" s="3"/>
      <c r="R2537" s="3"/>
      <c r="S2537" s="3"/>
      <c r="T2537" s="3"/>
      <c r="U2537" s="3"/>
      <c r="V2537" s="3"/>
      <c r="W2537" s="3"/>
      <c r="X2537" s="3"/>
      <c r="Y2537" s="3"/>
      <c r="Z2537" s="3"/>
      <c r="AA2537" s="3"/>
    </row>
    <row r="2538" ht="105.75" customHeight="1">
      <c r="A2538" s="11"/>
      <c r="B2538" s="12"/>
      <c r="C2538" s="11"/>
      <c r="D2538" s="13"/>
      <c r="E2538" s="14"/>
      <c r="F2538" s="14"/>
      <c r="G2538" s="14"/>
      <c r="H2538" s="15"/>
      <c r="I2538" s="15"/>
      <c r="J2538" s="3"/>
      <c r="K2538" s="3"/>
      <c r="L2538" s="3"/>
      <c r="M2538" s="3"/>
      <c r="N2538" s="3"/>
      <c r="O2538" s="3"/>
      <c r="P2538" s="3"/>
      <c r="Q2538" s="3"/>
      <c r="R2538" s="3"/>
      <c r="S2538" s="3"/>
      <c r="T2538" s="3"/>
      <c r="U2538" s="3"/>
      <c r="V2538" s="3"/>
      <c r="W2538" s="3"/>
      <c r="X2538" s="3"/>
      <c r="Y2538" s="3"/>
      <c r="Z2538" s="3"/>
      <c r="AA2538" s="3"/>
    </row>
    <row r="2539" ht="105.75" customHeight="1">
      <c r="A2539" s="11"/>
      <c r="B2539" s="12"/>
      <c r="C2539" s="11"/>
      <c r="D2539" s="13"/>
      <c r="E2539" s="16"/>
      <c r="F2539" s="16"/>
      <c r="G2539" s="16"/>
      <c r="H2539" s="15"/>
      <c r="I2539" s="15"/>
      <c r="J2539" s="3"/>
      <c r="K2539" s="3"/>
      <c r="L2539" s="3"/>
      <c r="M2539" s="3"/>
      <c r="N2539" s="3"/>
      <c r="O2539" s="3"/>
      <c r="P2539" s="3"/>
      <c r="Q2539" s="3"/>
      <c r="R2539" s="3"/>
      <c r="S2539" s="3"/>
      <c r="T2539" s="3"/>
      <c r="U2539" s="3"/>
      <c r="V2539" s="3"/>
      <c r="W2539" s="3"/>
      <c r="X2539" s="3"/>
      <c r="Y2539" s="3"/>
      <c r="Z2539" s="3"/>
      <c r="AA2539" s="3"/>
    </row>
    <row r="2540" ht="105.75" customHeight="1">
      <c r="A2540" s="11"/>
      <c r="B2540" s="12"/>
      <c r="C2540" s="11"/>
      <c r="D2540" s="13"/>
      <c r="E2540" s="16"/>
      <c r="F2540" s="16"/>
      <c r="G2540" s="16"/>
      <c r="H2540" s="15"/>
      <c r="I2540" s="15"/>
      <c r="J2540" s="3"/>
      <c r="K2540" s="3"/>
      <c r="L2540" s="3"/>
      <c r="M2540" s="3"/>
      <c r="N2540" s="3"/>
      <c r="O2540" s="3"/>
      <c r="P2540" s="3"/>
      <c r="Q2540" s="3"/>
      <c r="R2540" s="3"/>
      <c r="S2540" s="3"/>
      <c r="T2540" s="3"/>
      <c r="U2540" s="3"/>
      <c r="V2540" s="3"/>
      <c r="W2540" s="3"/>
      <c r="X2540" s="3"/>
      <c r="Y2540" s="3"/>
      <c r="Z2540" s="3"/>
      <c r="AA2540" s="3"/>
    </row>
    <row r="2541" ht="105.75" customHeight="1">
      <c r="A2541" s="11"/>
      <c r="B2541" s="12"/>
      <c r="C2541" s="11"/>
      <c r="D2541" s="13"/>
      <c r="E2541" s="14"/>
      <c r="F2541" s="14"/>
      <c r="G2541" s="14"/>
      <c r="H2541" s="15"/>
      <c r="I2541" s="15"/>
      <c r="J2541" s="3"/>
      <c r="K2541" s="3"/>
      <c r="L2541" s="3"/>
      <c r="M2541" s="3"/>
      <c r="N2541" s="3"/>
      <c r="O2541" s="3"/>
      <c r="P2541" s="3"/>
      <c r="Q2541" s="3"/>
      <c r="R2541" s="3"/>
      <c r="S2541" s="3"/>
      <c r="T2541" s="3"/>
      <c r="U2541" s="3"/>
      <c r="V2541" s="3"/>
      <c r="W2541" s="3"/>
      <c r="X2541" s="3"/>
      <c r="Y2541" s="3"/>
      <c r="Z2541" s="3"/>
      <c r="AA2541" s="3"/>
    </row>
    <row r="2542" ht="105.75" customHeight="1">
      <c r="A2542" s="11"/>
      <c r="B2542" s="12"/>
      <c r="C2542" s="11"/>
      <c r="D2542" s="13"/>
      <c r="E2542" s="14"/>
      <c r="F2542" s="14"/>
      <c r="G2542" s="14"/>
      <c r="H2542" s="15"/>
      <c r="I2542" s="15"/>
      <c r="J2542" s="3"/>
      <c r="K2542" s="3"/>
      <c r="L2542" s="3"/>
      <c r="M2542" s="3"/>
      <c r="N2542" s="3"/>
      <c r="O2542" s="3"/>
      <c r="P2542" s="3"/>
      <c r="Q2542" s="3"/>
      <c r="R2542" s="3"/>
      <c r="S2542" s="3"/>
      <c r="T2542" s="3"/>
      <c r="U2542" s="3"/>
      <c r="V2542" s="3"/>
      <c r="W2542" s="3"/>
      <c r="X2542" s="3"/>
      <c r="Y2542" s="3"/>
      <c r="Z2542" s="3"/>
      <c r="AA2542" s="3"/>
    </row>
    <row r="2543" ht="105.75" customHeight="1">
      <c r="A2543" s="11"/>
      <c r="B2543" s="12"/>
      <c r="C2543" s="11"/>
      <c r="D2543" s="13"/>
      <c r="E2543" s="14"/>
      <c r="F2543" s="14"/>
      <c r="G2543" s="14"/>
      <c r="H2543" s="15"/>
      <c r="I2543" s="15"/>
      <c r="J2543" s="3"/>
      <c r="K2543" s="3"/>
      <c r="L2543" s="3"/>
      <c r="M2543" s="3"/>
      <c r="N2543" s="3"/>
      <c r="O2543" s="3"/>
      <c r="P2543" s="3"/>
      <c r="Q2543" s="3"/>
      <c r="R2543" s="3"/>
      <c r="S2543" s="3"/>
      <c r="T2543" s="3"/>
      <c r="U2543" s="3"/>
      <c r="V2543" s="3"/>
      <c r="W2543" s="3"/>
      <c r="X2543" s="3"/>
      <c r="Y2543" s="3"/>
      <c r="Z2543" s="3"/>
      <c r="AA2543" s="3"/>
    </row>
    <row r="2544" ht="105.75" customHeight="1">
      <c r="A2544" s="11"/>
      <c r="B2544" s="12"/>
      <c r="C2544" s="11"/>
      <c r="D2544" s="13"/>
      <c r="E2544" s="14"/>
      <c r="F2544" s="14"/>
      <c r="G2544" s="14"/>
      <c r="H2544" s="15"/>
      <c r="I2544" s="15"/>
      <c r="J2544" s="3"/>
      <c r="K2544" s="3"/>
      <c r="L2544" s="3"/>
      <c r="M2544" s="3"/>
      <c r="N2544" s="3"/>
      <c r="O2544" s="3"/>
      <c r="P2544" s="3"/>
      <c r="Q2544" s="3"/>
      <c r="R2544" s="3"/>
      <c r="S2544" s="3"/>
      <c r="T2544" s="3"/>
      <c r="U2544" s="3"/>
      <c r="V2544" s="3"/>
      <c r="W2544" s="3"/>
      <c r="X2544" s="3"/>
      <c r="Y2544" s="3"/>
      <c r="Z2544" s="3"/>
      <c r="AA2544" s="3"/>
    </row>
    <row r="2545" ht="105.75" customHeight="1">
      <c r="A2545" s="11"/>
      <c r="B2545" s="12"/>
      <c r="C2545" s="11"/>
      <c r="D2545" s="13"/>
      <c r="E2545" s="16"/>
      <c r="F2545" s="16"/>
      <c r="G2545" s="16"/>
      <c r="H2545" s="15"/>
      <c r="I2545" s="15"/>
      <c r="J2545" s="3"/>
      <c r="K2545" s="3"/>
      <c r="L2545" s="3"/>
      <c r="M2545" s="3"/>
      <c r="N2545" s="3"/>
      <c r="O2545" s="3"/>
      <c r="P2545" s="3"/>
      <c r="Q2545" s="3"/>
      <c r="R2545" s="3"/>
      <c r="S2545" s="3"/>
      <c r="T2545" s="3"/>
      <c r="U2545" s="3"/>
      <c r="V2545" s="3"/>
      <c r="W2545" s="3"/>
      <c r="X2545" s="3"/>
      <c r="Y2545" s="3"/>
      <c r="Z2545" s="3"/>
      <c r="AA2545" s="3"/>
    </row>
    <row r="2546" ht="105.75" customHeight="1">
      <c r="A2546" s="11"/>
      <c r="B2546" s="12"/>
      <c r="C2546" s="11"/>
      <c r="D2546" s="13"/>
      <c r="E2546" s="14"/>
      <c r="F2546" s="14"/>
      <c r="G2546" s="14"/>
      <c r="H2546" s="15"/>
      <c r="I2546" s="15"/>
      <c r="J2546" s="3"/>
      <c r="K2546" s="3"/>
      <c r="L2546" s="3"/>
      <c r="M2546" s="3"/>
      <c r="N2546" s="3"/>
      <c r="O2546" s="3"/>
      <c r="P2546" s="3"/>
      <c r="Q2546" s="3"/>
      <c r="R2546" s="3"/>
      <c r="S2546" s="3"/>
      <c r="T2546" s="3"/>
      <c r="U2546" s="3"/>
      <c r="V2546" s="3"/>
      <c r="W2546" s="3"/>
      <c r="X2546" s="3"/>
      <c r="Y2546" s="3"/>
      <c r="Z2546" s="3"/>
      <c r="AA2546" s="3"/>
    </row>
    <row r="2547" ht="105.75" customHeight="1">
      <c r="A2547" s="11"/>
      <c r="B2547" s="12"/>
      <c r="C2547" s="11"/>
      <c r="D2547" s="13"/>
      <c r="E2547" s="16"/>
      <c r="F2547" s="16"/>
      <c r="G2547" s="16"/>
      <c r="H2547" s="15"/>
      <c r="I2547" s="15"/>
      <c r="J2547" s="3"/>
      <c r="K2547" s="3"/>
      <c r="L2547" s="3"/>
      <c r="M2547" s="3"/>
      <c r="N2547" s="3"/>
      <c r="O2547" s="3"/>
      <c r="P2547" s="3"/>
      <c r="Q2547" s="3"/>
      <c r="R2547" s="3"/>
      <c r="S2547" s="3"/>
      <c r="T2547" s="3"/>
      <c r="U2547" s="3"/>
      <c r="V2547" s="3"/>
      <c r="W2547" s="3"/>
      <c r="X2547" s="3"/>
      <c r="Y2547" s="3"/>
      <c r="Z2547" s="3"/>
      <c r="AA2547" s="3"/>
    </row>
    <row r="2548" ht="105.75" customHeight="1">
      <c r="A2548" s="11"/>
      <c r="B2548" s="12"/>
      <c r="C2548" s="11"/>
      <c r="D2548" s="13"/>
      <c r="E2548" s="16"/>
      <c r="F2548" s="16"/>
      <c r="G2548" s="16"/>
      <c r="H2548" s="15"/>
      <c r="I2548" s="15"/>
      <c r="J2548" s="3"/>
      <c r="K2548" s="3"/>
      <c r="L2548" s="3"/>
      <c r="M2548" s="3"/>
      <c r="N2548" s="3"/>
      <c r="O2548" s="3"/>
      <c r="P2548" s="3"/>
      <c r="Q2548" s="3"/>
      <c r="R2548" s="3"/>
      <c r="S2548" s="3"/>
      <c r="T2548" s="3"/>
      <c r="U2548" s="3"/>
      <c r="V2548" s="3"/>
      <c r="W2548" s="3"/>
      <c r="X2548" s="3"/>
      <c r="Y2548" s="3"/>
      <c r="Z2548" s="3"/>
      <c r="AA2548" s="3"/>
    </row>
    <row r="2549" ht="105.75" customHeight="1">
      <c r="A2549" s="11"/>
      <c r="B2549" s="12"/>
      <c r="C2549" s="11"/>
      <c r="D2549" s="13"/>
      <c r="E2549" s="14"/>
      <c r="F2549" s="14"/>
      <c r="G2549" s="14"/>
      <c r="H2549" s="15"/>
      <c r="I2549" s="15"/>
      <c r="J2549" s="3"/>
      <c r="K2549" s="3"/>
      <c r="L2549" s="3"/>
      <c r="M2549" s="3"/>
      <c r="N2549" s="3"/>
      <c r="O2549" s="3"/>
      <c r="P2549" s="3"/>
      <c r="Q2549" s="3"/>
      <c r="R2549" s="3"/>
      <c r="S2549" s="3"/>
      <c r="T2549" s="3"/>
      <c r="U2549" s="3"/>
      <c r="V2549" s="3"/>
      <c r="W2549" s="3"/>
      <c r="X2549" s="3"/>
      <c r="Y2549" s="3"/>
      <c r="Z2549" s="3"/>
      <c r="AA2549" s="3"/>
    </row>
    <row r="2550" ht="105.75" customHeight="1">
      <c r="A2550" s="11"/>
      <c r="B2550" s="12"/>
      <c r="C2550" s="11"/>
      <c r="D2550" s="13"/>
      <c r="E2550" s="14"/>
      <c r="F2550" s="14"/>
      <c r="G2550" s="14"/>
      <c r="H2550" s="15"/>
      <c r="I2550" s="15"/>
      <c r="J2550" s="3"/>
      <c r="K2550" s="3"/>
      <c r="L2550" s="3"/>
      <c r="M2550" s="3"/>
      <c r="N2550" s="3"/>
      <c r="O2550" s="3"/>
      <c r="P2550" s="3"/>
      <c r="Q2550" s="3"/>
      <c r="R2550" s="3"/>
      <c r="S2550" s="3"/>
      <c r="T2550" s="3"/>
      <c r="U2550" s="3"/>
      <c r="V2550" s="3"/>
      <c r="W2550" s="3"/>
      <c r="X2550" s="3"/>
      <c r="Y2550" s="3"/>
      <c r="Z2550" s="3"/>
      <c r="AA2550" s="3"/>
    </row>
    <row r="2551" ht="105.75" customHeight="1">
      <c r="A2551" s="11"/>
      <c r="B2551" s="12"/>
      <c r="C2551" s="11"/>
      <c r="D2551" s="13"/>
      <c r="E2551" s="14"/>
      <c r="F2551" s="14"/>
      <c r="G2551" s="14"/>
      <c r="H2551" s="15"/>
      <c r="I2551" s="15"/>
      <c r="J2551" s="3"/>
      <c r="K2551" s="3"/>
      <c r="L2551" s="3"/>
      <c r="M2551" s="3"/>
      <c r="N2551" s="3"/>
      <c r="O2551" s="3"/>
      <c r="P2551" s="3"/>
      <c r="Q2551" s="3"/>
      <c r="R2551" s="3"/>
      <c r="S2551" s="3"/>
      <c r="T2551" s="3"/>
      <c r="U2551" s="3"/>
      <c r="V2551" s="3"/>
      <c r="W2551" s="3"/>
      <c r="X2551" s="3"/>
      <c r="Y2551" s="3"/>
      <c r="Z2551" s="3"/>
      <c r="AA2551" s="3"/>
    </row>
    <row r="2552" ht="105.75" customHeight="1">
      <c r="A2552" s="11"/>
      <c r="B2552" s="12"/>
      <c r="C2552" s="11"/>
      <c r="D2552" s="13"/>
      <c r="E2552" s="16"/>
      <c r="F2552" s="16"/>
      <c r="G2552" s="16"/>
      <c r="H2552" s="15"/>
      <c r="I2552" s="15"/>
      <c r="J2552" s="3"/>
      <c r="K2552" s="3"/>
      <c r="L2552" s="3"/>
      <c r="M2552" s="3"/>
      <c r="N2552" s="3"/>
      <c r="O2552" s="3"/>
      <c r="P2552" s="3"/>
      <c r="Q2552" s="3"/>
      <c r="R2552" s="3"/>
      <c r="S2552" s="3"/>
      <c r="T2552" s="3"/>
      <c r="U2552" s="3"/>
      <c r="V2552" s="3"/>
      <c r="W2552" s="3"/>
      <c r="X2552" s="3"/>
      <c r="Y2552" s="3"/>
      <c r="Z2552" s="3"/>
      <c r="AA2552" s="3"/>
    </row>
    <row r="2553" ht="105.75" customHeight="1">
      <c r="A2553" s="11"/>
      <c r="B2553" s="12"/>
      <c r="C2553" s="11"/>
      <c r="D2553" s="13"/>
      <c r="E2553" s="14"/>
      <c r="F2553" s="14"/>
      <c r="G2553" s="14"/>
      <c r="H2553" s="15"/>
      <c r="I2553" s="15"/>
      <c r="J2553" s="3"/>
      <c r="K2553" s="3"/>
      <c r="L2553" s="3"/>
      <c r="M2553" s="3"/>
      <c r="N2553" s="3"/>
      <c r="O2553" s="3"/>
      <c r="P2553" s="3"/>
      <c r="Q2553" s="3"/>
      <c r="R2553" s="3"/>
      <c r="S2553" s="3"/>
      <c r="T2553" s="3"/>
      <c r="U2553" s="3"/>
      <c r="V2553" s="3"/>
      <c r="W2553" s="3"/>
      <c r="X2553" s="3"/>
      <c r="Y2553" s="3"/>
      <c r="Z2553" s="3"/>
      <c r="AA2553" s="3"/>
    </row>
    <row r="2554" ht="105.75" customHeight="1">
      <c r="A2554" s="11"/>
      <c r="B2554" s="12"/>
      <c r="C2554" s="11"/>
      <c r="D2554" s="13"/>
      <c r="E2554" s="14"/>
      <c r="F2554" s="14"/>
      <c r="G2554" s="14"/>
      <c r="H2554" s="15"/>
      <c r="I2554" s="15"/>
      <c r="J2554" s="3"/>
      <c r="K2554" s="3"/>
      <c r="L2554" s="3"/>
      <c r="M2554" s="3"/>
      <c r="N2554" s="3"/>
      <c r="O2554" s="3"/>
      <c r="P2554" s="3"/>
      <c r="Q2554" s="3"/>
      <c r="R2554" s="3"/>
      <c r="S2554" s="3"/>
      <c r="T2554" s="3"/>
      <c r="U2554" s="3"/>
      <c r="V2554" s="3"/>
      <c r="W2554" s="3"/>
      <c r="X2554" s="3"/>
      <c r="Y2554" s="3"/>
      <c r="Z2554" s="3"/>
      <c r="AA2554" s="3"/>
    </row>
    <row r="2555" ht="105.75" customHeight="1">
      <c r="A2555" s="11"/>
      <c r="B2555" s="12"/>
      <c r="C2555" s="11"/>
      <c r="D2555" s="13"/>
      <c r="E2555" s="14"/>
      <c r="F2555" s="14"/>
      <c r="G2555" s="14"/>
      <c r="H2555" s="15"/>
      <c r="I2555" s="15"/>
      <c r="J2555" s="3"/>
      <c r="K2555" s="3"/>
      <c r="L2555" s="3"/>
      <c r="M2555" s="3"/>
      <c r="N2555" s="3"/>
      <c r="O2555" s="3"/>
      <c r="P2555" s="3"/>
      <c r="Q2555" s="3"/>
      <c r="R2555" s="3"/>
      <c r="S2555" s="3"/>
      <c r="T2555" s="3"/>
      <c r="U2555" s="3"/>
      <c r="V2555" s="3"/>
      <c r="W2555" s="3"/>
      <c r="X2555" s="3"/>
      <c r="Y2555" s="3"/>
      <c r="Z2555" s="3"/>
      <c r="AA2555" s="3"/>
    </row>
    <row r="2556" ht="105.75" customHeight="1">
      <c r="A2556" s="11"/>
      <c r="B2556" s="12"/>
      <c r="C2556" s="11"/>
      <c r="D2556" s="13"/>
      <c r="E2556" s="16"/>
      <c r="F2556" s="16"/>
      <c r="G2556" s="16"/>
      <c r="H2556" s="15"/>
      <c r="I2556" s="15"/>
      <c r="J2556" s="3"/>
      <c r="K2556" s="3"/>
      <c r="L2556" s="3"/>
      <c r="M2556" s="3"/>
      <c r="N2556" s="3"/>
      <c r="O2556" s="3"/>
      <c r="P2556" s="3"/>
      <c r="Q2556" s="3"/>
      <c r="R2556" s="3"/>
      <c r="S2556" s="3"/>
      <c r="T2556" s="3"/>
      <c r="U2556" s="3"/>
      <c r="V2556" s="3"/>
      <c r="W2556" s="3"/>
      <c r="X2556" s="3"/>
      <c r="Y2556" s="3"/>
      <c r="Z2556" s="3"/>
      <c r="AA2556" s="3"/>
    </row>
    <row r="2557" ht="105.75" customHeight="1">
      <c r="A2557" s="11"/>
      <c r="B2557" s="12"/>
      <c r="C2557" s="11"/>
      <c r="D2557" s="13"/>
      <c r="E2557" s="14"/>
      <c r="F2557" s="14"/>
      <c r="G2557" s="14"/>
      <c r="H2557" s="15"/>
      <c r="I2557" s="15"/>
      <c r="J2557" s="3"/>
      <c r="K2557" s="3"/>
      <c r="L2557" s="3"/>
      <c r="M2557" s="3"/>
      <c r="N2557" s="3"/>
      <c r="O2557" s="3"/>
      <c r="P2557" s="3"/>
      <c r="Q2557" s="3"/>
      <c r="R2557" s="3"/>
      <c r="S2557" s="3"/>
      <c r="T2557" s="3"/>
      <c r="U2557" s="3"/>
      <c r="V2557" s="3"/>
      <c r="W2557" s="3"/>
      <c r="X2557" s="3"/>
      <c r="Y2557" s="3"/>
      <c r="Z2557" s="3"/>
      <c r="AA2557" s="3"/>
    </row>
    <row r="2558" ht="105.75" customHeight="1">
      <c r="A2558" s="11"/>
      <c r="B2558" s="12"/>
      <c r="C2558" s="11"/>
      <c r="D2558" s="13"/>
      <c r="E2558" s="14"/>
      <c r="F2558" s="14"/>
      <c r="G2558" s="14"/>
      <c r="H2558" s="15"/>
      <c r="I2558" s="15"/>
      <c r="J2558" s="3"/>
      <c r="K2558" s="3"/>
      <c r="L2558" s="3"/>
      <c r="M2558" s="3"/>
      <c r="N2558" s="3"/>
      <c r="O2558" s="3"/>
      <c r="P2558" s="3"/>
      <c r="Q2558" s="3"/>
      <c r="R2558" s="3"/>
      <c r="S2558" s="3"/>
      <c r="T2558" s="3"/>
      <c r="U2558" s="3"/>
      <c r="V2558" s="3"/>
      <c r="W2558" s="3"/>
      <c r="X2558" s="3"/>
      <c r="Y2558" s="3"/>
      <c r="Z2558" s="3"/>
      <c r="AA2558" s="3"/>
    </row>
    <row r="2559" ht="105.75" customHeight="1">
      <c r="A2559" s="11"/>
      <c r="B2559" s="12"/>
      <c r="C2559" s="11"/>
      <c r="D2559" s="13"/>
      <c r="E2559" s="14"/>
      <c r="F2559" s="14"/>
      <c r="G2559" s="14"/>
      <c r="H2559" s="15"/>
      <c r="I2559" s="15"/>
      <c r="J2559" s="3"/>
      <c r="K2559" s="3"/>
      <c r="L2559" s="3"/>
      <c r="M2559" s="3"/>
      <c r="N2559" s="3"/>
      <c r="O2559" s="3"/>
      <c r="P2559" s="3"/>
      <c r="Q2559" s="3"/>
      <c r="R2559" s="3"/>
      <c r="S2559" s="3"/>
      <c r="T2559" s="3"/>
      <c r="U2559" s="3"/>
      <c r="V2559" s="3"/>
      <c r="W2559" s="3"/>
      <c r="X2559" s="3"/>
      <c r="Y2559" s="3"/>
      <c r="Z2559" s="3"/>
      <c r="AA2559" s="3"/>
    </row>
    <row r="2560" ht="105.75" customHeight="1">
      <c r="A2560" s="11"/>
      <c r="B2560" s="12"/>
      <c r="C2560" s="11"/>
      <c r="D2560" s="13"/>
      <c r="E2560" s="14"/>
      <c r="F2560" s="14"/>
      <c r="G2560" s="14"/>
      <c r="H2560" s="15"/>
      <c r="I2560" s="15"/>
      <c r="J2560" s="3"/>
      <c r="K2560" s="3"/>
      <c r="L2560" s="3"/>
      <c r="M2560" s="3"/>
      <c r="N2560" s="3"/>
      <c r="O2560" s="3"/>
      <c r="P2560" s="3"/>
      <c r="Q2560" s="3"/>
      <c r="R2560" s="3"/>
      <c r="S2560" s="3"/>
      <c r="T2560" s="3"/>
      <c r="U2560" s="3"/>
      <c r="V2560" s="3"/>
      <c r="W2560" s="3"/>
      <c r="X2560" s="3"/>
      <c r="Y2560" s="3"/>
      <c r="Z2560" s="3"/>
      <c r="AA2560" s="3"/>
    </row>
    <row r="2561" ht="105.75" customHeight="1">
      <c r="A2561" s="11"/>
      <c r="B2561" s="12"/>
      <c r="C2561" s="11"/>
      <c r="D2561" s="13"/>
      <c r="E2561" s="14"/>
      <c r="F2561" s="14"/>
      <c r="G2561" s="14"/>
      <c r="H2561" s="15"/>
      <c r="I2561" s="15"/>
      <c r="J2561" s="3"/>
      <c r="K2561" s="3"/>
      <c r="L2561" s="3"/>
      <c r="M2561" s="3"/>
      <c r="N2561" s="3"/>
      <c r="O2561" s="3"/>
      <c r="P2561" s="3"/>
      <c r="Q2561" s="3"/>
      <c r="R2561" s="3"/>
      <c r="S2561" s="3"/>
      <c r="T2561" s="3"/>
      <c r="U2561" s="3"/>
      <c r="V2561" s="3"/>
      <c r="W2561" s="3"/>
      <c r="X2561" s="3"/>
      <c r="Y2561" s="3"/>
      <c r="Z2561" s="3"/>
      <c r="AA2561" s="3"/>
    </row>
    <row r="2562" ht="105.75" customHeight="1">
      <c r="A2562" s="11"/>
      <c r="B2562" s="12"/>
      <c r="C2562" s="11"/>
      <c r="D2562" s="13"/>
      <c r="E2562" s="14"/>
      <c r="F2562" s="14"/>
      <c r="G2562" s="14"/>
      <c r="H2562" s="15"/>
      <c r="I2562" s="15"/>
      <c r="J2562" s="3"/>
      <c r="K2562" s="3"/>
      <c r="L2562" s="3"/>
      <c r="M2562" s="3"/>
      <c r="N2562" s="3"/>
      <c r="O2562" s="3"/>
      <c r="P2562" s="3"/>
      <c r="Q2562" s="3"/>
      <c r="R2562" s="3"/>
      <c r="S2562" s="3"/>
      <c r="T2562" s="3"/>
      <c r="U2562" s="3"/>
      <c r="V2562" s="3"/>
      <c r="W2562" s="3"/>
      <c r="X2562" s="3"/>
      <c r="Y2562" s="3"/>
      <c r="Z2562" s="3"/>
      <c r="AA2562" s="3"/>
    </row>
    <row r="2563" ht="105.75" customHeight="1">
      <c r="A2563" s="11"/>
      <c r="B2563" s="12"/>
      <c r="C2563" s="11"/>
      <c r="D2563" s="13"/>
      <c r="E2563" s="16"/>
      <c r="F2563" s="16"/>
      <c r="G2563" s="16"/>
      <c r="H2563" s="15"/>
      <c r="I2563" s="15"/>
      <c r="J2563" s="3"/>
      <c r="K2563" s="3"/>
      <c r="L2563" s="3"/>
      <c r="M2563" s="3"/>
      <c r="N2563" s="3"/>
      <c r="O2563" s="3"/>
      <c r="P2563" s="3"/>
      <c r="Q2563" s="3"/>
      <c r="R2563" s="3"/>
      <c r="S2563" s="3"/>
      <c r="T2563" s="3"/>
      <c r="U2563" s="3"/>
      <c r="V2563" s="3"/>
      <c r="W2563" s="3"/>
      <c r="X2563" s="3"/>
      <c r="Y2563" s="3"/>
      <c r="Z2563" s="3"/>
      <c r="AA2563" s="3"/>
    </row>
    <row r="2564" ht="105.75" customHeight="1">
      <c r="A2564" s="11"/>
      <c r="B2564" s="12"/>
      <c r="C2564" s="11"/>
      <c r="D2564" s="13"/>
      <c r="E2564" s="16"/>
      <c r="F2564" s="16"/>
      <c r="G2564" s="16"/>
      <c r="H2564" s="15"/>
      <c r="I2564" s="15"/>
      <c r="J2564" s="3"/>
      <c r="K2564" s="3"/>
      <c r="L2564" s="3"/>
      <c r="M2564" s="3"/>
      <c r="N2564" s="3"/>
      <c r="O2564" s="3"/>
      <c r="P2564" s="3"/>
      <c r="Q2564" s="3"/>
      <c r="R2564" s="3"/>
      <c r="S2564" s="3"/>
      <c r="T2564" s="3"/>
      <c r="U2564" s="3"/>
      <c r="V2564" s="3"/>
      <c r="W2564" s="3"/>
      <c r="X2564" s="3"/>
      <c r="Y2564" s="3"/>
      <c r="Z2564" s="3"/>
      <c r="AA2564" s="3"/>
    </row>
    <row r="2565" ht="105.75" customHeight="1">
      <c r="A2565" s="11"/>
      <c r="B2565" s="12"/>
      <c r="C2565" s="11"/>
      <c r="D2565" s="13"/>
      <c r="E2565" s="14"/>
      <c r="F2565" s="14"/>
      <c r="G2565" s="14"/>
      <c r="H2565" s="15"/>
      <c r="I2565" s="15"/>
      <c r="J2565" s="3"/>
      <c r="K2565" s="3"/>
      <c r="L2565" s="3"/>
      <c r="M2565" s="3"/>
      <c r="N2565" s="3"/>
      <c r="O2565" s="3"/>
      <c r="P2565" s="3"/>
      <c r="Q2565" s="3"/>
      <c r="R2565" s="3"/>
      <c r="S2565" s="3"/>
      <c r="T2565" s="3"/>
      <c r="U2565" s="3"/>
      <c r="V2565" s="3"/>
      <c r="W2565" s="3"/>
      <c r="X2565" s="3"/>
      <c r="Y2565" s="3"/>
      <c r="Z2565" s="3"/>
      <c r="AA2565" s="3"/>
    </row>
    <row r="2566" ht="105.75" customHeight="1">
      <c r="A2566" s="11"/>
      <c r="B2566" s="12"/>
      <c r="C2566" s="11"/>
      <c r="D2566" s="13"/>
      <c r="E2566" s="14"/>
      <c r="F2566" s="14"/>
      <c r="G2566" s="14"/>
      <c r="H2566" s="15"/>
      <c r="I2566" s="15"/>
      <c r="J2566" s="3"/>
      <c r="K2566" s="3"/>
      <c r="L2566" s="3"/>
      <c r="M2566" s="3"/>
      <c r="N2566" s="3"/>
      <c r="O2566" s="3"/>
      <c r="P2566" s="3"/>
      <c r="Q2566" s="3"/>
      <c r="R2566" s="3"/>
      <c r="S2566" s="3"/>
      <c r="T2566" s="3"/>
      <c r="U2566" s="3"/>
      <c r="V2566" s="3"/>
      <c r="W2566" s="3"/>
      <c r="X2566" s="3"/>
      <c r="Y2566" s="3"/>
      <c r="Z2566" s="3"/>
      <c r="AA2566" s="3"/>
    </row>
    <row r="2567" ht="105.75" customHeight="1">
      <c r="A2567" s="11"/>
      <c r="B2567" s="12"/>
      <c r="C2567" s="11"/>
      <c r="D2567" s="13"/>
      <c r="E2567" s="14"/>
      <c r="F2567" s="14"/>
      <c r="G2567" s="14"/>
      <c r="H2567" s="15"/>
      <c r="I2567" s="15"/>
      <c r="J2567" s="3"/>
      <c r="K2567" s="3"/>
      <c r="L2567" s="3"/>
      <c r="M2567" s="3"/>
      <c r="N2567" s="3"/>
      <c r="O2567" s="3"/>
      <c r="P2567" s="3"/>
      <c r="Q2567" s="3"/>
      <c r="R2567" s="3"/>
      <c r="S2567" s="3"/>
      <c r="T2567" s="3"/>
      <c r="U2567" s="3"/>
      <c r="V2567" s="3"/>
      <c r="W2567" s="3"/>
      <c r="X2567" s="3"/>
      <c r="Y2567" s="3"/>
      <c r="Z2567" s="3"/>
      <c r="AA2567" s="3"/>
    </row>
    <row r="2568" ht="105.75" customHeight="1">
      <c r="A2568" s="11"/>
      <c r="B2568" s="12"/>
      <c r="C2568" s="11"/>
      <c r="D2568" s="13"/>
      <c r="E2568" s="14"/>
      <c r="F2568" s="14"/>
      <c r="G2568" s="14"/>
      <c r="H2568" s="15"/>
      <c r="I2568" s="15"/>
      <c r="J2568" s="3"/>
      <c r="K2568" s="3"/>
      <c r="L2568" s="3"/>
      <c r="M2568" s="3"/>
      <c r="N2568" s="3"/>
      <c r="O2568" s="3"/>
      <c r="P2568" s="3"/>
      <c r="Q2568" s="3"/>
      <c r="R2568" s="3"/>
      <c r="S2568" s="3"/>
      <c r="T2568" s="3"/>
      <c r="U2568" s="3"/>
      <c r="V2568" s="3"/>
      <c r="W2568" s="3"/>
      <c r="X2568" s="3"/>
      <c r="Y2568" s="3"/>
      <c r="Z2568" s="3"/>
      <c r="AA2568" s="3"/>
    </row>
    <row r="2569" ht="105.75" customHeight="1">
      <c r="A2569" s="11"/>
      <c r="B2569" s="12"/>
      <c r="C2569" s="11"/>
      <c r="D2569" s="13"/>
      <c r="E2569" s="14"/>
      <c r="F2569" s="14"/>
      <c r="G2569" s="14"/>
      <c r="H2569" s="15"/>
      <c r="I2569" s="15"/>
      <c r="J2569" s="3"/>
      <c r="K2569" s="3"/>
      <c r="L2569" s="3"/>
      <c r="M2569" s="3"/>
      <c r="N2569" s="3"/>
      <c r="O2569" s="3"/>
      <c r="P2569" s="3"/>
      <c r="Q2569" s="3"/>
      <c r="R2569" s="3"/>
      <c r="S2569" s="3"/>
      <c r="T2569" s="3"/>
      <c r="U2569" s="3"/>
      <c r="V2569" s="3"/>
      <c r="W2569" s="3"/>
      <c r="X2569" s="3"/>
      <c r="Y2569" s="3"/>
      <c r="Z2569" s="3"/>
      <c r="AA2569" s="3"/>
    </row>
    <row r="2570" ht="105.75" customHeight="1">
      <c r="A2570" s="11"/>
      <c r="B2570" s="12"/>
      <c r="C2570" s="11"/>
      <c r="D2570" s="13"/>
      <c r="E2570" s="14"/>
      <c r="F2570" s="14"/>
      <c r="G2570" s="14"/>
      <c r="H2570" s="15"/>
      <c r="I2570" s="15"/>
      <c r="J2570" s="3"/>
      <c r="K2570" s="3"/>
      <c r="L2570" s="3"/>
      <c r="M2570" s="3"/>
      <c r="N2570" s="3"/>
      <c r="O2570" s="3"/>
      <c r="P2570" s="3"/>
      <c r="Q2570" s="3"/>
      <c r="R2570" s="3"/>
      <c r="S2570" s="3"/>
      <c r="T2570" s="3"/>
      <c r="U2570" s="3"/>
      <c r="V2570" s="3"/>
      <c r="W2570" s="3"/>
      <c r="X2570" s="3"/>
      <c r="Y2570" s="3"/>
      <c r="Z2570" s="3"/>
      <c r="AA2570" s="3"/>
    </row>
    <row r="2571" ht="105.75" customHeight="1">
      <c r="A2571" s="11"/>
      <c r="B2571" s="12"/>
      <c r="C2571" s="11"/>
      <c r="D2571" s="13"/>
      <c r="E2571" s="14"/>
      <c r="F2571" s="14"/>
      <c r="G2571" s="14"/>
      <c r="H2571" s="15"/>
      <c r="I2571" s="15"/>
      <c r="J2571" s="3"/>
      <c r="K2571" s="3"/>
      <c r="L2571" s="3"/>
      <c r="M2571" s="3"/>
      <c r="N2571" s="3"/>
      <c r="O2571" s="3"/>
      <c r="P2571" s="3"/>
      <c r="Q2571" s="3"/>
      <c r="R2571" s="3"/>
      <c r="S2571" s="3"/>
      <c r="T2571" s="3"/>
      <c r="U2571" s="3"/>
      <c r="V2571" s="3"/>
      <c r="W2571" s="3"/>
      <c r="X2571" s="3"/>
      <c r="Y2571" s="3"/>
      <c r="Z2571" s="3"/>
      <c r="AA2571" s="3"/>
    </row>
    <row r="2572" ht="105.75" customHeight="1">
      <c r="A2572" s="11"/>
      <c r="B2572" s="12"/>
      <c r="C2572" s="11"/>
      <c r="D2572" s="13"/>
      <c r="E2572" s="14"/>
      <c r="F2572" s="14"/>
      <c r="G2572" s="14"/>
      <c r="H2572" s="15"/>
      <c r="I2572" s="15"/>
      <c r="J2572" s="3"/>
      <c r="K2572" s="3"/>
      <c r="L2572" s="3"/>
      <c r="M2572" s="3"/>
      <c r="N2572" s="3"/>
      <c r="O2572" s="3"/>
      <c r="P2572" s="3"/>
      <c r="Q2572" s="3"/>
      <c r="R2572" s="3"/>
      <c r="S2572" s="3"/>
      <c r="T2572" s="3"/>
      <c r="U2572" s="3"/>
      <c r="V2572" s="3"/>
      <c r="W2572" s="3"/>
      <c r="X2572" s="3"/>
      <c r="Y2572" s="3"/>
      <c r="Z2572" s="3"/>
      <c r="AA2572" s="3"/>
    </row>
    <row r="2573" ht="105.75" customHeight="1">
      <c r="A2573" s="11"/>
      <c r="B2573" s="12"/>
      <c r="C2573" s="11"/>
      <c r="D2573" s="13"/>
      <c r="E2573" s="14"/>
      <c r="F2573" s="14"/>
      <c r="G2573" s="14"/>
      <c r="H2573" s="15"/>
      <c r="I2573" s="15"/>
      <c r="J2573" s="3"/>
      <c r="K2573" s="3"/>
      <c r="L2573" s="3"/>
      <c r="M2573" s="3"/>
      <c r="N2573" s="3"/>
      <c r="O2573" s="3"/>
      <c r="P2573" s="3"/>
      <c r="Q2573" s="3"/>
      <c r="R2573" s="3"/>
      <c r="S2573" s="3"/>
      <c r="T2573" s="3"/>
      <c r="U2573" s="3"/>
      <c r="V2573" s="3"/>
      <c r="W2573" s="3"/>
      <c r="X2573" s="3"/>
      <c r="Y2573" s="3"/>
      <c r="Z2573" s="3"/>
      <c r="AA2573" s="3"/>
    </row>
    <row r="2574" ht="105.75" customHeight="1">
      <c r="A2574" s="11"/>
      <c r="B2574" s="12"/>
      <c r="C2574" s="11"/>
      <c r="D2574" s="13"/>
      <c r="E2574" s="14"/>
      <c r="F2574" s="14"/>
      <c r="G2574" s="14"/>
      <c r="H2574" s="15"/>
      <c r="I2574" s="15"/>
      <c r="J2574" s="3"/>
      <c r="K2574" s="3"/>
      <c r="L2574" s="3"/>
      <c r="M2574" s="3"/>
      <c r="N2574" s="3"/>
      <c r="O2574" s="3"/>
      <c r="P2574" s="3"/>
      <c r="Q2574" s="3"/>
      <c r="R2574" s="3"/>
      <c r="S2574" s="3"/>
      <c r="T2574" s="3"/>
      <c r="U2574" s="3"/>
      <c r="V2574" s="3"/>
      <c r="W2574" s="3"/>
      <c r="X2574" s="3"/>
      <c r="Y2574" s="3"/>
      <c r="Z2574" s="3"/>
      <c r="AA2574" s="3"/>
    </row>
    <row r="2575" ht="105.75" customHeight="1">
      <c r="A2575" s="11"/>
      <c r="B2575" s="12"/>
      <c r="C2575" s="11"/>
      <c r="D2575" s="13"/>
      <c r="E2575" s="14"/>
      <c r="F2575" s="14"/>
      <c r="G2575" s="14"/>
      <c r="H2575" s="15"/>
      <c r="I2575" s="15"/>
      <c r="J2575" s="3"/>
      <c r="K2575" s="3"/>
      <c r="L2575" s="3"/>
      <c r="M2575" s="3"/>
      <c r="N2575" s="3"/>
      <c r="O2575" s="3"/>
      <c r="P2575" s="3"/>
      <c r="Q2575" s="3"/>
      <c r="R2575" s="3"/>
      <c r="S2575" s="3"/>
      <c r="T2575" s="3"/>
      <c r="U2575" s="3"/>
      <c r="V2575" s="3"/>
      <c r="W2575" s="3"/>
      <c r="X2575" s="3"/>
      <c r="Y2575" s="3"/>
      <c r="Z2575" s="3"/>
      <c r="AA2575" s="3"/>
    </row>
    <row r="2576" ht="105.75" customHeight="1">
      <c r="A2576" s="11"/>
      <c r="B2576" s="12"/>
      <c r="C2576" s="11"/>
      <c r="D2576" s="13"/>
      <c r="E2576" s="14"/>
      <c r="F2576" s="14"/>
      <c r="G2576" s="14"/>
      <c r="H2576" s="15"/>
      <c r="I2576" s="15"/>
      <c r="J2576" s="3"/>
      <c r="K2576" s="3"/>
      <c r="L2576" s="3"/>
      <c r="M2576" s="3"/>
      <c r="N2576" s="3"/>
      <c r="O2576" s="3"/>
      <c r="P2576" s="3"/>
      <c r="Q2576" s="3"/>
      <c r="R2576" s="3"/>
      <c r="S2576" s="3"/>
      <c r="T2576" s="3"/>
      <c r="U2576" s="3"/>
      <c r="V2576" s="3"/>
      <c r="W2576" s="3"/>
      <c r="X2576" s="3"/>
      <c r="Y2576" s="3"/>
      <c r="Z2576" s="3"/>
      <c r="AA2576" s="3"/>
    </row>
    <row r="2577" ht="105.75" customHeight="1">
      <c r="A2577" s="11"/>
      <c r="B2577" s="12"/>
      <c r="C2577" s="11"/>
      <c r="D2577" s="13"/>
      <c r="E2577" s="14"/>
      <c r="F2577" s="14"/>
      <c r="G2577" s="14"/>
      <c r="H2577" s="15"/>
      <c r="I2577" s="15"/>
      <c r="J2577" s="3"/>
      <c r="K2577" s="3"/>
      <c r="L2577" s="3"/>
      <c r="M2577" s="3"/>
      <c r="N2577" s="3"/>
      <c r="O2577" s="3"/>
      <c r="P2577" s="3"/>
      <c r="Q2577" s="3"/>
      <c r="R2577" s="3"/>
      <c r="S2577" s="3"/>
      <c r="T2577" s="3"/>
      <c r="U2577" s="3"/>
      <c r="V2577" s="3"/>
      <c r="W2577" s="3"/>
      <c r="X2577" s="3"/>
      <c r="Y2577" s="3"/>
      <c r="Z2577" s="3"/>
      <c r="AA2577" s="3"/>
    </row>
    <row r="2578" ht="105.75" customHeight="1">
      <c r="A2578" s="11"/>
      <c r="B2578" s="12"/>
      <c r="C2578" s="11"/>
      <c r="D2578" s="13"/>
      <c r="E2578" s="14"/>
      <c r="F2578" s="14"/>
      <c r="G2578" s="14"/>
      <c r="H2578" s="15"/>
      <c r="I2578" s="15"/>
      <c r="J2578" s="3"/>
      <c r="K2578" s="3"/>
      <c r="L2578" s="3"/>
      <c r="M2578" s="3"/>
      <c r="N2578" s="3"/>
      <c r="O2578" s="3"/>
      <c r="P2578" s="3"/>
      <c r="Q2578" s="3"/>
      <c r="R2578" s="3"/>
      <c r="S2578" s="3"/>
      <c r="T2578" s="3"/>
      <c r="U2578" s="3"/>
      <c r="V2578" s="3"/>
      <c r="W2578" s="3"/>
      <c r="X2578" s="3"/>
      <c r="Y2578" s="3"/>
      <c r="Z2578" s="3"/>
      <c r="AA2578" s="3"/>
    </row>
    <row r="2579" ht="105.75" customHeight="1">
      <c r="A2579" s="11"/>
      <c r="B2579" s="12"/>
      <c r="C2579" s="11"/>
      <c r="D2579" s="13"/>
      <c r="E2579" s="14"/>
      <c r="F2579" s="14"/>
      <c r="G2579" s="14"/>
      <c r="H2579" s="15"/>
      <c r="I2579" s="15"/>
      <c r="J2579" s="3"/>
      <c r="K2579" s="3"/>
      <c r="L2579" s="3"/>
      <c r="M2579" s="3"/>
      <c r="N2579" s="3"/>
      <c r="O2579" s="3"/>
      <c r="P2579" s="3"/>
      <c r="Q2579" s="3"/>
      <c r="R2579" s="3"/>
      <c r="S2579" s="3"/>
      <c r="T2579" s="3"/>
      <c r="U2579" s="3"/>
      <c r="V2579" s="3"/>
      <c r="W2579" s="3"/>
      <c r="X2579" s="3"/>
      <c r="Y2579" s="3"/>
      <c r="Z2579" s="3"/>
      <c r="AA2579" s="3"/>
    </row>
    <row r="2580" ht="105.75" customHeight="1">
      <c r="A2580" s="11"/>
      <c r="B2580" s="12"/>
      <c r="C2580" s="11"/>
      <c r="D2580" s="13"/>
      <c r="E2580" s="14"/>
      <c r="F2580" s="14"/>
      <c r="G2580" s="14"/>
      <c r="H2580" s="15"/>
      <c r="I2580" s="15"/>
      <c r="J2580" s="3"/>
      <c r="K2580" s="3"/>
      <c r="L2580" s="3"/>
      <c r="M2580" s="3"/>
      <c r="N2580" s="3"/>
      <c r="O2580" s="3"/>
      <c r="P2580" s="3"/>
      <c r="Q2580" s="3"/>
      <c r="R2580" s="3"/>
      <c r="S2580" s="3"/>
      <c r="T2580" s="3"/>
      <c r="U2580" s="3"/>
      <c r="V2580" s="3"/>
      <c r="W2580" s="3"/>
      <c r="X2580" s="3"/>
      <c r="Y2580" s="3"/>
      <c r="Z2580" s="3"/>
      <c r="AA2580" s="3"/>
    </row>
    <row r="2581" ht="105.75" customHeight="1">
      <c r="A2581" s="11"/>
      <c r="B2581" s="12"/>
      <c r="C2581" s="11"/>
      <c r="D2581" s="13"/>
      <c r="E2581" s="14"/>
      <c r="F2581" s="14"/>
      <c r="G2581" s="14"/>
      <c r="H2581" s="15"/>
      <c r="I2581" s="15"/>
      <c r="J2581" s="3"/>
      <c r="K2581" s="3"/>
      <c r="L2581" s="3"/>
      <c r="M2581" s="3"/>
      <c r="N2581" s="3"/>
      <c r="O2581" s="3"/>
      <c r="P2581" s="3"/>
      <c r="Q2581" s="3"/>
      <c r="R2581" s="3"/>
      <c r="S2581" s="3"/>
      <c r="T2581" s="3"/>
      <c r="U2581" s="3"/>
      <c r="V2581" s="3"/>
      <c r="W2581" s="3"/>
      <c r="X2581" s="3"/>
      <c r="Y2581" s="3"/>
      <c r="Z2581" s="3"/>
      <c r="AA2581" s="3"/>
    </row>
    <row r="2582" ht="105.75" customHeight="1">
      <c r="A2582" s="11"/>
      <c r="B2582" s="12"/>
      <c r="C2582" s="11"/>
      <c r="D2582" s="13"/>
      <c r="E2582" s="16"/>
      <c r="F2582" s="16"/>
      <c r="G2582" s="16"/>
      <c r="H2582" s="15"/>
      <c r="I2582" s="15"/>
      <c r="J2582" s="3"/>
      <c r="K2582" s="3"/>
      <c r="L2582" s="3"/>
      <c r="M2582" s="3"/>
      <c r="N2582" s="3"/>
      <c r="O2582" s="3"/>
      <c r="P2582" s="3"/>
      <c r="Q2582" s="3"/>
      <c r="R2582" s="3"/>
      <c r="S2582" s="3"/>
      <c r="T2582" s="3"/>
      <c r="U2582" s="3"/>
      <c r="V2582" s="3"/>
      <c r="W2582" s="3"/>
      <c r="X2582" s="3"/>
      <c r="Y2582" s="3"/>
      <c r="Z2582" s="3"/>
      <c r="AA2582" s="3"/>
    </row>
    <row r="2583" ht="105.75" customHeight="1">
      <c r="A2583" s="11"/>
      <c r="B2583" s="12"/>
      <c r="C2583" s="11"/>
      <c r="D2583" s="13"/>
      <c r="E2583" s="16"/>
      <c r="F2583" s="16"/>
      <c r="G2583" s="16"/>
      <c r="H2583" s="15"/>
      <c r="I2583" s="15"/>
      <c r="J2583" s="3"/>
      <c r="K2583" s="3"/>
      <c r="L2583" s="3"/>
      <c r="M2583" s="3"/>
      <c r="N2583" s="3"/>
      <c r="O2583" s="3"/>
      <c r="P2583" s="3"/>
      <c r="Q2583" s="3"/>
      <c r="R2583" s="3"/>
      <c r="S2583" s="3"/>
      <c r="T2583" s="3"/>
      <c r="U2583" s="3"/>
      <c r="V2583" s="3"/>
      <c r="W2583" s="3"/>
      <c r="X2583" s="3"/>
      <c r="Y2583" s="3"/>
      <c r="Z2583" s="3"/>
      <c r="AA2583" s="3"/>
    </row>
    <row r="2584" ht="105.75" customHeight="1">
      <c r="A2584" s="11"/>
      <c r="B2584" s="12"/>
      <c r="C2584" s="11"/>
      <c r="D2584" s="13"/>
      <c r="E2584" s="14"/>
      <c r="F2584" s="14"/>
      <c r="G2584" s="14"/>
      <c r="H2584" s="15"/>
      <c r="I2584" s="15"/>
      <c r="J2584" s="3"/>
      <c r="K2584" s="3"/>
      <c r="L2584" s="3"/>
      <c r="M2584" s="3"/>
      <c r="N2584" s="3"/>
      <c r="O2584" s="3"/>
      <c r="P2584" s="3"/>
      <c r="Q2584" s="3"/>
      <c r="R2584" s="3"/>
      <c r="S2584" s="3"/>
      <c r="T2584" s="3"/>
      <c r="U2584" s="3"/>
      <c r="V2584" s="3"/>
      <c r="W2584" s="3"/>
      <c r="X2584" s="3"/>
      <c r="Y2584" s="3"/>
      <c r="Z2584" s="3"/>
      <c r="AA2584" s="3"/>
    </row>
    <row r="2585" ht="105.75" customHeight="1">
      <c r="A2585" s="11"/>
      <c r="B2585" s="12"/>
      <c r="C2585" s="11"/>
      <c r="D2585" s="13"/>
      <c r="E2585" s="14"/>
      <c r="F2585" s="14"/>
      <c r="G2585" s="14"/>
      <c r="H2585" s="15"/>
      <c r="I2585" s="15"/>
      <c r="J2585" s="3"/>
      <c r="K2585" s="3"/>
      <c r="L2585" s="3"/>
      <c r="M2585" s="3"/>
      <c r="N2585" s="3"/>
      <c r="O2585" s="3"/>
      <c r="P2585" s="3"/>
      <c r="Q2585" s="3"/>
      <c r="R2585" s="3"/>
      <c r="S2585" s="3"/>
      <c r="T2585" s="3"/>
      <c r="U2585" s="3"/>
      <c r="V2585" s="3"/>
      <c r="W2585" s="3"/>
      <c r="X2585" s="3"/>
      <c r="Y2585" s="3"/>
      <c r="Z2585" s="3"/>
      <c r="AA2585" s="3"/>
    </row>
    <row r="2586" ht="105.75" customHeight="1">
      <c r="A2586" s="11"/>
      <c r="B2586" s="12"/>
      <c r="C2586" s="11"/>
      <c r="D2586" s="13"/>
      <c r="E2586" s="16"/>
      <c r="F2586" s="16"/>
      <c r="G2586" s="16"/>
      <c r="H2586" s="15"/>
      <c r="I2586" s="15"/>
      <c r="J2586" s="3"/>
      <c r="K2586" s="3"/>
      <c r="L2586" s="3"/>
      <c r="M2586" s="3"/>
      <c r="N2586" s="3"/>
      <c r="O2586" s="3"/>
      <c r="P2586" s="3"/>
      <c r="Q2586" s="3"/>
      <c r="R2586" s="3"/>
      <c r="S2586" s="3"/>
      <c r="T2586" s="3"/>
      <c r="U2586" s="3"/>
      <c r="V2586" s="3"/>
      <c r="W2586" s="3"/>
      <c r="X2586" s="3"/>
      <c r="Y2586" s="3"/>
      <c r="Z2586" s="3"/>
      <c r="AA2586" s="3"/>
    </row>
    <row r="2587" ht="105.75" customHeight="1">
      <c r="A2587" s="11"/>
      <c r="B2587" s="12"/>
      <c r="C2587" s="11"/>
      <c r="D2587" s="13"/>
      <c r="E2587" s="14"/>
      <c r="F2587" s="14"/>
      <c r="G2587" s="14"/>
      <c r="H2587" s="15"/>
      <c r="I2587" s="15"/>
      <c r="J2587" s="3"/>
      <c r="K2587" s="3"/>
      <c r="L2587" s="3"/>
      <c r="M2587" s="3"/>
      <c r="N2587" s="3"/>
      <c r="O2587" s="3"/>
      <c r="P2587" s="3"/>
      <c r="Q2587" s="3"/>
      <c r="R2587" s="3"/>
      <c r="S2587" s="3"/>
      <c r="T2587" s="3"/>
      <c r="U2587" s="3"/>
      <c r="V2587" s="3"/>
      <c r="W2587" s="3"/>
      <c r="X2587" s="3"/>
      <c r="Y2587" s="3"/>
      <c r="Z2587" s="3"/>
      <c r="AA2587" s="3"/>
    </row>
    <row r="2588" ht="105.75" customHeight="1">
      <c r="A2588" s="11"/>
      <c r="B2588" s="12"/>
      <c r="C2588" s="11"/>
      <c r="D2588" s="13"/>
      <c r="E2588" s="14"/>
      <c r="F2588" s="14"/>
      <c r="G2588" s="14"/>
      <c r="H2588" s="15"/>
      <c r="I2588" s="15"/>
      <c r="J2588" s="3"/>
      <c r="K2588" s="3"/>
      <c r="L2588" s="3"/>
      <c r="M2588" s="3"/>
      <c r="N2588" s="3"/>
      <c r="O2588" s="3"/>
      <c r="P2588" s="3"/>
      <c r="Q2588" s="3"/>
      <c r="R2588" s="3"/>
      <c r="S2588" s="3"/>
      <c r="T2588" s="3"/>
      <c r="U2588" s="3"/>
      <c r="V2588" s="3"/>
      <c r="W2588" s="3"/>
      <c r="X2588" s="3"/>
      <c r="Y2588" s="3"/>
      <c r="Z2588" s="3"/>
      <c r="AA2588" s="3"/>
    </row>
    <row r="2589" ht="105.75" customHeight="1">
      <c r="A2589" s="11"/>
      <c r="B2589" s="12"/>
      <c r="C2589" s="11"/>
      <c r="D2589" s="13"/>
      <c r="E2589" s="14"/>
      <c r="F2589" s="14"/>
      <c r="G2589" s="14"/>
      <c r="H2589" s="15"/>
      <c r="I2589" s="15"/>
      <c r="J2589" s="3"/>
      <c r="K2589" s="3"/>
      <c r="L2589" s="3"/>
      <c r="M2589" s="3"/>
      <c r="N2589" s="3"/>
      <c r="O2589" s="3"/>
      <c r="P2589" s="3"/>
      <c r="Q2589" s="3"/>
      <c r="R2589" s="3"/>
      <c r="S2589" s="3"/>
      <c r="T2589" s="3"/>
      <c r="U2589" s="3"/>
      <c r="V2589" s="3"/>
      <c r="W2589" s="3"/>
      <c r="X2589" s="3"/>
      <c r="Y2589" s="3"/>
      <c r="Z2589" s="3"/>
      <c r="AA2589" s="3"/>
    </row>
    <row r="2590" ht="105.75" customHeight="1">
      <c r="A2590" s="11"/>
      <c r="B2590" s="12"/>
      <c r="C2590" s="11"/>
      <c r="D2590" s="13"/>
      <c r="E2590" s="14"/>
      <c r="F2590" s="14"/>
      <c r="G2590" s="14"/>
      <c r="H2590" s="15"/>
      <c r="I2590" s="15"/>
      <c r="J2590" s="3"/>
      <c r="K2590" s="3"/>
      <c r="L2590" s="3"/>
      <c r="M2590" s="3"/>
      <c r="N2590" s="3"/>
      <c r="O2590" s="3"/>
      <c r="P2590" s="3"/>
      <c r="Q2590" s="3"/>
      <c r="R2590" s="3"/>
      <c r="S2590" s="3"/>
      <c r="T2590" s="3"/>
      <c r="U2590" s="3"/>
      <c r="V2590" s="3"/>
      <c r="W2590" s="3"/>
      <c r="X2590" s="3"/>
      <c r="Y2590" s="3"/>
      <c r="Z2590" s="3"/>
      <c r="AA2590" s="3"/>
    </row>
    <row r="2591" ht="105.75" customHeight="1">
      <c r="A2591" s="11"/>
      <c r="B2591" s="12"/>
      <c r="C2591" s="11"/>
      <c r="D2591" s="13"/>
      <c r="E2591" s="14"/>
      <c r="F2591" s="14"/>
      <c r="G2591" s="14"/>
      <c r="H2591" s="15"/>
      <c r="I2591" s="15"/>
      <c r="J2591" s="3"/>
      <c r="K2591" s="3"/>
      <c r="L2591" s="3"/>
      <c r="M2591" s="3"/>
      <c r="N2591" s="3"/>
      <c r="O2591" s="3"/>
      <c r="P2591" s="3"/>
      <c r="Q2591" s="3"/>
      <c r="R2591" s="3"/>
      <c r="S2591" s="3"/>
      <c r="T2591" s="3"/>
      <c r="U2591" s="3"/>
      <c r="V2591" s="3"/>
      <c r="W2591" s="3"/>
      <c r="X2591" s="3"/>
      <c r="Y2591" s="3"/>
      <c r="Z2591" s="3"/>
      <c r="AA2591" s="3"/>
    </row>
    <row r="2592" ht="105.75" customHeight="1">
      <c r="A2592" s="11"/>
      <c r="B2592" s="12"/>
      <c r="C2592" s="11"/>
      <c r="D2592" s="13"/>
      <c r="E2592" s="14"/>
      <c r="F2592" s="14"/>
      <c r="G2592" s="14"/>
      <c r="H2592" s="15"/>
      <c r="I2592" s="15"/>
      <c r="J2592" s="3"/>
      <c r="K2592" s="3"/>
      <c r="L2592" s="3"/>
      <c r="M2592" s="3"/>
      <c r="N2592" s="3"/>
      <c r="O2592" s="3"/>
      <c r="P2592" s="3"/>
      <c r="Q2592" s="3"/>
      <c r="R2592" s="3"/>
      <c r="S2592" s="3"/>
      <c r="T2592" s="3"/>
      <c r="U2592" s="3"/>
      <c r="V2592" s="3"/>
      <c r="W2592" s="3"/>
      <c r="X2592" s="3"/>
      <c r="Y2592" s="3"/>
      <c r="Z2592" s="3"/>
      <c r="AA2592" s="3"/>
    </row>
    <row r="2593" ht="105.75" customHeight="1">
      <c r="A2593" s="11"/>
      <c r="B2593" s="12"/>
      <c r="C2593" s="11"/>
      <c r="D2593" s="13"/>
      <c r="E2593" s="14"/>
      <c r="F2593" s="14"/>
      <c r="G2593" s="14"/>
      <c r="H2593" s="15"/>
      <c r="I2593" s="15"/>
      <c r="J2593" s="3"/>
      <c r="K2593" s="3"/>
      <c r="L2593" s="3"/>
      <c r="M2593" s="3"/>
      <c r="N2593" s="3"/>
      <c r="O2593" s="3"/>
      <c r="P2593" s="3"/>
      <c r="Q2593" s="3"/>
      <c r="R2593" s="3"/>
      <c r="S2593" s="3"/>
      <c r="T2593" s="3"/>
      <c r="U2593" s="3"/>
      <c r="V2593" s="3"/>
      <c r="W2593" s="3"/>
      <c r="X2593" s="3"/>
      <c r="Y2593" s="3"/>
      <c r="Z2593" s="3"/>
      <c r="AA2593" s="3"/>
    </row>
    <row r="2594" ht="105.75" customHeight="1">
      <c r="A2594" s="11"/>
      <c r="B2594" s="12"/>
      <c r="C2594" s="11"/>
      <c r="D2594" s="13"/>
      <c r="E2594" s="14"/>
      <c r="F2594" s="14"/>
      <c r="G2594" s="14"/>
      <c r="H2594" s="15"/>
      <c r="I2594" s="15"/>
      <c r="J2594" s="3"/>
      <c r="K2594" s="3"/>
      <c r="L2594" s="3"/>
      <c r="M2594" s="3"/>
      <c r="N2594" s="3"/>
      <c r="O2594" s="3"/>
      <c r="P2594" s="3"/>
      <c r="Q2594" s="3"/>
      <c r="R2594" s="3"/>
      <c r="S2594" s="3"/>
      <c r="T2594" s="3"/>
      <c r="U2594" s="3"/>
      <c r="V2594" s="3"/>
      <c r="W2594" s="3"/>
      <c r="X2594" s="3"/>
      <c r="Y2594" s="3"/>
      <c r="Z2594" s="3"/>
      <c r="AA2594" s="3"/>
    </row>
    <row r="2595" ht="105.75" customHeight="1">
      <c r="A2595" s="11"/>
      <c r="B2595" s="12"/>
      <c r="C2595" s="11"/>
      <c r="D2595" s="13"/>
      <c r="E2595" s="16"/>
      <c r="F2595" s="16"/>
      <c r="G2595" s="16"/>
      <c r="H2595" s="15"/>
      <c r="I2595" s="15"/>
      <c r="J2595" s="3"/>
      <c r="K2595" s="3"/>
      <c r="L2595" s="3"/>
      <c r="M2595" s="3"/>
      <c r="N2595" s="3"/>
      <c r="O2595" s="3"/>
      <c r="P2595" s="3"/>
      <c r="Q2595" s="3"/>
      <c r="R2595" s="3"/>
      <c r="S2595" s="3"/>
      <c r="T2595" s="3"/>
      <c r="U2595" s="3"/>
      <c r="V2595" s="3"/>
      <c r="W2595" s="3"/>
      <c r="X2595" s="3"/>
      <c r="Y2595" s="3"/>
      <c r="Z2595" s="3"/>
      <c r="AA2595" s="3"/>
    </row>
    <row r="2596" ht="105.75" customHeight="1">
      <c r="A2596" s="11"/>
      <c r="B2596" s="12"/>
      <c r="C2596" s="11"/>
      <c r="D2596" s="13"/>
      <c r="E2596" s="14"/>
      <c r="F2596" s="14"/>
      <c r="G2596" s="14"/>
      <c r="H2596" s="15"/>
      <c r="I2596" s="15"/>
      <c r="J2596" s="3"/>
      <c r="K2596" s="3"/>
      <c r="L2596" s="3"/>
      <c r="M2596" s="3"/>
      <c r="N2596" s="3"/>
      <c r="O2596" s="3"/>
      <c r="P2596" s="3"/>
      <c r="Q2596" s="3"/>
      <c r="R2596" s="3"/>
      <c r="S2596" s="3"/>
      <c r="T2596" s="3"/>
      <c r="U2596" s="3"/>
      <c r="V2596" s="3"/>
      <c r="W2596" s="3"/>
      <c r="X2596" s="3"/>
      <c r="Y2596" s="3"/>
      <c r="Z2596" s="3"/>
      <c r="AA2596" s="3"/>
    </row>
    <row r="2597" ht="105.75" customHeight="1">
      <c r="A2597" s="11"/>
      <c r="B2597" s="12"/>
      <c r="C2597" s="11"/>
      <c r="D2597" s="13"/>
      <c r="E2597" s="14"/>
      <c r="F2597" s="14"/>
      <c r="G2597" s="14"/>
      <c r="H2597" s="15"/>
      <c r="I2597" s="15"/>
      <c r="J2597" s="3"/>
      <c r="K2597" s="3"/>
      <c r="L2597" s="3"/>
      <c r="M2597" s="3"/>
      <c r="N2597" s="3"/>
      <c r="O2597" s="3"/>
      <c r="P2597" s="3"/>
      <c r="Q2597" s="3"/>
      <c r="R2597" s="3"/>
      <c r="S2597" s="3"/>
      <c r="T2597" s="3"/>
      <c r="U2597" s="3"/>
      <c r="V2597" s="3"/>
      <c r="W2597" s="3"/>
      <c r="X2597" s="3"/>
      <c r="Y2597" s="3"/>
      <c r="Z2597" s="3"/>
      <c r="AA2597" s="3"/>
    </row>
    <row r="2598" ht="105.75" customHeight="1">
      <c r="A2598" s="11"/>
      <c r="B2598" s="12"/>
      <c r="C2598" s="11"/>
      <c r="D2598" s="13"/>
      <c r="E2598" s="14"/>
      <c r="F2598" s="14"/>
      <c r="G2598" s="14"/>
      <c r="H2598" s="15"/>
      <c r="I2598" s="15"/>
      <c r="J2598" s="3"/>
      <c r="K2598" s="3"/>
      <c r="L2598" s="3"/>
      <c r="M2598" s="3"/>
      <c r="N2598" s="3"/>
      <c r="O2598" s="3"/>
      <c r="P2598" s="3"/>
      <c r="Q2598" s="3"/>
      <c r="R2598" s="3"/>
      <c r="S2598" s="3"/>
      <c r="T2598" s="3"/>
      <c r="U2598" s="3"/>
      <c r="V2598" s="3"/>
      <c r="W2598" s="3"/>
      <c r="X2598" s="3"/>
      <c r="Y2598" s="3"/>
      <c r="Z2598" s="3"/>
      <c r="AA2598" s="3"/>
    </row>
    <row r="2599" ht="105.75" customHeight="1">
      <c r="A2599" s="11"/>
      <c r="B2599" s="12"/>
      <c r="C2599" s="11"/>
      <c r="D2599" s="13"/>
      <c r="E2599" s="14"/>
      <c r="F2599" s="14"/>
      <c r="G2599" s="14"/>
      <c r="H2599" s="15"/>
      <c r="I2599" s="15"/>
      <c r="J2599" s="3"/>
      <c r="K2599" s="3"/>
      <c r="L2599" s="3"/>
      <c r="M2599" s="3"/>
      <c r="N2599" s="3"/>
      <c r="O2599" s="3"/>
      <c r="P2599" s="3"/>
      <c r="Q2599" s="3"/>
      <c r="R2599" s="3"/>
      <c r="S2599" s="3"/>
      <c r="T2599" s="3"/>
      <c r="U2599" s="3"/>
      <c r="V2599" s="3"/>
      <c r="W2599" s="3"/>
      <c r="X2599" s="3"/>
      <c r="Y2599" s="3"/>
      <c r="Z2599" s="3"/>
      <c r="AA2599" s="3"/>
    </row>
    <row r="2600" ht="105.75" customHeight="1">
      <c r="A2600" s="11"/>
      <c r="B2600" s="12"/>
      <c r="C2600" s="11"/>
      <c r="D2600" s="13"/>
      <c r="E2600" s="14"/>
      <c r="F2600" s="14"/>
      <c r="G2600" s="14"/>
      <c r="H2600" s="15"/>
      <c r="I2600" s="15"/>
      <c r="J2600" s="3"/>
      <c r="K2600" s="3"/>
      <c r="L2600" s="3"/>
      <c r="M2600" s="3"/>
      <c r="N2600" s="3"/>
      <c r="O2600" s="3"/>
      <c r="P2600" s="3"/>
      <c r="Q2600" s="3"/>
      <c r="R2600" s="3"/>
      <c r="S2600" s="3"/>
      <c r="T2600" s="3"/>
      <c r="U2600" s="3"/>
      <c r="V2600" s="3"/>
      <c r="W2600" s="3"/>
      <c r="X2600" s="3"/>
      <c r="Y2600" s="3"/>
      <c r="Z2600" s="3"/>
      <c r="AA2600" s="3"/>
    </row>
    <row r="2601" ht="105.75" customHeight="1">
      <c r="A2601" s="11"/>
      <c r="B2601" s="12"/>
      <c r="C2601" s="11"/>
      <c r="D2601" s="13"/>
      <c r="E2601" s="14"/>
      <c r="F2601" s="14"/>
      <c r="G2601" s="14"/>
      <c r="H2601" s="15"/>
      <c r="I2601" s="15"/>
      <c r="J2601" s="3"/>
      <c r="K2601" s="3"/>
      <c r="L2601" s="3"/>
      <c r="M2601" s="3"/>
      <c r="N2601" s="3"/>
      <c r="O2601" s="3"/>
      <c r="P2601" s="3"/>
      <c r="Q2601" s="3"/>
      <c r="R2601" s="3"/>
      <c r="S2601" s="3"/>
      <c r="T2601" s="3"/>
      <c r="U2601" s="3"/>
      <c r="V2601" s="3"/>
      <c r="W2601" s="3"/>
      <c r="X2601" s="3"/>
      <c r="Y2601" s="3"/>
      <c r="Z2601" s="3"/>
      <c r="AA2601" s="3"/>
    </row>
    <row r="2602" ht="105.75" customHeight="1">
      <c r="A2602" s="11"/>
      <c r="B2602" s="12"/>
      <c r="C2602" s="11"/>
      <c r="D2602" s="13"/>
      <c r="E2602" s="14"/>
      <c r="F2602" s="14"/>
      <c r="G2602" s="14"/>
      <c r="H2602" s="15"/>
      <c r="I2602" s="15"/>
      <c r="J2602" s="3"/>
      <c r="K2602" s="3"/>
      <c r="L2602" s="3"/>
      <c r="M2602" s="3"/>
      <c r="N2602" s="3"/>
      <c r="O2602" s="3"/>
      <c r="P2602" s="3"/>
      <c r="Q2602" s="3"/>
      <c r="R2602" s="3"/>
      <c r="S2602" s="3"/>
      <c r="T2602" s="3"/>
      <c r="U2602" s="3"/>
      <c r="V2602" s="3"/>
      <c r="W2602" s="3"/>
      <c r="X2602" s="3"/>
      <c r="Y2602" s="3"/>
      <c r="Z2602" s="3"/>
      <c r="AA2602" s="3"/>
    </row>
    <row r="2603" ht="105.75" customHeight="1">
      <c r="A2603" s="11"/>
      <c r="B2603" s="12"/>
      <c r="C2603" s="11"/>
      <c r="D2603" s="13"/>
      <c r="E2603" s="16"/>
      <c r="F2603" s="16"/>
      <c r="G2603" s="16"/>
      <c r="H2603" s="15"/>
      <c r="I2603" s="15"/>
      <c r="J2603" s="3"/>
      <c r="K2603" s="3"/>
      <c r="L2603" s="3"/>
      <c r="M2603" s="3"/>
      <c r="N2603" s="3"/>
      <c r="O2603" s="3"/>
      <c r="P2603" s="3"/>
      <c r="Q2603" s="3"/>
      <c r="R2603" s="3"/>
      <c r="S2603" s="3"/>
      <c r="T2603" s="3"/>
      <c r="U2603" s="3"/>
      <c r="V2603" s="3"/>
      <c r="W2603" s="3"/>
      <c r="X2603" s="3"/>
      <c r="Y2603" s="3"/>
      <c r="Z2603" s="3"/>
      <c r="AA2603" s="3"/>
    </row>
    <row r="2604" ht="105.75" customHeight="1">
      <c r="A2604" s="11"/>
      <c r="B2604" s="12"/>
      <c r="C2604" s="11"/>
      <c r="D2604" s="13"/>
      <c r="E2604" s="16"/>
      <c r="F2604" s="16"/>
      <c r="G2604" s="16"/>
      <c r="H2604" s="15"/>
      <c r="I2604" s="15"/>
      <c r="J2604" s="3"/>
      <c r="K2604" s="3"/>
      <c r="L2604" s="3"/>
      <c r="M2604" s="3"/>
      <c r="N2604" s="3"/>
      <c r="O2604" s="3"/>
      <c r="P2604" s="3"/>
      <c r="Q2604" s="3"/>
      <c r="R2604" s="3"/>
      <c r="S2604" s="3"/>
      <c r="T2604" s="3"/>
      <c r="U2604" s="3"/>
      <c r="V2604" s="3"/>
      <c r="W2604" s="3"/>
      <c r="X2604" s="3"/>
      <c r="Y2604" s="3"/>
      <c r="Z2604" s="3"/>
      <c r="AA2604" s="3"/>
    </row>
    <row r="2605" ht="105.75" customHeight="1">
      <c r="A2605" s="11"/>
      <c r="B2605" s="12"/>
      <c r="C2605" s="11"/>
      <c r="D2605" s="13"/>
      <c r="E2605" s="16"/>
      <c r="F2605" s="16"/>
      <c r="G2605" s="16"/>
      <c r="H2605" s="15"/>
      <c r="I2605" s="15"/>
      <c r="J2605" s="3"/>
      <c r="K2605" s="3"/>
      <c r="L2605" s="3"/>
      <c r="M2605" s="3"/>
      <c r="N2605" s="3"/>
      <c r="O2605" s="3"/>
      <c r="P2605" s="3"/>
      <c r="Q2605" s="3"/>
      <c r="R2605" s="3"/>
      <c r="S2605" s="3"/>
      <c r="T2605" s="3"/>
      <c r="U2605" s="3"/>
      <c r="V2605" s="3"/>
      <c r="W2605" s="3"/>
      <c r="X2605" s="3"/>
      <c r="Y2605" s="3"/>
      <c r="Z2605" s="3"/>
      <c r="AA2605" s="3"/>
    </row>
    <row r="2606" ht="105.75" customHeight="1">
      <c r="A2606" s="11"/>
      <c r="B2606" s="12"/>
      <c r="C2606" s="11"/>
      <c r="D2606" s="13"/>
      <c r="E2606" s="14"/>
      <c r="F2606" s="14"/>
      <c r="G2606" s="14"/>
      <c r="H2606" s="15"/>
      <c r="I2606" s="15"/>
      <c r="J2606" s="3"/>
      <c r="K2606" s="3"/>
      <c r="L2606" s="3"/>
      <c r="M2606" s="3"/>
      <c r="N2606" s="3"/>
      <c r="O2606" s="3"/>
      <c r="P2606" s="3"/>
      <c r="Q2606" s="3"/>
      <c r="R2606" s="3"/>
      <c r="S2606" s="3"/>
      <c r="T2606" s="3"/>
      <c r="U2606" s="3"/>
      <c r="V2606" s="3"/>
      <c r="W2606" s="3"/>
      <c r="X2606" s="3"/>
      <c r="Y2606" s="3"/>
      <c r="Z2606" s="3"/>
      <c r="AA2606" s="3"/>
    </row>
    <row r="2607" ht="105.75" customHeight="1">
      <c r="A2607" s="11"/>
      <c r="B2607" s="12"/>
      <c r="C2607" s="11"/>
      <c r="D2607" s="13"/>
      <c r="E2607" s="14"/>
      <c r="F2607" s="14"/>
      <c r="G2607" s="14"/>
      <c r="H2607" s="15"/>
      <c r="I2607" s="15"/>
      <c r="J2607" s="3"/>
      <c r="K2607" s="3"/>
      <c r="L2607" s="3"/>
      <c r="M2607" s="3"/>
      <c r="N2607" s="3"/>
      <c r="O2607" s="3"/>
      <c r="P2607" s="3"/>
      <c r="Q2607" s="3"/>
      <c r="R2607" s="3"/>
      <c r="S2607" s="3"/>
      <c r="T2607" s="3"/>
      <c r="U2607" s="3"/>
      <c r="V2607" s="3"/>
      <c r="W2607" s="3"/>
      <c r="X2607" s="3"/>
      <c r="Y2607" s="3"/>
      <c r="Z2607" s="3"/>
      <c r="AA2607" s="3"/>
    </row>
    <row r="2608" ht="105.75" customHeight="1">
      <c r="A2608" s="11"/>
      <c r="B2608" s="12"/>
      <c r="C2608" s="11"/>
      <c r="D2608" s="13"/>
      <c r="E2608" s="14"/>
      <c r="F2608" s="14"/>
      <c r="G2608" s="14"/>
      <c r="H2608" s="15"/>
      <c r="I2608" s="15"/>
      <c r="J2608" s="3"/>
      <c r="K2608" s="3"/>
      <c r="L2608" s="3"/>
      <c r="M2608" s="3"/>
      <c r="N2608" s="3"/>
      <c r="O2608" s="3"/>
      <c r="P2608" s="3"/>
      <c r="Q2608" s="3"/>
      <c r="R2608" s="3"/>
      <c r="S2608" s="3"/>
      <c r="T2608" s="3"/>
      <c r="U2608" s="3"/>
      <c r="V2608" s="3"/>
      <c r="W2608" s="3"/>
      <c r="X2608" s="3"/>
      <c r="Y2608" s="3"/>
      <c r="Z2608" s="3"/>
      <c r="AA2608" s="3"/>
    </row>
    <row r="2609" ht="105.75" customHeight="1">
      <c r="A2609" s="11"/>
      <c r="B2609" s="12"/>
      <c r="C2609" s="11"/>
      <c r="D2609" s="13"/>
      <c r="E2609" s="14"/>
      <c r="F2609" s="14"/>
      <c r="G2609" s="14"/>
      <c r="H2609" s="15"/>
      <c r="I2609" s="15"/>
      <c r="J2609" s="3"/>
      <c r="K2609" s="3"/>
      <c r="L2609" s="3"/>
      <c r="M2609" s="3"/>
      <c r="N2609" s="3"/>
      <c r="O2609" s="3"/>
      <c r="P2609" s="3"/>
      <c r="Q2609" s="3"/>
      <c r="R2609" s="3"/>
      <c r="S2609" s="3"/>
      <c r="T2609" s="3"/>
      <c r="U2609" s="3"/>
      <c r="V2609" s="3"/>
      <c r="W2609" s="3"/>
      <c r="X2609" s="3"/>
      <c r="Y2609" s="3"/>
      <c r="Z2609" s="3"/>
      <c r="AA2609" s="3"/>
    </row>
    <row r="2610" ht="105.75" customHeight="1">
      <c r="A2610" s="11"/>
      <c r="B2610" s="12"/>
      <c r="C2610" s="11"/>
      <c r="D2610" s="13"/>
      <c r="E2610" s="14"/>
      <c r="F2610" s="14"/>
      <c r="G2610" s="14"/>
      <c r="H2610" s="15"/>
      <c r="I2610" s="15"/>
      <c r="J2610" s="3"/>
      <c r="K2610" s="3"/>
      <c r="L2610" s="3"/>
      <c r="M2610" s="3"/>
      <c r="N2610" s="3"/>
      <c r="O2610" s="3"/>
      <c r="P2610" s="3"/>
      <c r="Q2610" s="3"/>
      <c r="R2610" s="3"/>
      <c r="S2610" s="3"/>
      <c r="T2610" s="3"/>
      <c r="U2610" s="3"/>
      <c r="V2610" s="3"/>
      <c r="W2610" s="3"/>
      <c r="X2610" s="3"/>
      <c r="Y2610" s="3"/>
      <c r="Z2610" s="3"/>
      <c r="AA2610" s="3"/>
    </row>
    <row r="2611" ht="105.75" customHeight="1">
      <c r="A2611" s="11"/>
      <c r="B2611" s="12"/>
      <c r="C2611" s="11"/>
      <c r="D2611" s="13"/>
      <c r="E2611" s="14"/>
      <c r="F2611" s="14"/>
      <c r="G2611" s="14"/>
      <c r="H2611" s="15"/>
      <c r="I2611" s="15"/>
      <c r="J2611" s="3"/>
      <c r="K2611" s="3"/>
      <c r="L2611" s="3"/>
      <c r="M2611" s="3"/>
      <c r="N2611" s="3"/>
      <c r="O2611" s="3"/>
      <c r="P2611" s="3"/>
      <c r="Q2611" s="3"/>
      <c r="R2611" s="3"/>
      <c r="S2611" s="3"/>
      <c r="T2611" s="3"/>
      <c r="U2611" s="3"/>
      <c r="V2611" s="3"/>
      <c r="W2611" s="3"/>
      <c r="X2611" s="3"/>
      <c r="Y2611" s="3"/>
      <c r="Z2611" s="3"/>
      <c r="AA2611" s="3"/>
    </row>
    <row r="2612" ht="105.75" customHeight="1">
      <c r="A2612" s="11"/>
      <c r="B2612" s="12"/>
      <c r="C2612" s="11"/>
      <c r="D2612" s="13"/>
      <c r="E2612" s="14"/>
      <c r="F2612" s="14"/>
      <c r="G2612" s="14"/>
      <c r="H2612" s="15"/>
      <c r="I2612" s="15"/>
      <c r="J2612" s="3"/>
      <c r="K2612" s="3"/>
      <c r="L2612" s="3"/>
      <c r="M2612" s="3"/>
      <c r="N2612" s="3"/>
      <c r="O2612" s="3"/>
      <c r="P2612" s="3"/>
      <c r="Q2612" s="3"/>
      <c r="R2612" s="3"/>
      <c r="S2612" s="3"/>
      <c r="T2612" s="3"/>
      <c r="U2612" s="3"/>
      <c r="V2612" s="3"/>
      <c r="W2612" s="3"/>
      <c r="X2612" s="3"/>
      <c r="Y2612" s="3"/>
      <c r="Z2612" s="3"/>
      <c r="AA2612" s="3"/>
    </row>
    <row r="2613" ht="105.75" customHeight="1">
      <c r="A2613" s="11"/>
      <c r="B2613" s="12"/>
      <c r="C2613" s="11"/>
      <c r="D2613" s="13"/>
      <c r="E2613" s="14"/>
      <c r="F2613" s="14"/>
      <c r="G2613" s="14"/>
      <c r="H2613" s="15"/>
      <c r="I2613" s="15"/>
      <c r="J2613" s="3"/>
      <c r="K2613" s="3"/>
      <c r="L2613" s="3"/>
      <c r="M2613" s="3"/>
      <c r="N2613" s="3"/>
      <c r="O2613" s="3"/>
      <c r="P2613" s="3"/>
      <c r="Q2613" s="3"/>
      <c r="R2613" s="3"/>
      <c r="S2613" s="3"/>
      <c r="T2613" s="3"/>
      <c r="U2613" s="3"/>
      <c r="V2613" s="3"/>
      <c r="W2613" s="3"/>
      <c r="X2613" s="3"/>
      <c r="Y2613" s="3"/>
      <c r="Z2613" s="3"/>
      <c r="AA2613" s="3"/>
    </row>
    <row r="2614" ht="105.75" customHeight="1">
      <c r="A2614" s="11"/>
      <c r="B2614" s="12"/>
      <c r="C2614" s="11"/>
      <c r="D2614" s="13"/>
      <c r="E2614" s="14"/>
      <c r="F2614" s="14"/>
      <c r="G2614" s="14"/>
      <c r="H2614" s="15"/>
      <c r="I2614" s="15"/>
      <c r="J2614" s="3"/>
      <c r="K2614" s="3"/>
      <c r="L2614" s="3"/>
      <c r="M2614" s="3"/>
      <c r="N2614" s="3"/>
      <c r="O2614" s="3"/>
      <c r="P2614" s="3"/>
      <c r="Q2614" s="3"/>
      <c r="R2614" s="3"/>
      <c r="S2614" s="3"/>
      <c r="T2614" s="3"/>
      <c r="U2614" s="3"/>
      <c r="V2614" s="3"/>
      <c r="W2614" s="3"/>
      <c r="X2614" s="3"/>
      <c r="Y2614" s="3"/>
      <c r="Z2614" s="3"/>
      <c r="AA2614" s="3"/>
    </row>
    <row r="2615" ht="105.75" customHeight="1">
      <c r="A2615" s="11"/>
      <c r="B2615" s="12"/>
      <c r="C2615" s="11"/>
      <c r="D2615" s="13"/>
      <c r="E2615" s="14"/>
      <c r="F2615" s="14"/>
      <c r="G2615" s="14"/>
      <c r="H2615" s="15"/>
      <c r="I2615" s="15"/>
      <c r="J2615" s="3"/>
      <c r="K2615" s="3"/>
      <c r="L2615" s="3"/>
      <c r="M2615" s="3"/>
      <c r="N2615" s="3"/>
      <c r="O2615" s="3"/>
      <c r="P2615" s="3"/>
      <c r="Q2615" s="3"/>
      <c r="R2615" s="3"/>
      <c r="S2615" s="3"/>
      <c r="T2615" s="3"/>
      <c r="U2615" s="3"/>
      <c r="V2615" s="3"/>
      <c r="W2615" s="3"/>
      <c r="X2615" s="3"/>
      <c r="Y2615" s="3"/>
      <c r="Z2615" s="3"/>
      <c r="AA2615" s="3"/>
    </row>
    <row r="2616" ht="105.75" customHeight="1">
      <c r="A2616" s="11"/>
      <c r="B2616" s="12"/>
      <c r="C2616" s="11"/>
      <c r="D2616" s="13"/>
      <c r="E2616" s="14"/>
      <c r="F2616" s="14"/>
      <c r="G2616" s="14"/>
      <c r="H2616" s="15"/>
      <c r="I2616" s="15"/>
      <c r="J2616" s="3"/>
      <c r="K2616" s="3"/>
      <c r="L2616" s="3"/>
      <c r="M2616" s="3"/>
      <c r="N2616" s="3"/>
      <c r="O2616" s="3"/>
      <c r="P2616" s="3"/>
      <c r="Q2616" s="3"/>
      <c r="R2616" s="3"/>
      <c r="S2616" s="3"/>
      <c r="T2616" s="3"/>
      <c r="U2616" s="3"/>
      <c r="V2616" s="3"/>
      <c r="W2616" s="3"/>
      <c r="X2616" s="3"/>
      <c r="Y2616" s="3"/>
      <c r="Z2616" s="3"/>
      <c r="AA2616" s="3"/>
    </row>
    <row r="2617" ht="105.75" customHeight="1">
      <c r="A2617" s="11"/>
      <c r="B2617" s="12"/>
      <c r="C2617" s="11"/>
      <c r="D2617" s="13"/>
      <c r="E2617" s="14"/>
      <c r="F2617" s="14"/>
      <c r="G2617" s="14"/>
      <c r="H2617" s="15"/>
      <c r="I2617" s="15"/>
      <c r="J2617" s="3"/>
      <c r="K2617" s="3"/>
      <c r="L2617" s="3"/>
      <c r="M2617" s="3"/>
      <c r="N2617" s="3"/>
      <c r="O2617" s="3"/>
      <c r="P2617" s="3"/>
      <c r="Q2617" s="3"/>
      <c r="R2617" s="3"/>
      <c r="S2617" s="3"/>
      <c r="T2617" s="3"/>
      <c r="U2617" s="3"/>
      <c r="V2617" s="3"/>
      <c r="W2617" s="3"/>
      <c r="X2617" s="3"/>
      <c r="Y2617" s="3"/>
      <c r="Z2617" s="3"/>
      <c r="AA2617" s="3"/>
    </row>
    <row r="2618" ht="105.75" customHeight="1">
      <c r="A2618" s="11"/>
      <c r="B2618" s="12"/>
      <c r="C2618" s="11"/>
      <c r="D2618" s="13"/>
      <c r="E2618" s="14"/>
      <c r="F2618" s="14"/>
      <c r="G2618" s="14"/>
      <c r="H2618" s="15"/>
      <c r="I2618" s="15"/>
      <c r="J2618" s="3"/>
      <c r="K2618" s="3"/>
      <c r="L2618" s="3"/>
      <c r="M2618" s="3"/>
      <c r="N2618" s="3"/>
      <c r="O2618" s="3"/>
      <c r="P2618" s="3"/>
      <c r="Q2618" s="3"/>
      <c r="R2618" s="3"/>
      <c r="S2618" s="3"/>
      <c r="T2618" s="3"/>
      <c r="U2618" s="3"/>
      <c r="V2618" s="3"/>
      <c r="W2618" s="3"/>
      <c r="X2618" s="3"/>
      <c r="Y2618" s="3"/>
      <c r="Z2618" s="3"/>
      <c r="AA2618" s="3"/>
    </row>
    <row r="2619" ht="105.75" customHeight="1">
      <c r="A2619" s="11"/>
      <c r="B2619" s="12"/>
      <c r="C2619" s="11"/>
      <c r="D2619" s="13"/>
      <c r="E2619" s="14"/>
      <c r="F2619" s="14"/>
      <c r="G2619" s="14"/>
      <c r="H2619" s="15"/>
      <c r="I2619" s="15"/>
      <c r="J2619" s="3"/>
      <c r="K2619" s="3"/>
      <c r="L2619" s="3"/>
      <c r="M2619" s="3"/>
      <c r="N2619" s="3"/>
      <c r="O2619" s="3"/>
      <c r="P2619" s="3"/>
      <c r="Q2619" s="3"/>
      <c r="R2619" s="3"/>
      <c r="S2619" s="3"/>
      <c r="T2619" s="3"/>
      <c r="U2619" s="3"/>
      <c r="V2619" s="3"/>
      <c r="W2619" s="3"/>
      <c r="X2619" s="3"/>
      <c r="Y2619" s="3"/>
      <c r="Z2619" s="3"/>
      <c r="AA2619" s="3"/>
    </row>
    <row r="2620" ht="105.75" customHeight="1">
      <c r="A2620" s="11"/>
      <c r="B2620" s="12"/>
      <c r="C2620" s="11"/>
      <c r="D2620" s="13"/>
      <c r="E2620" s="14"/>
      <c r="F2620" s="14"/>
      <c r="G2620" s="14"/>
      <c r="H2620" s="15"/>
      <c r="I2620" s="15"/>
      <c r="J2620" s="3"/>
      <c r="K2620" s="3"/>
      <c r="L2620" s="3"/>
      <c r="M2620" s="3"/>
      <c r="N2620" s="3"/>
      <c r="O2620" s="3"/>
      <c r="P2620" s="3"/>
      <c r="Q2620" s="3"/>
      <c r="R2620" s="3"/>
      <c r="S2620" s="3"/>
      <c r="T2620" s="3"/>
      <c r="U2620" s="3"/>
      <c r="V2620" s="3"/>
      <c r="W2620" s="3"/>
      <c r="X2620" s="3"/>
      <c r="Y2620" s="3"/>
      <c r="Z2620" s="3"/>
      <c r="AA2620" s="3"/>
    </row>
    <row r="2621" ht="105.75" customHeight="1">
      <c r="A2621" s="11"/>
      <c r="B2621" s="12"/>
      <c r="C2621" s="11"/>
      <c r="D2621" s="13"/>
      <c r="E2621" s="14"/>
      <c r="F2621" s="14"/>
      <c r="G2621" s="14"/>
      <c r="H2621" s="15"/>
      <c r="I2621" s="15"/>
      <c r="J2621" s="3"/>
      <c r="K2621" s="3"/>
      <c r="L2621" s="3"/>
      <c r="M2621" s="3"/>
      <c r="N2621" s="3"/>
      <c r="O2621" s="3"/>
      <c r="P2621" s="3"/>
      <c r="Q2621" s="3"/>
      <c r="R2621" s="3"/>
      <c r="S2621" s="3"/>
      <c r="T2621" s="3"/>
      <c r="U2621" s="3"/>
      <c r="V2621" s="3"/>
      <c r="W2621" s="3"/>
      <c r="X2621" s="3"/>
      <c r="Y2621" s="3"/>
      <c r="Z2621" s="3"/>
      <c r="AA2621" s="3"/>
    </row>
    <row r="2622" ht="105.75" customHeight="1">
      <c r="A2622" s="11"/>
      <c r="B2622" s="12"/>
      <c r="C2622" s="11"/>
      <c r="D2622" s="13"/>
      <c r="E2622" s="14"/>
      <c r="F2622" s="14"/>
      <c r="G2622" s="14"/>
      <c r="H2622" s="15"/>
      <c r="I2622" s="15"/>
      <c r="J2622" s="3"/>
      <c r="K2622" s="3"/>
      <c r="L2622" s="3"/>
      <c r="M2622" s="3"/>
      <c r="N2622" s="3"/>
      <c r="O2622" s="3"/>
      <c r="P2622" s="3"/>
      <c r="Q2622" s="3"/>
      <c r="R2622" s="3"/>
      <c r="S2622" s="3"/>
      <c r="T2622" s="3"/>
      <c r="U2622" s="3"/>
      <c r="V2622" s="3"/>
      <c r="W2622" s="3"/>
      <c r="X2622" s="3"/>
      <c r="Y2622" s="3"/>
      <c r="Z2622" s="3"/>
      <c r="AA2622" s="3"/>
    </row>
    <row r="2623" ht="105.75" customHeight="1">
      <c r="A2623" s="11"/>
      <c r="B2623" s="12"/>
      <c r="C2623" s="11"/>
      <c r="D2623" s="13"/>
      <c r="E2623" s="14"/>
      <c r="F2623" s="14"/>
      <c r="G2623" s="14"/>
      <c r="H2623" s="15"/>
      <c r="I2623" s="15"/>
      <c r="J2623" s="3"/>
      <c r="K2623" s="3"/>
      <c r="L2623" s="3"/>
      <c r="M2623" s="3"/>
      <c r="N2623" s="3"/>
      <c r="O2623" s="3"/>
      <c r="P2623" s="3"/>
      <c r="Q2623" s="3"/>
      <c r="R2623" s="3"/>
      <c r="S2623" s="3"/>
      <c r="T2623" s="3"/>
      <c r="U2623" s="3"/>
      <c r="V2623" s="3"/>
      <c r="W2623" s="3"/>
      <c r="X2623" s="3"/>
      <c r="Y2623" s="3"/>
      <c r="Z2623" s="3"/>
      <c r="AA2623" s="3"/>
    </row>
    <row r="2624" ht="105.75" customHeight="1">
      <c r="A2624" s="11"/>
      <c r="B2624" s="12"/>
      <c r="C2624" s="11"/>
      <c r="D2624" s="13"/>
      <c r="E2624" s="14"/>
      <c r="F2624" s="14"/>
      <c r="G2624" s="14"/>
      <c r="H2624" s="15"/>
      <c r="I2624" s="15"/>
      <c r="J2624" s="3"/>
      <c r="K2624" s="3"/>
      <c r="L2624" s="3"/>
      <c r="M2624" s="3"/>
      <c r="N2624" s="3"/>
      <c r="O2624" s="3"/>
      <c r="P2624" s="3"/>
      <c r="Q2624" s="3"/>
      <c r="R2624" s="3"/>
      <c r="S2624" s="3"/>
      <c r="T2624" s="3"/>
      <c r="U2624" s="3"/>
      <c r="V2624" s="3"/>
      <c r="W2624" s="3"/>
      <c r="X2624" s="3"/>
      <c r="Y2624" s="3"/>
      <c r="Z2624" s="3"/>
      <c r="AA2624" s="3"/>
    </row>
    <row r="2625" ht="105.75" customHeight="1">
      <c r="A2625" s="11"/>
      <c r="B2625" s="12"/>
      <c r="C2625" s="11"/>
      <c r="D2625" s="13"/>
      <c r="E2625" s="14"/>
      <c r="F2625" s="14"/>
      <c r="G2625" s="14"/>
      <c r="H2625" s="15"/>
      <c r="I2625" s="15"/>
      <c r="J2625" s="3"/>
      <c r="K2625" s="3"/>
      <c r="L2625" s="3"/>
      <c r="M2625" s="3"/>
      <c r="N2625" s="3"/>
      <c r="O2625" s="3"/>
      <c r="P2625" s="3"/>
      <c r="Q2625" s="3"/>
      <c r="R2625" s="3"/>
      <c r="S2625" s="3"/>
      <c r="T2625" s="3"/>
      <c r="U2625" s="3"/>
      <c r="V2625" s="3"/>
      <c r="W2625" s="3"/>
      <c r="X2625" s="3"/>
      <c r="Y2625" s="3"/>
      <c r="Z2625" s="3"/>
      <c r="AA2625" s="3"/>
    </row>
    <row r="2626" ht="105.75" customHeight="1">
      <c r="A2626" s="11"/>
      <c r="B2626" s="12"/>
      <c r="C2626" s="11"/>
      <c r="D2626" s="13"/>
      <c r="E2626" s="14"/>
      <c r="F2626" s="14"/>
      <c r="G2626" s="14"/>
      <c r="H2626" s="15"/>
      <c r="I2626" s="15"/>
      <c r="J2626" s="3"/>
      <c r="K2626" s="3"/>
      <c r="L2626" s="3"/>
      <c r="M2626" s="3"/>
      <c r="N2626" s="3"/>
      <c r="O2626" s="3"/>
      <c r="P2626" s="3"/>
      <c r="Q2626" s="3"/>
      <c r="R2626" s="3"/>
      <c r="S2626" s="3"/>
      <c r="T2626" s="3"/>
      <c r="U2626" s="3"/>
      <c r="V2626" s="3"/>
      <c r="W2626" s="3"/>
      <c r="X2626" s="3"/>
      <c r="Y2626" s="3"/>
      <c r="Z2626" s="3"/>
      <c r="AA2626" s="3"/>
    </row>
    <row r="2627" ht="105.75" customHeight="1">
      <c r="A2627" s="11"/>
      <c r="B2627" s="12"/>
      <c r="C2627" s="11"/>
      <c r="D2627" s="13"/>
      <c r="E2627" s="14"/>
      <c r="F2627" s="14"/>
      <c r="G2627" s="14"/>
      <c r="H2627" s="15"/>
      <c r="I2627" s="15"/>
      <c r="J2627" s="3"/>
      <c r="K2627" s="3"/>
      <c r="L2627" s="3"/>
      <c r="M2627" s="3"/>
      <c r="N2627" s="3"/>
      <c r="O2627" s="3"/>
      <c r="P2627" s="3"/>
      <c r="Q2627" s="3"/>
      <c r="R2627" s="3"/>
      <c r="S2627" s="3"/>
      <c r="T2627" s="3"/>
      <c r="U2627" s="3"/>
      <c r="V2627" s="3"/>
      <c r="W2627" s="3"/>
      <c r="X2627" s="3"/>
      <c r="Y2627" s="3"/>
      <c r="Z2627" s="3"/>
      <c r="AA2627" s="3"/>
    </row>
    <row r="2628" ht="105.75" customHeight="1">
      <c r="A2628" s="11"/>
      <c r="B2628" s="12"/>
      <c r="C2628" s="11"/>
      <c r="D2628" s="13"/>
      <c r="E2628" s="14"/>
      <c r="F2628" s="14"/>
      <c r="G2628" s="14"/>
      <c r="H2628" s="15"/>
      <c r="I2628" s="15"/>
      <c r="J2628" s="3"/>
      <c r="K2628" s="3"/>
      <c r="L2628" s="3"/>
      <c r="M2628" s="3"/>
      <c r="N2628" s="3"/>
      <c r="O2628" s="3"/>
      <c r="P2628" s="3"/>
      <c r="Q2628" s="3"/>
      <c r="R2628" s="3"/>
      <c r="S2628" s="3"/>
      <c r="T2628" s="3"/>
      <c r="U2628" s="3"/>
      <c r="V2628" s="3"/>
      <c r="W2628" s="3"/>
      <c r="X2628" s="3"/>
      <c r="Y2628" s="3"/>
      <c r="Z2628" s="3"/>
      <c r="AA2628" s="3"/>
    </row>
    <row r="2629" ht="105.75" customHeight="1">
      <c r="A2629" s="11"/>
      <c r="B2629" s="12"/>
      <c r="C2629" s="11"/>
      <c r="D2629" s="13"/>
      <c r="E2629" s="14"/>
      <c r="F2629" s="14"/>
      <c r="G2629" s="14"/>
      <c r="H2629" s="15"/>
      <c r="I2629" s="15"/>
      <c r="J2629" s="3"/>
      <c r="K2629" s="3"/>
      <c r="L2629" s="3"/>
      <c r="M2629" s="3"/>
      <c r="N2629" s="3"/>
      <c r="O2629" s="3"/>
      <c r="P2629" s="3"/>
      <c r="Q2629" s="3"/>
      <c r="R2629" s="3"/>
      <c r="S2629" s="3"/>
      <c r="T2629" s="3"/>
      <c r="U2629" s="3"/>
      <c r="V2629" s="3"/>
      <c r="W2629" s="3"/>
      <c r="X2629" s="3"/>
      <c r="Y2629" s="3"/>
      <c r="Z2629" s="3"/>
      <c r="AA2629" s="3"/>
    </row>
    <row r="2630" ht="105.75" customHeight="1">
      <c r="A2630" s="11"/>
      <c r="B2630" s="12"/>
      <c r="C2630" s="11"/>
      <c r="D2630" s="13"/>
      <c r="E2630" s="14"/>
      <c r="F2630" s="14"/>
      <c r="G2630" s="14"/>
      <c r="H2630" s="15"/>
      <c r="I2630" s="15"/>
      <c r="J2630" s="3"/>
      <c r="K2630" s="3"/>
      <c r="L2630" s="3"/>
      <c r="M2630" s="3"/>
      <c r="N2630" s="3"/>
      <c r="O2630" s="3"/>
      <c r="P2630" s="3"/>
      <c r="Q2630" s="3"/>
      <c r="R2630" s="3"/>
      <c r="S2630" s="3"/>
      <c r="T2630" s="3"/>
      <c r="U2630" s="3"/>
      <c r="V2630" s="3"/>
      <c r="W2630" s="3"/>
      <c r="X2630" s="3"/>
      <c r="Y2630" s="3"/>
      <c r="Z2630" s="3"/>
      <c r="AA2630" s="3"/>
    </row>
    <row r="2631" ht="105.75" customHeight="1">
      <c r="A2631" s="11"/>
      <c r="B2631" s="12"/>
      <c r="C2631" s="11"/>
      <c r="D2631" s="13"/>
      <c r="E2631" s="14"/>
      <c r="F2631" s="14"/>
      <c r="G2631" s="14"/>
      <c r="H2631" s="15"/>
      <c r="I2631" s="15"/>
      <c r="J2631" s="3"/>
      <c r="K2631" s="3"/>
      <c r="L2631" s="3"/>
      <c r="M2631" s="3"/>
      <c r="N2631" s="3"/>
      <c r="O2631" s="3"/>
      <c r="P2631" s="3"/>
      <c r="Q2631" s="3"/>
      <c r="R2631" s="3"/>
      <c r="S2631" s="3"/>
      <c r="T2631" s="3"/>
      <c r="U2631" s="3"/>
      <c r="V2631" s="3"/>
      <c r="W2631" s="3"/>
      <c r="X2631" s="3"/>
      <c r="Y2631" s="3"/>
      <c r="Z2631" s="3"/>
      <c r="AA2631" s="3"/>
    </row>
    <row r="2632" ht="105.75" customHeight="1">
      <c r="A2632" s="11"/>
      <c r="B2632" s="12"/>
      <c r="C2632" s="11"/>
      <c r="D2632" s="13"/>
      <c r="E2632" s="14"/>
      <c r="F2632" s="14"/>
      <c r="G2632" s="14"/>
      <c r="H2632" s="15"/>
      <c r="I2632" s="15"/>
      <c r="J2632" s="3"/>
      <c r="K2632" s="3"/>
      <c r="L2632" s="3"/>
      <c r="M2632" s="3"/>
      <c r="N2632" s="3"/>
      <c r="O2632" s="3"/>
      <c r="P2632" s="3"/>
      <c r="Q2632" s="3"/>
      <c r="R2632" s="3"/>
      <c r="S2632" s="3"/>
      <c r="T2632" s="3"/>
      <c r="U2632" s="3"/>
      <c r="V2632" s="3"/>
      <c r="W2632" s="3"/>
      <c r="X2632" s="3"/>
      <c r="Y2632" s="3"/>
      <c r="Z2632" s="3"/>
      <c r="AA2632" s="3"/>
    </row>
    <row r="2633" ht="105.75" customHeight="1">
      <c r="A2633" s="11"/>
      <c r="B2633" s="12"/>
      <c r="C2633" s="11"/>
      <c r="D2633" s="13"/>
      <c r="E2633" s="14"/>
      <c r="F2633" s="14"/>
      <c r="G2633" s="14"/>
      <c r="H2633" s="15"/>
      <c r="I2633" s="15"/>
      <c r="J2633" s="3"/>
      <c r="K2633" s="3"/>
      <c r="L2633" s="3"/>
      <c r="M2633" s="3"/>
      <c r="N2633" s="3"/>
      <c r="O2633" s="3"/>
      <c r="P2633" s="3"/>
      <c r="Q2633" s="3"/>
      <c r="R2633" s="3"/>
      <c r="S2633" s="3"/>
      <c r="T2633" s="3"/>
      <c r="U2633" s="3"/>
      <c r="V2633" s="3"/>
      <c r="W2633" s="3"/>
      <c r="X2633" s="3"/>
      <c r="Y2633" s="3"/>
      <c r="Z2633" s="3"/>
      <c r="AA2633" s="3"/>
    </row>
    <row r="2634" ht="105.75" customHeight="1">
      <c r="A2634" s="11"/>
      <c r="B2634" s="12"/>
      <c r="C2634" s="11"/>
      <c r="D2634" s="13"/>
      <c r="E2634" s="14"/>
      <c r="F2634" s="14"/>
      <c r="G2634" s="14"/>
      <c r="H2634" s="15"/>
      <c r="I2634" s="15"/>
      <c r="J2634" s="3"/>
      <c r="K2634" s="3"/>
      <c r="L2634" s="3"/>
      <c r="M2634" s="3"/>
      <c r="N2634" s="3"/>
      <c r="O2634" s="3"/>
      <c r="P2634" s="3"/>
      <c r="Q2634" s="3"/>
      <c r="R2634" s="3"/>
      <c r="S2634" s="3"/>
      <c r="T2634" s="3"/>
      <c r="U2634" s="3"/>
      <c r="V2634" s="3"/>
      <c r="W2634" s="3"/>
      <c r="X2634" s="3"/>
      <c r="Y2634" s="3"/>
      <c r="Z2634" s="3"/>
      <c r="AA2634" s="3"/>
    </row>
    <row r="2635" ht="105.75" customHeight="1">
      <c r="A2635" s="11"/>
      <c r="B2635" s="12"/>
      <c r="C2635" s="11"/>
      <c r="D2635" s="13"/>
      <c r="E2635" s="16"/>
      <c r="F2635" s="16"/>
      <c r="G2635" s="16"/>
      <c r="H2635" s="15"/>
      <c r="I2635" s="15"/>
      <c r="J2635" s="3"/>
      <c r="K2635" s="3"/>
      <c r="L2635" s="3"/>
      <c r="M2635" s="3"/>
      <c r="N2635" s="3"/>
      <c r="O2635" s="3"/>
      <c r="P2635" s="3"/>
      <c r="Q2635" s="3"/>
      <c r="R2635" s="3"/>
      <c r="S2635" s="3"/>
      <c r="T2635" s="3"/>
      <c r="U2635" s="3"/>
      <c r="V2635" s="3"/>
      <c r="W2635" s="3"/>
      <c r="X2635" s="3"/>
      <c r="Y2635" s="3"/>
      <c r="Z2635" s="3"/>
      <c r="AA2635" s="3"/>
    </row>
    <row r="2636" ht="105.75" customHeight="1">
      <c r="A2636" s="11"/>
      <c r="B2636" s="12"/>
      <c r="C2636" s="11"/>
      <c r="D2636" s="13"/>
      <c r="E2636" s="16"/>
      <c r="F2636" s="16"/>
      <c r="G2636" s="16"/>
      <c r="H2636" s="15"/>
      <c r="I2636" s="15"/>
      <c r="J2636" s="3"/>
      <c r="K2636" s="3"/>
      <c r="L2636" s="3"/>
      <c r="M2636" s="3"/>
      <c r="N2636" s="3"/>
      <c r="O2636" s="3"/>
      <c r="P2636" s="3"/>
      <c r="Q2636" s="3"/>
      <c r="R2636" s="3"/>
      <c r="S2636" s="3"/>
      <c r="T2636" s="3"/>
      <c r="U2636" s="3"/>
      <c r="V2636" s="3"/>
      <c r="W2636" s="3"/>
      <c r="X2636" s="3"/>
      <c r="Y2636" s="3"/>
      <c r="Z2636" s="3"/>
      <c r="AA2636" s="3"/>
    </row>
    <row r="2637" ht="105.75" customHeight="1">
      <c r="A2637" s="11"/>
      <c r="B2637" s="12"/>
      <c r="C2637" s="11"/>
      <c r="D2637" s="13"/>
      <c r="E2637" s="14"/>
      <c r="F2637" s="14"/>
      <c r="G2637" s="14"/>
      <c r="H2637" s="15"/>
      <c r="I2637" s="15"/>
      <c r="J2637" s="3"/>
      <c r="K2637" s="3"/>
      <c r="L2637" s="3"/>
      <c r="M2637" s="3"/>
      <c r="N2637" s="3"/>
      <c r="O2637" s="3"/>
      <c r="P2637" s="3"/>
      <c r="Q2637" s="3"/>
      <c r="R2637" s="3"/>
      <c r="S2637" s="3"/>
      <c r="T2637" s="3"/>
      <c r="U2637" s="3"/>
      <c r="V2637" s="3"/>
      <c r="W2637" s="3"/>
      <c r="X2637" s="3"/>
      <c r="Y2637" s="3"/>
      <c r="Z2637" s="3"/>
      <c r="AA2637" s="3"/>
    </row>
    <row r="2638" ht="105.75" customHeight="1">
      <c r="A2638" s="11"/>
      <c r="B2638" s="12"/>
      <c r="C2638" s="11"/>
      <c r="D2638" s="13"/>
      <c r="E2638" s="14"/>
      <c r="F2638" s="14"/>
      <c r="G2638" s="14"/>
      <c r="H2638" s="15"/>
      <c r="I2638" s="15"/>
      <c r="J2638" s="3"/>
      <c r="K2638" s="3"/>
      <c r="L2638" s="3"/>
      <c r="M2638" s="3"/>
      <c r="N2638" s="3"/>
      <c r="O2638" s="3"/>
      <c r="P2638" s="3"/>
      <c r="Q2638" s="3"/>
      <c r="R2638" s="3"/>
      <c r="S2638" s="3"/>
      <c r="T2638" s="3"/>
      <c r="U2638" s="3"/>
      <c r="V2638" s="3"/>
      <c r="W2638" s="3"/>
      <c r="X2638" s="3"/>
      <c r="Y2638" s="3"/>
      <c r="Z2638" s="3"/>
      <c r="AA2638" s="3"/>
    </row>
    <row r="2639" ht="105.75" customHeight="1">
      <c r="A2639" s="11"/>
      <c r="B2639" s="12"/>
      <c r="C2639" s="11"/>
      <c r="D2639" s="13"/>
      <c r="E2639" s="14"/>
      <c r="F2639" s="14"/>
      <c r="G2639" s="14"/>
      <c r="H2639" s="15"/>
      <c r="I2639" s="15"/>
      <c r="J2639" s="3"/>
      <c r="K2639" s="3"/>
      <c r="L2639" s="3"/>
      <c r="M2639" s="3"/>
      <c r="N2639" s="3"/>
      <c r="O2639" s="3"/>
      <c r="P2639" s="3"/>
      <c r="Q2639" s="3"/>
      <c r="R2639" s="3"/>
      <c r="S2639" s="3"/>
      <c r="T2639" s="3"/>
      <c r="U2639" s="3"/>
      <c r="V2639" s="3"/>
      <c r="W2639" s="3"/>
      <c r="X2639" s="3"/>
      <c r="Y2639" s="3"/>
      <c r="Z2639" s="3"/>
      <c r="AA2639" s="3"/>
    </row>
    <row r="2640" ht="105.75" customHeight="1">
      <c r="A2640" s="11"/>
      <c r="B2640" s="12"/>
      <c r="C2640" s="11"/>
      <c r="D2640" s="13"/>
      <c r="E2640" s="14"/>
      <c r="F2640" s="14"/>
      <c r="G2640" s="14"/>
      <c r="H2640" s="15"/>
      <c r="I2640" s="15"/>
      <c r="J2640" s="3"/>
      <c r="K2640" s="3"/>
      <c r="L2640" s="3"/>
      <c r="M2640" s="3"/>
      <c r="N2640" s="3"/>
      <c r="O2640" s="3"/>
      <c r="P2640" s="3"/>
      <c r="Q2640" s="3"/>
      <c r="R2640" s="3"/>
      <c r="S2640" s="3"/>
      <c r="T2640" s="3"/>
      <c r="U2640" s="3"/>
      <c r="V2640" s="3"/>
      <c r="W2640" s="3"/>
      <c r="X2640" s="3"/>
      <c r="Y2640" s="3"/>
      <c r="Z2640" s="3"/>
      <c r="AA2640" s="3"/>
    </row>
    <row r="2641" ht="105.75" customHeight="1">
      <c r="A2641" s="11"/>
      <c r="B2641" s="12"/>
      <c r="C2641" s="11"/>
      <c r="D2641" s="13"/>
      <c r="E2641" s="14"/>
      <c r="F2641" s="14"/>
      <c r="G2641" s="14"/>
      <c r="H2641" s="15"/>
      <c r="I2641" s="15"/>
      <c r="J2641" s="3"/>
      <c r="K2641" s="3"/>
      <c r="L2641" s="3"/>
      <c r="M2641" s="3"/>
      <c r="N2641" s="3"/>
      <c r="O2641" s="3"/>
      <c r="P2641" s="3"/>
      <c r="Q2641" s="3"/>
      <c r="R2641" s="3"/>
      <c r="S2641" s="3"/>
      <c r="T2641" s="3"/>
      <c r="U2641" s="3"/>
      <c r="V2641" s="3"/>
      <c r="W2641" s="3"/>
      <c r="X2641" s="3"/>
      <c r="Y2641" s="3"/>
      <c r="Z2641" s="3"/>
      <c r="AA2641" s="3"/>
    </row>
    <row r="2642" ht="105.75" customHeight="1">
      <c r="A2642" s="11"/>
      <c r="B2642" s="12"/>
      <c r="C2642" s="11"/>
      <c r="D2642" s="13"/>
      <c r="E2642" s="14"/>
      <c r="F2642" s="14"/>
      <c r="G2642" s="14"/>
      <c r="H2642" s="15"/>
      <c r="I2642" s="15"/>
      <c r="J2642" s="3"/>
      <c r="K2642" s="3"/>
      <c r="L2642" s="3"/>
      <c r="M2642" s="3"/>
      <c r="N2642" s="3"/>
      <c r="O2642" s="3"/>
      <c r="P2642" s="3"/>
      <c r="Q2642" s="3"/>
      <c r="R2642" s="3"/>
      <c r="S2642" s="3"/>
      <c r="T2642" s="3"/>
      <c r="U2642" s="3"/>
      <c r="V2642" s="3"/>
      <c r="W2642" s="3"/>
      <c r="X2642" s="3"/>
      <c r="Y2642" s="3"/>
      <c r="Z2642" s="3"/>
      <c r="AA2642" s="3"/>
    </row>
    <row r="2643" ht="105.75" customHeight="1">
      <c r="A2643" s="11"/>
      <c r="B2643" s="12"/>
      <c r="C2643" s="11"/>
      <c r="D2643" s="13"/>
      <c r="E2643" s="14"/>
      <c r="F2643" s="14"/>
      <c r="G2643" s="14"/>
      <c r="H2643" s="15"/>
      <c r="I2643" s="15"/>
      <c r="J2643" s="3"/>
      <c r="K2643" s="3"/>
      <c r="L2643" s="3"/>
      <c r="M2643" s="3"/>
      <c r="N2643" s="3"/>
      <c r="O2643" s="3"/>
      <c r="P2643" s="3"/>
      <c r="Q2643" s="3"/>
      <c r="R2643" s="3"/>
      <c r="S2643" s="3"/>
      <c r="T2643" s="3"/>
      <c r="U2643" s="3"/>
      <c r="V2643" s="3"/>
      <c r="W2643" s="3"/>
      <c r="X2643" s="3"/>
      <c r="Y2643" s="3"/>
      <c r="Z2643" s="3"/>
      <c r="AA2643" s="3"/>
    </row>
    <row r="2644" ht="105.75" customHeight="1">
      <c r="A2644" s="11"/>
      <c r="B2644" s="12"/>
      <c r="C2644" s="11"/>
      <c r="D2644" s="13"/>
      <c r="E2644" s="14"/>
      <c r="F2644" s="14"/>
      <c r="G2644" s="14"/>
      <c r="H2644" s="15"/>
      <c r="I2644" s="15"/>
      <c r="J2644" s="3"/>
      <c r="K2644" s="3"/>
      <c r="L2644" s="3"/>
      <c r="M2644" s="3"/>
      <c r="N2644" s="3"/>
      <c r="O2644" s="3"/>
      <c r="P2644" s="3"/>
      <c r="Q2644" s="3"/>
      <c r="R2644" s="3"/>
      <c r="S2644" s="3"/>
      <c r="T2644" s="3"/>
      <c r="U2644" s="3"/>
      <c r="V2644" s="3"/>
      <c r="W2644" s="3"/>
      <c r="X2644" s="3"/>
      <c r="Y2644" s="3"/>
      <c r="Z2644" s="3"/>
      <c r="AA2644" s="3"/>
    </row>
    <row r="2645" ht="105.75" customHeight="1">
      <c r="A2645" s="11"/>
      <c r="B2645" s="12"/>
      <c r="C2645" s="11"/>
      <c r="D2645" s="13"/>
      <c r="E2645" s="14"/>
      <c r="F2645" s="14"/>
      <c r="G2645" s="14"/>
      <c r="H2645" s="15"/>
      <c r="I2645" s="15"/>
      <c r="J2645" s="3"/>
      <c r="K2645" s="3"/>
      <c r="L2645" s="3"/>
      <c r="M2645" s="3"/>
      <c r="N2645" s="3"/>
      <c r="O2645" s="3"/>
      <c r="P2645" s="3"/>
      <c r="Q2645" s="3"/>
      <c r="R2645" s="3"/>
      <c r="S2645" s="3"/>
      <c r="T2645" s="3"/>
      <c r="U2645" s="3"/>
      <c r="V2645" s="3"/>
      <c r="W2645" s="3"/>
      <c r="X2645" s="3"/>
      <c r="Y2645" s="3"/>
      <c r="Z2645" s="3"/>
      <c r="AA2645" s="3"/>
    </row>
    <row r="2646" ht="105.75" customHeight="1">
      <c r="A2646" s="11"/>
      <c r="B2646" s="12"/>
      <c r="C2646" s="11"/>
      <c r="D2646" s="13"/>
      <c r="E2646" s="14"/>
      <c r="F2646" s="14"/>
      <c r="G2646" s="14"/>
      <c r="H2646" s="15"/>
      <c r="I2646" s="15"/>
      <c r="J2646" s="3"/>
      <c r="K2646" s="3"/>
      <c r="L2646" s="3"/>
      <c r="M2646" s="3"/>
      <c r="N2646" s="3"/>
      <c r="O2646" s="3"/>
      <c r="P2646" s="3"/>
      <c r="Q2646" s="3"/>
      <c r="R2646" s="3"/>
      <c r="S2646" s="3"/>
      <c r="T2646" s="3"/>
      <c r="U2646" s="3"/>
      <c r="V2646" s="3"/>
      <c r="W2646" s="3"/>
      <c r="X2646" s="3"/>
      <c r="Y2646" s="3"/>
      <c r="Z2646" s="3"/>
      <c r="AA2646" s="3"/>
    </row>
    <row r="2647" ht="105.75" customHeight="1">
      <c r="A2647" s="11"/>
      <c r="B2647" s="12"/>
      <c r="C2647" s="11"/>
      <c r="D2647" s="13"/>
      <c r="E2647" s="16"/>
      <c r="F2647" s="16"/>
      <c r="G2647" s="16"/>
      <c r="H2647" s="15"/>
      <c r="I2647" s="15"/>
      <c r="J2647" s="3"/>
      <c r="K2647" s="3"/>
      <c r="L2647" s="3"/>
      <c r="M2647" s="3"/>
      <c r="N2647" s="3"/>
      <c r="O2647" s="3"/>
      <c r="P2647" s="3"/>
      <c r="Q2647" s="3"/>
      <c r="R2647" s="3"/>
      <c r="S2647" s="3"/>
      <c r="T2647" s="3"/>
      <c r="U2647" s="3"/>
      <c r="V2647" s="3"/>
      <c r="W2647" s="3"/>
      <c r="X2647" s="3"/>
      <c r="Y2647" s="3"/>
      <c r="Z2647" s="3"/>
      <c r="AA2647" s="3"/>
    </row>
    <row r="2648" ht="105.75" customHeight="1">
      <c r="A2648" s="11"/>
      <c r="B2648" s="12"/>
      <c r="C2648" s="11"/>
      <c r="D2648" s="13"/>
      <c r="E2648" s="16"/>
      <c r="F2648" s="16"/>
      <c r="G2648" s="16"/>
      <c r="H2648" s="15"/>
      <c r="I2648" s="15"/>
      <c r="J2648" s="3"/>
      <c r="K2648" s="3"/>
      <c r="L2648" s="3"/>
      <c r="M2648" s="3"/>
      <c r="N2648" s="3"/>
      <c r="O2648" s="3"/>
      <c r="P2648" s="3"/>
      <c r="Q2648" s="3"/>
      <c r="R2648" s="3"/>
      <c r="S2648" s="3"/>
      <c r="T2648" s="3"/>
      <c r="U2648" s="3"/>
      <c r="V2648" s="3"/>
      <c r="W2648" s="3"/>
      <c r="X2648" s="3"/>
      <c r="Y2648" s="3"/>
      <c r="Z2648" s="3"/>
      <c r="AA2648" s="3"/>
    </row>
    <row r="2649" ht="105.75" customHeight="1">
      <c r="A2649" s="11"/>
      <c r="B2649" s="12"/>
      <c r="C2649" s="11"/>
      <c r="D2649" s="13"/>
      <c r="E2649" s="14"/>
      <c r="F2649" s="14"/>
      <c r="G2649" s="14"/>
      <c r="H2649" s="15"/>
      <c r="I2649" s="15"/>
      <c r="J2649" s="3"/>
      <c r="K2649" s="3"/>
      <c r="L2649" s="3"/>
      <c r="M2649" s="3"/>
      <c r="N2649" s="3"/>
      <c r="O2649" s="3"/>
      <c r="P2649" s="3"/>
      <c r="Q2649" s="3"/>
      <c r="R2649" s="3"/>
      <c r="S2649" s="3"/>
      <c r="T2649" s="3"/>
      <c r="U2649" s="3"/>
      <c r="V2649" s="3"/>
      <c r="W2649" s="3"/>
      <c r="X2649" s="3"/>
      <c r="Y2649" s="3"/>
      <c r="Z2649" s="3"/>
      <c r="AA2649" s="3"/>
    </row>
    <row r="2650" ht="105.75" customHeight="1">
      <c r="A2650" s="11"/>
      <c r="B2650" s="12"/>
      <c r="C2650" s="11"/>
      <c r="D2650" s="13"/>
      <c r="E2650" s="14"/>
      <c r="F2650" s="14"/>
      <c r="G2650" s="14"/>
      <c r="H2650" s="15"/>
      <c r="I2650" s="15"/>
      <c r="J2650" s="3"/>
      <c r="K2650" s="3"/>
      <c r="L2650" s="3"/>
      <c r="M2650" s="3"/>
      <c r="N2650" s="3"/>
      <c r="O2650" s="3"/>
      <c r="P2650" s="3"/>
      <c r="Q2650" s="3"/>
      <c r="R2650" s="3"/>
      <c r="S2650" s="3"/>
      <c r="T2650" s="3"/>
      <c r="U2650" s="3"/>
      <c r="V2650" s="3"/>
      <c r="W2650" s="3"/>
      <c r="X2650" s="3"/>
      <c r="Y2650" s="3"/>
      <c r="Z2650" s="3"/>
      <c r="AA2650" s="3"/>
    </row>
    <row r="2651" ht="105.75" customHeight="1">
      <c r="A2651" s="11"/>
      <c r="B2651" s="12"/>
      <c r="C2651" s="11"/>
      <c r="D2651" s="13"/>
      <c r="E2651" s="14"/>
      <c r="F2651" s="14"/>
      <c r="G2651" s="14"/>
      <c r="H2651" s="15"/>
      <c r="I2651" s="15"/>
      <c r="J2651" s="3"/>
      <c r="K2651" s="3"/>
      <c r="L2651" s="3"/>
      <c r="M2651" s="3"/>
      <c r="N2651" s="3"/>
      <c r="O2651" s="3"/>
      <c r="P2651" s="3"/>
      <c r="Q2651" s="3"/>
      <c r="R2651" s="3"/>
      <c r="S2651" s="3"/>
      <c r="T2651" s="3"/>
      <c r="U2651" s="3"/>
      <c r="V2651" s="3"/>
      <c r="W2651" s="3"/>
      <c r="X2651" s="3"/>
      <c r="Y2651" s="3"/>
      <c r="Z2651" s="3"/>
      <c r="AA2651" s="3"/>
    </row>
    <row r="2652" ht="105.75" customHeight="1">
      <c r="A2652" s="11"/>
      <c r="B2652" s="12"/>
      <c r="C2652" s="11"/>
      <c r="D2652" s="13"/>
      <c r="E2652" s="14"/>
      <c r="F2652" s="14"/>
      <c r="G2652" s="14"/>
      <c r="H2652" s="15"/>
      <c r="I2652" s="15"/>
      <c r="J2652" s="3"/>
      <c r="K2652" s="3"/>
      <c r="L2652" s="3"/>
      <c r="M2652" s="3"/>
      <c r="N2652" s="3"/>
      <c r="O2652" s="3"/>
      <c r="P2652" s="3"/>
      <c r="Q2652" s="3"/>
      <c r="R2652" s="3"/>
      <c r="S2652" s="3"/>
      <c r="T2652" s="3"/>
      <c r="U2652" s="3"/>
      <c r="V2652" s="3"/>
      <c r="W2652" s="3"/>
      <c r="X2652" s="3"/>
      <c r="Y2652" s="3"/>
      <c r="Z2652" s="3"/>
      <c r="AA2652" s="3"/>
    </row>
    <row r="2653" ht="105.75" customHeight="1">
      <c r="A2653" s="11"/>
      <c r="B2653" s="12"/>
      <c r="C2653" s="11"/>
      <c r="D2653" s="13"/>
      <c r="E2653" s="14"/>
      <c r="F2653" s="14"/>
      <c r="G2653" s="14"/>
      <c r="H2653" s="15"/>
      <c r="I2653" s="15"/>
      <c r="J2653" s="3"/>
      <c r="K2653" s="3"/>
      <c r="L2653" s="3"/>
      <c r="M2653" s="3"/>
      <c r="N2653" s="3"/>
      <c r="O2653" s="3"/>
      <c r="P2653" s="3"/>
      <c r="Q2653" s="3"/>
      <c r="R2653" s="3"/>
      <c r="S2653" s="3"/>
      <c r="T2653" s="3"/>
      <c r="U2653" s="3"/>
      <c r="V2653" s="3"/>
      <c r="W2653" s="3"/>
      <c r="X2653" s="3"/>
      <c r="Y2653" s="3"/>
      <c r="Z2653" s="3"/>
      <c r="AA2653" s="3"/>
    </row>
    <row r="2654" ht="105.75" customHeight="1">
      <c r="A2654" s="11"/>
      <c r="B2654" s="12"/>
      <c r="C2654" s="11"/>
      <c r="D2654" s="13"/>
      <c r="E2654" s="14"/>
      <c r="F2654" s="14"/>
      <c r="G2654" s="14"/>
      <c r="H2654" s="15"/>
      <c r="I2654" s="15"/>
      <c r="J2654" s="3"/>
      <c r="K2654" s="3"/>
      <c r="L2654" s="3"/>
      <c r="M2654" s="3"/>
      <c r="N2654" s="3"/>
      <c r="O2654" s="3"/>
      <c r="P2654" s="3"/>
      <c r="Q2654" s="3"/>
      <c r="R2654" s="3"/>
      <c r="S2654" s="3"/>
      <c r="T2654" s="3"/>
      <c r="U2654" s="3"/>
      <c r="V2654" s="3"/>
      <c r="W2654" s="3"/>
      <c r="X2654" s="3"/>
      <c r="Y2654" s="3"/>
      <c r="Z2654" s="3"/>
      <c r="AA2654" s="3"/>
    </row>
    <row r="2655" ht="105.75" customHeight="1">
      <c r="A2655" s="11"/>
      <c r="B2655" s="12"/>
      <c r="C2655" s="11"/>
      <c r="D2655" s="13"/>
      <c r="E2655" s="14"/>
      <c r="F2655" s="14"/>
      <c r="G2655" s="14"/>
      <c r="H2655" s="15"/>
      <c r="I2655" s="15"/>
      <c r="J2655" s="3"/>
      <c r="K2655" s="3"/>
      <c r="L2655" s="3"/>
      <c r="M2655" s="3"/>
      <c r="N2655" s="3"/>
      <c r="O2655" s="3"/>
      <c r="P2655" s="3"/>
      <c r="Q2655" s="3"/>
      <c r="R2655" s="3"/>
      <c r="S2655" s="3"/>
      <c r="T2655" s="3"/>
      <c r="U2655" s="3"/>
      <c r="V2655" s="3"/>
      <c r="W2655" s="3"/>
      <c r="X2655" s="3"/>
      <c r="Y2655" s="3"/>
      <c r="Z2655" s="3"/>
      <c r="AA2655" s="3"/>
    </row>
    <row r="2656" ht="105.75" customHeight="1">
      <c r="A2656" s="11"/>
      <c r="B2656" s="12"/>
      <c r="C2656" s="11"/>
      <c r="D2656" s="13"/>
      <c r="E2656" s="14"/>
      <c r="F2656" s="14"/>
      <c r="G2656" s="14"/>
      <c r="H2656" s="15"/>
      <c r="I2656" s="15"/>
      <c r="J2656" s="3"/>
      <c r="K2656" s="3"/>
      <c r="L2656" s="3"/>
      <c r="M2656" s="3"/>
      <c r="N2656" s="3"/>
      <c r="O2656" s="3"/>
      <c r="P2656" s="3"/>
      <c r="Q2656" s="3"/>
      <c r="R2656" s="3"/>
      <c r="S2656" s="3"/>
      <c r="T2656" s="3"/>
      <c r="U2656" s="3"/>
      <c r="V2656" s="3"/>
      <c r="W2656" s="3"/>
      <c r="X2656" s="3"/>
      <c r="Y2656" s="3"/>
      <c r="Z2656" s="3"/>
      <c r="AA2656" s="3"/>
    </row>
    <row r="2657" ht="105.75" customHeight="1">
      <c r="A2657" s="11"/>
      <c r="B2657" s="12"/>
      <c r="C2657" s="11"/>
      <c r="D2657" s="13"/>
      <c r="E2657" s="14"/>
      <c r="F2657" s="14"/>
      <c r="G2657" s="14"/>
      <c r="H2657" s="15"/>
      <c r="I2657" s="15"/>
      <c r="J2657" s="3"/>
      <c r="K2657" s="3"/>
      <c r="L2657" s="3"/>
      <c r="M2657" s="3"/>
      <c r="N2657" s="3"/>
      <c r="O2657" s="3"/>
      <c r="P2657" s="3"/>
      <c r="Q2657" s="3"/>
      <c r="R2657" s="3"/>
      <c r="S2657" s="3"/>
      <c r="T2657" s="3"/>
      <c r="U2657" s="3"/>
      <c r="V2657" s="3"/>
      <c r="W2657" s="3"/>
      <c r="X2657" s="3"/>
      <c r="Y2657" s="3"/>
      <c r="Z2657" s="3"/>
      <c r="AA2657" s="3"/>
    </row>
    <row r="2658" ht="105.75" customHeight="1">
      <c r="A2658" s="11"/>
      <c r="B2658" s="12"/>
      <c r="C2658" s="11"/>
      <c r="D2658" s="13"/>
      <c r="E2658" s="14"/>
      <c r="F2658" s="14"/>
      <c r="G2658" s="14"/>
      <c r="H2658" s="15"/>
      <c r="I2658" s="15"/>
      <c r="J2658" s="3"/>
      <c r="K2658" s="3"/>
      <c r="L2658" s="3"/>
      <c r="M2658" s="3"/>
      <c r="N2658" s="3"/>
      <c r="O2658" s="3"/>
      <c r="P2658" s="3"/>
      <c r="Q2658" s="3"/>
      <c r="R2658" s="3"/>
      <c r="S2658" s="3"/>
      <c r="T2658" s="3"/>
      <c r="U2658" s="3"/>
      <c r="V2658" s="3"/>
      <c r="W2658" s="3"/>
      <c r="X2658" s="3"/>
      <c r="Y2658" s="3"/>
      <c r="Z2658" s="3"/>
      <c r="AA2658" s="3"/>
    </row>
    <row r="2659" ht="105.75" customHeight="1">
      <c r="A2659" s="11"/>
      <c r="B2659" s="12"/>
      <c r="C2659" s="11"/>
      <c r="D2659" s="13"/>
      <c r="E2659" s="14"/>
      <c r="F2659" s="14"/>
      <c r="G2659" s="14"/>
      <c r="H2659" s="15"/>
      <c r="I2659" s="15"/>
      <c r="J2659" s="3"/>
      <c r="K2659" s="3"/>
      <c r="L2659" s="3"/>
      <c r="M2659" s="3"/>
      <c r="N2659" s="3"/>
      <c r="O2659" s="3"/>
      <c r="P2659" s="3"/>
      <c r="Q2659" s="3"/>
      <c r="R2659" s="3"/>
      <c r="S2659" s="3"/>
      <c r="T2659" s="3"/>
      <c r="U2659" s="3"/>
      <c r="V2659" s="3"/>
      <c r="W2659" s="3"/>
      <c r="X2659" s="3"/>
      <c r="Y2659" s="3"/>
      <c r="Z2659" s="3"/>
      <c r="AA2659" s="3"/>
    </row>
    <row r="2660" ht="105.75" customHeight="1">
      <c r="A2660" s="11"/>
      <c r="B2660" s="12"/>
      <c r="C2660" s="11"/>
      <c r="D2660" s="13"/>
      <c r="E2660" s="14"/>
      <c r="F2660" s="14"/>
      <c r="G2660" s="14"/>
      <c r="H2660" s="15"/>
      <c r="I2660" s="15"/>
      <c r="J2660" s="3"/>
      <c r="K2660" s="3"/>
      <c r="L2660" s="3"/>
      <c r="M2660" s="3"/>
      <c r="N2660" s="3"/>
      <c r="O2660" s="3"/>
      <c r="P2660" s="3"/>
      <c r="Q2660" s="3"/>
      <c r="R2660" s="3"/>
      <c r="S2660" s="3"/>
      <c r="T2660" s="3"/>
      <c r="U2660" s="3"/>
      <c r="V2660" s="3"/>
      <c r="W2660" s="3"/>
      <c r="X2660" s="3"/>
      <c r="Y2660" s="3"/>
      <c r="Z2660" s="3"/>
      <c r="AA2660" s="3"/>
    </row>
    <row r="2661" ht="105.75" customHeight="1">
      <c r="A2661" s="11"/>
      <c r="B2661" s="12"/>
      <c r="C2661" s="11"/>
      <c r="D2661" s="13"/>
      <c r="E2661" s="14"/>
      <c r="F2661" s="14"/>
      <c r="G2661" s="14"/>
      <c r="H2661" s="15"/>
      <c r="I2661" s="15"/>
      <c r="J2661" s="3"/>
      <c r="K2661" s="3"/>
      <c r="L2661" s="3"/>
      <c r="M2661" s="3"/>
      <c r="N2661" s="3"/>
      <c r="O2661" s="3"/>
      <c r="P2661" s="3"/>
      <c r="Q2661" s="3"/>
      <c r="R2661" s="3"/>
      <c r="S2661" s="3"/>
      <c r="T2661" s="3"/>
      <c r="U2661" s="3"/>
      <c r="V2661" s="3"/>
      <c r="W2661" s="3"/>
      <c r="X2661" s="3"/>
      <c r="Y2661" s="3"/>
      <c r="Z2661" s="3"/>
      <c r="AA2661" s="3"/>
    </row>
    <row r="2662" ht="105.75" customHeight="1">
      <c r="A2662" s="11"/>
      <c r="B2662" s="12"/>
      <c r="C2662" s="11"/>
      <c r="D2662" s="13"/>
      <c r="E2662" s="14"/>
      <c r="F2662" s="14"/>
      <c r="G2662" s="14"/>
      <c r="H2662" s="15"/>
      <c r="I2662" s="15"/>
      <c r="J2662" s="3"/>
      <c r="K2662" s="3"/>
      <c r="L2662" s="3"/>
      <c r="M2662" s="3"/>
      <c r="N2662" s="3"/>
      <c r="O2662" s="3"/>
      <c r="P2662" s="3"/>
      <c r="Q2662" s="3"/>
      <c r="R2662" s="3"/>
      <c r="S2662" s="3"/>
      <c r="T2662" s="3"/>
      <c r="U2662" s="3"/>
      <c r="V2662" s="3"/>
      <c r="W2662" s="3"/>
      <c r="X2662" s="3"/>
      <c r="Y2662" s="3"/>
      <c r="Z2662" s="3"/>
      <c r="AA2662" s="3"/>
    </row>
    <row r="2663" ht="105.75" customHeight="1">
      <c r="A2663" s="11"/>
      <c r="B2663" s="12"/>
      <c r="C2663" s="11"/>
      <c r="D2663" s="13"/>
      <c r="E2663" s="14"/>
      <c r="F2663" s="14"/>
      <c r="G2663" s="14"/>
      <c r="H2663" s="15"/>
      <c r="I2663" s="15"/>
      <c r="J2663" s="3"/>
      <c r="K2663" s="3"/>
      <c r="L2663" s="3"/>
      <c r="M2663" s="3"/>
      <c r="N2663" s="3"/>
      <c r="O2663" s="3"/>
      <c r="P2663" s="3"/>
      <c r="Q2663" s="3"/>
      <c r="R2663" s="3"/>
      <c r="S2663" s="3"/>
      <c r="T2663" s="3"/>
      <c r="U2663" s="3"/>
      <c r="V2663" s="3"/>
      <c r="W2663" s="3"/>
      <c r="X2663" s="3"/>
      <c r="Y2663" s="3"/>
      <c r="Z2663" s="3"/>
      <c r="AA2663" s="3"/>
    </row>
    <row r="2664" ht="105.75" customHeight="1">
      <c r="A2664" s="11"/>
      <c r="B2664" s="12"/>
      <c r="C2664" s="11"/>
      <c r="D2664" s="13"/>
      <c r="E2664" s="16"/>
      <c r="F2664" s="16"/>
      <c r="G2664" s="16"/>
      <c r="H2664" s="15"/>
      <c r="I2664" s="15"/>
      <c r="J2664" s="3"/>
      <c r="K2664" s="3"/>
      <c r="L2664" s="3"/>
      <c r="M2664" s="3"/>
      <c r="N2664" s="3"/>
      <c r="O2664" s="3"/>
      <c r="P2664" s="3"/>
      <c r="Q2664" s="3"/>
      <c r="R2664" s="3"/>
      <c r="S2664" s="3"/>
      <c r="T2664" s="3"/>
      <c r="U2664" s="3"/>
      <c r="V2664" s="3"/>
      <c r="W2664" s="3"/>
      <c r="X2664" s="3"/>
      <c r="Y2664" s="3"/>
      <c r="Z2664" s="3"/>
      <c r="AA2664" s="3"/>
    </row>
    <row r="2665" ht="105.75" customHeight="1">
      <c r="A2665" s="11"/>
      <c r="B2665" s="12"/>
      <c r="C2665" s="11"/>
      <c r="D2665" s="13"/>
      <c r="E2665" s="14"/>
      <c r="F2665" s="14"/>
      <c r="G2665" s="14"/>
      <c r="H2665" s="15"/>
      <c r="I2665" s="15"/>
      <c r="J2665" s="3"/>
      <c r="K2665" s="3"/>
      <c r="L2665" s="3"/>
      <c r="M2665" s="3"/>
      <c r="N2665" s="3"/>
      <c r="O2665" s="3"/>
      <c r="P2665" s="3"/>
      <c r="Q2665" s="3"/>
      <c r="R2665" s="3"/>
      <c r="S2665" s="3"/>
      <c r="T2665" s="3"/>
      <c r="U2665" s="3"/>
      <c r="V2665" s="3"/>
      <c r="W2665" s="3"/>
      <c r="X2665" s="3"/>
      <c r="Y2665" s="3"/>
      <c r="Z2665" s="3"/>
      <c r="AA2665" s="3"/>
    </row>
    <row r="2666" ht="105.75" customHeight="1">
      <c r="A2666" s="11"/>
      <c r="B2666" s="12"/>
      <c r="C2666" s="11"/>
      <c r="D2666" s="13"/>
      <c r="E2666" s="14"/>
      <c r="F2666" s="14"/>
      <c r="G2666" s="14"/>
      <c r="H2666" s="15"/>
      <c r="I2666" s="15"/>
      <c r="J2666" s="3"/>
      <c r="K2666" s="3"/>
      <c r="L2666" s="3"/>
      <c r="M2666" s="3"/>
      <c r="N2666" s="3"/>
      <c r="O2666" s="3"/>
      <c r="P2666" s="3"/>
      <c r="Q2666" s="3"/>
      <c r="R2666" s="3"/>
      <c r="S2666" s="3"/>
      <c r="T2666" s="3"/>
      <c r="U2666" s="3"/>
      <c r="V2666" s="3"/>
      <c r="W2666" s="3"/>
      <c r="X2666" s="3"/>
      <c r="Y2666" s="3"/>
      <c r="Z2666" s="3"/>
      <c r="AA2666" s="3"/>
    </row>
    <row r="2667" ht="105.75" customHeight="1">
      <c r="A2667" s="11"/>
      <c r="B2667" s="12"/>
      <c r="C2667" s="11"/>
      <c r="D2667" s="13"/>
      <c r="E2667" s="14"/>
      <c r="F2667" s="14"/>
      <c r="G2667" s="14"/>
      <c r="H2667" s="15"/>
      <c r="I2667" s="15"/>
      <c r="J2667" s="3"/>
      <c r="K2667" s="3"/>
      <c r="L2667" s="3"/>
      <c r="M2667" s="3"/>
      <c r="N2667" s="3"/>
      <c r="O2667" s="3"/>
      <c r="P2667" s="3"/>
      <c r="Q2667" s="3"/>
      <c r="R2667" s="3"/>
      <c r="S2667" s="3"/>
      <c r="T2667" s="3"/>
      <c r="U2667" s="3"/>
      <c r="V2667" s="3"/>
      <c r="W2667" s="3"/>
      <c r="X2667" s="3"/>
      <c r="Y2667" s="3"/>
      <c r="Z2667" s="3"/>
      <c r="AA2667" s="3"/>
    </row>
    <row r="2668" ht="105.75" customHeight="1">
      <c r="A2668" s="11"/>
      <c r="B2668" s="12"/>
      <c r="C2668" s="11"/>
      <c r="D2668" s="13"/>
      <c r="E2668" s="14"/>
      <c r="F2668" s="14"/>
      <c r="G2668" s="14"/>
      <c r="H2668" s="15"/>
      <c r="I2668" s="15"/>
      <c r="J2668" s="3"/>
      <c r="K2668" s="3"/>
      <c r="L2668" s="3"/>
      <c r="M2668" s="3"/>
      <c r="N2668" s="3"/>
      <c r="O2668" s="3"/>
      <c r="P2668" s="3"/>
      <c r="Q2668" s="3"/>
      <c r="R2668" s="3"/>
      <c r="S2668" s="3"/>
      <c r="T2668" s="3"/>
      <c r="U2668" s="3"/>
      <c r="V2668" s="3"/>
      <c r="W2668" s="3"/>
      <c r="X2668" s="3"/>
      <c r="Y2668" s="3"/>
      <c r="Z2668" s="3"/>
      <c r="AA2668" s="3"/>
    </row>
    <row r="2669" ht="105.75" customHeight="1">
      <c r="A2669" s="11"/>
      <c r="B2669" s="12"/>
      <c r="C2669" s="11"/>
      <c r="D2669" s="13"/>
      <c r="E2669" s="14"/>
      <c r="F2669" s="14"/>
      <c r="G2669" s="14"/>
      <c r="H2669" s="15"/>
      <c r="I2669" s="15"/>
      <c r="J2669" s="3"/>
      <c r="K2669" s="3"/>
      <c r="L2669" s="3"/>
      <c r="M2669" s="3"/>
      <c r="N2669" s="3"/>
      <c r="O2669" s="3"/>
      <c r="P2669" s="3"/>
      <c r="Q2669" s="3"/>
      <c r="R2669" s="3"/>
      <c r="S2669" s="3"/>
      <c r="T2669" s="3"/>
      <c r="U2669" s="3"/>
      <c r="V2669" s="3"/>
      <c r="W2669" s="3"/>
      <c r="X2669" s="3"/>
      <c r="Y2669" s="3"/>
      <c r="Z2669" s="3"/>
      <c r="AA2669" s="3"/>
    </row>
    <row r="2670" ht="105.75" customHeight="1">
      <c r="A2670" s="11"/>
      <c r="B2670" s="12"/>
      <c r="C2670" s="11"/>
      <c r="D2670" s="13"/>
      <c r="E2670" s="14"/>
      <c r="F2670" s="14"/>
      <c r="G2670" s="14"/>
      <c r="H2670" s="15"/>
      <c r="I2670" s="15"/>
      <c r="J2670" s="3"/>
      <c r="K2670" s="3"/>
      <c r="L2670" s="3"/>
      <c r="M2670" s="3"/>
      <c r="N2670" s="3"/>
      <c r="O2670" s="3"/>
      <c r="P2670" s="3"/>
      <c r="Q2670" s="3"/>
      <c r="R2670" s="3"/>
      <c r="S2670" s="3"/>
      <c r="T2670" s="3"/>
      <c r="U2670" s="3"/>
      <c r="V2670" s="3"/>
      <c r="W2670" s="3"/>
      <c r="X2670" s="3"/>
      <c r="Y2670" s="3"/>
      <c r="Z2670" s="3"/>
      <c r="AA2670" s="3"/>
    </row>
    <row r="2671" ht="105.75" customHeight="1">
      <c r="A2671" s="11"/>
      <c r="B2671" s="12"/>
      <c r="C2671" s="11"/>
      <c r="D2671" s="13"/>
      <c r="E2671" s="16"/>
      <c r="F2671" s="16"/>
      <c r="G2671" s="16"/>
      <c r="H2671" s="15"/>
      <c r="I2671" s="15"/>
      <c r="J2671" s="3"/>
      <c r="K2671" s="3"/>
      <c r="L2671" s="3"/>
      <c r="M2671" s="3"/>
      <c r="N2671" s="3"/>
      <c r="O2671" s="3"/>
      <c r="P2671" s="3"/>
      <c r="Q2671" s="3"/>
      <c r="R2671" s="3"/>
      <c r="S2671" s="3"/>
      <c r="T2671" s="3"/>
      <c r="U2671" s="3"/>
      <c r="V2671" s="3"/>
      <c r="W2671" s="3"/>
      <c r="X2671" s="3"/>
      <c r="Y2671" s="3"/>
      <c r="Z2671" s="3"/>
      <c r="AA2671" s="3"/>
    </row>
    <row r="2672" ht="105.75" customHeight="1">
      <c r="A2672" s="11"/>
      <c r="B2672" s="12"/>
      <c r="C2672" s="11"/>
      <c r="D2672" s="13"/>
      <c r="E2672" s="14"/>
      <c r="F2672" s="14"/>
      <c r="G2672" s="14"/>
      <c r="H2672" s="15"/>
      <c r="I2672" s="15"/>
      <c r="J2672" s="3"/>
      <c r="K2672" s="3"/>
      <c r="L2672" s="3"/>
      <c r="M2672" s="3"/>
      <c r="N2672" s="3"/>
      <c r="O2672" s="3"/>
      <c r="P2672" s="3"/>
      <c r="Q2672" s="3"/>
      <c r="R2672" s="3"/>
      <c r="S2672" s="3"/>
      <c r="T2672" s="3"/>
      <c r="U2672" s="3"/>
      <c r="V2672" s="3"/>
      <c r="W2672" s="3"/>
      <c r="X2672" s="3"/>
      <c r="Y2672" s="3"/>
      <c r="Z2672" s="3"/>
      <c r="AA2672" s="3"/>
    </row>
    <row r="2673" ht="105.75" customHeight="1">
      <c r="A2673" s="11"/>
      <c r="B2673" s="12"/>
      <c r="C2673" s="11"/>
      <c r="D2673" s="13"/>
      <c r="E2673" s="16"/>
      <c r="F2673" s="16"/>
      <c r="G2673" s="16"/>
      <c r="H2673" s="15"/>
      <c r="I2673" s="15"/>
      <c r="J2673" s="3"/>
      <c r="K2673" s="3"/>
      <c r="L2673" s="3"/>
      <c r="M2673" s="3"/>
      <c r="N2673" s="3"/>
      <c r="O2673" s="3"/>
      <c r="P2673" s="3"/>
      <c r="Q2673" s="3"/>
      <c r="R2673" s="3"/>
      <c r="S2673" s="3"/>
      <c r="T2673" s="3"/>
      <c r="U2673" s="3"/>
      <c r="V2673" s="3"/>
      <c r="W2673" s="3"/>
      <c r="X2673" s="3"/>
      <c r="Y2673" s="3"/>
      <c r="Z2673" s="3"/>
      <c r="AA2673" s="3"/>
    </row>
    <row r="2674" ht="105.75" customHeight="1">
      <c r="A2674" s="11"/>
      <c r="B2674" s="12"/>
      <c r="C2674" s="11"/>
      <c r="D2674" s="13"/>
      <c r="E2674" s="14"/>
      <c r="F2674" s="14"/>
      <c r="G2674" s="14"/>
      <c r="H2674" s="15"/>
      <c r="I2674" s="15"/>
      <c r="J2674" s="3"/>
      <c r="K2674" s="3"/>
      <c r="L2674" s="3"/>
      <c r="M2674" s="3"/>
      <c r="N2674" s="3"/>
      <c r="O2674" s="3"/>
      <c r="P2674" s="3"/>
      <c r="Q2674" s="3"/>
      <c r="R2674" s="3"/>
      <c r="S2674" s="3"/>
      <c r="T2674" s="3"/>
      <c r="U2674" s="3"/>
      <c r="V2674" s="3"/>
      <c r="W2674" s="3"/>
      <c r="X2674" s="3"/>
      <c r="Y2674" s="3"/>
      <c r="Z2674" s="3"/>
      <c r="AA2674" s="3"/>
    </row>
    <row r="2675" ht="105.75" customHeight="1">
      <c r="A2675" s="11"/>
      <c r="B2675" s="12"/>
      <c r="C2675" s="11"/>
      <c r="D2675" s="13"/>
      <c r="E2675" s="14"/>
      <c r="F2675" s="14"/>
      <c r="G2675" s="14"/>
      <c r="H2675" s="15"/>
      <c r="I2675" s="15"/>
      <c r="J2675" s="3"/>
      <c r="K2675" s="3"/>
      <c r="L2675" s="3"/>
      <c r="M2675" s="3"/>
      <c r="N2675" s="3"/>
      <c r="O2675" s="3"/>
      <c r="P2675" s="3"/>
      <c r="Q2675" s="3"/>
      <c r="R2675" s="3"/>
      <c r="S2675" s="3"/>
      <c r="T2675" s="3"/>
      <c r="U2675" s="3"/>
      <c r="V2675" s="3"/>
      <c r="W2675" s="3"/>
      <c r="X2675" s="3"/>
      <c r="Y2675" s="3"/>
      <c r="Z2675" s="3"/>
      <c r="AA2675" s="3"/>
    </row>
    <row r="2676" ht="105.75" customHeight="1">
      <c r="A2676" s="11"/>
      <c r="B2676" s="12"/>
      <c r="C2676" s="11"/>
      <c r="D2676" s="13"/>
      <c r="E2676" s="14"/>
      <c r="F2676" s="14"/>
      <c r="G2676" s="14"/>
      <c r="H2676" s="15"/>
      <c r="I2676" s="15"/>
      <c r="J2676" s="3"/>
      <c r="K2676" s="3"/>
      <c r="L2676" s="3"/>
      <c r="M2676" s="3"/>
      <c r="N2676" s="3"/>
      <c r="O2676" s="3"/>
      <c r="P2676" s="3"/>
      <c r="Q2676" s="3"/>
      <c r="R2676" s="3"/>
      <c r="S2676" s="3"/>
      <c r="T2676" s="3"/>
      <c r="U2676" s="3"/>
      <c r="V2676" s="3"/>
      <c r="W2676" s="3"/>
      <c r="X2676" s="3"/>
      <c r="Y2676" s="3"/>
      <c r="Z2676" s="3"/>
      <c r="AA2676" s="3"/>
    </row>
    <row r="2677" ht="105.75" customHeight="1">
      <c r="A2677" s="11"/>
      <c r="B2677" s="12"/>
      <c r="C2677" s="11"/>
      <c r="D2677" s="13"/>
      <c r="E2677" s="14"/>
      <c r="F2677" s="14"/>
      <c r="G2677" s="14"/>
      <c r="H2677" s="15"/>
      <c r="I2677" s="15"/>
      <c r="J2677" s="3"/>
      <c r="K2677" s="3"/>
      <c r="L2677" s="3"/>
      <c r="M2677" s="3"/>
      <c r="N2677" s="3"/>
      <c r="O2677" s="3"/>
      <c r="P2677" s="3"/>
      <c r="Q2677" s="3"/>
      <c r="R2677" s="3"/>
      <c r="S2677" s="3"/>
      <c r="T2677" s="3"/>
      <c r="U2677" s="3"/>
      <c r="V2677" s="3"/>
      <c r="W2677" s="3"/>
      <c r="X2677" s="3"/>
      <c r="Y2677" s="3"/>
      <c r="Z2677" s="3"/>
      <c r="AA2677" s="3"/>
    </row>
    <row r="2678" ht="105.75" customHeight="1">
      <c r="A2678" s="11"/>
      <c r="B2678" s="12"/>
      <c r="C2678" s="11"/>
      <c r="D2678" s="13"/>
      <c r="E2678" s="14"/>
      <c r="F2678" s="14"/>
      <c r="G2678" s="14"/>
      <c r="H2678" s="15"/>
      <c r="I2678" s="15"/>
      <c r="J2678" s="3"/>
      <c r="K2678" s="3"/>
      <c r="L2678" s="3"/>
      <c r="M2678" s="3"/>
      <c r="N2678" s="3"/>
      <c r="O2678" s="3"/>
      <c r="P2678" s="3"/>
      <c r="Q2678" s="3"/>
      <c r="R2678" s="3"/>
      <c r="S2678" s="3"/>
      <c r="T2678" s="3"/>
      <c r="U2678" s="3"/>
      <c r="V2678" s="3"/>
      <c r="W2678" s="3"/>
      <c r="X2678" s="3"/>
      <c r="Y2678" s="3"/>
      <c r="Z2678" s="3"/>
      <c r="AA2678" s="3"/>
    </row>
    <row r="2679" ht="105.75" customHeight="1">
      <c r="A2679" s="11"/>
      <c r="B2679" s="12"/>
      <c r="C2679" s="11"/>
      <c r="D2679" s="13"/>
      <c r="E2679" s="16"/>
      <c r="F2679" s="16"/>
      <c r="G2679" s="16"/>
      <c r="H2679" s="15"/>
      <c r="I2679" s="15"/>
      <c r="J2679" s="3"/>
      <c r="K2679" s="3"/>
      <c r="L2679" s="3"/>
      <c r="M2679" s="3"/>
      <c r="N2679" s="3"/>
      <c r="O2679" s="3"/>
      <c r="P2679" s="3"/>
      <c r="Q2679" s="3"/>
      <c r="R2679" s="3"/>
      <c r="S2679" s="3"/>
      <c r="T2679" s="3"/>
      <c r="U2679" s="3"/>
      <c r="V2679" s="3"/>
      <c r="W2679" s="3"/>
      <c r="X2679" s="3"/>
      <c r="Y2679" s="3"/>
      <c r="Z2679" s="3"/>
      <c r="AA2679" s="3"/>
    </row>
    <row r="2680" ht="105.75" customHeight="1">
      <c r="A2680" s="11"/>
      <c r="B2680" s="12"/>
      <c r="C2680" s="11"/>
      <c r="D2680" s="13"/>
      <c r="E2680" s="14"/>
      <c r="F2680" s="14"/>
      <c r="G2680" s="14"/>
      <c r="H2680" s="15"/>
      <c r="I2680" s="15"/>
      <c r="J2680" s="3"/>
      <c r="K2680" s="3"/>
      <c r="L2680" s="3"/>
      <c r="M2680" s="3"/>
      <c r="N2680" s="3"/>
      <c r="O2680" s="3"/>
      <c r="P2680" s="3"/>
      <c r="Q2680" s="3"/>
      <c r="R2680" s="3"/>
      <c r="S2680" s="3"/>
      <c r="T2680" s="3"/>
      <c r="U2680" s="3"/>
      <c r="V2680" s="3"/>
      <c r="W2680" s="3"/>
      <c r="X2680" s="3"/>
      <c r="Y2680" s="3"/>
      <c r="Z2680" s="3"/>
      <c r="AA2680" s="3"/>
    </row>
    <row r="2681" ht="105.75" customHeight="1">
      <c r="A2681" s="11"/>
      <c r="B2681" s="12"/>
      <c r="C2681" s="11"/>
      <c r="D2681" s="13"/>
      <c r="E2681" s="14"/>
      <c r="F2681" s="14"/>
      <c r="G2681" s="14"/>
      <c r="H2681" s="15"/>
      <c r="I2681" s="15"/>
      <c r="J2681" s="3"/>
      <c r="K2681" s="3"/>
      <c r="L2681" s="3"/>
      <c r="M2681" s="3"/>
      <c r="N2681" s="3"/>
      <c r="O2681" s="3"/>
      <c r="P2681" s="3"/>
      <c r="Q2681" s="3"/>
      <c r="R2681" s="3"/>
      <c r="S2681" s="3"/>
      <c r="T2681" s="3"/>
      <c r="U2681" s="3"/>
      <c r="V2681" s="3"/>
      <c r="W2681" s="3"/>
      <c r="X2681" s="3"/>
      <c r="Y2681" s="3"/>
      <c r="Z2681" s="3"/>
      <c r="AA2681" s="3"/>
    </row>
    <row r="2682" ht="105.75" customHeight="1">
      <c r="A2682" s="11"/>
      <c r="B2682" s="12"/>
      <c r="C2682" s="11"/>
      <c r="D2682" s="13"/>
      <c r="E2682" s="14"/>
      <c r="F2682" s="14"/>
      <c r="G2682" s="14"/>
      <c r="H2682" s="15"/>
      <c r="I2682" s="15"/>
      <c r="J2682" s="3"/>
      <c r="K2682" s="3"/>
      <c r="L2682" s="3"/>
      <c r="M2682" s="3"/>
      <c r="N2682" s="3"/>
      <c r="O2682" s="3"/>
      <c r="P2682" s="3"/>
      <c r="Q2682" s="3"/>
      <c r="R2682" s="3"/>
      <c r="S2682" s="3"/>
      <c r="T2682" s="3"/>
      <c r="U2682" s="3"/>
      <c r="V2682" s="3"/>
      <c r="W2682" s="3"/>
      <c r="X2682" s="3"/>
      <c r="Y2682" s="3"/>
      <c r="Z2682" s="3"/>
      <c r="AA2682" s="3"/>
    </row>
    <row r="2683" ht="105.75" customHeight="1">
      <c r="A2683" s="11"/>
      <c r="B2683" s="12"/>
      <c r="C2683" s="11"/>
      <c r="D2683" s="13"/>
      <c r="E2683" s="14"/>
      <c r="F2683" s="14"/>
      <c r="G2683" s="14"/>
      <c r="H2683" s="15"/>
      <c r="I2683" s="15"/>
      <c r="J2683" s="3"/>
      <c r="K2683" s="3"/>
      <c r="L2683" s="3"/>
      <c r="M2683" s="3"/>
      <c r="N2683" s="3"/>
      <c r="O2683" s="3"/>
      <c r="P2683" s="3"/>
      <c r="Q2683" s="3"/>
      <c r="R2683" s="3"/>
      <c r="S2683" s="3"/>
      <c r="T2683" s="3"/>
      <c r="U2683" s="3"/>
      <c r="V2683" s="3"/>
      <c r="W2683" s="3"/>
      <c r="X2683" s="3"/>
      <c r="Y2683" s="3"/>
      <c r="Z2683" s="3"/>
      <c r="AA2683" s="3"/>
    </row>
    <row r="2684" ht="105.75" customHeight="1">
      <c r="A2684" s="11"/>
      <c r="B2684" s="12"/>
      <c r="C2684" s="11"/>
      <c r="D2684" s="13"/>
      <c r="E2684" s="14"/>
      <c r="F2684" s="14"/>
      <c r="G2684" s="14"/>
      <c r="H2684" s="15"/>
      <c r="I2684" s="15"/>
      <c r="J2684" s="3"/>
      <c r="K2684" s="3"/>
      <c r="L2684" s="3"/>
      <c r="M2684" s="3"/>
      <c r="N2684" s="3"/>
      <c r="O2684" s="3"/>
      <c r="P2684" s="3"/>
      <c r="Q2684" s="3"/>
      <c r="R2684" s="3"/>
      <c r="S2684" s="3"/>
      <c r="T2684" s="3"/>
      <c r="U2684" s="3"/>
      <c r="V2684" s="3"/>
      <c r="W2684" s="3"/>
      <c r="X2684" s="3"/>
      <c r="Y2684" s="3"/>
      <c r="Z2684" s="3"/>
      <c r="AA2684" s="3"/>
    </row>
    <row r="2685" ht="105.75" customHeight="1">
      <c r="A2685" s="11"/>
      <c r="B2685" s="12"/>
      <c r="C2685" s="11"/>
      <c r="D2685" s="13"/>
      <c r="E2685" s="14"/>
      <c r="F2685" s="14"/>
      <c r="G2685" s="14"/>
      <c r="H2685" s="15"/>
      <c r="I2685" s="15"/>
      <c r="J2685" s="3"/>
      <c r="K2685" s="3"/>
      <c r="L2685" s="3"/>
      <c r="M2685" s="3"/>
      <c r="N2685" s="3"/>
      <c r="O2685" s="3"/>
      <c r="P2685" s="3"/>
      <c r="Q2685" s="3"/>
      <c r="R2685" s="3"/>
      <c r="S2685" s="3"/>
      <c r="T2685" s="3"/>
      <c r="U2685" s="3"/>
      <c r="V2685" s="3"/>
      <c r="W2685" s="3"/>
      <c r="X2685" s="3"/>
      <c r="Y2685" s="3"/>
      <c r="Z2685" s="3"/>
      <c r="AA2685" s="3"/>
    </row>
    <row r="2686" ht="105.75" customHeight="1">
      <c r="A2686" s="11"/>
      <c r="B2686" s="12"/>
      <c r="C2686" s="11"/>
      <c r="D2686" s="13"/>
      <c r="E2686" s="14"/>
      <c r="F2686" s="14"/>
      <c r="G2686" s="14"/>
      <c r="H2686" s="15"/>
      <c r="I2686" s="15"/>
      <c r="J2686" s="3"/>
      <c r="K2686" s="3"/>
      <c r="L2686" s="3"/>
      <c r="M2686" s="3"/>
      <c r="N2686" s="3"/>
      <c r="O2686" s="3"/>
      <c r="P2686" s="3"/>
      <c r="Q2686" s="3"/>
      <c r="R2686" s="3"/>
      <c r="S2686" s="3"/>
      <c r="T2686" s="3"/>
      <c r="U2686" s="3"/>
      <c r="V2686" s="3"/>
      <c r="W2686" s="3"/>
      <c r="X2686" s="3"/>
      <c r="Y2686" s="3"/>
      <c r="Z2686" s="3"/>
      <c r="AA2686" s="3"/>
    </row>
    <row r="2687" ht="105.75" customHeight="1">
      <c r="A2687" s="11"/>
      <c r="B2687" s="12"/>
      <c r="C2687" s="11"/>
      <c r="D2687" s="13"/>
      <c r="E2687" s="14"/>
      <c r="F2687" s="14"/>
      <c r="G2687" s="14"/>
      <c r="H2687" s="15"/>
      <c r="I2687" s="15"/>
      <c r="J2687" s="3"/>
      <c r="K2687" s="3"/>
      <c r="L2687" s="3"/>
      <c r="M2687" s="3"/>
      <c r="N2687" s="3"/>
      <c r="O2687" s="3"/>
      <c r="P2687" s="3"/>
      <c r="Q2687" s="3"/>
      <c r="R2687" s="3"/>
      <c r="S2687" s="3"/>
      <c r="T2687" s="3"/>
      <c r="U2687" s="3"/>
      <c r="V2687" s="3"/>
      <c r="W2687" s="3"/>
      <c r="X2687" s="3"/>
      <c r="Y2687" s="3"/>
      <c r="Z2687" s="3"/>
      <c r="AA2687" s="3"/>
    </row>
    <row r="2688" ht="105.75" customHeight="1">
      <c r="A2688" s="11"/>
      <c r="B2688" s="12"/>
      <c r="C2688" s="11"/>
      <c r="D2688" s="13"/>
      <c r="E2688" s="14"/>
      <c r="F2688" s="14"/>
      <c r="G2688" s="14"/>
      <c r="H2688" s="15"/>
      <c r="I2688" s="15"/>
      <c r="J2688" s="3"/>
      <c r="K2688" s="3"/>
      <c r="L2688" s="3"/>
      <c r="M2688" s="3"/>
      <c r="N2688" s="3"/>
      <c r="O2688" s="3"/>
      <c r="P2688" s="3"/>
      <c r="Q2688" s="3"/>
      <c r="R2688" s="3"/>
      <c r="S2688" s="3"/>
      <c r="T2688" s="3"/>
      <c r="U2688" s="3"/>
      <c r="V2688" s="3"/>
      <c r="W2688" s="3"/>
      <c r="X2688" s="3"/>
      <c r="Y2688" s="3"/>
      <c r="Z2688" s="3"/>
      <c r="AA2688" s="3"/>
    </row>
    <row r="2689" ht="105.75" customHeight="1">
      <c r="A2689" s="11"/>
      <c r="B2689" s="12"/>
      <c r="C2689" s="11"/>
      <c r="D2689" s="13"/>
      <c r="E2689" s="16"/>
      <c r="F2689" s="16"/>
      <c r="G2689" s="16"/>
      <c r="H2689" s="15"/>
      <c r="I2689" s="15"/>
      <c r="J2689" s="3"/>
      <c r="K2689" s="3"/>
      <c r="L2689" s="3"/>
      <c r="M2689" s="3"/>
      <c r="N2689" s="3"/>
      <c r="O2689" s="3"/>
      <c r="P2689" s="3"/>
      <c r="Q2689" s="3"/>
      <c r="R2689" s="3"/>
      <c r="S2689" s="3"/>
      <c r="T2689" s="3"/>
      <c r="U2689" s="3"/>
      <c r="V2689" s="3"/>
      <c r="W2689" s="3"/>
      <c r="X2689" s="3"/>
      <c r="Y2689" s="3"/>
      <c r="Z2689" s="3"/>
      <c r="AA2689" s="3"/>
    </row>
    <row r="2690" ht="105.75" customHeight="1">
      <c r="A2690" s="11"/>
      <c r="B2690" s="12"/>
      <c r="C2690" s="11"/>
      <c r="D2690" s="13"/>
      <c r="E2690" s="16"/>
      <c r="F2690" s="16"/>
      <c r="G2690" s="16"/>
      <c r="H2690" s="15"/>
      <c r="I2690" s="15"/>
      <c r="J2690" s="3"/>
      <c r="K2690" s="3"/>
      <c r="L2690" s="3"/>
      <c r="M2690" s="3"/>
      <c r="N2690" s="3"/>
      <c r="O2690" s="3"/>
      <c r="P2690" s="3"/>
      <c r="Q2690" s="3"/>
      <c r="R2690" s="3"/>
      <c r="S2690" s="3"/>
      <c r="T2690" s="3"/>
      <c r="U2690" s="3"/>
      <c r="V2690" s="3"/>
      <c r="W2690" s="3"/>
      <c r="X2690" s="3"/>
      <c r="Y2690" s="3"/>
      <c r="Z2690" s="3"/>
      <c r="AA2690" s="3"/>
    </row>
    <row r="2691" ht="105.75" customHeight="1">
      <c r="A2691" s="11"/>
      <c r="B2691" s="12"/>
      <c r="C2691" s="11"/>
      <c r="D2691" s="13"/>
      <c r="E2691" s="14"/>
      <c r="F2691" s="14"/>
      <c r="G2691" s="14"/>
      <c r="H2691" s="15"/>
      <c r="I2691" s="15"/>
      <c r="J2691" s="3"/>
      <c r="K2691" s="3"/>
      <c r="L2691" s="3"/>
      <c r="M2691" s="3"/>
      <c r="N2691" s="3"/>
      <c r="O2691" s="3"/>
      <c r="P2691" s="3"/>
      <c r="Q2691" s="3"/>
      <c r="R2691" s="3"/>
      <c r="S2691" s="3"/>
      <c r="T2691" s="3"/>
      <c r="U2691" s="3"/>
      <c r="V2691" s="3"/>
      <c r="W2691" s="3"/>
      <c r="X2691" s="3"/>
      <c r="Y2691" s="3"/>
      <c r="Z2691" s="3"/>
      <c r="AA2691" s="3"/>
    </row>
    <row r="2692" ht="105.75" customHeight="1">
      <c r="A2692" s="11"/>
      <c r="B2692" s="12"/>
      <c r="C2692" s="11"/>
      <c r="D2692" s="13"/>
      <c r="E2692" s="14"/>
      <c r="F2692" s="14"/>
      <c r="G2692" s="14"/>
      <c r="H2692" s="15"/>
      <c r="I2692" s="15"/>
      <c r="J2692" s="3"/>
      <c r="K2692" s="3"/>
      <c r="L2692" s="3"/>
      <c r="M2692" s="3"/>
      <c r="N2692" s="3"/>
      <c r="O2692" s="3"/>
      <c r="P2692" s="3"/>
      <c r="Q2692" s="3"/>
      <c r="R2692" s="3"/>
      <c r="S2692" s="3"/>
      <c r="T2692" s="3"/>
      <c r="U2692" s="3"/>
      <c r="V2692" s="3"/>
      <c r="W2692" s="3"/>
      <c r="X2692" s="3"/>
      <c r="Y2692" s="3"/>
      <c r="Z2692" s="3"/>
      <c r="AA2692" s="3"/>
    </row>
    <row r="2693" ht="105.75" customHeight="1">
      <c r="A2693" s="11"/>
      <c r="B2693" s="12"/>
      <c r="C2693" s="11"/>
      <c r="D2693" s="13"/>
      <c r="E2693" s="14"/>
      <c r="F2693" s="14"/>
      <c r="G2693" s="14"/>
      <c r="H2693" s="15"/>
      <c r="I2693" s="15"/>
      <c r="J2693" s="3"/>
      <c r="K2693" s="3"/>
      <c r="L2693" s="3"/>
      <c r="M2693" s="3"/>
      <c r="N2693" s="3"/>
      <c r="O2693" s="3"/>
      <c r="P2693" s="3"/>
      <c r="Q2693" s="3"/>
      <c r="R2693" s="3"/>
      <c r="S2693" s="3"/>
      <c r="T2693" s="3"/>
      <c r="U2693" s="3"/>
      <c r="V2693" s="3"/>
      <c r="W2693" s="3"/>
      <c r="X2693" s="3"/>
      <c r="Y2693" s="3"/>
      <c r="Z2693" s="3"/>
      <c r="AA2693" s="3"/>
    </row>
    <row r="2694" ht="105.75" customHeight="1">
      <c r="A2694" s="11"/>
      <c r="B2694" s="12"/>
      <c r="C2694" s="11"/>
      <c r="D2694" s="13"/>
      <c r="E2694" s="14"/>
      <c r="F2694" s="14"/>
      <c r="G2694" s="14"/>
      <c r="H2694" s="15"/>
      <c r="I2694" s="15"/>
      <c r="J2694" s="3"/>
      <c r="K2694" s="3"/>
      <c r="L2694" s="3"/>
      <c r="M2694" s="3"/>
      <c r="N2694" s="3"/>
      <c r="O2694" s="3"/>
      <c r="P2694" s="3"/>
      <c r="Q2694" s="3"/>
      <c r="R2694" s="3"/>
      <c r="S2694" s="3"/>
      <c r="T2694" s="3"/>
      <c r="U2694" s="3"/>
      <c r="V2694" s="3"/>
      <c r="W2694" s="3"/>
      <c r="X2694" s="3"/>
      <c r="Y2694" s="3"/>
      <c r="Z2694" s="3"/>
      <c r="AA2694" s="3"/>
    </row>
    <row r="2695" ht="105.75" customHeight="1">
      <c r="A2695" s="11"/>
      <c r="B2695" s="12"/>
      <c r="C2695" s="11"/>
      <c r="D2695" s="13"/>
      <c r="E2695" s="14"/>
      <c r="F2695" s="14"/>
      <c r="G2695" s="14"/>
      <c r="H2695" s="15"/>
      <c r="I2695" s="15"/>
      <c r="J2695" s="3"/>
      <c r="K2695" s="3"/>
      <c r="L2695" s="3"/>
      <c r="M2695" s="3"/>
      <c r="N2695" s="3"/>
      <c r="O2695" s="3"/>
      <c r="P2695" s="3"/>
      <c r="Q2695" s="3"/>
      <c r="R2695" s="3"/>
      <c r="S2695" s="3"/>
      <c r="T2695" s="3"/>
      <c r="U2695" s="3"/>
      <c r="V2695" s="3"/>
      <c r="W2695" s="3"/>
      <c r="X2695" s="3"/>
      <c r="Y2695" s="3"/>
      <c r="Z2695" s="3"/>
      <c r="AA2695" s="3"/>
    </row>
    <row r="2696" ht="105.75" customHeight="1">
      <c r="A2696" s="11"/>
      <c r="B2696" s="12"/>
      <c r="C2696" s="11"/>
      <c r="D2696" s="13"/>
      <c r="E2696" s="14"/>
      <c r="F2696" s="14"/>
      <c r="G2696" s="14"/>
      <c r="H2696" s="15"/>
      <c r="I2696" s="15"/>
      <c r="J2696" s="3"/>
      <c r="K2696" s="3"/>
      <c r="L2696" s="3"/>
      <c r="M2696" s="3"/>
      <c r="N2696" s="3"/>
      <c r="O2696" s="3"/>
      <c r="P2696" s="3"/>
      <c r="Q2696" s="3"/>
      <c r="R2696" s="3"/>
      <c r="S2696" s="3"/>
      <c r="T2696" s="3"/>
      <c r="U2696" s="3"/>
      <c r="V2696" s="3"/>
      <c r="W2696" s="3"/>
      <c r="X2696" s="3"/>
      <c r="Y2696" s="3"/>
      <c r="Z2696" s="3"/>
      <c r="AA2696" s="3"/>
    </row>
    <row r="2697" ht="105.75" customHeight="1">
      <c r="A2697" s="11"/>
      <c r="B2697" s="12"/>
      <c r="C2697" s="11"/>
      <c r="D2697" s="13"/>
      <c r="E2697" s="14"/>
      <c r="F2697" s="14"/>
      <c r="G2697" s="14"/>
      <c r="H2697" s="15"/>
      <c r="I2697" s="15"/>
      <c r="J2697" s="3"/>
      <c r="K2697" s="3"/>
      <c r="L2697" s="3"/>
      <c r="M2697" s="3"/>
      <c r="N2697" s="3"/>
      <c r="O2697" s="3"/>
      <c r="P2697" s="3"/>
      <c r="Q2697" s="3"/>
      <c r="R2697" s="3"/>
      <c r="S2697" s="3"/>
      <c r="T2697" s="3"/>
      <c r="U2697" s="3"/>
      <c r="V2697" s="3"/>
      <c r="W2697" s="3"/>
      <c r="X2697" s="3"/>
      <c r="Y2697" s="3"/>
      <c r="Z2697" s="3"/>
      <c r="AA2697" s="3"/>
    </row>
    <row r="2698" ht="105.75" customHeight="1">
      <c r="A2698" s="11"/>
      <c r="B2698" s="12"/>
      <c r="C2698" s="11"/>
      <c r="D2698" s="13"/>
      <c r="E2698" s="14"/>
      <c r="F2698" s="14"/>
      <c r="G2698" s="14"/>
      <c r="H2698" s="15"/>
      <c r="I2698" s="15"/>
      <c r="J2698" s="3"/>
      <c r="K2698" s="3"/>
      <c r="L2698" s="3"/>
      <c r="M2698" s="3"/>
      <c r="N2698" s="3"/>
      <c r="O2698" s="3"/>
      <c r="P2698" s="3"/>
      <c r="Q2698" s="3"/>
      <c r="R2698" s="3"/>
      <c r="S2698" s="3"/>
      <c r="T2698" s="3"/>
      <c r="U2698" s="3"/>
      <c r="V2698" s="3"/>
      <c r="W2698" s="3"/>
      <c r="X2698" s="3"/>
      <c r="Y2698" s="3"/>
      <c r="Z2698" s="3"/>
      <c r="AA2698" s="3"/>
    </row>
    <row r="2699" ht="105.75" customHeight="1">
      <c r="A2699" s="11"/>
      <c r="B2699" s="12"/>
      <c r="C2699" s="11"/>
      <c r="D2699" s="13"/>
      <c r="E2699" s="14"/>
      <c r="F2699" s="14"/>
      <c r="G2699" s="14"/>
      <c r="H2699" s="15"/>
      <c r="I2699" s="15"/>
      <c r="J2699" s="3"/>
      <c r="K2699" s="3"/>
      <c r="L2699" s="3"/>
      <c r="M2699" s="3"/>
      <c r="N2699" s="3"/>
      <c r="O2699" s="3"/>
      <c r="P2699" s="3"/>
      <c r="Q2699" s="3"/>
      <c r="R2699" s="3"/>
      <c r="S2699" s="3"/>
      <c r="T2699" s="3"/>
      <c r="U2699" s="3"/>
      <c r="V2699" s="3"/>
      <c r="W2699" s="3"/>
      <c r="X2699" s="3"/>
      <c r="Y2699" s="3"/>
      <c r="Z2699" s="3"/>
      <c r="AA2699" s="3"/>
    </row>
    <row r="2700" ht="105.75" customHeight="1">
      <c r="A2700" s="11"/>
      <c r="B2700" s="12"/>
      <c r="C2700" s="11"/>
      <c r="D2700" s="13"/>
      <c r="E2700" s="14"/>
      <c r="F2700" s="14"/>
      <c r="G2700" s="14"/>
      <c r="H2700" s="15"/>
      <c r="I2700" s="15"/>
      <c r="J2700" s="3"/>
      <c r="K2700" s="3"/>
      <c r="L2700" s="3"/>
      <c r="M2700" s="3"/>
      <c r="N2700" s="3"/>
      <c r="O2700" s="3"/>
      <c r="P2700" s="3"/>
      <c r="Q2700" s="3"/>
      <c r="R2700" s="3"/>
      <c r="S2700" s="3"/>
      <c r="T2700" s="3"/>
      <c r="U2700" s="3"/>
      <c r="V2700" s="3"/>
      <c r="W2700" s="3"/>
      <c r="X2700" s="3"/>
      <c r="Y2700" s="3"/>
      <c r="Z2700" s="3"/>
      <c r="AA2700" s="3"/>
    </row>
    <row r="2701" ht="105.75" customHeight="1">
      <c r="A2701" s="11"/>
      <c r="B2701" s="12"/>
      <c r="C2701" s="11"/>
      <c r="D2701" s="13"/>
      <c r="E2701" s="16"/>
      <c r="F2701" s="16"/>
      <c r="G2701" s="16"/>
      <c r="H2701" s="15"/>
      <c r="I2701" s="15"/>
      <c r="J2701" s="3"/>
      <c r="K2701" s="3"/>
      <c r="L2701" s="3"/>
      <c r="M2701" s="3"/>
      <c r="N2701" s="3"/>
      <c r="O2701" s="3"/>
      <c r="P2701" s="3"/>
      <c r="Q2701" s="3"/>
      <c r="R2701" s="3"/>
      <c r="S2701" s="3"/>
      <c r="T2701" s="3"/>
      <c r="U2701" s="3"/>
      <c r="V2701" s="3"/>
      <c r="W2701" s="3"/>
      <c r="X2701" s="3"/>
      <c r="Y2701" s="3"/>
      <c r="Z2701" s="3"/>
      <c r="AA2701" s="3"/>
    </row>
    <row r="2702" ht="105.75" customHeight="1">
      <c r="A2702" s="11"/>
      <c r="B2702" s="12"/>
      <c r="C2702" s="11"/>
      <c r="D2702" s="13"/>
      <c r="E2702" s="14"/>
      <c r="F2702" s="14"/>
      <c r="G2702" s="14"/>
      <c r="H2702" s="15"/>
      <c r="I2702" s="15"/>
      <c r="J2702" s="3"/>
      <c r="K2702" s="3"/>
      <c r="L2702" s="3"/>
      <c r="M2702" s="3"/>
      <c r="N2702" s="3"/>
      <c r="O2702" s="3"/>
      <c r="P2702" s="3"/>
      <c r="Q2702" s="3"/>
      <c r="R2702" s="3"/>
      <c r="S2702" s="3"/>
      <c r="T2702" s="3"/>
      <c r="U2702" s="3"/>
      <c r="V2702" s="3"/>
      <c r="W2702" s="3"/>
      <c r="X2702" s="3"/>
      <c r="Y2702" s="3"/>
      <c r="Z2702" s="3"/>
      <c r="AA2702" s="3"/>
    </row>
    <row r="2703" ht="105.75" customHeight="1">
      <c r="A2703" s="11"/>
      <c r="B2703" s="12"/>
      <c r="C2703" s="11"/>
      <c r="D2703" s="13"/>
      <c r="E2703" s="14"/>
      <c r="F2703" s="14"/>
      <c r="G2703" s="14"/>
      <c r="H2703" s="15"/>
      <c r="I2703" s="15"/>
      <c r="J2703" s="3"/>
      <c r="K2703" s="3"/>
      <c r="L2703" s="3"/>
      <c r="M2703" s="3"/>
      <c r="N2703" s="3"/>
      <c r="O2703" s="3"/>
      <c r="P2703" s="3"/>
      <c r="Q2703" s="3"/>
      <c r="R2703" s="3"/>
      <c r="S2703" s="3"/>
      <c r="T2703" s="3"/>
      <c r="U2703" s="3"/>
      <c r="V2703" s="3"/>
      <c r="W2703" s="3"/>
      <c r="X2703" s="3"/>
      <c r="Y2703" s="3"/>
      <c r="Z2703" s="3"/>
      <c r="AA2703" s="3"/>
    </row>
    <row r="2704" ht="105.75" customHeight="1">
      <c r="A2704" s="11"/>
      <c r="B2704" s="12"/>
      <c r="C2704" s="11"/>
      <c r="D2704" s="13"/>
      <c r="E2704" s="14"/>
      <c r="F2704" s="14"/>
      <c r="G2704" s="14"/>
      <c r="H2704" s="15"/>
      <c r="I2704" s="15"/>
      <c r="J2704" s="3"/>
      <c r="K2704" s="3"/>
      <c r="L2704" s="3"/>
      <c r="M2704" s="3"/>
      <c r="N2704" s="3"/>
      <c r="O2704" s="3"/>
      <c r="P2704" s="3"/>
      <c r="Q2704" s="3"/>
      <c r="R2704" s="3"/>
      <c r="S2704" s="3"/>
      <c r="T2704" s="3"/>
      <c r="U2704" s="3"/>
      <c r="V2704" s="3"/>
      <c r="W2704" s="3"/>
      <c r="X2704" s="3"/>
      <c r="Y2704" s="3"/>
      <c r="Z2704" s="3"/>
      <c r="AA2704" s="3"/>
    </row>
    <row r="2705" ht="105.75" customHeight="1">
      <c r="A2705" s="11"/>
      <c r="B2705" s="12"/>
      <c r="C2705" s="11"/>
      <c r="D2705" s="13"/>
      <c r="E2705" s="14"/>
      <c r="F2705" s="14"/>
      <c r="G2705" s="14"/>
      <c r="H2705" s="15"/>
      <c r="I2705" s="15"/>
      <c r="J2705" s="3"/>
      <c r="K2705" s="3"/>
      <c r="L2705" s="3"/>
      <c r="M2705" s="3"/>
      <c r="N2705" s="3"/>
      <c r="O2705" s="3"/>
      <c r="P2705" s="3"/>
      <c r="Q2705" s="3"/>
      <c r="R2705" s="3"/>
      <c r="S2705" s="3"/>
      <c r="T2705" s="3"/>
      <c r="U2705" s="3"/>
      <c r="V2705" s="3"/>
      <c r="W2705" s="3"/>
      <c r="X2705" s="3"/>
      <c r="Y2705" s="3"/>
      <c r="Z2705" s="3"/>
      <c r="AA2705" s="3"/>
    </row>
    <row r="2706" ht="105.75" customHeight="1">
      <c r="A2706" s="11"/>
      <c r="B2706" s="12"/>
      <c r="C2706" s="11"/>
      <c r="D2706" s="13"/>
      <c r="E2706" s="16"/>
      <c r="F2706" s="16"/>
      <c r="G2706" s="16"/>
      <c r="H2706" s="15"/>
      <c r="I2706" s="15"/>
      <c r="J2706" s="3"/>
      <c r="K2706" s="3"/>
      <c r="L2706" s="3"/>
      <c r="M2706" s="3"/>
      <c r="N2706" s="3"/>
      <c r="O2706" s="3"/>
      <c r="P2706" s="3"/>
      <c r="Q2706" s="3"/>
      <c r="R2706" s="3"/>
      <c r="S2706" s="3"/>
      <c r="T2706" s="3"/>
      <c r="U2706" s="3"/>
      <c r="V2706" s="3"/>
      <c r="W2706" s="3"/>
      <c r="X2706" s="3"/>
      <c r="Y2706" s="3"/>
      <c r="Z2706" s="3"/>
      <c r="AA2706" s="3"/>
    </row>
    <row r="2707" ht="105.75" customHeight="1">
      <c r="A2707" s="11"/>
      <c r="B2707" s="12"/>
      <c r="C2707" s="11"/>
      <c r="D2707" s="13"/>
      <c r="E2707" s="14"/>
      <c r="F2707" s="14"/>
      <c r="G2707" s="14"/>
      <c r="H2707" s="15"/>
      <c r="I2707" s="15"/>
      <c r="J2707" s="3"/>
      <c r="K2707" s="3"/>
      <c r="L2707" s="3"/>
      <c r="M2707" s="3"/>
      <c r="N2707" s="3"/>
      <c r="O2707" s="3"/>
      <c r="P2707" s="3"/>
      <c r="Q2707" s="3"/>
      <c r="R2707" s="3"/>
      <c r="S2707" s="3"/>
      <c r="T2707" s="3"/>
      <c r="U2707" s="3"/>
      <c r="V2707" s="3"/>
      <c r="W2707" s="3"/>
      <c r="X2707" s="3"/>
      <c r="Y2707" s="3"/>
      <c r="Z2707" s="3"/>
      <c r="AA2707" s="3"/>
    </row>
    <row r="2708" ht="105.75" customHeight="1">
      <c r="A2708" s="11"/>
      <c r="B2708" s="12"/>
      <c r="C2708" s="11"/>
      <c r="D2708" s="13"/>
      <c r="E2708" s="16"/>
      <c r="F2708" s="16"/>
      <c r="G2708" s="16"/>
      <c r="H2708" s="15"/>
      <c r="I2708" s="15"/>
      <c r="J2708" s="3"/>
      <c r="K2708" s="3"/>
      <c r="L2708" s="3"/>
      <c r="M2708" s="3"/>
      <c r="N2708" s="3"/>
      <c r="O2708" s="3"/>
      <c r="P2708" s="3"/>
      <c r="Q2708" s="3"/>
      <c r="R2708" s="3"/>
      <c r="S2708" s="3"/>
      <c r="T2708" s="3"/>
      <c r="U2708" s="3"/>
      <c r="V2708" s="3"/>
      <c r="W2708" s="3"/>
      <c r="X2708" s="3"/>
      <c r="Y2708" s="3"/>
      <c r="Z2708" s="3"/>
      <c r="AA2708" s="3"/>
    </row>
    <row r="2709" ht="105.75" customHeight="1">
      <c r="A2709" s="11"/>
      <c r="B2709" s="12"/>
      <c r="C2709" s="11"/>
      <c r="D2709" s="13"/>
      <c r="E2709" s="16"/>
      <c r="F2709" s="16"/>
      <c r="G2709" s="16"/>
      <c r="H2709" s="15"/>
      <c r="I2709" s="15"/>
      <c r="J2709" s="3"/>
      <c r="K2709" s="3"/>
      <c r="L2709" s="3"/>
      <c r="M2709" s="3"/>
      <c r="N2709" s="3"/>
      <c r="O2709" s="3"/>
      <c r="P2709" s="3"/>
      <c r="Q2709" s="3"/>
      <c r="R2709" s="3"/>
      <c r="S2709" s="3"/>
      <c r="T2709" s="3"/>
      <c r="U2709" s="3"/>
      <c r="V2709" s="3"/>
      <c r="W2709" s="3"/>
      <c r="X2709" s="3"/>
      <c r="Y2709" s="3"/>
      <c r="Z2709" s="3"/>
      <c r="AA2709" s="3"/>
    </row>
    <row r="2710" ht="105.75" customHeight="1">
      <c r="A2710" s="11"/>
      <c r="B2710" s="12"/>
      <c r="C2710" s="11"/>
      <c r="D2710" s="13"/>
      <c r="E2710" s="14"/>
      <c r="F2710" s="14"/>
      <c r="G2710" s="14"/>
      <c r="H2710" s="15"/>
      <c r="I2710" s="15"/>
      <c r="J2710" s="3"/>
      <c r="K2710" s="3"/>
      <c r="L2710" s="3"/>
      <c r="M2710" s="3"/>
      <c r="N2710" s="3"/>
      <c r="O2710" s="3"/>
      <c r="P2710" s="3"/>
      <c r="Q2710" s="3"/>
      <c r="R2710" s="3"/>
      <c r="S2710" s="3"/>
      <c r="T2710" s="3"/>
      <c r="U2710" s="3"/>
      <c r="V2710" s="3"/>
      <c r="W2710" s="3"/>
      <c r="X2710" s="3"/>
      <c r="Y2710" s="3"/>
      <c r="Z2710" s="3"/>
      <c r="AA2710" s="3"/>
    </row>
    <row r="2711" ht="105.75" customHeight="1">
      <c r="A2711" s="11"/>
      <c r="B2711" s="12"/>
      <c r="C2711" s="11"/>
      <c r="D2711" s="13"/>
      <c r="E2711" s="14"/>
      <c r="F2711" s="14"/>
      <c r="G2711" s="14"/>
      <c r="H2711" s="15"/>
      <c r="I2711" s="15"/>
      <c r="J2711" s="3"/>
      <c r="K2711" s="3"/>
      <c r="L2711" s="3"/>
      <c r="M2711" s="3"/>
      <c r="N2711" s="3"/>
      <c r="O2711" s="3"/>
      <c r="P2711" s="3"/>
      <c r="Q2711" s="3"/>
      <c r="R2711" s="3"/>
      <c r="S2711" s="3"/>
      <c r="T2711" s="3"/>
      <c r="U2711" s="3"/>
      <c r="V2711" s="3"/>
      <c r="W2711" s="3"/>
      <c r="X2711" s="3"/>
      <c r="Y2711" s="3"/>
      <c r="Z2711" s="3"/>
      <c r="AA2711" s="3"/>
    </row>
    <row r="2712" ht="105.75" customHeight="1">
      <c r="A2712" s="11"/>
      <c r="B2712" s="12"/>
      <c r="C2712" s="11"/>
      <c r="D2712" s="13"/>
      <c r="E2712" s="14"/>
      <c r="F2712" s="14"/>
      <c r="G2712" s="14"/>
      <c r="H2712" s="15"/>
      <c r="I2712" s="15"/>
      <c r="J2712" s="3"/>
      <c r="K2712" s="3"/>
      <c r="L2712" s="3"/>
      <c r="M2712" s="3"/>
      <c r="N2712" s="3"/>
      <c r="O2712" s="3"/>
      <c r="P2712" s="3"/>
      <c r="Q2712" s="3"/>
      <c r="R2712" s="3"/>
      <c r="S2712" s="3"/>
      <c r="T2712" s="3"/>
      <c r="U2712" s="3"/>
      <c r="V2712" s="3"/>
      <c r="W2712" s="3"/>
      <c r="X2712" s="3"/>
      <c r="Y2712" s="3"/>
      <c r="Z2712" s="3"/>
      <c r="AA2712" s="3"/>
    </row>
    <row r="2713" ht="105.75" customHeight="1">
      <c r="A2713" s="11"/>
      <c r="B2713" s="12"/>
      <c r="C2713" s="11"/>
      <c r="D2713" s="13"/>
      <c r="E2713" s="14"/>
      <c r="F2713" s="14"/>
      <c r="G2713" s="14"/>
      <c r="H2713" s="15"/>
      <c r="I2713" s="15"/>
      <c r="J2713" s="3"/>
      <c r="K2713" s="3"/>
      <c r="L2713" s="3"/>
      <c r="M2713" s="3"/>
      <c r="N2713" s="3"/>
      <c r="O2713" s="3"/>
      <c r="P2713" s="3"/>
      <c r="Q2713" s="3"/>
      <c r="R2713" s="3"/>
      <c r="S2713" s="3"/>
      <c r="T2713" s="3"/>
      <c r="U2713" s="3"/>
      <c r="V2713" s="3"/>
      <c r="W2713" s="3"/>
      <c r="X2713" s="3"/>
      <c r="Y2713" s="3"/>
      <c r="Z2713" s="3"/>
      <c r="AA2713" s="3"/>
    </row>
    <row r="2714" ht="105.75" customHeight="1">
      <c r="A2714" s="11"/>
      <c r="B2714" s="12"/>
      <c r="C2714" s="11"/>
      <c r="D2714" s="13"/>
      <c r="E2714" s="14"/>
      <c r="F2714" s="14"/>
      <c r="G2714" s="14"/>
      <c r="H2714" s="15"/>
      <c r="I2714" s="15"/>
      <c r="J2714" s="3"/>
      <c r="K2714" s="3"/>
      <c r="L2714" s="3"/>
      <c r="M2714" s="3"/>
      <c r="N2714" s="3"/>
      <c r="O2714" s="3"/>
      <c r="P2714" s="3"/>
      <c r="Q2714" s="3"/>
      <c r="R2714" s="3"/>
      <c r="S2714" s="3"/>
      <c r="T2714" s="3"/>
      <c r="U2714" s="3"/>
      <c r="V2714" s="3"/>
      <c r="W2714" s="3"/>
      <c r="X2714" s="3"/>
      <c r="Y2714" s="3"/>
      <c r="Z2714" s="3"/>
      <c r="AA2714" s="3"/>
    </row>
    <row r="2715" ht="105.75" customHeight="1">
      <c r="A2715" s="11"/>
      <c r="B2715" s="12"/>
      <c r="C2715" s="11"/>
      <c r="D2715" s="13"/>
      <c r="E2715" s="14"/>
      <c r="F2715" s="14"/>
      <c r="G2715" s="14"/>
      <c r="H2715" s="15"/>
      <c r="I2715" s="15"/>
      <c r="J2715" s="3"/>
      <c r="K2715" s="3"/>
      <c r="L2715" s="3"/>
      <c r="M2715" s="3"/>
      <c r="N2715" s="3"/>
      <c r="O2715" s="3"/>
      <c r="P2715" s="3"/>
      <c r="Q2715" s="3"/>
      <c r="R2715" s="3"/>
      <c r="S2715" s="3"/>
      <c r="T2715" s="3"/>
      <c r="U2715" s="3"/>
      <c r="V2715" s="3"/>
      <c r="W2715" s="3"/>
      <c r="X2715" s="3"/>
      <c r="Y2715" s="3"/>
      <c r="Z2715" s="3"/>
      <c r="AA2715" s="3"/>
    </row>
    <row r="2716" ht="105.75" customHeight="1">
      <c r="A2716" s="11"/>
      <c r="B2716" s="12"/>
      <c r="C2716" s="11"/>
      <c r="D2716" s="13"/>
      <c r="E2716" s="14"/>
      <c r="F2716" s="14"/>
      <c r="G2716" s="14"/>
      <c r="H2716" s="15"/>
      <c r="I2716" s="15"/>
      <c r="J2716" s="3"/>
      <c r="K2716" s="3"/>
      <c r="L2716" s="3"/>
      <c r="M2716" s="3"/>
      <c r="N2716" s="3"/>
      <c r="O2716" s="3"/>
      <c r="P2716" s="3"/>
      <c r="Q2716" s="3"/>
      <c r="R2716" s="3"/>
      <c r="S2716" s="3"/>
      <c r="T2716" s="3"/>
      <c r="U2716" s="3"/>
      <c r="V2716" s="3"/>
      <c r="W2716" s="3"/>
      <c r="X2716" s="3"/>
      <c r="Y2716" s="3"/>
      <c r="Z2716" s="3"/>
      <c r="AA2716" s="3"/>
    </row>
    <row r="2717" ht="105.75" customHeight="1">
      <c r="A2717" s="11"/>
      <c r="B2717" s="12"/>
      <c r="C2717" s="11"/>
      <c r="D2717" s="13"/>
      <c r="E2717" s="14"/>
      <c r="F2717" s="14"/>
      <c r="G2717" s="14"/>
      <c r="H2717" s="15"/>
      <c r="I2717" s="15"/>
      <c r="J2717" s="3"/>
      <c r="K2717" s="3"/>
      <c r="L2717" s="3"/>
      <c r="M2717" s="3"/>
      <c r="N2717" s="3"/>
      <c r="O2717" s="3"/>
      <c r="P2717" s="3"/>
      <c r="Q2717" s="3"/>
      <c r="R2717" s="3"/>
      <c r="S2717" s="3"/>
      <c r="T2717" s="3"/>
      <c r="U2717" s="3"/>
      <c r="V2717" s="3"/>
      <c r="W2717" s="3"/>
      <c r="X2717" s="3"/>
      <c r="Y2717" s="3"/>
      <c r="Z2717" s="3"/>
      <c r="AA2717" s="3"/>
    </row>
    <row r="2718" ht="105.75" customHeight="1">
      <c r="A2718" s="11"/>
      <c r="B2718" s="12"/>
      <c r="C2718" s="11"/>
      <c r="D2718" s="13"/>
      <c r="E2718" s="14"/>
      <c r="F2718" s="14"/>
      <c r="G2718" s="14"/>
      <c r="H2718" s="15"/>
      <c r="I2718" s="15"/>
      <c r="J2718" s="3"/>
      <c r="K2718" s="3"/>
      <c r="L2718" s="3"/>
      <c r="M2718" s="3"/>
      <c r="N2718" s="3"/>
      <c r="O2718" s="3"/>
      <c r="P2718" s="3"/>
      <c r="Q2718" s="3"/>
      <c r="R2718" s="3"/>
      <c r="S2718" s="3"/>
      <c r="T2718" s="3"/>
      <c r="U2718" s="3"/>
      <c r="V2718" s="3"/>
      <c r="W2718" s="3"/>
      <c r="X2718" s="3"/>
      <c r="Y2718" s="3"/>
      <c r="Z2718" s="3"/>
      <c r="AA2718" s="3"/>
    </row>
    <row r="2719" ht="105.75" customHeight="1">
      <c r="A2719" s="11"/>
      <c r="B2719" s="12"/>
      <c r="C2719" s="11"/>
      <c r="D2719" s="13"/>
      <c r="E2719" s="14"/>
      <c r="F2719" s="14"/>
      <c r="G2719" s="14"/>
      <c r="H2719" s="15"/>
      <c r="I2719" s="15"/>
      <c r="J2719" s="3"/>
      <c r="K2719" s="3"/>
      <c r="L2719" s="3"/>
      <c r="M2719" s="3"/>
      <c r="N2719" s="3"/>
      <c r="O2719" s="3"/>
      <c r="P2719" s="3"/>
      <c r="Q2719" s="3"/>
      <c r="R2719" s="3"/>
      <c r="S2719" s="3"/>
      <c r="T2719" s="3"/>
      <c r="U2719" s="3"/>
      <c r="V2719" s="3"/>
      <c r="W2719" s="3"/>
      <c r="X2719" s="3"/>
      <c r="Y2719" s="3"/>
      <c r="Z2719" s="3"/>
      <c r="AA2719" s="3"/>
    </row>
    <row r="2720" ht="105.75" customHeight="1">
      <c r="A2720" s="11"/>
      <c r="B2720" s="12"/>
      <c r="C2720" s="11"/>
      <c r="D2720" s="13"/>
      <c r="E2720" s="14"/>
      <c r="F2720" s="14"/>
      <c r="G2720" s="14"/>
      <c r="H2720" s="15"/>
      <c r="I2720" s="15"/>
      <c r="J2720" s="3"/>
      <c r="K2720" s="3"/>
      <c r="L2720" s="3"/>
      <c r="M2720" s="3"/>
      <c r="N2720" s="3"/>
      <c r="O2720" s="3"/>
      <c r="P2720" s="3"/>
      <c r="Q2720" s="3"/>
      <c r="R2720" s="3"/>
      <c r="S2720" s="3"/>
      <c r="T2720" s="3"/>
      <c r="U2720" s="3"/>
      <c r="V2720" s="3"/>
      <c r="W2720" s="3"/>
      <c r="X2720" s="3"/>
      <c r="Y2720" s="3"/>
      <c r="Z2720" s="3"/>
      <c r="AA2720" s="3"/>
    </row>
    <row r="2721" ht="105.75" customHeight="1">
      <c r="A2721" s="11"/>
      <c r="B2721" s="12"/>
      <c r="C2721" s="11"/>
      <c r="D2721" s="13"/>
      <c r="E2721" s="16"/>
      <c r="F2721" s="16"/>
      <c r="G2721" s="16"/>
      <c r="H2721" s="15"/>
      <c r="I2721" s="15"/>
      <c r="J2721" s="3"/>
      <c r="K2721" s="3"/>
      <c r="L2721" s="3"/>
      <c r="M2721" s="3"/>
      <c r="N2721" s="3"/>
      <c r="O2721" s="3"/>
      <c r="P2721" s="3"/>
      <c r="Q2721" s="3"/>
      <c r="R2721" s="3"/>
      <c r="S2721" s="3"/>
      <c r="T2721" s="3"/>
      <c r="U2721" s="3"/>
      <c r="V2721" s="3"/>
      <c r="W2721" s="3"/>
      <c r="X2721" s="3"/>
      <c r="Y2721" s="3"/>
      <c r="Z2721" s="3"/>
      <c r="AA2721" s="3"/>
    </row>
    <row r="2722" ht="105.75" customHeight="1">
      <c r="A2722" s="11"/>
      <c r="B2722" s="12"/>
      <c r="C2722" s="11"/>
      <c r="D2722" s="13"/>
      <c r="E2722" s="14"/>
      <c r="F2722" s="14"/>
      <c r="G2722" s="14"/>
      <c r="H2722" s="15"/>
      <c r="I2722" s="15"/>
      <c r="J2722" s="3"/>
      <c r="K2722" s="3"/>
      <c r="L2722" s="3"/>
      <c r="M2722" s="3"/>
      <c r="N2722" s="3"/>
      <c r="O2722" s="3"/>
      <c r="P2722" s="3"/>
      <c r="Q2722" s="3"/>
      <c r="R2722" s="3"/>
      <c r="S2722" s="3"/>
      <c r="T2722" s="3"/>
      <c r="U2722" s="3"/>
      <c r="V2722" s="3"/>
      <c r="W2722" s="3"/>
      <c r="X2722" s="3"/>
      <c r="Y2722" s="3"/>
      <c r="Z2722" s="3"/>
      <c r="AA2722" s="3"/>
    </row>
    <row r="2723" ht="105.75" customHeight="1">
      <c r="A2723" s="11"/>
      <c r="B2723" s="12"/>
      <c r="C2723" s="11"/>
      <c r="D2723" s="13"/>
      <c r="E2723" s="16"/>
      <c r="F2723" s="16"/>
      <c r="G2723" s="16"/>
      <c r="H2723" s="15"/>
      <c r="I2723" s="15"/>
      <c r="J2723" s="3"/>
      <c r="K2723" s="3"/>
      <c r="L2723" s="3"/>
      <c r="M2723" s="3"/>
      <c r="N2723" s="3"/>
      <c r="O2723" s="3"/>
      <c r="P2723" s="3"/>
      <c r="Q2723" s="3"/>
      <c r="R2723" s="3"/>
      <c r="S2723" s="3"/>
      <c r="T2723" s="3"/>
      <c r="U2723" s="3"/>
      <c r="V2723" s="3"/>
      <c r="W2723" s="3"/>
      <c r="X2723" s="3"/>
      <c r="Y2723" s="3"/>
      <c r="Z2723" s="3"/>
      <c r="AA2723" s="3"/>
    </row>
    <row r="2724" ht="105.75" customHeight="1">
      <c r="A2724" s="11"/>
      <c r="B2724" s="12"/>
      <c r="C2724" s="11"/>
      <c r="D2724" s="13"/>
      <c r="E2724" s="16"/>
      <c r="F2724" s="16"/>
      <c r="G2724" s="16"/>
      <c r="H2724" s="15"/>
      <c r="I2724" s="15"/>
      <c r="J2724" s="3"/>
      <c r="K2724" s="3"/>
      <c r="L2724" s="3"/>
      <c r="M2724" s="3"/>
      <c r="N2724" s="3"/>
      <c r="O2724" s="3"/>
      <c r="P2724" s="3"/>
      <c r="Q2724" s="3"/>
      <c r="R2724" s="3"/>
      <c r="S2724" s="3"/>
      <c r="T2724" s="3"/>
      <c r="U2724" s="3"/>
      <c r="V2724" s="3"/>
      <c r="W2724" s="3"/>
      <c r="X2724" s="3"/>
      <c r="Y2724" s="3"/>
      <c r="Z2724" s="3"/>
      <c r="AA2724" s="3"/>
    </row>
    <row r="2725" ht="105.75" customHeight="1">
      <c r="A2725" s="11"/>
      <c r="B2725" s="12"/>
      <c r="C2725" s="11"/>
      <c r="D2725" s="13"/>
      <c r="E2725" s="16"/>
      <c r="F2725" s="16"/>
      <c r="G2725" s="16"/>
      <c r="H2725" s="15"/>
      <c r="I2725" s="15"/>
      <c r="J2725" s="3"/>
      <c r="K2725" s="3"/>
      <c r="L2725" s="3"/>
      <c r="M2725" s="3"/>
      <c r="N2725" s="3"/>
      <c r="O2725" s="3"/>
      <c r="P2725" s="3"/>
      <c r="Q2725" s="3"/>
      <c r="R2725" s="3"/>
      <c r="S2725" s="3"/>
      <c r="T2725" s="3"/>
      <c r="U2725" s="3"/>
      <c r="V2725" s="3"/>
      <c r="W2725" s="3"/>
      <c r="X2725" s="3"/>
      <c r="Y2725" s="3"/>
      <c r="Z2725" s="3"/>
      <c r="AA2725" s="3"/>
    </row>
    <row r="2726" ht="105.75" customHeight="1">
      <c r="A2726" s="11"/>
      <c r="B2726" s="12"/>
      <c r="C2726" s="11"/>
      <c r="D2726" s="13"/>
      <c r="E2726" s="14"/>
      <c r="F2726" s="14"/>
      <c r="G2726" s="14"/>
      <c r="H2726" s="15"/>
      <c r="I2726" s="15"/>
      <c r="J2726" s="3"/>
      <c r="K2726" s="3"/>
      <c r="L2726" s="3"/>
      <c r="M2726" s="3"/>
      <c r="N2726" s="3"/>
      <c r="O2726" s="3"/>
      <c r="P2726" s="3"/>
      <c r="Q2726" s="3"/>
      <c r="R2726" s="3"/>
      <c r="S2726" s="3"/>
      <c r="T2726" s="3"/>
      <c r="U2726" s="3"/>
      <c r="V2726" s="3"/>
      <c r="W2726" s="3"/>
      <c r="X2726" s="3"/>
      <c r="Y2726" s="3"/>
      <c r="Z2726" s="3"/>
      <c r="AA2726" s="3"/>
    </row>
    <row r="2727" ht="105.75" customHeight="1">
      <c r="A2727" s="11"/>
      <c r="B2727" s="12"/>
      <c r="C2727" s="11"/>
      <c r="D2727" s="13"/>
      <c r="E2727" s="14"/>
      <c r="F2727" s="14"/>
      <c r="G2727" s="14"/>
      <c r="H2727" s="15"/>
      <c r="I2727" s="15"/>
      <c r="J2727" s="3"/>
      <c r="K2727" s="3"/>
      <c r="L2727" s="3"/>
      <c r="M2727" s="3"/>
      <c r="N2727" s="3"/>
      <c r="O2727" s="3"/>
      <c r="P2727" s="3"/>
      <c r="Q2727" s="3"/>
      <c r="R2727" s="3"/>
      <c r="S2727" s="3"/>
      <c r="T2727" s="3"/>
      <c r="U2727" s="3"/>
      <c r="V2727" s="3"/>
      <c r="W2727" s="3"/>
      <c r="X2727" s="3"/>
      <c r="Y2727" s="3"/>
      <c r="Z2727" s="3"/>
      <c r="AA2727" s="3"/>
    </row>
    <row r="2728" ht="105.75" customHeight="1">
      <c r="A2728" s="11"/>
      <c r="B2728" s="12"/>
      <c r="C2728" s="11"/>
      <c r="D2728" s="13"/>
      <c r="E2728" s="14"/>
      <c r="F2728" s="14"/>
      <c r="G2728" s="14"/>
      <c r="H2728" s="15"/>
      <c r="I2728" s="15"/>
      <c r="J2728" s="3"/>
      <c r="K2728" s="3"/>
      <c r="L2728" s="3"/>
      <c r="M2728" s="3"/>
      <c r="N2728" s="3"/>
      <c r="O2728" s="3"/>
      <c r="P2728" s="3"/>
      <c r="Q2728" s="3"/>
      <c r="R2728" s="3"/>
      <c r="S2728" s="3"/>
      <c r="T2728" s="3"/>
      <c r="U2728" s="3"/>
      <c r="V2728" s="3"/>
      <c r="W2728" s="3"/>
      <c r="X2728" s="3"/>
      <c r="Y2728" s="3"/>
      <c r="Z2728" s="3"/>
      <c r="AA2728" s="3"/>
    </row>
    <row r="2729" ht="105.75" customHeight="1">
      <c r="A2729" s="11"/>
      <c r="B2729" s="12"/>
      <c r="C2729" s="11"/>
      <c r="D2729" s="13"/>
      <c r="E2729" s="14"/>
      <c r="F2729" s="14"/>
      <c r="G2729" s="14"/>
      <c r="H2729" s="15"/>
      <c r="I2729" s="15"/>
      <c r="J2729" s="3"/>
      <c r="K2729" s="3"/>
      <c r="L2729" s="3"/>
      <c r="M2729" s="3"/>
      <c r="N2729" s="3"/>
      <c r="O2729" s="3"/>
      <c r="P2729" s="3"/>
      <c r="Q2729" s="3"/>
      <c r="R2729" s="3"/>
      <c r="S2729" s="3"/>
      <c r="T2729" s="3"/>
      <c r="U2729" s="3"/>
      <c r="V2729" s="3"/>
      <c r="W2729" s="3"/>
      <c r="X2729" s="3"/>
      <c r="Y2729" s="3"/>
      <c r="Z2729" s="3"/>
      <c r="AA2729" s="3"/>
    </row>
    <row r="2730" ht="105.75" customHeight="1">
      <c r="A2730" s="11"/>
      <c r="B2730" s="12"/>
      <c r="C2730" s="11"/>
      <c r="D2730" s="13"/>
      <c r="E2730" s="14"/>
      <c r="F2730" s="14"/>
      <c r="G2730" s="14"/>
      <c r="H2730" s="15"/>
      <c r="I2730" s="15"/>
      <c r="J2730" s="3"/>
      <c r="K2730" s="3"/>
      <c r="L2730" s="3"/>
      <c r="M2730" s="3"/>
      <c r="N2730" s="3"/>
      <c r="O2730" s="3"/>
      <c r="P2730" s="3"/>
      <c r="Q2730" s="3"/>
      <c r="R2730" s="3"/>
      <c r="S2730" s="3"/>
      <c r="T2730" s="3"/>
      <c r="U2730" s="3"/>
      <c r="V2730" s="3"/>
      <c r="W2730" s="3"/>
      <c r="X2730" s="3"/>
      <c r="Y2730" s="3"/>
      <c r="Z2730" s="3"/>
      <c r="AA2730" s="3"/>
    </row>
    <row r="2731" ht="105.75" customHeight="1">
      <c r="A2731" s="11"/>
      <c r="B2731" s="12"/>
      <c r="C2731" s="11"/>
      <c r="D2731" s="13"/>
      <c r="E2731" s="14"/>
      <c r="F2731" s="14"/>
      <c r="G2731" s="14"/>
      <c r="H2731" s="15"/>
      <c r="I2731" s="15"/>
      <c r="J2731" s="3"/>
      <c r="K2731" s="3"/>
      <c r="L2731" s="3"/>
      <c r="M2731" s="3"/>
      <c r="N2731" s="3"/>
      <c r="O2731" s="3"/>
      <c r="P2731" s="3"/>
      <c r="Q2731" s="3"/>
      <c r="R2731" s="3"/>
      <c r="S2731" s="3"/>
      <c r="T2731" s="3"/>
      <c r="U2731" s="3"/>
      <c r="V2731" s="3"/>
      <c r="W2731" s="3"/>
      <c r="X2731" s="3"/>
      <c r="Y2731" s="3"/>
      <c r="Z2731" s="3"/>
      <c r="AA2731" s="3"/>
    </row>
    <row r="2732" ht="105.75" customHeight="1">
      <c r="A2732" s="11"/>
      <c r="B2732" s="12"/>
      <c r="C2732" s="11"/>
      <c r="D2732" s="13"/>
      <c r="E2732" s="14"/>
      <c r="F2732" s="14"/>
      <c r="G2732" s="14"/>
      <c r="H2732" s="15"/>
      <c r="I2732" s="15"/>
      <c r="J2732" s="3"/>
      <c r="K2732" s="3"/>
      <c r="L2732" s="3"/>
      <c r="M2732" s="3"/>
      <c r="N2732" s="3"/>
      <c r="O2732" s="3"/>
      <c r="P2732" s="3"/>
      <c r="Q2732" s="3"/>
      <c r="R2732" s="3"/>
      <c r="S2732" s="3"/>
      <c r="T2732" s="3"/>
      <c r="U2732" s="3"/>
      <c r="V2732" s="3"/>
      <c r="W2732" s="3"/>
      <c r="X2732" s="3"/>
      <c r="Y2732" s="3"/>
      <c r="Z2732" s="3"/>
      <c r="AA2732" s="3"/>
    </row>
    <row r="2733" ht="105.75" customHeight="1">
      <c r="A2733" s="11"/>
      <c r="B2733" s="12"/>
      <c r="C2733" s="11"/>
      <c r="D2733" s="13"/>
      <c r="E2733" s="14"/>
      <c r="F2733" s="14"/>
      <c r="G2733" s="14"/>
      <c r="H2733" s="15"/>
      <c r="I2733" s="15"/>
      <c r="J2733" s="3"/>
      <c r="K2733" s="3"/>
      <c r="L2733" s="3"/>
      <c r="M2733" s="3"/>
      <c r="N2733" s="3"/>
      <c r="O2733" s="3"/>
      <c r="P2733" s="3"/>
      <c r="Q2733" s="3"/>
      <c r="R2733" s="3"/>
      <c r="S2733" s="3"/>
      <c r="T2733" s="3"/>
      <c r="U2733" s="3"/>
      <c r="V2733" s="3"/>
      <c r="W2733" s="3"/>
      <c r="X2733" s="3"/>
      <c r="Y2733" s="3"/>
      <c r="Z2733" s="3"/>
      <c r="AA2733" s="3"/>
    </row>
    <row r="2734" ht="105.75" customHeight="1">
      <c r="A2734" s="11"/>
      <c r="B2734" s="12"/>
      <c r="C2734" s="11"/>
      <c r="D2734" s="13"/>
      <c r="E2734" s="14"/>
      <c r="F2734" s="14"/>
      <c r="G2734" s="14"/>
      <c r="H2734" s="15"/>
      <c r="I2734" s="15"/>
      <c r="J2734" s="3"/>
      <c r="K2734" s="3"/>
      <c r="L2734" s="3"/>
      <c r="M2734" s="3"/>
      <c r="N2734" s="3"/>
      <c r="O2734" s="3"/>
      <c r="P2734" s="3"/>
      <c r="Q2734" s="3"/>
      <c r="R2734" s="3"/>
      <c r="S2734" s="3"/>
      <c r="T2734" s="3"/>
      <c r="U2734" s="3"/>
      <c r="V2734" s="3"/>
      <c r="W2734" s="3"/>
      <c r="X2734" s="3"/>
      <c r="Y2734" s="3"/>
      <c r="Z2734" s="3"/>
      <c r="AA2734" s="3"/>
    </row>
    <row r="2735" ht="105.75" customHeight="1">
      <c r="A2735" s="11"/>
      <c r="B2735" s="12"/>
      <c r="C2735" s="11"/>
      <c r="D2735" s="13"/>
      <c r="E2735" s="14"/>
      <c r="F2735" s="14"/>
      <c r="G2735" s="14"/>
      <c r="H2735" s="15"/>
      <c r="I2735" s="15"/>
      <c r="J2735" s="3"/>
      <c r="K2735" s="3"/>
      <c r="L2735" s="3"/>
      <c r="M2735" s="3"/>
      <c r="N2735" s="3"/>
      <c r="O2735" s="3"/>
      <c r="P2735" s="3"/>
      <c r="Q2735" s="3"/>
      <c r="R2735" s="3"/>
      <c r="S2735" s="3"/>
      <c r="T2735" s="3"/>
      <c r="U2735" s="3"/>
      <c r="V2735" s="3"/>
      <c r="W2735" s="3"/>
      <c r="X2735" s="3"/>
      <c r="Y2735" s="3"/>
      <c r="Z2735" s="3"/>
      <c r="AA2735" s="3"/>
    </row>
    <row r="2736" ht="105.75" customHeight="1">
      <c r="A2736" s="11"/>
      <c r="B2736" s="12"/>
      <c r="C2736" s="11"/>
      <c r="D2736" s="13"/>
      <c r="E2736" s="14"/>
      <c r="F2736" s="14"/>
      <c r="G2736" s="14"/>
      <c r="H2736" s="15"/>
      <c r="I2736" s="15"/>
      <c r="J2736" s="3"/>
      <c r="K2736" s="3"/>
      <c r="L2736" s="3"/>
      <c r="M2736" s="3"/>
      <c r="N2736" s="3"/>
      <c r="O2736" s="3"/>
      <c r="P2736" s="3"/>
      <c r="Q2736" s="3"/>
      <c r="R2736" s="3"/>
      <c r="S2736" s="3"/>
      <c r="T2736" s="3"/>
      <c r="U2736" s="3"/>
      <c r="V2736" s="3"/>
      <c r="W2736" s="3"/>
      <c r="X2736" s="3"/>
      <c r="Y2736" s="3"/>
      <c r="Z2736" s="3"/>
      <c r="AA2736" s="3"/>
    </row>
    <row r="2737" ht="105.75" customHeight="1">
      <c r="A2737" s="11"/>
      <c r="B2737" s="12"/>
      <c r="C2737" s="11"/>
      <c r="D2737" s="13"/>
      <c r="E2737" s="14"/>
      <c r="F2737" s="14"/>
      <c r="G2737" s="14"/>
      <c r="H2737" s="15"/>
      <c r="I2737" s="15"/>
      <c r="J2737" s="3"/>
      <c r="K2737" s="3"/>
      <c r="L2737" s="3"/>
      <c r="M2737" s="3"/>
      <c r="N2737" s="3"/>
      <c r="O2737" s="3"/>
      <c r="P2737" s="3"/>
      <c r="Q2737" s="3"/>
      <c r="R2737" s="3"/>
      <c r="S2737" s="3"/>
      <c r="T2737" s="3"/>
      <c r="U2737" s="3"/>
      <c r="V2737" s="3"/>
      <c r="W2737" s="3"/>
      <c r="X2737" s="3"/>
      <c r="Y2737" s="3"/>
      <c r="Z2737" s="3"/>
      <c r="AA2737" s="3"/>
    </row>
    <row r="2738" ht="105.75" customHeight="1">
      <c r="A2738" s="11"/>
      <c r="B2738" s="12"/>
      <c r="C2738" s="11"/>
      <c r="D2738" s="13"/>
      <c r="E2738" s="14"/>
      <c r="F2738" s="14"/>
      <c r="G2738" s="14"/>
      <c r="H2738" s="15"/>
      <c r="I2738" s="15"/>
      <c r="J2738" s="3"/>
      <c r="K2738" s="3"/>
      <c r="L2738" s="3"/>
      <c r="M2738" s="3"/>
      <c r="N2738" s="3"/>
      <c r="O2738" s="3"/>
      <c r="P2738" s="3"/>
      <c r="Q2738" s="3"/>
      <c r="R2738" s="3"/>
      <c r="S2738" s="3"/>
      <c r="T2738" s="3"/>
      <c r="U2738" s="3"/>
      <c r="V2738" s="3"/>
      <c r="W2738" s="3"/>
      <c r="X2738" s="3"/>
      <c r="Y2738" s="3"/>
      <c r="Z2738" s="3"/>
      <c r="AA2738" s="3"/>
    </row>
    <row r="2739" ht="105.75" customHeight="1">
      <c r="A2739" s="11"/>
      <c r="B2739" s="12"/>
      <c r="C2739" s="11"/>
      <c r="D2739" s="13"/>
      <c r="E2739" s="14"/>
      <c r="F2739" s="14"/>
      <c r="G2739" s="14"/>
      <c r="H2739" s="15"/>
      <c r="I2739" s="15"/>
      <c r="J2739" s="3"/>
      <c r="K2739" s="3"/>
      <c r="L2739" s="3"/>
      <c r="M2739" s="3"/>
      <c r="N2739" s="3"/>
      <c r="O2739" s="3"/>
      <c r="P2739" s="3"/>
      <c r="Q2739" s="3"/>
      <c r="R2739" s="3"/>
      <c r="S2739" s="3"/>
      <c r="T2739" s="3"/>
      <c r="U2739" s="3"/>
      <c r="V2739" s="3"/>
      <c r="W2739" s="3"/>
      <c r="X2739" s="3"/>
      <c r="Y2739" s="3"/>
      <c r="Z2739" s="3"/>
      <c r="AA2739" s="3"/>
    </row>
    <row r="2740" ht="105.75" customHeight="1">
      <c r="A2740" s="11"/>
      <c r="B2740" s="12"/>
      <c r="C2740" s="11"/>
      <c r="D2740" s="13"/>
      <c r="E2740" s="14"/>
      <c r="F2740" s="14"/>
      <c r="G2740" s="14"/>
      <c r="H2740" s="15"/>
      <c r="I2740" s="15"/>
      <c r="J2740" s="3"/>
      <c r="K2740" s="3"/>
      <c r="L2740" s="3"/>
      <c r="M2740" s="3"/>
      <c r="N2740" s="3"/>
      <c r="O2740" s="3"/>
      <c r="P2740" s="3"/>
      <c r="Q2740" s="3"/>
      <c r="R2740" s="3"/>
      <c r="S2740" s="3"/>
      <c r="T2740" s="3"/>
      <c r="U2740" s="3"/>
      <c r="V2740" s="3"/>
      <c r="W2740" s="3"/>
      <c r="X2740" s="3"/>
      <c r="Y2740" s="3"/>
      <c r="Z2740" s="3"/>
      <c r="AA2740" s="3"/>
    </row>
    <row r="2741" ht="105.75" customHeight="1">
      <c r="A2741" s="11"/>
      <c r="B2741" s="12"/>
      <c r="C2741" s="11"/>
      <c r="D2741" s="13"/>
      <c r="E2741" s="16"/>
      <c r="F2741" s="16"/>
      <c r="G2741" s="16"/>
      <c r="H2741" s="15"/>
      <c r="I2741" s="15"/>
      <c r="J2741" s="3"/>
      <c r="K2741" s="3"/>
      <c r="L2741" s="3"/>
      <c r="M2741" s="3"/>
      <c r="N2741" s="3"/>
      <c r="O2741" s="3"/>
      <c r="P2741" s="3"/>
      <c r="Q2741" s="3"/>
      <c r="R2741" s="3"/>
      <c r="S2741" s="3"/>
      <c r="T2741" s="3"/>
      <c r="U2741" s="3"/>
      <c r="V2741" s="3"/>
      <c r="W2741" s="3"/>
      <c r="X2741" s="3"/>
      <c r="Y2741" s="3"/>
      <c r="Z2741" s="3"/>
      <c r="AA2741" s="3"/>
    </row>
    <row r="2742" ht="105.75" customHeight="1">
      <c r="A2742" s="11"/>
      <c r="B2742" s="12"/>
      <c r="C2742" s="11"/>
      <c r="D2742" s="13"/>
      <c r="E2742" s="14"/>
      <c r="F2742" s="14"/>
      <c r="G2742" s="14"/>
      <c r="H2742" s="15"/>
      <c r="I2742" s="15"/>
      <c r="J2742" s="3"/>
      <c r="K2742" s="3"/>
      <c r="L2742" s="3"/>
      <c r="M2742" s="3"/>
      <c r="N2742" s="3"/>
      <c r="O2742" s="3"/>
      <c r="P2742" s="3"/>
      <c r="Q2742" s="3"/>
      <c r="R2742" s="3"/>
      <c r="S2742" s="3"/>
      <c r="T2742" s="3"/>
      <c r="U2742" s="3"/>
      <c r="V2742" s="3"/>
      <c r="W2742" s="3"/>
      <c r="X2742" s="3"/>
      <c r="Y2742" s="3"/>
      <c r="Z2742" s="3"/>
      <c r="AA2742" s="3"/>
    </row>
    <row r="2743" ht="105.75" customHeight="1">
      <c r="A2743" s="11"/>
      <c r="B2743" s="12"/>
      <c r="C2743" s="11"/>
      <c r="D2743" s="13"/>
      <c r="E2743" s="14"/>
      <c r="F2743" s="14"/>
      <c r="G2743" s="14"/>
      <c r="H2743" s="15"/>
      <c r="I2743" s="15"/>
      <c r="J2743" s="3"/>
      <c r="K2743" s="3"/>
      <c r="L2743" s="3"/>
      <c r="M2743" s="3"/>
      <c r="N2743" s="3"/>
      <c r="O2743" s="3"/>
      <c r="P2743" s="3"/>
      <c r="Q2743" s="3"/>
      <c r="R2743" s="3"/>
      <c r="S2743" s="3"/>
      <c r="T2743" s="3"/>
      <c r="U2743" s="3"/>
      <c r="V2743" s="3"/>
      <c r="W2743" s="3"/>
      <c r="X2743" s="3"/>
      <c r="Y2743" s="3"/>
      <c r="Z2743" s="3"/>
      <c r="AA2743" s="3"/>
    </row>
    <row r="2744" ht="105.75" customHeight="1">
      <c r="A2744" s="11"/>
      <c r="B2744" s="12"/>
      <c r="C2744" s="11"/>
      <c r="D2744" s="13"/>
      <c r="E2744" s="14"/>
      <c r="F2744" s="14"/>
      <c r="G2744" s="14"/>
      <c r="H2744" s="15"/>
      <c r="I2744" s="15"/>
      <c r="J2744" s="3"/>
      <c r="K2744" s="3"/>
      <c r="L2744" s="3"/>
      <c r="M2744" s="3"/>
      <c r="N2744" s="3"/>
      <c r="O2744" s="3"/>
      <c r="P2744" s="3"/>
      <c r="Q2744" s="3"/>
      <c r="R2744" s="3"/>
      <c r="S2744" s="3"/>
      <c r="T2744" s="3"/>
      <c r="U2744" s="3"/>
      <c r="V2744" s="3"/>
      <c r="W2744" s="3"/>
      <c r="X2744" s="3"/>
      <c r="Y2744" s="3"/>
      <c r="Z2744" s="3"/>
      <c r="AA2744" s="3"/>
    </row>
    <row r="2745" ht="105.75" customHeight="1">
      <c r="A2745" s="11"/>
      <c r="B2745" s="12"/>
      <c r="C2745" s="11"/>
      <c r="D2745" s="13"/>
      <c r="E2745" s="14"/>
      <c r="F2745" s="14"/>
      <c r="G2745" s="14"/>
      <c r="H2745" s="15"/>
      <c r="I2745" s="15"/>
      <c r="J2745" s="3"/>
      <c r="K2745" s="3"/>
      <c r="L2745" s="3"/>
      <c r="M2745" s="3"/>
      <c r="N2745" s="3"/>
      <c r="O2745" s="3"/>
      <c r="P2745" s="3"/>
      <c r="Q2745" s="3"/>
      <c r="R2745" s="3"/>
      <c r="S2745" s="3"/>
      <c r="T2745" s="3"/>
      <c r="U2745" s="3"/>
      <c r="V2745" s="3"/>
      <c r="W2745" s="3"/>
      <c r="X2745" s="3"/>
      <c r="Y2745" s="3"/>
      <c r="Z2745" s="3"/>
      <c r="AA2745" s="3"/>
    </row>
    <row r="2746" ht="105.75" customHeight="1">
      <c r="A2746" s="11"/>
      <c r="B2746" s="12"/>
      <c r="C2746" s="11"/>
      <c r="D2746" s="13"/>
      <c r="E2746" s="14"/>
      <c r="F2746" s="14"/>
      <c r="G2746" s="14"/>
      <c r="H2746" s="15"/>
      <c r="I2746" s="15"/>
      <c r="J2746" s="3"/>
      <c r="K2746" s="3"/>
      <c r="L2746" s="3"/>
      <c r="M2746" s="3"/>
      <c r="N2746" s="3"/>
      <c r="O2746" s="3"/>
      <c r="P2746" s="3"/>
      <c r="Q2746" s="3"/>
      <c r="R2746" s="3"/>
      <c r="S2746" s="3"/>
      <c r="T2746" s="3"/>
      <c r="U2746" s="3"/>
      <c r="V2746" s="3"/>
      <c r="W2746" s="3"/>
      <c r="X2746" s="3"/>
      <c r="Y2746" s="3"/>
      <c r="Z2746" s="3"/>
      <c r="AA2746" s="3"/>
    </row>
    <row r="2747" ht="105.75" customHeight="1">
      <c r="A2747" s="11"/>
      <c r="B2747" s="12"/>
      <c r="C2747" s="11"/>
      <c r="D2747" s="13"/>
      <c r="E2747" s="14"/>
      <c r="F2747" s="14"/>
      <c r="G2747" s="14"/>
      <c r="H2747" s="15"/>
      <c r="I2747" s="15"/>
      <c r="J2747" s="3"/>
      <c r="K2747" s="3"/>
      <c r="L2747" s="3"/>
      <c r="M2747" s="3"/>
      <c r="N2747" s="3"/>
      <c r="O2747" s="3"/>
      <c r="P2747" s="3"/>
      <c r="Q2747" s="3"/>
      <c r="R2747" s="3"/>
      <c r="S2747" s="3"/>
      <c r="T2747" s="3"/>
      <c r="U2747" s="3"/>
      <c r="V2747" s="3"/>
      <c r="W2747" s="3"/>
      <c r="X2747" s="3"/>
      <c r="Y2747" s="3"/>
      <c r="Z2747" s="3"/>
      <c r="AA2747" s="3"/>
    </row>
    <row r="2748" ht="105.75" customHeight="1">
      <c r="A2748" s="11"/>
      <c r="B2748" s="12"/>
      <c r="C2748" s="11"/>
      <c r="D2748" s="13"/>
      <c r="E2748" s="14"/>
      <c r="F2748" s="14"/>
      <c r="G2748" s="14"/>
      <c r="H2748" s="15"/>
      <c r="I2748" s="15"/>
      <c r="J2748" s="3"/>
      <c r="K2748" s="3"/>
      <c r="L2748" s="3"/>
      <c r="M2748" s="3"/>
      <c r="N2748" s="3"/>
      <c r="O2748" s="3"/>
      <c r="P2748" s="3"/>
      <c r="Q2748" s="3"/>
      <c r="R2748" s="3"/>
      <c r="S2748" s="3"/>
      <c r="T2748" s="3"/>
      <c r="U2748" s="3"/>
      <c r="V2748" s="3"/>
      <c r="W2748" s="3"/>
      <c r="X2748" s="3"/>
      <c r="Y2748" s="3"/>
      <c r="Z2748" s="3"/>
      <c r="AA2748" s="3"/>
    </row>
    <row r="2749" ht="105.75" customHeight="1">
      <c r="A2749" s="11"/>
      <c r="B2749" s="12"/>
      <c r="C2749" s="11"/>
      <c r="D2749" s="13"/>
      <c r="E2749" s="14"/>
      <c r="F2749" s="14"/>
      <c r="G2749" s="14"/>
      <c r="H2749" s="15"/>
      <c r="I2749" s="15"/>
      <c r="J2749" s="3"/>
      <c r="K2749" s="3"/>
      <c r="L2749" s="3"/>
      <c r="M2749" s="3"/>
      <c r="N2749" s="3"/>
      <c r="O2749" s="3"/>
      <c r="P2749" s="3"/>
      <c r="Q2749" s="3"/>
      <c r="R2749" s="3"/>
      <c r="S2749" s="3"/>
      <c r="T2749" s="3"/>
      <c r="U2749" s="3"/>
      <c r="V2749" s="3"/>
      <c r="W2749" s="3"/>
      <c r="X2749" s="3"/>
      <c r="Y2749" s="3"/>
      <c r="Z2749" s="3"/>
      <c r="AA2749" s="3"/>
    </row>
    <row r="2750" ht="105.75" customHeight="1">
      <c r="A2750" s="11"/>
      <c r="B2750" s="12"/>
      <c r="C2750" s="11"/>
      <c r="D2750" s="13"/>
      <c r="E2750" s="14"/>
      <c r="F2750" s="14"/>
      <c r="G2750" s="14"/>
      <c r="H2750" s="15"/>
      <c r="I2750" s="15"/>
      <c r="J2750" s="3"/>
      <c r="K2750" s="3"/>
      <c r="L2750" s="3"/>
      <c r="M2750" s="3"/>
      <c r="N2750" s="3"/>
      <c r="O2750" s="3"/>
      <c r="P2750" s="3"/>
      <c r="Q2750" s="3"/>
      <c r="R2750" s="3"/>
      <c r="S2750" s="3"/>
      <c r="T2750" s="3"/>
      <c r="U2750" s="3"/>
      <c r="V2750" s="3"/>
      <c r="W2750" s="3"/>
      <c r="X2750" s="3"/>
      <c r="Y2750" s="3"/>
      <c r="Z2750" s="3"/>
      <c r="AA2750" s="3"/>
    </row>
    <row r="2751" ht="105.75" customHeight="1">
      <c r="A2751" s="11"/>
      <c r="B2751" s="12"/>
      <c r="C2751" s="11"/>
      <c r="D2751" s="13"/>
      <c r="E2751" s="14"/>
      <c r="F2751" s="14"/>
      <c r="G2751" s="14"/>
      <c r="H2751" s="15"/>
      <c r="I2751" s="15"/>
      <c r="J2751" s="3"/>
      <c r="K2751" s="3"/>
      <c r="L2751" s="3"/>
      <c r="M2751" s="3"/>
      <c r="N2751" s="3"/>
      <c r="O2751" s="3"/>
      <c r="P2751" s="3"/>
      <c r="Q2751" s="3"/>
      <c r="R2751" s="3"/>
      <c r="S2751" s="3"/>
      <c r="T2751" s="3"/>
      <c r="U2751" s="3"/>
      <c r="V2751" s="3"/>
      <c r="W2751" s="3"/>
      <c r="X2751" s="3"/>
      <c r="Y2751" s="3"/>
      <c r="Z2751" s="3"/>
      <c r="AA2751" s="3"/>
    </row>
    <row r="2752" ht="105.75" customHeight="1">
      <c r="A2752" s="11"/>
      <c r="B2752" s="12"/>
      <c r="C2752" s="11"/>
      <c r="D2752" s="13"/>
      <c r="E2752" s="16"/>
      <c r="F2752" s="16"/>
      <c r="G2752" s="16"/>
      <c r="H2752" s="15"/>
      <c r="I2752" s="15"/>
      <c r="J2752" s="3"/>
      <c r="K2752" s="3"/>
      <c r="L2752" s="3"/>
      <c r="M2752" s="3"/>
      <c r="N2752" s="3"/>
      <c r="O2752" s="3"/>
      <c r="P2752" s="3"/>
      <c r="Q2752" s="3"/>
      <c r="R2752" s="3"/>
      <c r="S2752" s="3"/>
      <c r="T2752" s="3"/>
      <c r="U2752" s="3"/>
      <c r="V2752" s="3"/>
      <c r="W2752" s="3"/>
      <c r="X2752" s="3"/>
      <c r="Y2752" s="3"/>
      <c r="Z2752" s="3"/>
      <c r="AA2752" s="3"/>
    </row>
    <row r="2753" ht="105.75" customHeight="1">
      <c r="A2753" s="11"/>
      <c r="B2753" s="12"/>
      <c r="C2753" s="11"/>
      <c r="D2753" s="13"/>
      <c r="E2753" s="14"/>
      <c r="F2753" s="14"/>
      <c r="G2753" s="14"/>
      <c r="H2753" s="15"/>
      <c r="I2753" s="15"/>
      <c r="J2753" s="3"/>
      <c r="K2753" s="3"/>
      <c r="L2753" s="3"/>
      <c r="M2753" s="3"/>
      <c r="N2753" s="3"/>
      <c r="O2753" s="3"/>
      <c r="P2753" s="3"/>
      <c r="Q2753" s="3"/>
      <c r="R2753" s="3"/>
      <c r="S2753" s="3"/>
      <c r="T2753" s="3"/>
      <c r="U2753" s="3"/>
      <c r="V2753" s="3"/>
      <c r="W2753" s="3"/>
      <c r="X2753" s="3"/>
      <c r="Y2753" s="3"/>
      <c r="Z2753" s="3"/>
      <c r="AA2753" s="3"/>
    </row>
    <row r="2754" ht="105.75" customHeight="1">
      <c r="A2754" s="11"/>
      <c r="B2754" s="12"/>
      <c r="C2754" s="11"/>
      <c r="D2754" s="13"/>
      <c r="E2754" s="14"/>
      <c r="F2754" s="14"/>
      <c r="G2754" s="14"/>
      <c r="H2754" s="15"/>
      <c r="I2754" s="15"/>
      <c r="J2754" s="3"/>
      <c r="K2754" s="3"/>
      <c r="L2754" s="3"/>
      <c r="M2754" s="3"/>
      <c r="N2754" s="3"/>
      <c r="O2754" s="3"/>
      <c r="P2754" s="3"/>
      <c r="Q2754" s="3"/>
      <c r="R2754" s="3"/>
      <c r="S2754" s="3"/>
      <c r="T2754" s="3"/>
      <c r="U2754" s="3"/>
      <c r="V2754" s="3"/>
      <c r="W2754" s="3"/>
      <c r="X2754" s="3"/>
      <c r="Y2754" s="3"/>
      <c r="Z2754" s="3"/>
      <c r="AA2754" s="3"/>
    </row>
    <row r="2755" ht="105.75" customHeight="1">
      <c r="A2755" s="11"/>
      <c r="B2755" s="12"/>
      <c r="C2755" s="11"/>
      <c r="D2755" s="13"/>
      <c r="E2755" s="14"/>
      <c r="F2755" s="14"/>
      <c r="G2755" s="14"/>
      <c r="H2755" s="15"/>
      <c r="I2755" s="15"/>
      <c r="J2755" s="3"/>
      <c r="K2755" s="3"/>
      <c r="L2755" s="3"/>
      <c r="M2755" s="3"/>
      <c r="N2755" s="3"/>
      <c r="O2755" s="3"/>
      <c r="P2755" s="3"/>
      <c r="Q2755" s="3"/>
      <c r="R2755" s="3"/>
      <c r="S2755" s="3"/>
      <c r="T2755" s="3"/>
      <c r="U2755" s="3"/>
      <c r="V2755" s="3"/>
      <c r="W2755" s="3"/>
      <c r="X2755" s="3"/>
      <c r="Y2755" s="3"/>
      <c r="Z2755" s="3"/>
      <c r="AA2755" s="3"/>
    </row>
    <row r="2756" ht="105.75" customHeight="1">
      <c r="A2756" s="11"/>
      <c r="B2756" s="12"/>
      <c r="C2756" s="11"/>
      <c r="D2756" s="13"/>
      <c r="E2756" s="16"/>
      <c r="F2756" s="16"/>
      <c r="G2756" s="16"/>
      <c r="H2756" s="15"/>
      <c r="I2756" s="15"/>
      <c r="J2756" s="3"/>
      <c r="K2756" s="3"/>
      <c r="L2756" s="3"/>
      <c r="M2756" s="3"/>
      <c r="N2756" s="3"/>
      <c r="O2756" s="3"/>
      <c r="P2756" s="3"/>
      <c r="Q2756" s="3"/>
      <c r="R2756" s="3"/>
      <c r="S2756" s="3"/>
      <c r="T2756" s="3"/>
      <c r="U2756" s="3"/>
      <c r="V2756" s="3"/>
      <c r="W2756" s="3"/>
      <c r="X2756" s="3"/>
      <c r="Y2756" s="3"/>
      <c r="Z2756" s="3"/>
      <c r="AA2756" s="3"/>
    </row>
    <row r="2757" ht="105.75" customHeight="1">
      <c r="A2757" s="11"/>
      <c r="B2757" s="12"/>
      <c r="C2757" s="11"/>
      <c r="D2757" s="13"/>
      <c r="E2757" s="14"/>
      <c r="F2757" s="14"/>
      <c r="G2757" s="14"/>
      <c r="H2757" s="15"/>
      <c r="I2757" s="15"/>
      <c r="J2757" s="3"/>
      <c r="K2757" s="3"/>
      <c r="L2757" s="3"/>
      <c r="M2757" s="3"/>
      <c r="N2757" s="3"/>
      <c r="O2757" s="3"/>
      <c r="P2757" s="3"/>
      <c r="Q2757" s="3"/>
      <c r="R2757" s="3"/>
      <c r="S2757" s="3"/>
      <c r="T2757" s="3"/>
      <c r="U2757" s="3"/>
      <c r="V2757" s="3"/>
      <c r="W2757" s="3"/>
      <c r="X2757" s="3"/>
      <c r="Y2757" s="3"/>
      <c r="Z2757" s="3"/>
      <c r="AA2757" s="3"/>
    </row>
    <row r="2758" ht="105.75" customHeight="1">
      <c r="A2758" s="11"/>
      <c r="B2758" s="12"/>
      <c r="C2758" s="11"/>
      <c r="D2758" s="13"/>
      <c r="E2758" s="16"/>
      <c r="F2758" s="16"/>
      <c r="G2758" s="16"/>
      <c r="H2758" s="15"/>
      <c r="I2758" s="15"/>
      <c r="J2758" s="3"/>
      <c r="K2758" s="3"/>
      <c r="L2758" s="3"/>
      <c r="M2758" s="3"/>
      <c r="N2758" s="3"/>
      <c r="O2758" s="3"/>
      <c r="P2758" s="3"/>
      <c r="Q2758" s="3"/>
      <c r="R2758" s="3"/>
      <c r="S2758" s="3"/>
      <c r="T2758" s="3"/>
      <c r="U2758" s="3"/>
      <c r="V2758" s="3"/>
      <c r="W2758" s="3"/>
      <c r="X2758" s="3"/>
      <c r="Y2758" s="3"/>
      <c r="Z2758" s="3"/>
      <c r="AA2758" s="3"/>
    </row>
    <row r="2759" ht="105.75" customHeight="1">
      <c r="A2759" s="11"/>
      <c r="B2759" s="12"/>
      <c r="C2759" s="11"/>
      <c r="D2759" s="13"/>
      <c r="E2759" s="14"/>
      <c r="F2759" s="14"/>
      <c r="G2759" s="14"/>
      <c r="H2759" s="15"/>
      <c r="I2759" s="15"/>
      <c r="J2759" s="3"/>
      <c r="K2759" s="3"/>
      <c r="L2759" s="3"/>
      <c r="M2759" s="3"/>
      <c r="N2759" s="3"/>
      <c r="O2759" s="3"/>
      <c r="P2759" s="3"/>
      <c r="Q2759" s="3"/>
      <c r="R2759" s="3"/>
      <c r="S2759" s="3"/>
      <c r="T2759" s="3"/>
      <c r="U2759" s="3"/>
      <c r="V2759" s="3"/>
      <c r="W2759" s="3"/>
      <c r="X2759" s="3"/>
      <c r="Y2759" s="3"/>
      <c r="Z2759" s="3"/>
      <c r="AA2759" s="3"/>
    </row>
    <row r="2760" ht="105.75" customHeight="1">
      <c r="A2760" s="11"/>
      <c r="B2760" s="12"/>
      <c r="C2760" s="11"/>
      <c r="D2760" s="13"/>
      <c r="E2760" s="16"/>
      <c r="F2760" s="16"/>
      <c r="G2760" s="16"/>
      <c r="H2760" s="15"/>
      <c r="I2760" s="15"/>
      <c r="J2760" s="3"/>
      <c r="K2760" s="3"/>
      <c r="L2760" s="3"/>
      <c r="M2760" s="3"/>
      <c r="N2760" s="3"/>
      <c r="O2760" s="3"/>
      <c r="P2760" s="3"/>
      <c r="Q2760" s="3"/>
      <c r="R2760" s="3"/>
      <c r="S2760" s="3"/>
      <c r="T2760" s="3"/>
      <c r="U2760" s="3"/>
      <c r="V2760" s="3"/>
      <c r="W2760" s="3"/>
      <c r="X2760" s="3"/>
      <c r="Y2760" s="3"/>
      <c r="Z2760" s="3"/>
      <c r="AA2760" s="3"/>
    </row>
    <row r="2761" ht="105.75" customHeight="1">
      <c r="A2761" s="11"/>
      <c r="B2761" s="12"/>
      <c r="C2761" s="11"/>
      <c r="D2761" s="13"/>
      <c r="E2761" s="14"/>
      <c r="F2761" s="14"/>
      <c r="G2761" s="14"/>
      <c r="H2761" s="15"/>
      <c r="I2761" s="15"/>
      <c r="J2761" s="3"/>
      <c r="K2761" s="3"/>
      <c r="L2761" s="3"/>
      <c r="M2761" s="3"/>
      <c r="N2761" s="3"/>
      <c r="O2761" s="3"/>
      <c r="P2761" s="3"/>
      <c r="Q2761" s="3"/>
      <c r="R2761" s="3"/>
      <c r="S2761" s="3"/>
      <c r="T2761" s="3"/>
      <c r="U2761" s="3"/>
      <c r="V2761" s="3"/>
      <c r="W2761" s="3"/>
      <c r="X2761" s="3"/>
      <c r="Y2761" s="3"/>
      <c r="Z2761" s="3"/>
      <c r="AA2761" s="3"/>
    </row>
    <row r="2762" ht="105.75" customHeight="1">
      <c r="A2762" s="11"/>
      <c r="B2762" s="12"/>
      <c r="C2762" s="11"/>
      <c r="D2762" s="13"/>
      <c r="E2762" s="14"/>
      <c r="F2762" s="14"/>
      <c r="G2762" s="14"/>
      <c r="H2762" s="15"/>
      <c r="I2762" s="15"/>
      <c r="J2762" s="3"/>
      <c r="K2762" s="3"/>
      <c r="L2762" s="3"/>
      <c r="M2762" s="3"/>
      <c r="N2762" s="3"/>
      <c r="O2762" s="3"/>
      <c r="P2762" s="3"/>
      <c r="Q2762" s="3"/>
      <c r="R2762" s="3"/>
      <c r="S2762" s="3"/>
      <c r="T2762" s="3"/>
      <c r="U2762" s="3"/>
      <c r="V2762" s="3"/>
      <c r="W2762" s="3"/>
      <c r="X2762" s="3"/>
      <c r="Y2762" s="3"/>
      <c r="Z2762" s="3"/>
      <c r="AA2762" s="3"/>
    </row>
    <row r="2763" ht="105.75" customHeight="1">
      <c r="A2763" s="11"/>
      <c r="B2763" s="12"/>
      <c r="C2763" s="11"/>
      <c r="D2763" s="13"/>
      <c r="E2763" s="14"/>
      <c r="F2763" s="14"/>
      <c r="G2763" s="14"/>
      <c r="H2763" s="15"/>
      <c r="I2763" s="15"/>
      <c r="J2763" s="3"/>
      <c r="K2763" s="3"/>
      <c r="L2763" s="3"/>
      <c r="M2763" s="3"/>
      <c r="N2763" s="3"/>
      <c r="O2763" s="3"/>
      <c r="P2763" s="3"/>
      <c r="Q2763" s="3"/>
      <c r="R2763" s="3"/>
      <c r="S2763" s="3"/>
      <c r="T2763" s="3"/>
      <c r="U2763" s="3"/>
      <c r="V2763" s="3"/>
      <c r="W2763" s="3"/>
      <c r="X2763" s="3"/>
      <c r="Y2763" s="3"/>
      <c r="Z2763" s="3"/>
      <c r="AA2763" s="3"/>
    </row>
    <row r="2764" ht="105.75" customHeight="1">
      <c r="A2764" s="11"/>
      <c r="B2764" s="12"/>
      <c r="C2764" s="11"/>
      <c r="D2764" s="13"/>
      <c r="E2764" s="16"/>
      <c r="F2764" s="16"/>
      <c r="G2764" s="16"/>
      <c r="H2764" s="15"/>
      <c r="I2764" s="15"/>
      <c r="J2764" s="3"/>
      <c r="K2764" s="3"/>
      <c r="L2764" s="3"/>
      <c r="M2764" s="3"/>
      <c r="N2764" s="3"/>
      <c r="O2764" s="3"/>
      <c r="P2764" s="3"/>
      <c r="Q2764" s="3"/>
      <c r="R2764" s="3"/>
      <c r="S2764" s="3"/>
      <c r="T2764" s="3"/>
      <c r="U2764" s="3"/>
      <c r="V2764" s="3"/>
      <c r="W2764" s="3"/>
      <c r="X2764" s="3"/>
      <c r="Y2764" s="3"/>
      <c r="Z2764" s="3"/>
      <c r="AA2764" s="3"/>
    </row>
    <row r="2765" ht="105.75" customHeight="1">
      <c r="A2765" s="11"/>
      <c r="B2765" s="12"/>
      <c r="C2765" s="11"/>
      <c r="D2765" s="13"/>
      <c r="E2765" s="14"/>
      <c r="F2765" s="14"/>
      <c r="G2765" s="14"/>
      <c r="H2765" s="15"/>
      <c r="I2765" s="15"/>
      <c r="J2765" s="3"/>
      <c r="K2765" s="3"/>
      <c r="L2765" s="3"/>
      <c r="M2765" s="3"/>
      <c r="N2765" s="3"/>
      <c r="O2765" s="3"/>
      <c r="P2765" s="3"/>
      <c r="Q2765" s="3"/>
      <c r="R2765" s="3"/>
      <c r="S2765" s="3"/>
      <c r="T2765" s="3"/>
      <c r="U2765" s="3"/>
      <c r="V2765" s="3"/>
      <c r="W2765" s="3"/>
      <c r="X2765" s="3"/>
      <c r="Y2765" s="3"/>
      <c r="Z2765" s="3"/>
      <c r="AA2765" s="3"/>
    </row>
    <row r="2766" ht="105.75" customHeight="1">
      <c r="A2766" s="11"/>
      <c r="B2766" s="12"/>
      <c r="C2766" s="11"/>
      <c r="D2766" s="13"/>
      <c r="E2766" s="16"/>
      <c r="F2766" s="16"/>
      <c r="G2766" s="16"/>
      <c r="H2766" s="15"/>
      <c r="I2766" s="15"/>
      <c r="J2766" s="3"/>
      <c r="K2766" s="3"/>
      <c r="L2766" s="3"/>
      <c r="M2766" s="3"/>
      <c r="N2766" s="3"/>
      <c r="O2766" s="3"/>
      <c r="P2766" s="3"/>
      <c r="Q2766" s="3"/>
      <c r="R2766" s="3"/>
      <c r="S2766" s="3"/>
      <c r="T2766" s="3"/>
      <c r="U2766" s="3"/>
      <c r="V2766" s="3"/>
      <c r="W2766" s="3"/>
      <c r="X2766" s="3"/>
      <c r="Y2766" s="3"/>
      <c r="Z2766" s="3"/>
      <c r="AA2766" s="3"/>
    </row>
    <row r="2767" ht="105.75" customHeight="1">
      <c r="A2767" s="11"/>
      <c r="B2767" s="12"/>
      <c r="C2767" s="11"/>
      <c r="D2767" s="13"/>
      <c r="E2767" s="14"/>
      <c r="F2767" s="14"/>
      <c r="G2767" s="14"/>
      <c r="H2767" s="15"/>
      <c r="I2767" s="15"/>
      <c r="J2767" s="3"/>
      <c r="K2767" s="3"/>
      <c r="L2767" s="3"/>
      <c r="M2767" s="3"/>
      <c r="N2767" s="3"/>
      <c r="O2767" s="3"/>
      <c r="P2767" s="3"/>
      <c r="Q2767" s="3"/>
      <c r="R2767" s="3"/>
      <c r="S2767" s="3"/>
      <c r="T2767" s="3"/>
      <c r="U2767" s="3"/>
      <c r="V2767" s="3"/>
      <c r="W2767" s="3"/>
      <c r="X2767" s="3"/>
      <c r="Y2767" s="3"/>
      <c r="Z2767" s="3"/>
      <c r="AA2767" s="3"/>
    </row>
    <row r="2768" ht="105.75" customHeight="1">
      <c r="A2768" s="11"/>
      <c r="B2768" s="12"/>
      <c r="C2768" s="11"/>
      <c r="D2768" s="13"/>
      <c r="E2768" s="14"/>
      <c r="F2768" s="14"/>
      <c r="G2768" s="14"/>
      <c r="H2768" s="15"/>
      <c r="I2768" s="15"/>
      <c r="J2768" s="3"/>
      <c r="K2768" s="3"/>
      <c r="L2768" s="3"/>
      <c r="M2768" s="3"/>
      <c r="N2768" s="3"/>
      <c r="O2768" s="3"/>
      <c r="P2768" s="3"/>
      <c r="Q2768" s="3"/>
      <c r="R2768" s="3"/>
      <c r="S2768" s="3"/>
      <c r="T2768" s="3"/>
      <c r="U2768" s="3"/>
      <c r="V2768" s="3"/>
      <c r="W2768" s="3"/>
      <c r="X2768" s="3"/>
      <c r="Y2768" s="3"/>
      <c r="Z2768" s="3"/>
      <c r="AA2768" s="3"/>
    </row>
    <row r="2769" ht="105.75" customHeight="1">
      <c r="A2769" s="11"/>
      <c r="B2769" s="12"/>
      <c r="C2769" s="11"/>
      <c r="D2769" s="13"/>
      <c r="E2769" s="14"/>
      <c r="F2769" s="14"/>
      <c r="G2769" s="14"/>
      <c r="H2769" s="15"/>
      <c r="I2769" s="15"/>
      <c r="J2769" s="3"/>
      <c r="K2769" s="3"/>
      <c r="L2769" s="3"/>
      <c r="M2769" s="3"/>
      <c r="N2769" s="3"/>
      <c r="O2769" s="3"/>
      <c r="P2769" s="3"/>
      <c r="Q2769" s="3"/>
      <c r="R2769" s="3"/>
      <c r="S2769" s="3"/>
      <c r="T2769" s="3"/>
      <c r="U2769" s="3"/>
      <c r="V2769" s="3"/>
      <c r="W2769" s="3"/>
      <c r="X2769" s="3"/>
      <c r="Y2769" s="3"/>
      <c r="Z2769" s="3"/>
      <c r="AA2769" s="3"/>
    </row>
    <row r="2770" ht="105.75" customHeight="1">
      <c r="A2770" s="11"/>
      <c r="B2770" s="12"/>
      <c r="C2770" s="11"/>
      <c r="D2770" s="13"/>
      <c r="E2770" s="14"/>
      <c r="F2770" s="14"/>
      <c r="G2770" s="14"/>
      <c r="H2770" s="15"/>
      <c r="I2770" s="15"/>
      <c r="J2770" s="3"/>
      <c r="K2770" s="3"/>
      <c r="L2770" s="3"/>
      <c r="M2770" s="3"/>
      <c r="N2770" s="3"/>
      <c r="O2770" s="3"/>
      <c r="P2770" s="3"/>
      <c r="Q2770" s="3"/>
      <c r="R2770" s="3"/>
      <c r="S2770" s="3"/>
      <c r="T2770" s="3"/>
      <c r="U2770" s="3"/>
      <c r="V2770" s="3"/>
      <c r="W2770" s="3"/>
      <c r="X2770" s="3"/>
      <c r="Y2770" s="3"/>
      <c r="Z2770" s="3"/>
      <c r="AA2770" s="3"/>
    </row>
    <row r="2771" ht="105.75" customHeight="1">
      <c r="A2771" s="11"/>
      <c r="B2771" s="12"/>
      <c r="C2771" s="11"/>
      <c r="D2771" s="13"/>
      <c r="E2771" s="14"/>
      <c r="F2771" s="14"/>
      <c r="G2771" s="14"/>
      <c r="H2771" s="15"/>
      <c r="I2771" s="15"/>
      <c r="J2771" s="3"/>
      <c r="K2771" s="3"/>
      <c r="L2771" s="3"/>
      <c r="M2771" s="3"/>
      <c r="N2771" s="3"/>
      <c r="O2771" s="3"/>
      <c r="P2771" s="3"/>
      <c r="Q2771" s="3"/>
      <c r="R2771" s="3"/>
      <c r="S2771" s="3"/>
      <c r="T2771" s="3"/>
      <c r="U2771" s="3"/>
      <c r="V2771" s="3"/>
      <c r="W2771" s="3"/>
      <c r="X2771" s="3"/>
      <c r="Y2771" s="3"/>
      <c r="Z2771" s="3"/>
      <c r="AA2771" s="3"/>
    </row>
    <row r="2772" ht="105.75" customHeight="1">
      <c r="A2772" s="11"/>
      <c r="B2772" s="12"/>
      <c r="C2772" s="11"/>
      <c r="D2772" s="13"/>
      <c r="E2772" s="16"/>
      <c r="F2772" s="16"/>
      <c r="G2772" s="16"/>
      <c r="H2772" s="15"/>
      <c r="I2772" s="15"/>
      <c r="J2772" s="3"/>
      <c r="K2772" s="3"/>
      <c r="L2772" s="3"/>
      <c r="M2772" s="3"/>
      <c r="N2772" s="3"/>
      <c r="O2772" s="3"/>
      <c r="P2772" s="3"/>
      <c r="Q2772" s="3"/>
      <c r="R2772" s="3"/>
      <c r="S2772" s="3"/>
      <c r="T2772" s="3"/>
      <c r="U2772" s="3"/>
      <c r="V2772" s="3"/>
      <c r="W2772" s="3"/>
      <c r="X2772" s="3"/>
      <c r="Y2772" s="3"/>
      <c r="Z2772" s="3"/>
      <c r="AA2772" s="3"/>
    </row>
    <row r="2773" ht="105.75" customHeight="1">
      <c r="A2773" s="11"/>
      <c r="B2773" s="12"/>
      <c r="C2773" s="11"/>
      <c r="D2773" s="13"/>
      <c r="E2773" s="14"/>
      <c r="F2773" s="14"/>
      <c r="G2773" s="14"/>
      <c r="H2773" s="15"/>
      <c r="I2773" s="15"/>
      <c r="J2773" s="3"/>
      <c r="K2773" s="3"/>
      <c r="L2773" s="3"/>
      <c r="M2773" s="3"/>
      <c r="N2773" s="3"/>
      <c r="O2773" s="3"/>
      <c r="P2773" s="3"/>
      <c r="Q2773" s="3"/>
      <c r="R2773" s="3"/>
      <c r="S2773" s="3"/>
      <c r="T2773" s="3"/>
      <c r="U2773" s="3"/>
      <c r="V2773" s="3"/>
      <c r="W2773" s="3"/>
      <c r="X2773" s="3"/>
      <c r="Y2773" s="3"/>
      <c r="Z2773" s="3"/>
      <c r="AA2773" s="3"/>
    </row>
    <row r="2774" ht="105.75" customHeight="1">
      <c r="A2774" s="11"/>
      <c r="B2774" s="12"/>
      <c r="C2774" s="11"/>
      <c r="D2774" s="13"/>
      <c r="E2774" s="14"/>
      <c r="F2774" s="14"/>
      <c r="G2774" s="14"/>
      <c r="H2774" s="15"/>
      <c r="I2774" s="15"/>
      <c r="J2774" s="3"/>
      <c r="K2774" s="3"/>
      <c r="L2774" s="3"/>
      <c r="M2774" s="3"/>
      <c r="N2774" s="3"/>
      <c r="O2774" s="3"/>
      <c r="P2774" s="3"/>
      <c r="Q2774" s="3"/>
      <c r="R2774" s="3"/>
      <c r="S2774" s="3"/>
      <c r="T2774" s="3"/>
      <c r="U2774" s="3"/>
      <c r="V2774" s="3"/>
      <c r="W2774" s="3"/>
      <c r="X2774" s="3"/>
      <c r="Y2774" s="3"/>
      <c r="Z2774" s="3"/>
      <c r="AA2774" s="3"/>
    </row>
    <row r="2775" ht="105.75" customHeight="1">
      <c r="A2775" s="11"/>
      <c r="B2775" s="12"/>
      <c r="C2775" s="11"/>
      <c r="D2775" s="13"/>
      <c r="E2775" s="14"/>
      <c r="F2775" s="14"/>
      <c r="G2775" s="14"/>
      <c r="H2775" s="15"/>
      <c r="I2775" s="15"/>
      <c r="J2775" s="3"/>
      <c r="K2775" s="3"/>
      <c r="L2775" s="3"/>
      <c r="M2775" s="3"/>
      <c r="N2775" s="3"/>
      <c r="O2775" s="3"/>
      <c r="P2775" s="3"/>
      <c r="Q2775" s="3"/>
      <c r="R2775" s="3"/>
      <c r="S2775" s="3"/>
      <c r="T2775" s="3"/>
      <c r="U2775" s="3"/>
      <c r="V2775" s="3"/>
      <c r="W2775" s="3"/>
      <c r="X2775" s="3"/>
      <c r="Y2775" s="3"/>
      <c r="Z2775" s="3"/>
      <c r="AA2775" s="3"/>
    </row>
    <row r="2776" ht="105.75" customHeight="1">
      <c r="A2776" s="11"/>
      <c r="B2776" s="12"/>
      <c r="C2776" s="11"/>
      <c r="D2776" s="13"/>
      <c r="E2776" s="14"/>
      <c r="F2776" s="14"/>
      <c r="G2776" s="14"/>
      <c r="H2776" s="15"/>
      <c r="I2776" s="15"/>
      <c r="J2776" s="3"/>
      <c r="K2776" s="3"/>
      <c r="L2776" s="3"/>
      <c r="M2776" s="3"/>
      <c r="N2776" s="3"/>
      <c r="O2776" s="3"/>
      <c r="P2776" s="3"/>
      <c r="Q2776" s="3"/>
      <c r="R2776" s="3"/>
      <c r="S2776" s="3"/>
      <c r="T2776" s="3"/>
      <c r="U2776" s="3"/>
      <c r="V2776" s="3"/>
      <c r="W2776" s="3"/>
      <c r="X2776" s="3"/>
      <c r="Y2776" s="3"/>
      <c r="Z2776" s="3"/>
      <c r="AA2776" s="3"/>
    </row>
    <row r="2777" ht="105.75" customHeight="1">
      <c r="A2777" s="11"/>
      <c r="B2777" s="12"/>
      <c r="C2777" s="11"/>
      <c r="D2777" s="13"/>
      <c r="E2777" s="14"/>
      <c r="F2777" s="14"/>
      <c r="G2777" s="14"/>
      <c r="H2777" s="15"/>
      <c r="I2777" s="15"/>
      <c r="J2777" s="3"/>
      <c r="K2777" s="3"/>
      <c r="L2777" s="3"/>
      <c r="M2777" s="3"/>
      <c r="N2777" s="3"/>
      <c r="O2777" s="3"/>
      <c r="P2777" s="3"/>
      <c r="Q2777" s="3"/>
      <c r="R2777" s="3"/>
      <c r="S2777" s="3"/>
      <c r="T2777" s="3"/>
      <c r="U2777" s="3"/>
      <c r="V2777" s="3"/>
      <c r="W2777" s="3"/>
      <c r="X2777" s="3"/>
      <c r="Y2777" s="3"/>
      <c r="Z2777" s="3"/>
      <c r="AA2777" s="3"/>
    </row>
    <row r="2778" ht="105.75" customHeight="1">
      <c r="A2778" s="11"/>
      <c r="B2778" s="12"/>
      <c r="C2778" s="11"/>
      <c r="D2778" s="13"/>
      <c r="E2778" s="16"/>
      <c r="F2778" s="16"/>
      <c r="G2778" s="16"/>
      <c r="H2778" s="15"/>
      <c r="I2778" s="15"/>
      <c r="J2778" s="3"/>
      <c r="K2778" s="3"/>
      <c r="L2778" s="3"/>
      <c r="M2778" s="3"/>
      <c r="N2778" s="3"/>
      <c r="O2778" s="3"/>
      <c r="P2778" s="3"/>
      <c r="Q2778" s="3"/>
      <c r="R2778" s="3"/>
      <c r="S2778" s="3"/>
      <c r="T2778" s="3"/>
      <c r="U2778" s="3"/>
      <c r="V2778" s="3"/>
      <c r="W2778" s="3"/>
      <c r="X2778" s="3"/>
      <c r="Y2778" s="3"/>
      <c r="Z2778" s="3"/>
      <c r="AA2778" s="3"/>
    </row>
    <row r="2779" ht="105.75" customHeight="1">
      <c r="A2779" s="11"/>
      <c r="B2779" s="12"/>
      <c r="C2779" s="11"/>
      <c r="D2779" s="13"/>
      <c r="E2779" s="16"/>
      <c r="F2779" s="16"/>
      <c r="G2779" s="16"/>
      <c r="H2779" s="15"/>
      <c r="I2779" s="15"/>
      <c r="J2779" s="3"/>
      <c r="K2779" s="3"/>
      <c r="L2779" s="3"/>
      <c r="M2779" s="3"/>
      <c r="N2779" s="3"/>
      <c r="O2779" s="3"/>
      <c r="P2779" s="3"/>
      <c r="Q2779" s="3"/>
      <c r="R2779" s="3"/>
      <c r="S2779" s="3"/>
      <c r="T2779" s="3"/>
      <c r="U2779" s="3"/>
      <c r="V2779" s="3"/>
      <c r="W2779" s="3"/>
      <c r="X2779" s="3"/>
      <c r="Y2779" s="3"/>
      <c r="Z2779" s="3"/>
      <c r="AA2779" s="3"/>
    </row>
    <row r="2780" ht="105.75" customHeight="1">
      <c r="A2780" s="11"/>
      <c r="B2780" s="12"/>
      <c r="C2780" s="11"/>
      <c r="D2780" s="13"/>
      <c r="E2780" s="16"/>
      <c r="F2780" s="16"/>
      <c r="G2780" s="16"/>
      <c r="H2780" s="15"/>
      <c r="I2780" s="15"/>
      <c r="J2780" s="3"/>
      <c r="K2780" s="3"/>
      <c r="L2780" s="3"/>
      <c r="M2780" s="3"/>
      <c r="N2780" s="3"/>
      <c r="O2780" s="3"/>
      <c r="P2780" s="3"/>
      <c r="Q2780" s="3"/>
      <c r="R2780" s="3"/>
      <c r="S2780" s="3"/>
      <c r="T2780" s="3"/>
      <c r="U2780" s="3"/>
      <c r="V2780" s="3"/>
      <c r="W2780" s="3"/>
      <c r="X2780" s="3"/>
      <c r="Y2780" s="3"/>
      <c r="Z2780" s="3"/>
      <c r="AA2780" s="3"/>
    </row>
    <row r="2781" ht="105.75" customHeight="1">
      <c r="A2781" s="11"/>
      <c r="B2781" s="12"/>
      <c r="C2781" s="11"/>
      <c r="D2781" s="13"/>
      <c r="E2781" s="14"/>
      <c r="F2781" s="14"/>
      <c r="G2781" s="14"/>
      <c r="H2781" s="15"/>
      <c r="I2781" s="15"/>
      <c r="J2781" s="3"/>
      <c r="K2781" s="3"/>
      <c r="L2781" s="3"/>
      <c r="M2781" s="3"/>
      <c r="N2781" s="3"/>
      <c r="O2781" s="3"/>
      <c r="P2781" s="3"/>
      <c r="Q2781" s="3"/>
      <c r="R2781" s="3"/>
      <c r="S2781" s="3"/>
      <c r="T2781" s="3"/>
      <c r="U2781" s="3"/>
      <c r="V2781" s="3"/>
      <c r="W2781" s="3"/>
      <c r="X2781" s="3"/>
      <c r="Y2781" s="3"/>
      <c r="Z2781" s="3"/>
      <c r="AA2781" s="3"/>
    </row>
    <row r="2782" ht="105.75" customHeight="1">
      <c r="A2782" s="11"/>
      <c r="B2782" s="12"/>
      <c r="C2782" s="11"/>
      <c r="D2782" s="13"/>
      <c r="E2782" s="16"/>
      <c r="F2782" s="16"/>
      <c r="G2782" s="16"/>
      <c r="H2782" s="15"/>
      <c r="I2782" s="15"/>
      <c r="J2782" s="3"/>
      <c r="K2782" s="3"/>
      <c r="L2782" s="3"/>
      <c r="M2782" s="3"/>
      <c r="N2782" s="3"/>
      <c r="O2782" s="3"/>
      <c r="P2782" s="3"/>
      <c r="Q2782" s="3"/>
      <c r="R2782" s="3"/>
      <c r="S2782" s="3"/>
      <c r="T2782" s="3"/>
      <c r="U2782" s="3"/>
      <c r="V2782" s="3"/>
      <c r="W2782" s="3"/>
      <c r="X2782" s="3"/>
      <c r="Y2782" s="3"/>
      <c r="Z2782" s="3"/>
      <c r="AA2782" s="3"/>
    </row>
    <row r="2783" ht="105.75" customHeight="1">
      <c r="A2783" s="11"/>
      <c r="B2783" s="12"/>
      <c r="C2783" s="11"/>
      <c r="D2783" s="13"/>
      <c r="E2783" s="14"/>
      <c r="F2783" s="14"/>
      <c r="G2783" s="14"/>
      <c r="H2783" s="15"/>
      <c r="I2783" s="15"/>
      <c r="J2783" s="3"/>
      <c r="K2783" s="3"/>
      <c r="L2783" s="3"/>
      <c r="M2783" s="3"/>
      <c r="N2783" s="3"/>
      <c r="O2783" s="3"/>
      <c r="P2783" s="3"/>
      <c r="Q2783" s="3"/>
      <c r="R2783" s="3"/>
      <c r="S2783" s="3"/>
      <c r="T2783" s="3"/>
      <c r="U2783" s="3"/>
      <c r="V2783" s="3"/>
      <c r="W2783" s="3"/>
      <c r="X2783" s="3"/>
      <c r="Y2783" s="3"/>
      <c r="Z2783" s="3"/>
      <c r="AA2783" s="3"/>
    </row>
    <row r="2784" ht="105.75" customHeight="1">
      <c r="A2784" s="11"/>
      <c r="B2784" s="12"/>
      <c r="C2784" s="11"/>
      <c r="D2784" s="13"/>
      <c r="E2784" s="14"/>
      <c r="F2784" s="14"/>
      <c r="G2784" s="14"/>
      <c r="H2784" s="15"/>
      <c r="I2784" s="15"/>
      <c r="J2784" s="3"/>
      <c r="K2784" s="3"/>
      <c r="L2784" s="3"/>
      <c r="M2784" s="3"/>
      <c r="N2784" s="3"/>
      <c r="O2784" s="3"/>
      <c r="P2784" s="3"/>
      <c r="Q2784" s="3"/>
      <c r="R2784" s="3"/>
      <c r="S2784" s="3"/>
      <c r="T2784" s="3"/>
      <c r="U2784" s="3"/>
      <c r="V2784" s="3"/>
      <c r="W2784" s="3"/>
      <c r="X2784" s="3"/>
      <c r="Y2784" s="3"/>
      <c r="Z2784" s="3"/>
      <c r="AA2784" s="3"/>
    </row>
    <row r="2785" ht="105.75" customHeight="1">
      <c r="A2785" s="11"/>
      <c r="B2785" s="12"/>
      <c r="C2785" s="11"/>
      <c r="D2785" s="13"/>
      <c r="E2785" s="14"/>
      <c r="F2785" s="14"/>
      <c r="G2785" s="14"/>
      <c r="H2785" s="15"/>
      <c r="I2785" s="15"/>
      <c r="J2785" s="3"/>
      <c r="K2785" s="3"/>
      <c r="L2785" s="3"/>
      <c r="M2785" s="3"/>
      <c r="N2785" s="3"/>
      <c r="O2785" s="3"/>
      <c r="P2785" s="3"/>
      <c r="Q2785" s="3"/>
      <c r="R2785" s="3"/>
      <c r="S2785" s="3"/>
      <c r="T2785" s="3"/>
      <c r="U2785" s="3"/>
      <c r="V2785" s="3"/>
      <c r="W2785" s="3"/>
      <c r="X2785" s="3"/>
      <c r="Y2785" s="3"/>
      <c r="Z2785" s="3"/>
      <c r="AA2785" s="3"/>
    </row>
    <row r="2786" ht="105.75" customHeight="1">
      <c r="A2786" s="11"/>
      <c r="B2786" s="12"/>
      <c r="C2786" s="11"/>
      <c r="D2786" s="13"/>
      <c r="E2786" s="14"/>
      <c r="F2786" s="14"/>
      <c r="G2786" s="14"/>
      <c r="H2786" s="15"/>
      <c r="I2786" s="15"/>
      <c r="J2786" s="3"/>
      <c r="K2786" s="3"/>
      <c r="L2786" s="3"/>
      <c r="M2786" s="3"/>
      <c r="N2786" s="3"/>
      <c r="O2786" s="3"/>
      <c r="P2786" s="3"/>
      <c r="Q2786" s="3"/>
      <c r="R2786" s="3"/>
      <c r="S2786" s="3"/>
      <c r="T2786" s="3"/>
      <c r="U2786" s="3"/>
      <c r="V2786" s="3"/>
      <c r="W2786" s="3"/>
      <c r="X2786" s="3"/>
      <c r="Y2786" s="3"/>
      <c r="Z2786" s="3"/>
      <c r="AA2786" s="3"/>
    </row>
    <row r="2787" ht="105.75" customHeight="1">
      <c r="A2787" s="11"/>
      <c r="B2787" s="12"/>
      <c r="C2787" s="11"/>
      <c r="D2787" s="13"/>
      <c r="E2787" s="14"/>
      <c r="F2787" s="14"/>
      <c r="G2787" s="14"/>
      <c r="H2787" s="15"/>
      <c r="I2787" s="15"/>
      <c r="J2787" s="3"/>
      <c r="K2787" s="3"/>
      <c r="L2787" s="3"/>
      <c r="M2787" s="3"/>
      <c r="N2787" s="3"/>
      <c r="O2787" s="3"/>
      <c r="P2787" s="3"/>
      <c r="Q2787" s="3"/>
      <c r="R2787" s="3"/>
      <c r="S2787" s="3"/>
      <c r="T2787" s="3"/>
      <c r="U2787" s="3"/>
      <c r="V2787" s="3"/>
      <c r="W2787" s="3"/>
      <c r="X2787" s="3"/>
      <c r="Y2787" s="3"/>
      <c r="Z2787" s="3"/>
      <c r="AA2787" s="3"/>
    </row>
    <row r="2788" ht="105.75" customHeight="1">
      <c r="A2788" s="11"/>
      <c r="B2788" s="12"/>
      <c r="C2788" s="11"/>
      <c r="D2788" s="13"/>
      <c r="E2788" s="14"/>
      <c r="F2788" s="14"/>
      <c r="G2788" s="14"/>
      <c r="H2788" s="15"/>
      <c r="I2788" s="15"/>
      <c r="J2788" s="3"/>
      <c r="K2788" s="3"/>
      <c r="L2788" s="3"/>
      <c r="M2788" s="3"/>
      <c r="N2788" s="3"/>
      <c r="O2788" s="3"/>
      <c r="P2788" s="3"/>
      <c r="Q2788" s="3"/>
      <c r="R2788" s="3"/>
      <c r="S2788" s="3"/>
      <c r="T2788" s="3"/>
      <c r="U2788" s="3"/>
      <c r="V2788" s="3"/>
      <c r="W2788" s="3"/>
      <c r="X2788" s="3"/>
      <c r="Y2788" s="3"/>
      <c r="Z2788" s="3"/>
      <c r="AA2788" s="3"/>
    </row>
    <row r="2789" ht="105.75" customHeight="1">
      <c r="A2789" s="11"/>
      <c r="B2789" s="12"/>
      <c r="C2789" s="11"/>
      <c r="D2789" s="13"/>
      <c r="E2789" s="14"/>
      <c r="F2789" s="14"/>
      <c r="G2789" s="14"/>
      <c r="H2789" s="15"/>
      <c r="I2789" s="15"/>
      <c r="J2789" s="3"/>
      <c r="K2789" s="3"/>
      <c r="L2789" s="3"/>
      <c r="M2789" s="3"/>
      <c r="N2789" s="3"/>
      <c r="O2789" s="3"/>
      <c r="P2789" s="3"/>
      <c r="Q2789" s="3"/>
      <c r="R2789" s="3"/>
      <c r="S2789" s="3"/>
      <c r="T2789" s="3"/>
      <c r="U2789" s="3"/>
      <c r="V2789" s="3"/>
      <c r="W2789" s="3"/>
      <c r="X2789" s="3"/>
      <c r="Y2789" s="3"/>
      <c r="Z2789" s="3"/>
      <c r="AA2789" s="3"/>
    </row>
    <row r="2790" ht="105.75" customHeight="1">
      <c r="A2790" s="11"/>
      <c r="B2790" s="12"/>
      <c r="C2790" s="11"/>
      <c r="D2790" s="13"/>
      <c r="E2790" s="14"/>
      <c r="F2790" s="14"/>
      <c r="G2790" s="14"/>
      <c r="H2790" s="15"/>
      <c r="I2790" s="15"/>
      <c r="J2790" s="3"/>
      <c r="K2790" s="3"/>
      <c r="L2790" s="3"/>
      <c r="M2790" s="3"/>
      <c r="N2790" s="3"/>
      <c r="O2790" s="3"/>
      <c r="P2790" s="3"/>
      <c r="Q2790" s="3"/>
      <c r="R2790" s="3"/>
      <c r="S2790" s="3"/>
      <c r="T2790" s="3"/>
      <c r="U2790" s="3"/>
      <c r="V2790" s="3"/>
      <c r="W2790" s="3"/>
      <c r="X2790" s="3"/>
      <c r="Y2790" s="3"/>
      <c r="Z2790" s="3"/>
      <c r="AA2790" s="3"/>
    </row>
    <row r="2791" ht="105.75" customHeight="1">
      <c r="A2791" s="11"/>
      <c r="B2791" s="12"/>
      <c r="C2791" s="11"/>
      <c r="D2791" s="13"/>
      <c r="E2791" s="14"/>
      <c r="F2791" s="14"/>
      <c r="G2791" s="14"/>
      <c r="H2791" s="15"/>
      <c r="I2791" s="15"/>
      <c r="J2791" s="3"/>
      <c r="K2791" s="3"/>
      <c r="L2791" s="3"/>
      <c r="M2791" s="3"/>
      <c r="N2791" s="3"/>
      <c r="O2791" s="3"/>
      <c r="P2791" s="3"/>
      <c r="Q2791" s="3"/>
      <c r="R2791" s="3"/>
      <c r="S2791" s="3"/>
      <c r="T2791" s="3"/>
      <c r="U2791" s="3"/>
      <c r="V2791" s="3"/>
      <c r="W2791" s="3"/>
      <c r="X2791" s="3"/>
      <c r="Y2791" s="3"/>
      <c r="Z2791" s="3"/>
      <c r="AA2791" s="3"/>
    </row>
    <row r="2792" ht="105.75" customHeight="1">
      <c r="A2792" s="11"/>
      <c r="B2792" s="12"/>
      <c r="C2792" s="11"/>
      <c r="D2792" s="13"/>
      <c r="E2792" s="14"/>
      <c r="F2792" s="14"/>
      <c r="G2792" s="14"/>
      <c r="H2792" s="15"/>
      <c r="I2792" s="15"/>
      <c r="J2792" s="3"/>
      <c r="K2792" s="3"/>
      <c r="L2792" s="3"/>
      <c r="M2792" s="3"/>
      <c r="N2792" s="3"/>
      <c r="O2792" s="3"/>
      <c r="P2792" s="3"/>
      <c r="Q2792" s="3"/>
      <c r="R2792" s="3"/>
      <c r="S2792" s="3"/>
      <c r="T2792" s="3"/>
      <c r="U2792" s="3"/>
      <c r="V2792" s="3"/>
      <c r="W2792" s="3"/>
      <c r="X2792" s="3"/>
      <c r="Y2792" s="3"/>
      <c r="Z2792" s="3"/>
      <c r="AA2792" s="3"/>
    </row>
    <row r="2793" ht="105.75" customHeight="1">
      <c r="A2793" s="11"/>
      <c r="B2793" s="12"/>
      <c r="C2793" s="11"/>
      <c r="D2793" s="13"/>
      <c r="E2793" s="14"/>
      <c r="F2793" s="14"/>
      <c r="G2793" s="14"/>
      <c r="H2793" s="15"/>
      <c r="I2793" s="15"/>
      <c r="J2793" s="3"/>
      <c r="K2793" s="3"/>
      <c r="L2793" s="3"/>
      <c r="M2793" s="3"/>
      <c r="N2793" s="3"/>
      <c r="O2793" s="3"/>
      <c r="P2793" s="3"/>
      <c r="Q2793" s="3"/>
      <c r="R2793" s="3"/>
      <c r="S2793" s="3"/>
      <c r="T2793" s="3"/>
      <c r="U2793" s="3"/>
      <c r="V2793" s="3"/>
      <c r="W2793" s="3"/>
      <c r="X2793" s="3"/>
      <c r="Y2793" s="3"/>
      <c r="Z2793" s="3"/>
      <c r="AA2793" s="3"/>
    </row>
    <row r="2794" ht="105.75" customHeight="1">
      <c r="A2794" s="11"/>
      <c r="B2794" s="12"/>
      <c r="C2794" s="11"/>
      <c r="D2794" s="13"/>
      <c r="E2794" s="14"/>
      <c r="F2794" s="14"/>
      <c r="G2794" s="14"/>
      <c r="H2794" s="15"/>
      <c r="I2794" s="15"/>
      <c r="J2794" s="3"/>
      <c r="K2794" s="3"/>
      <c r="L2794" s="3"/>
      <c r="M2794" s="3"/>
      <c r="N2794" s="3"/>
      <c r="O2794" s="3"/>
      <c r="P2794" s="3"/>
      <c r="Q2794" s="3"/>
      <c r="R2794" s="3"/>
      <c r="S2794" s="3"/>
      <c r="T2794" s="3"/>
      <c r="U2794" s="3"/>
      <c r="V2794" s="3"/>
      <c r="W2794" s="3"/>
      <c r="X2794" s="3"/>
      <c r="Y2794" s="3"/>
      <c r="Z2794" s="3"/>
      <c r="AA2794" s="3"/>
    </row>
    <row r="2795" ht="105.75" customHeight="1">
      <c r="A2795" s="11"/>
      <c r="B2795" s="12"/>
      <c r="C2795" s="11"/>
      <c r="D2795" s="13"/>
      <c r="E2795" s="14"/>
      <c r="F2795" s="14"/>
      <c r="G2795" s="14"/>
      <c r="H2795" s="15"/>
      <c r="I2795" s="15"/>
      <c r="J2795" s="3"/>
      <c r="K2795" s="3"/>
      <c r="L2795" s="3"/>
      <c r="M2795" s="3"/>
      <c r="N2795" s="3"/>
      <c r="O2795" s="3"/>
      <c r="P2795" s="3"/>
      <c r="Q2795" s="3"/>
      <c r="R2795" s="3"/>
      <c r="S2795" s="3"/>
      <c r="T2795" s="3"/>
      <c r="U2795" s="3"/>
      <c r="V2795" s="3"/>
      <c r="W2795" s="3"/>
      <c r="X2795" s="3"/>
      <c r="Y2795" s="3"/>
      <c r="Z2795" s="3"/>
      <c r="AA2795" s="3"/>
    </row>
    <row r="2796" ht="105.75" customHeight="1">
      <c r="A2796" s="11"/>
      <c r="B2796" s="12"/>
      <c r="C2796" s="11"/>
      <c r="D2796" s="13"/>
      <c r="E2796" s="14"/>
      <c r="F2796" s="14"/>
      <c r="G2796" s="14"/>
      <c r="H2796" s="15"/>
      <c r="I2796" s="15"/>
      <c r="J2796" s="3"/>
      <c r="K2796" s="3"/>
      <c r="L2796" s="3"/>
      <c r="M2796" s="3"/>
      <c r="N2796" s="3"/>
      <c r="O2796" s="3"/>
      <c r="P2796" s="3"/>
      <c r="Q2796" s="3"/>
      <c r="R2796" s="3"/>
      <c r="S2796" s="3"/>
      <c r="T2796" s="3"/>
      <c r="U2796" s="3"/>
      <c r="V2796" s="3"/>
      <c r="W2796" s="3"/>
      <c r="X2796" s="3"/>
      <c r="Y2796" s="3"/>
      <c r="Z2796" s="3"/>
      <c r="AA2796" s="3"/>
    </row>
    <row r="2797" ht="105.75" customHeight="1">
      <c r="A2797" s="11"/>
      <c r="B2797" s="12"/>
      <c r="C2797" s="11"/>
      <c r="D2797" s="13"/>
      <c r="E2797" s="14"/>
      <c r="F2797" s="14"/>
      <c r="G2797" s="14"/>
      <c r="H2797" s="15"/>
      <c r="I2797" s="15"/>
      <c r="J2797" s="3"/>
      <c r="K2797" s="3"/>
      <c r="L2797" s="3"/>
      <c r="M2797" s="3"/>
      <c r="N2797" s="3"/>
      <c r="O2797" s="3"/>
      <c r="P2797" s="3"/>
      <c r="Q2797" s="3"/>
      <c r="R2797" s="3"/>
      <c r="S2797" s="3"/>
      <c r="T2797" s="3"/>
      <c r="U2797" s="3"/>
      <c r="V2797" s="3"/>
      <c r="W2797" s="3"/>
      <c r="X2797" s="3"/>
      <c r="Y2797" s="3"/>
      <c r="Z2797" s="3"/>
      <c r="AA2797" s="3"/>
    </row>
    <row r="2798" ht="105.75" customHeight="1">
      <c r="A2798" s="11"/>
      <c r="B2798" s="12"/>
      <c r="C2798" s="11"/>
      <c r="D2798" s="13"/>
      <c r="E2798" s="14"/>
      <c r="F2798" s="14"/>
      <c r="G2798" s="14"/>
      <c r="H2798" s="15"/>
      <c r="I2798" s="15"/>
      <c r="J2798" s="3"/>
      <c r="K2798" s="3"/>
      <c r="L2798" s="3"/>
      <c r="M2798" s="3"/>
      <c r="N2798" s="3"/>
      <c r="O2798" s="3"/>
      <c r="P2798" s="3"/>
      <c r="Q2798" s="3"/>
      <c r="R2798" s="3"/>
      <c r="S2798" s="3"/>
      <c r="T2798" s="3"/>
      <c r="U2798" s="3"/>
      <c r="V2798" s="3"/>
      <c r="W2798" s="3"/>
      <c r="X2798" s="3"/>
      <c r="Y2798" s="3"/>
      <c r="Z2798" s="3"/>
      <c r="AA2798" s="3"/>
    </row>
    <row r="2799" ht="105.75" customHeight="1">
      <c r="A2799" s="11"/>
      <c r="B2799" s="12"/>
      <c r="C2799" s="11"/>
      <c r="D2799" s="13"/>
      <c r="E2799" s="14"/>
      <c r="F2799" s="14"/>
      <c r="G2799" s="14"/>
      <c r="H2799" s="15"/>
      <c r="I2799" s="15"/>
      <c r="J2799" s="3"/>
      <c r="K2799" s="3"/>
      <c r="L2799" s="3"/>
      <c r="M2799" s="3"/>
      <c r="N2799" s="3"/>
      <c r="O2799" s="3"/>
      <c r="P2799" s="3"/>
      <c r="Q2799" s="3"/>
      <c r="R2799" s="3"/>
      <c r="S2799" s="3"/>
      <c r="T2799" s="3"/>
      <c r="U2799" s="3"/>
      <c r="V2799" s="3"/>
      <c r="W2799" s="3"/>
      <c r="X2799" s="3"/>
      <c r="Y2799" s="3"/>
      <c r="Z2799" s="3"/>
      <c r="AA2799" s="3"/>
    </row>
    <row r="2800" ht="105.75" customHeight="1">
      <c r="A2800" s="11"/>
      <c r="B2800" s="12"/>
      <c r="C2800" s="11"/>
      <c r="D2800" s="13"/>
      <c r="E2800" s="16"/>
      <c r="F2800" s="16"/>
      <c r="G2800" s="16"/>
      <c r="H2800" s="15"/>
      <c r="I2800" s="15"/>
      <c r="J2800" s="3"/>
      <c r="K2800" s="3"/>
      <c r="L2800" s="3"/>
      <c r="M2800" s="3"/>
      <c r="N2800" s="3"/>
      <c r="O2800" s="3"/>
      <c r="P2800" s="3"/>
      <c r="Q2800" s="3"/>
      <c r="R2800" s="3"/>
      <c r="S2800" s="3"/>
      <c r="T2800" s="3"/>
      <c r="U2800" s="3"/>
      <c r="V2800" s="3"/>
      <c r="W2800" s="3"/>
      <c r="X2800" s="3"/>
      <c r="Y2800" s="3"/>
      <c r="Z2800" s="3"/>
      <c r="AA2800" s="3"/>
    </row>
    <row r="2801" ht="105.75" customHeight="1">
      <c r="A2801" s="11"/>
      <c r="B2801" s="12"/>
      <c r="C2801" s="11"/>
      <c r="D2801" s="13"/>
      <c r="E2801" s="14"/>
      <c r="F2801" s="14"/>
      <c r="G2801" s="14"/>
      <c r="H2801" s="15"/>
      <c r="I2801" s="15"/>
      <c r="J2801" s="3"/>
      <c r="K2801" s="3"/>
      <c r="L2801" s="3"/>
      <c r="M2801" s="3"/>
      <c r="N2801" s="3"/>
      <c r="O2801" s="3"/>
      <c r="P2801" s="3"/>
      <c r="Q2801" s="3"/>
      <c r="R2801" s="3"/>
      <c r="S2801" s="3"/>
      <c r="T2801" s="3"/>
      <c r="U2801" s="3"/>
      <c r="V2801" s="3"/>
      <c r="W2801" s="3"/>
      <c r="X2801" s="3"/>
      <c r="Y2801" s="3"/>
      <c r="Z2801" s="3"/>
      <c r="AA2801" s="3"/>
    </row>
    <row r="2802" ht="105.75" customHeight="1">
      <c r="A2802" s="11"/>
      <c r="B2802" s="12"/>
      <c r="C2802" s="11"/>
      <c r="D2802" s="13"/>
      <c r="E2802" s="14"/>
      <c r="F2802" s="14"/>
      <c r="G2802" s="14"/>
      <c r="H2802" s="15"/>
      <c r="I2802" s="15"/>
      <c r="J2802" s="3"/>
      <c r="K2802" s="3"/>
      <c r="L2802" s="3"/>
      <c r="M2802" s="3"/>
      <c r="N2802" s="3"/>
      <c r="O2802" s="3"/>
      <c r="P2802" s="3"/>
      <c r="Q2802" s="3"/>
      <c r="R2802" s="3"/>
      <c r="S2802" s="3"/>
      <c r="T2802" s="3"/>
      <c r="U2802" s="3"/>
      <c r="V2802" s="3"/>
      <c r="W2802" s="3"/>
      <c r="X2802" s="3"/>
      <c r="Y2802" s="3"/>
      <c r="Z2802" s="3"/>
      <c r="AA2802" s="3"/>
    </row>
    <row r="2803" ht="105.75" customHeight="1">
      <c r="A2803" s="11"/>
      <c r="B2803" s="12"/>
      <c r="C2803" s="11"/>
      <c r="D2803" s="13"/>
      <c r="E2803" s="14"/>
      <c r="F2803" s="14"/>
      <c r="G2803" s="14"/>
      <c r="H2803" s="15"/>
      <c r="I2803" s="15"/>
      <c r="J2803" s="3"/>
      <c r="K2803" s="3"/>
      <c r="L2803" s="3"/>
      <c r="M2803" s="3"/>
      <c r="N2803" s="3"/>
      <c r="O2803" s="3"/>
      <c r="P2803" s="3"/>
      <c r="Q2803" s="3"/>
      <c r="R2803" s="3"/>
      <c r="S2803" s="3"/>
      <c r="T2803" s="3"/>
      <c r="U2803" s="3"/>
      <c r="V2803" s="3"/>
      <c r="W2803" s="3"/>
      <c r="X2803" s="3"/>
      <c r="Y2803" s="3"/>
      <c r="Z2803" s="3"/>
      <c r="AA2803" s="3"/>
    </row>
    <row r="2804" ht="105.75" customHeight="1">
      <c r="A2804" s="11"/>
      <c r="B2804" s="12"/>
      <c r="C2804" s="11"/>
      <c r="D2804" s="13"/>
      <c r="E2804" s="14"/>
      <c r="F2804" s="14"/>
      <c r="G2804" s="14"/>
      <c r="H2804" s="15"/>
      <c r="I2804" s="15"/>
      <c r="J2804" s="3"/>
      <c r="K2804" s="3"/>
      <c r="L2804" s="3"/>
      <c r="M2804" s="3"/>
      <c r="N2804" s="3"/>
      <c r="O2804" s="3"/>
      <c r="P2804" s="3"/>
      <c r="Q2804" s="3"/>
      <c r="R2804" s="3"/>
      <c r="S2804" s="3"/>
      <c r="T2804" s="3"/>
      <c r="U2804" s="3"/>
      <c r="V2804" s="3"/>
      <c r="W2804" s="3"/>
      <c r="X2804" s="3"/>
      <c r="Y2804" s="3"/>
      <c r="Z2804" s="3"/>
      <c r="AA2804" s="3"/>
    </row>
    <row r="2805" ht="105.75" customHeight="1">
      <c r="A2805" s="11"/>
      <c r="B2805" s="12"/>
      <c r="C2805" s="11"/>
      <c r="D2805" s="13"/>
      <c r="E2805" s="14"/>
      <c r="F2805" s="14"/>
      <c r="G2805" s="14"/>
      <c r="H2805" s="15"/>
      <c r="I2805" s="15"/>
      <c r="J2805" s="3"/>
      <c r="K2805" s="3"/>
      <c r="L2805" s="3"/>
      <c r="M2805" s="3"/>
      <c r="N2805" s="3"/>
      <c r="O2805" s="3"/>
      <c r="P2805" s="3"/>
      <c r="Q2805" s="3"/>
      <c r="R2805" s="3"/>
      <c r="S2805" s="3"/>
      <c r="T2805" s="3"/>
      <c r="U2805" s="3"/>
      <c r="V2805" s="3"/>
      <c r="W2805" s="3"/>
      <c r="X2805" s="3"/>
      <c r="Y2805" s="3"/>
      <c r="Z2805" s="3"/>
      <c r="AA2805" s="3"/>
    </row>
    <row r="2806" ht="105.75" customHeight="1">
      <c r="A2806" s="11"/>
      <c r="B2806" s="12"/>
      <c r="C2806" s="11"/>
      <c r="D2806" s="13"/>
      <c r="E2806" s="14"/>
      <c r="F2806" s="14"/>
      <c r="G2806" s="14"/>
      <c r="H2806" s="15"/>
      <c r="I2806" s="15"/>
      <c r="J2806" s="3"/>
      <c r="K2806" s="3"/>
      <c r="L2806" s="3"/>
      <c r="M2806" s="3"/>
      <c r="N2806" s="3"/>
      <c r="O2806" s="3"/>
      <c r="P2806" s="3"/>
      <c r="Q2806" s="3"/>
      <c r="R2806" s="3"/>
      <c r="S2806" s="3"/>
      <c r="T2806" s="3"/>
      <c r="U2806" s="3"/>
      <c r="V2806" s="3"/>
      <c r="W2806" s="3"/>
      <c r="X2806" s="3"/>
      <c r="Y2806" s="3"/>
      <c r="Z2806" s="3"/>
      <c r="AA2806" s="3"/>
    </row>
    <row r="2807" ht="105.75" customHeight="1">
      <c r="A2807" s="11"/>
      <c r="B2807" s="12"/>
      <c r="C2807" s="11"/>
      <c r="D2807" s="13"/>
      <c r="E2807" s="14"/>
      <c r="F2807" s="14"/>
      <c r="G2807" s="14"/>
      <c r="H2807" s="15"/>
      <c r="I2807" s="15"/>
      <c r="J2807" s="3"/>
      <c r="K2807" s="3"/>
      <c r="L2807" s="3"/>
      <c r="M2807" s="3"/>
      <c r="N2807" s="3"/>
      <c r="O2807" s="3"/>
      <c r="P2807" s="3"/>
      <c r="Q2807" s="3"/>
      <c r="R2807" s="3"/>
      <c r="S2807" s="3"/>
      <c r="T2807" s="3"/>
      <c r="U2807" s="3"/>
      <c r="V2807" s="3"/>
      <c r="W2807" s="3"/>
      <c r="X2807" s="3"/>
      <c r="Y2807" s="3"/>
      <c r="Z2807" s="3"/>
      <c r="AA2807" s="3"/>
    </row>
    <row r="2808" ht="105.75" customHeight="1">
      <c r="A2808" s="11"/>
      <c r="B2808" s="12"/>
      <c r="C2808" s="11"/>
      <c r="D2808" s="13"/>
      <c r="E2808" s="14"/>
      <c r="F2808" s="14"/>
      <c r="G2808" s="14"/>
      <c r="H2808" s="15"/>
      <c r="I2808" s="15"/>
      <c r="J2808" s="3"/>
      <c r="K2808" s="3"/>
      <c r="L2808" s="3"/>
      <c r="M2808" s="3"/>
      <c r="N2808" s="3"/>
      <c r="O2808" s="3"/>
      <c r="P2808" s="3"/>
      <c r="Q2808" s="3"/>
      <c r="R2808" s="3"/>
      <c r="S2808" s="3"/>
      <c r="T2808" s="3"/>
      <c r="U2808" s="3"/>
      <c r="V2808" s="3"/>
      <c r="W2808" s="3"/>
      <c r="X2808" s="3"/>
      <c r="Y2808" s="3"/>
      <c r="Z2808" s="3"/>
      <c r="AA2808" s="3"/>
    </row>
    <row r="2809" ht="105.75" customHeight="1">
      <c r="A2809" s="11"/>
      <c r="B2809" s="12"/>
      <c r="C2809" s="11"/>
      <c r="D2809" s="13"/>
      <c r="E2809" s="14"/>
      <c r="F2809" s="14"/>
      <c r="G2809" s="14"/>
      <c r="H2809" s="15"/>
      <c r="I2809" s="15"/>
      <c r="J2809" s="3"/>
      <c r="K2809" s="3"/>
      <c r="L2809" s="3"/>
      <c r="M2809" s="3"/>
      <c r="N2809" s="3"/>
      <c r="O2809" s="3"/>
      <c r="P2809" s="3"/>
      <c r="Q2809" s="3"/>
      <c r="R2809" s="3"/>
      <c r="S2809" s="3"/>
      <c r="T2809" s="3"/>
      <c r="U2809" s="3"/>
      <c r="V2809" s="3"/>
      <c r="W2809" s="3"/>
      <c r="X2809" s="3"/>
      <c r="Y2809" s="3"/>
      <c r="Z2809" s="3"/>
      <c r="AA2809" s="3"/>
    </row>
    <row r="2810" ht="105.75" customHeight="1">
      <c r="A2810" s="11"/>
      <c r="B2810" s="12"/>
      <c r="C2810" s="11"/>
      <c r="D2810" s="13"/>
      <c r="E2810" s="14"/>
      <c r="F2810" s="14"/>
      <c r="G2810" s="14"/>
      <c r="H2810" s="15"/>
      <c r="I2810" s="15"/>
      <c r="J2810" s="3"/>
      <c r="K2810" s="3"/>
      <c r="L2810" s="3"/>
      <c r="M2810" s="3"/>
      <c r="N2810" s="3"/>
      <c r="O2810" s="3"/>
      <c r="P2810" s="3"/>
      <c r="Q2810" s="3"/>
      <c r="R2810" s="3"/>
      <c r="S2810" s="3"/>
      <c r="T2810" s="3"/>
      <c r="U2810" s="3"/>
      <c r="V2810" s="3"/>
      <c r="W2810" s="3"/>
      <c r="X2810" s="3"/>
      <c r="Y2810" s="3"/>
      <c r="Z2810" s="3"/>
      <c r="AA2810" s="3"/>
    </row>
    <row r="2811" ht="105.75" customHeight="1">
      <c r="A2811" s="11"/>
      <c r="B2811" s="12"/>
      <c r="C2811" s="11"/>
      <c r="D2811" s="13"/>
      <c r="E2811" s="14"/>
      <c r="F2811" s="14"/>
      <c r="G2811" s="14"/>
      <c r="H2811" s="15"/>
      <c r="I2811" s="15"/>
      <c r="J2811" s="3"/>
      <c r="K2811" s="3"/>
      <c r="L2811" s="3"/>
      <c r="M2811" s="3"/>
      <c r="N2811" s="3"/>
      <c r="O2811" s="3"/>
      <c r="P2811" s="3"/>
      <c r="Q2811" s="3"/>
      <c r="R2811" s="3"/>
      <c r="S2811" s="3"/>
      <c r="T2811" s="3"/>
      <c r="U2811" s="3"/>
      <c r="V2811" s="3"/>
      <c r="W2811" s="3"/>
      <c r="X2811" s="3"/>
      <c r="Y2811" s="3"/>
      <c r="Z2811" s="3"/>
      <c r="AA2811" s="3"/>
    </row>
    <row r="2812" ht="105.75" customHeight="1">
      <c r="A2812" s="11"/>
      <c r="B2812" s="12"/>
      <c r="C2812" s="11"/>
      <c r="D2812" s="13"/>
      <c r="E2812" s="14"/>
      <c r="F2812" s="14"/>
      <c r="G2812" s="14"/>
      <c r="H2812" s="15"/>
      <c r="I2812" s="15"/>
      <c r="J2812" s="3"/>
      <c r="K2812" s="3"/>
      <c r="L2812" s="3"/>
      <c r="M2812" s="3"/>
      <c r="N2812" s="3"/>
      <c r="O2812" s="3"/>
      <c r="P2812" s="3"/>
      <c r="Q2812" s="3"/>
      <c r="R2812" s="3"/>
      <c r="S2812" s="3"/>
      <c r="T2812" s="3"/>
      <c r="U2812" s="3"/>
      <c r="V2812" s="3"/>
      <c r="W2812" s="3"/>
      <c r="X2812" s="3"/>
      <c r="Y2812" s="3"/>
      <c r="Z2812" s="3"/>
      <c r="AA2812" s="3"/>
    </row>
    <row r="2813" ht="105.75" customHeight="1">
      <c r="A2813" s="11"/>
      <c r="B2813" s="12"/>
      <c r="C2813" s="11"/>
      <c r="D2813" s="13"/>
      <c r="E2813" s="14"/>
      <c r="F2813" s="14"/>
      <c r="G2813" s="14"/>
      <c r="H2813" s="15"/>
      <c r="I2813" s="15"/>
      <c r="J2813" s="3"/>
      <c r="K2813" s="3"/>
      <c r="L2813" s="3"/>
      <c r="M2813" s="3"/>
      <c r="N2813" s="3"/>
      <c r="O2813" s="3"/>
      <c r="P2813" s="3"/>
      <c r="Q2813" s="3"/>
      <c r="R2813" s="3"/>
      <c r="S2813" s="3"/>
      <c r="T2813" s="3"/>
      <c r="U2813" s="3"/>
      <c r="V2813" s="3"/>
      <c r="W2813" s="3"/>
      <c r="X2813" s="3"/>
      <c r="Y2813" s="3"/>
      <c r="Z2813" s="3"/>
      <c r="AA2813" s="3"/>
    </row>
    <row r="2814" ht="105.75" customHeight="1">
      <c r="A2814" s="11"/>
      <c r="B2814" s="12"/>
      <c r="C2814" s="11"/>
      <c r="D2814" s="13"/>
      <c r="E2814" s="14"/>
      <c r="F2814" s="14"/>
      <c r="G2814" s="14"/>
      <c r="H2814" s="15"/>
      <c r="I2814" s="15"/>
      <c r="J2814" s="3"/>
      <c r="K2814" s="3"/>
      <c r="L2814" s="3"/>
      <c r="M2814" s="3"/>
      <c r="N2814" s="3"/>
      <c r="O2814" s="3"/>
      <c r="P2814" s="3"/>
      <c r="Q2814" s="3"/>
      <c r="R2814" s="3"/>
      <c r="S2814" s="3"/>
      <c r="T2814" s="3"/>
      <c r="U2814" s="3"/>
      <c r="V2814" s="3"/>
      <c r="W2814" s="3"/>
      <c r="X2814" s="3"/>
      <c r="Y2814" s="3"/>
      <c r="Z2814" s="3"/>
      <c r="AA2814" s="3"/>
    </row>
    <row r="2815" ht="105.75" customHeight="1">
      <c r="A2815" s="11"/>
      <c r="B2815" s="12"/>
      <c r="C2815" s="11"/>
      <c r="D2815" s="13"/>
      <c r="E2815" s="14"/>
      <c r="F2815" s="14"/>
      <c r="G2815" s="14"/>
      <c r="H2815" s="15"/>
      <c r="I2815" s="15"/>
      <c r="J2815" s="3"/>
      <c r="K2815" s="3"/>
      <c r="L2815" s="3"/>
      <c r="M2815" s="3"/>
      <c r="N2815" s="3"/>
      <c r="O2815" s="3"/>
      <c r="P2815" s="3"/>
      <c r="Q2815" s="3"/>
      <c r="R2815" s="3"/>
      <c r="S2815" s="3"/>
      <c r="T2815" s="3"/>
      <c r="U2815" s="3"/>
      <c r="V2815" s="3"/>
      <c r="W2815" s="3"/>
      <c r="X2815" s="3"/>
      <c r="Y2815" s="3"/>
      <c r="Z2815" s="3"/>
      <c r="AA2815" s="3"/>
    </row>
    <row r="2816" ht="105.75" customHeight="1">
      <c r="A2816" s="11"/>
      <c r="B2816" s="12"/>
      <c r="C2816" s="11"/>
      <c r="D2816" s="13"/>
      <c r="E2816" s="14"/>
      <c r="F2816" s="14"/>
      <c r="G2816" s="14"/>
      <c r="H2816" s="15"/>
      <c r="I2816" s="15"/>
      <c r="J2816" s="3"/>
      <c r="K2816" s="3"/>
      <c r="L2816" s="3"/>
      <c r="M2816" s="3"/>
      <c r="N2816" s="3"/>
      <c r="O2816" s="3"/>
      <c r="P2816" s="3"/>
      <c r="Q2816" s="3"/>
      <c r="R2816" s="3"/>
      <c r="S2816" s="3"/>
      <c r="T2816" s="3"/>
      <c r="U2816" s="3"/>
      <c r="V2816" s="3"/>
      <c r="W2816" s="3"/>
      <c r="X2816" s="3"/>
      <c r="Y2816" s="3"/>
      <c r="Z2816" s="3"/>
      <c r="AA2816" s="3"/>
    </row>
    <row r="2817" ht="105.75" customHeight="1">
      <c r="A2817" s="11"/>
      <c r="B2817" s="12"/>
      <c r="C2817" s="11"/>
      <c r="D2817" s="13"/>
      <c r="E2817" s="14"/>
      <c r="F2817" s="14"/>
      <c r="G2817" s="14"/>
      <c r="H2817" s="15"/>
      <c r="I2817" s="15"/>
      <c r="J2817" s="3"/>
      <c r="K2817" s="3"/>
      <c r="L2817" s="3"/>
      <c r="M2817" s="3"/>
      <c r="N2817" s="3"/>
      <c r="O2817" s="3"/>
      <c r="P2817" s="3"/>
      <c r="Q2817" s="3"/>
      <c r="R2817" s="3"/>
      <c r="S2817" s="3"/>
      <c r="T2817" s="3"/>
      <c r="U2817" s="3"/>
      <c r="V2817" s="3"/>
      <c r="W2817" s="3"/>
      <c r="X2817" s="3"/>
      <c r="Y2817" s="3"/>
      <c r="Z2817" s="3"/>
      <c r="AA2817" s="3"/>
    </row>
    <row r="2818" ht="105.75" customHeight="1">
      <c r="A2818" s="11"/>
      <c r="B2818" s="12"/>
      <c r="C2818" s="11"/>
      <c r="D2818" s="13"/>
      <c r="E2818" s="14"/>
      <c r="F2818" s="14"/>
      <c r="G2818" s="14"/>
      <c r="H2818" s="15"/>
      <c r="I2818" s="15"/>
      <c r="J2818" s="3"/>
      <c r="K2818" s="3"/>
      <c r="L2818" s="3"/>
      <c r="M2818" s="3"/>
      <c r="N2818" s="3"/>
      <c r="O2818" s="3"/>
      <c r="P2818" s="3"/>
      <c r="Q2818" s="3"/>
      <c r="R2818" s="3"/>
      <c r="S2818" s="3"/>
      <c r="T2818" s="3"/>
      <c r="U2818" s="3"/>
      <c r="V2818" s="3"/>
      <c r="W2818" s="3"/>
      <c r="X2818" s="3"/>
      <c r="Y2818" s="3"/>
      <c r="Z2818" s="3"/>
      <c r="AA2818" s="3"/>
    </row>
    <row r="2819" ht="105.75" customHeight="1">
      <c r="A2819" s="11"/>
      <c r="B2819" s="12"/>
      <c r="C2819" s="11"/>
      <c r="D2819" s="13"/>
      <c r="E2819" s="14"/>
      <c r="F2819" s="14"/>
      <c r="G2819" s="14"/>
      <c r="H2819" s="15"/>
      <c r="I2819" s="15"/>
      <c r="J2819" s="3"/>
      <c r="K2819" s="3"/>
      <c r="L2819" s="3"/>
      <c r="M2819" s="3"/>
      <c r="N2819" s="3"/>
      <c r="O2819" s="3"/>
      <c r="P2819" s="3"/>
      <c r="Q2819" s="3"/>
      <c r="R2819" s="3"/>
      <c r="S2819" s="3"/>
      <c r="T2819" s="3"/>
      <c r="U2819" s="3"/>
      <c r="V2819" s="3"/>
      <c r="W2819" s="3"/>
      <c r="X2819" s="3"/>
      <c r="Y2819" s="3"/>
      <c r="Z2819" s="3"/>
      <c r="AA2819" s="3"/>
    </row>
    <row r="2820" ht="105.75" customHeight="1">
      <c r="A2820" s="11"/>
      <c r="B2820" s="12"/>
      <c r="C2820" s="11"/>
      <c r="D2820" s="13"/>
      <c r="E2820" s="14"/>
      <c r="F2820" s="14"/>
      <c r="G2820" s="14"/>
      <c r="H2820" s="15"/>
      <c r="I2820" s="15"/>
      <c r="J2820" s="3"/>
      <c r="K2820" s="3"/>
      <c r="L2820" s="3"/>
      <c r="M2820" s="3"/>
      <c r="N2820" s="3"/>
      <c r="O2820" s="3"/>
      <c r="P2820" s="3"/>
      <c r="Q2820" s="3"/>
      <c r="R2820" s="3"/>
      <c r="S2820" s="3"/>
      <c r="T2820" s="3"/>
      <c r="U2820" s="3"/>
      <c r="V2820" s="3"/>
      <c r="W2820" s="3"/>
      <c r="X2820" s="3"/>
      <c r="Y2820" s="3"/>
      <c r="Z2820" s="3"/>
      <c r="AA2820" s="3"/>
    </row>
    <row r="2821" ht="105.75" customHeight="1">
      <c r="A2821" s="11"/>
      <c r="B2821" s="12"/>
      <c r="C2821" s="11"/>
      <c r="D2821" s="13"/>
      <c r="E2821" s="16"/>
      <c r="F2821" s="16"/>
      <c r="G2821" s="16"/>
      <c r="H2821" s="15"/>
      <c r="I2821" s="15"/>
      <c r="J2821" s="3"/>
      <c r="K2821" s="3"/>
      <c r="L2821" s="3"/>
      <c r="M2821" s="3"/>
      <c r="N2821" s="3"/>
      <c r="O2821" s="3"/>
      <c r="P2821" s="3"/>
      <c r="Q2821" s="3"/>
      <c r="R2821" s="3"/>
      <c r="S2821" s="3"/>
      <c r="T2821" s="3"/>
      <c r="U2821" s="3"/>
      <c r="V2821" s="3"/>
      <c r="W2821" s="3"/>
      <c r="X2821" s="3"/>
      <c r="Y2821" s="3"/>
      <c r="Z2821" s="3"/>
      <c r="AA2821" s="3"/>
    </row>
    <row r="2822" ht="105.75" customHeight="1">
      <c r="A2822" s="11"/>
      <c r="B2822" s="12"/>
      <c r="C2822" s="11"/>
      <c r="D2822" s="13"/>
      <c r="E2822" s="14"/>
      <c r="F2822" s="14"/>
      <c r="G2822" s="14"/>
      <c r="H2822" s="15"/>
      <c r="I2822" s="15"/>
      <c r="J2822" s="3"/>
      <c r="K2822" s="3"/>
      <c r="L2822" s="3"/>
      <c r="M2822" s="3"/>
      <c r="N2822" s="3"/>
      <c r="O2822" s="3"/>
      <c r="P2822" s="3"/>
      <c r="Q2822" s="3"/>
      <c r="R2822" s="3"/>
      <c r="S2822" s="3"/>
      <c r="T2822" s="3"/>
      <c r="U2822" s="3"/>
      <c r="V2822" s="3"/>
      <c r="W2822" s="3"/>
      <c r="X2822" s="3"/>
      <c r="Y2822" s="3"/>
      <c r="Z2822" s="3"/>
      <c r="AA2822" s="3"/>
    </row>
    <row r="2823" ht="105.75" customHeight="1">
      <c r="A2823" s="11"/>
      <c r="B2823" s="12"/>
      <c r="C2823" s="11"/>
      <c r="D2823" s="13"/>
      <c r="E2823" s="14"/>
      <c r="F2823" s="14"/>
      <c r="G2823" s="14"/>
      <c r="H2823" s="15"/>
      <c r="I2823" s="15"/>
      <c r="J2823" s="3"/>
      <c r="K2823" s="3"/>
      <c r="L2823" s="3"/>
      <c r="M2823" s="3"/>
      <c r="N2823" s="3"/>
      <c r="O2823" s="3"/>
      <c r="P2823" s="3"/>
      <c r="Q2823" s="3"/>
      <c r="R2823" s="3"/>
      <c r="S2823" s="3"/>
      <c r="T2823" s="3"/>
      <c r="U2823" s="3"/>
      <c r="V2823" s="3"/>
      <c r="W2823" s="3"/>
      <c r="X2823" s="3"/>
      <c r="Y2823" s="3"/>
      <c r="Z2823" s="3"/>
      <c r="AA2823" s="3"/>
    </row>
    <row r="2824" ht="105.75" customHeight="1">
      <c r="A2824" s="11"/>
      <c r="B2824" s="12"/>
      <c r="C2824" s="11"/>
      <c r="D2824" s="13"/>
      <c r="E2824" s="14"/>
      <c r="F2824" s="14"/>
      <c r="G2824" s="14"/>
      <c r="H2824" s="15"/>
      <c r="I2824" s="15"/>
      <c r="J2824" s="3"/>
      <c r="K2824" s="3"/>
      <c r="L2824" s="3"/>
      <c r="M2824" s="3"/>
      <c r="N2824" s="3"/>
      <c r="O2824" s="3"/>
      <c r="P2824" s="3"/>
      <c r="Q2824" s="3"/>
      <c r="R2824" s="3"/>
      <c r="S2824" s="3"/>
      <c r="T2824" s="3"/>
      <c r="U2824" s="3"/>
      <c r="V2824" s="3"/>
      <c r="W2824" s="3"/>
      <c r="X2824" s="3"/>
      <c r="Y2824" s="3"/>
      <c r="Z2824" s="3"/>
      <c r="AA2824" s="3"/>
    </row>
    <row r="2825" ht="105.75" customHeight="1">
      <c r="A2825" s="11"/>
      <c r="B2825" s="12"/>
      <c r="C2825" s="11"/>
      <c r="D2825" s="13"/>
      <c r="E2825" s="14"/>
      <c r="F2825" s="14"/>
      <c r="G2825" s="14"/>
      <c r="H2825" s="15"/>
      <c r="I2825" s="15"/>
      <c r="J2825" s="3"/>
      <c r="K2825" s="3"/>
      <c r="L2825" s="3"/>
      <c r="M2825" s="3"/>
      <c r="N2825" s="3"/>
      <c r="O2825" s="3"/>
      <c r="P2825" s="3"/>
      <c r="Q2825" s="3"/>
      <c r="R2825" s="3"/>
      <c r="S2825" s="3"/>
      <c r="T2825" s="3"/>
      <c r="U2825" s="3"/>
      <c r="V2825" s="3"/>
      <c r="W2825" s="3"/>
      <c r="X2825" s="3"/>
      <c r="Y2825" s="3"/>
      <c r="Z2825" s="3"/>
      <c r="AA2825" s="3"/>
    </row>
    <row r="2826" ht="105.75" customHeight="1">
      <c r="A2826" s="11"/>
      <c r="B2826" s="12"/>
      <c r="C2826" s="11"/>
      <c r="D2826" s="13"/>
      <c r="E2826" s="14"/>
      <c r="F2826" s="14"/>
      <c r="G2826" s="14"/>
      <c r="H2826" s="15"/>
      <c r="I2826" s="15"/>
      <c r="J2826" s="3"/>
      <c r="K2826" s="3"/>
      <c r="L2826" s="3"/>
      <c r="M2826" s="3"/>
      <c r="N2826" s="3"/>
      <c r="O2826" s="3"/>
      <c r="P2826" s="3"/>
      <c r="Q2826" s="3"/>
      <c r="R2826" s="3"/>
      <c r="S2826" s="3"/>
      <c r="T2826" s="3"/>
      <c r="U2826" s="3"/>
      <c r="V2826" s="3"/>
      <c r="W2826" s="3"/>
      <c r="X2826" s="3"/>
      <c r="Y2826" s="3"/>
      <c r="Z2826" s="3"/>
      <c r="AA2826" s="3"/>
    </row>
    <row r="2827" ht="105.75" customHeight="1">
      <c r="A2827" s="11"/>
      <c r="B2827" s="12"/>
      <c r="C2827" s="11"/>
      <c r="D2827" s="13"/>
      <c r="E2827" s="14"/>
      <c r="F2827" s="14"/>
      <c r="G2827" s="14"/>
      <c r="H2827" s="15"/>
      <c r="I2827" s="15"/>
      <c r="J2827" s="3"/>
      <c r="K2827" s="3"/>
      <c r="L2827" s="3"/>
      <c r="M2827" s="3"/>
      <c r="N2827" s="3"/>
      <c r="O2827" s="3"/>
      <c r="P2827" s="3"/>
      <c r="Q2827" s="3"/>
      <c r="R2827" s="3"/>
      <c r="S2827" s="3"/>
      <c r="T2827" s="3"/>
      <c r="U2827" s="3"/>
      <c r="V2827" s="3"/>
      <c r="W2827" s="3"/>
      <c r="X2827" s="3"/>
      <c r="Y2827" s="3"/>
      <c r="Z2827" s="3"/>
      <c r="AA2827" s="3"/>
    </row>
    <row r="2828" ht="105.75" customHeight="1">
      <c r="A2828" s="11"/>
      <c r="B2828" s="12"/>
      <c r="C2828" s="11"/>
      <c r="D2828" s="13"/>
      <c r="E2828" s="14"/>
      <c r="F2828" s="14"/>
      <c r="G2828" s="14"/>
      <c r="H2828" s="15"/>
      <c r="I2828" s="15"/>
      <c r="J2828" s="3"/>
      <c r="K2828" s="3"/>
      <c r="L2828" s="3"/>
      <c r="M2828" s="3"/>
      <c r="N2828" s="3"/>
      <c r="O2828" s="3"/>
      <c r="P2828" s="3"/>
      <c r="Q2828" s="3"/>
      <c r="R2828" s="3"/>
      <c r="S2828" s="3"/>
      <c r="T2828" s="3"/>
      <c r="U2828" s="3"/>
      <c r="V2828" s="3"/>
      <c r="W2828" s="3"/>
      <c r="X2828" s="3"/>
      <c r="Y2828" s="3"/>
      <c r="Z2828" s="3"/>
      <c r="AA2828" s="3"/>
    </row>
    <row r="2829" ht="105.75" customHeight="1">
      <c r="A2829" s="11"/>
      <c r="B2829" s="12"/>
      <c r="C2829" s="11"/>
      <c r="D2829" s="13"/>
      <c r="E2829" s="14"/>
      <c r="F2829" s="14"/>
      <c r="G2829" s="14"/>
      <c r="H2829" s="15"/>
      <c r="I2829" s="15"/>
      <c r="J2829" s="3"/>
      <c r="K2829" s="3"/>
      <c r="L2829" s="3"/>
      <c r="M2829" s="3"/>
      <c r="N2829" s="3"/>
      <c r="O2829" s="3"/>
      <c r="P2829" s="3"/>
      <c r="Q2829" s="3"/>
      <c r="R2829" s="3"/>
      <c r="S2829" s="3"/>
      <c r="T2829" s="3"/>
      <c r="U2829" s="3"/>
      <c r="V2829" s="3"/>
      <c r="W2829" s="3"/>
      <c r="X2829" s="3"/>
      <c r="Y2829" s="3"/>
      <c r="Z2829" s="3"/>
      <c r="AA2829" s="3"/>
    </row>
    <row r="2830" ht="105.75" customHeight="1">
      <c r="A2830" s="11"/>
      <c r="B2830" s="12"/>
      <c r="C2830" s="11"/>
      <c r="D2830" s="13"/>
      <c r="E2830" s="14"/>
      <c r="F2830" s="14"/>
      <c r="G2830" s="14"/>
      <c r="H2830" s="15"/>
      <c r="I2830" s="15"/>
      <c r="J2830" s="3"/>
      <c r="K2830" s="3"/>
      <c r="L2830" s="3"/>
      <c r="M2830" s="3"/>
      <c r="N2830" s="3"/>
      <c r="O2830" s="3"/>
      <c r="P2830" s="3"/>
      <c r="Q2830" s="3"/>
      <c r="R2830" s="3"/>
      <c r="S2830" s="3"/>
      <c r="T2830" s="3"/>
      <c r="U2830" s="3"/>
      <c r="V2830" s="3"/>
      <c r="W2830" s="3"/>
      <c r="X2830" s="3"/>
      <c r="Y2830" s="3"/>
      <c r="Z2830" s="3"/>
      <c r="AA2830" s="3"/>
    </row>
    <row r="2831" ht="105.75" customHeight="1">
      <c r="A2831" s="11"/>
      <c r="B2831" s="12"/>
      <c r="C2831" s="11"/>
      <c r="D2831" s="13"/>
      <c r="E2831" s="14"/>
      <c r="F2831" s="14"/>
      <c r="G2831" s="14"/>
      <c r="H2831" s="15"/>
      <c r="I2831" s="15"/>
      <c r="J2831" s="3"/>
      <c r="K2831" s="3"/>
      <c r="L2831" s="3"/>
      <c r="M2831" s="3"/>
      <c r="N2831" s="3"/>
      <c r="O2831" s="3"/>
      <c r="P2831" s="3"/>
      <c r="Q2831" s="3"/>
      <c r="R2831" s="3"/>
      <c r="S2831" s="3"/>
      <c r="T2831" s="3"/>
      <c r="U2831" s="3"/>
      <c r="V2831" s="3"/>
      <c r="W2831" s="3"/>
      <c r="X2831" s="3"/>
      <c r="Y2831" s="3"/>
      <c r="Z2831" s="3"/>
      <c r="AA2831" s="3"/>
    </row>
    <row r="2832" ht="105.75" customHeight="1">
      <c r="A2832" s="11"/>
      <c r="B2832" s="12"/>
      <c r="C2832" s="11"/>
      <c r="D2832" s="13"/>
      <c r="E2832" s="14"/>
      <c r="F2832" s="14"/>
      <c r="G2832" s="14"/>
      <c r="H2832" s="15"/>
      <c r="I2832" s="15"/>
      <c r="J2832" s="3"/>
      <c r="K2832" s="3"/>
      <c r="L2832" s="3"/>
      <c r="M2832" s="3"/>
      <c r="N2832" s="3"/>
      <c r="O2832" s="3"/>
      <c r="P2832" s="3"/>
      <c r="Q2832" s="3"/>
      <c r="R2832" s="3"/>
      <c r="S2832" s="3"/>
      <c r="T2832" s="3"/>
      <c r="U2832" s="3"/>
      <c r="V2832" s="3"/>
      <c r="W2832" s="3"/>
      <c r="X2832" s="3"/>
      <c r="Y2832" s="3"/>
      <c r="Z2832" s="3"/>
      <c r="AA2832" s="3"/>
    </row>
    <row r="2833" ht="105.75" customHeight="1">
      <c r="A2833" s="11"/>
      <c r="B2833" s="12"/>
      <c r="C2833" s="11"/>
      <c r="D2833" s="13"/>
      <c r="E2833" s="14"/>
      <c r="F2833" s="14"/>
      <c r="G2833" s="14"/>
      <c r="H2833" s="15"/>
      <c r="I2833" s="15"/>
      <c r="J2833" s="3"/>
      <c r="K2833" s="3"/>
      <c r="L2833" s="3"/>
      <c r="M2833" s="3"/>
      <c r="N2833" s="3"/>
      <c r="O2833" s="3"/>
      <c r="P2833" s="3"/>
      <c r="Q2833" s="3"/>
      <c r="R2833" s="3"/>
      <c r="S2833" s="3"/>
      <c r="T2833" s="3"/>
      <c r="U2833" s="3"/>
      <c r="V2833" s="3"/>
      <c r="W2833" s="3"/>
      <c r="X2833" s="3"/>
      <c r="Y2833" s="3"/>
      <c r="Z2833" s="3"/>
      <c r="AA2833" s="3"/>
    </row>
    <row r="2834" ht="105.75" customHeight="1">
      <c r="A2834" s="11"/>
      <c r="B2834" s="12"/>
      <c r="C2834" s="11"/>
      <c r="D2834" s="13"/>
      <c r="E2834" s="14"/>
      <c r="F2834" s="14"/>
      <c r="G2834" s="14"/>
      <c r="H2834" s="15"/>
      <c r="I2834" s="15"/>
      <c r="J2834" s="3"/>
      <c r="K2834" s="3"/>
      <c r="L2834" s="3"/>
      <c r="M2834" s="3"/>
      <c r="N2834" s="3"/>
      <c r="O2834" s="3"/>
      <c r="P2834" s="3"/>
      <c r="Q2834" s="3"/>
      <c r="R2834" s="3"/>
      <c r="S2834" s="3"/>
      <c r="T2834" s="3"/>
      <c r="U2834" s="3"/>
      <c r="V2834" s="3"/>
      <c r="W2834" s="3"/>
      <c r="X2834" s="3"/>
      <c r="Y2834" s="3"/>
      <c r="Z2834" s="3"/>
      <c r="AA2834" s="3"/>
    </row>
    <row r="2835" ht="105.75" customHeight="1">
      <c r="A2835" s="11"/>
      <c r="B2835" s="12"/>
      <c r="C2835" s="11"/>
      <c r="D2835" s="13"/>
      <c r="E2835" s="16"/>
      <c r="F2835" s="16"/>
      <c r="G2835" s="16"/>
      <c r="H2835" s="15"/>
      <c r="I2835" s="15"/>
      <c r="J2835" s="3"/>
      <c r="K2835" s="3"/>
      <c r="L2835" s="3"/>
      <c r="M2835" s="3"/>
      <c r="N2835" s="3"/>
      <c r="O2835" s="3"/>
      <c r="P2835" s="3"/>
      <c r="Q2835" s="3"/>
      <c r="R2835" s="3"/>
      <c r="S2835" s="3"/>
      <c r="T2835" s="3"/>
      <c r="U2835" s="3"/>
      <c r="V2835" s="3"/>
      <c r="W2835" s="3"/>
      <c r="X2835" s="3"/>
      <c r="Y2835" s="3"/>
      <c r="Z2835" s="3"/>
      <c r="AA2835" s="3"/>
    </row>
    <row r="2836" ht="105.75" customHeight="1">
      <c r="A2836" s="11"/>
      <c r="B2836" s="12"/>
      <c r="C2836" s="11"/>
      <c r="D2836" s="13"/>
      <c r="E2836" s="14"/>
      <c r="F2836" s="14"/>
      <c r="G2836" s="14"/>
      <c r="H2836" s="15"/>
      <c r="I2836" s="15"/>
      <c r="J2836" s="3"/>
      <c r="K2836" s="3"/>
      <c r="L2836" s="3"/>
      <c r="M2836" s="3"/>
      <c r="N2836" s="3"/>
      <c r="O2836" s="3"/>
      <c r="P2836" s="3"/>
      <c r="Q2836" s="3"/>
      <c r="R2836" s="3"/>
      <c r="S2836" s="3"/>
      <c r="T2836" s="3"/>
      <c r="U2836" s="3"/>
      <c r="V2836" s="3"/>
      <c r="W2836" s="3"/>
      <c r="X2836" s="3"/>
      <c r="Y2836" s="3"/>
      <c r="Z2836" s="3"/>
      <c r="AA2836" s="3"/>
    </row>
    <row r="2837" ht="105.75" customHeight="1">
      <c r="A2837" s="11"/>
      <c r="B2837" s="12"/>
      <c r="C2837" s="11"/>
      <c r="D2837" s="13"/>
      <c r="E2837" s="14"/>
      <c r="F2837" s="14"/>
      <c r="G2837" s="14"/>
      <c r="H2837" s="15"/>
      <c r="I2837" s="15"/>
      <c r="J2837" s="3"/>
      <c r="K2837" s="3"/>
      <c r="L2837" s="3"/>
      <c r="M2837" s="3"/>
      <c r="N2837" s="3"/>
      <c r="O2837" s="3"/>
      <c r="P2837" s="3"/>
      <c r="Q2837" s="3"/>
      <c r="R2837" s="3"/>
      <c r="S2837" s="3"/>
      <c r="T2837" s="3"/>
      <c r="U2837" s="3"/>
      <c r="V2837" s="3"/>
      <c r="W2837" s="3"/>
      <c r="X2837" s="3"/>
      <c r="Y2837" s="3"/>
      <c r="Z2837" s="3"/>
      <c r="AA2837" s="3"/>
    </row>
    <row r="2838" ht="105.75" customHeight="1">
      <c r="A2838" s="11"/>
      <c r="B2838" s="12"/>
      <c r="C2838" s="11"/>
      <c r="D2838" s="13"/>
      <c r="E2838" s="14"/>
      <c r="F2838" s="14"/>
      <c r="G2838" s="14"/>
      <c r="H2838" s="15"/>
      <c r="I2838" s="15"/>
      <c r="J2838" s="3"/>
      <c r="K2838" s="3"/>
      <c r="L2838" s="3"/>
      <c r="M2838" s="3"/>
      <c r="N2838" s="3"/>
      <c r="O2838" s="3"/>
      <c r="P2838" s="3"/>
      <c r="Q2838" s="3"/>
      <c r="R2838" s="3"/>
      <c r="S2838" s="3"/>
      <c r="T2838" s="3"/>
      <c r="U2838" s="3"/>
      <c r="V2838" s="3"/>
      <c r="W2838" s="3"/>
      <c r="X2838" s="3"/>
      <c r="Y2838" s="3"/>
      <c r="Z2838" s="3"/>
      <c r="AA2838" s="3"/>
    </row>
    <row r="2839" ht="105.75" customHeight="1">
      <c r="A2839" s="11"/>
      <c r="B2839" s="12"/>
      <c r="C2839" s="11"/>
      <c r="D2839" s="13"/>
      <c r="E2839" s="14"/>
      <c r="F2839" s="14"/>
      <c r="G2839" s="14"/>
      <c r="H2839" s="15"/>
      <c r="I2839" s="15"/>
      <c r="J2839" s="3"/>
      <c r="K2839" s="3"/>
      <c r="L2839" s="3"/>
      <c r="M2839" s="3"/>
      <c r="N2839" s="3"/>
      <c r="O2839" s="3"/>
      <c r="P2839" s="3"/>
      <c r="Q2839" s="3"/>
      <c r="R2839" s="3"/>
      <c r="S2839" s="3"/>
      <c r="T2839" s="3"/>
      <c r="U2839" s="3"/>
      <c r="V2839" s="3"/>
      <c r="W2839" s="3"/>
      <c r="X2839" s="3"/>
      <c r="Y2839" s="3"/>
      <c r="Z2839" s="3"/>
      <c r="AA2839" s="3"/>
    </row>
    <row r="2840" ht="105.75" customHeight="1">
      <c r="A2840" s="11"/>
      <c r="B2840" s="12"/>
      <c r="C2840" s="11"/>
      <c r="D2840" s="13"/>
      <c r="E2840" s="14"/>
      <c r="F2840" s="14"/>
      <c r="G2840" s="14"/>
      <c r="H2840" s="15"/>
      <c r="I2840" s="15"/>
      <c r="J2840" s="3"/>
      <c r="K2840" s="3"/>
      <c r="L2840" s="3"/>
      <c r="M2840" s="3"/>
      <c r="N2840" s="3"/>
      <c r="O2840" s="3"/>
      <c r="P2840" s="3"/>
      <c r="Q2840" s="3"/>
      <c r="R2840" s="3"/>
      <c r="S2840" s="3"/>
      <c r="T2840" s="3"/>
      <c r="U2840" s="3"/>
      <c r="V2840" s="3"/>
      <c r="W2840" s="3"/>
      <c r="X2840" s="3"/>
      <c r="Y2840" s="3"/>
      <c r="Z2840" s="3"/>
      <c r="AA2840" s="3"/>
    </row>
    <row r="2841" ht="105.75" customHeight="1">
      <c r="A2841" s="11"/>
      <c r="B2841" s="12"/>
      <c r="C2841" s="11"/>
      <c r="D2841" s="13"/>
      <c r="E2841" s="14"/>
      <c r="F2841" s="14"/>
      <c r="G2841" s="14"/>
      <c r="H2841" s="15"/>
      <c r="I2841" s="15"/>
      <c r="J2841" s="3"/>
      <c r="K2841" s="3"/>
      <c r="L2841" s="3"/>
      <c r="M2841" s="3"/>
      <c r="N2841" s="3"/>
      <c r="O2841" s="3"/>
      <c r="P2841" s="3"/>
      <c r="Q2841" s="3"/>
      <c r="R2841" s="3"/>
      <c r="S2841" s="3"/>
      <c r="T2841" s="3"/>
      <c r="U2841" s="3"/>
      <c r="V2841" s="3"/>
      <c r="W2841" s="3"/>
      <c r="X2841" s="3"/>
      <c r="Y2841" s="3"/>
      <c r="Z2841" s="3"/>
      <c r="AA2841" s="3"/>
    </row>
    <row r="2842" ht="105.75" customHeight="1">
      <c r="A2842" s="11"/>
      <c r="B2842" s="12"/>
      <c r="C2842" s="11"/>
      <c r="D2842" s="13"/>
      <c r="E2842" s="16"/>
      <c r="F2842" s="16"/>
      <c r="G2842" s="16"/>
      <c r="H2842" s="15"/>
      <c r="I2842" s="15"/>
      <c r="J2842" s="3"/>
      <c r="K2842" s="3"/>
      <c r="L2842" s="3"/>
      <c r="M2842" s="3"/>
      <c r="N2842" s="3"/>
      <c r="O2842" s="3"/>
      <c r="P2842" s="3"/>
      <c r="Q2842" s="3"/>
      <c r="R2842" s="3"/>
      <c r="S2842" s="3"/>
      <c r="T2842" s="3"/>
      <c r="U2842" s="3"/>
      <c r="V2842" s="3"/>
      <c r="W2842" s="3"/>
      <c r="X2842" s="3"/>
      <c r="Y2842" s="3"/>
      <c r="Z2842" s="3"/>
      <c r="AA2842" s="3"/>
    </row>
    <row r="2843" ht="105.75" customHeight="1">
      <c r="A2843" s="11"/>
      <c r="B2843" s="12"/>
      <c r="C2843" s="11"/>
      <c r="D2843" s="13"/>
      <c r="E2843" s="14"/>
      <c r="F2843" s="14"/>
      <c r="G2843" s="14"/>
      <c r="H2843" s="15"/>
      <c r="I2843" s="15"/>
      <c r="J2843" s="3"/>
      <c r="K2843" s="3"/>
      <c r="L2843" s="3"/>
      <c r="M2843" s="3"/>
      <c r="N2843" s="3"/>
      <c r="O2843" s="3"/>
      <c r="P2843" s="3"/>
      <c r="Q2843" s="3"/>
      <c r="R2843" s="3"/>
      <c r="S2843" s="3"/>
      <c r="T2843" s="3"/>
      <c r="U2843" s="3"/>
      <c r="V2843" s="3"/>
      <c r="W2843" s="3"/>
      <c r="X2843" s="3"/>
      <c r="Y2843" s="3"/>
      <c r="Z2843" s="3"/>
      <c r="AA2843" s="3"/>
    </row>
    <row r="2844" ht="105.75" customHeight="1">
      <c r="A2844" s="11"/>
      <c r="B2844" s="12"/>
      <c r="C2844" s="11"/>
      <c r="D2844" s="13"/>
      <c r="E2844" s="14"/>
      <c r="F2844" s="14"/>
      <c r="G2844" s="14"/>
      <c r="H2844" s="15"/>
      <c r="I2844" s="15"/>
      <c r="J2844" s="3"/>
      <c r="K2844" s="3"/>
      <c r="L2844" s="3"/>
      <c r="M2844" s="3"/>
      <c r="N2844" s="3"/>
      <c r="O2844" s="3"/>
      <c r="P2844" s="3"/>
      <c r="Q2844" s="3"/>
      <c r="R2844" s="3"/>
      <c r="S2844" s="3"/>
      <c r="T2844" s="3"/>
      <c r="U2844" s="3"/>
      <c r="V2844" s="3"/>
      <c r="W2844" s="3"/>
      <c r="X2844" s="3"/>
      <c r="Y2844" s="3"/>
      <c r="Z2844" s="3"/>
      <c r="AA2844" s="3"/>
    </row>
    <row r="2845" ht="105.75" customHeight="1">
      <c r="A2845" s="11"/>
      <c r="B2845" s="12"/>
      <c r="C2845" s="11"/>
      <c r="D2845" s="13"/>
      <c r="E2845" s="16"/>
      <c r="F2845" s="16"/>
      <c r="G2845" s="16"/>
      <c r="H2845" s="15"/>
      <c r="I2845" s="15"/>
      <c r="J2845" s="3"/>
      <c r="K2845" s="3"/>
      <c r="L2845" s="3"/>
      <c r="M2845" s="3"/>
      <c r="N2845" s="3"/>
      <c r="O2845" s="3"/>
      <c r="P2845" s="3"/>
      <c r="Q2845" s="3"/>
      <c r="R2845" s="3"/>
      <c r="S2845" s="3"/>
      <c r="T2845" s="3"/>
      <c r="U2845" s="3"/>
      <c r="V2845" s="3"/>
      <c r="W2845" s="3"/>
      <c r="X2845" s="3"/>
      <c r="Y2845" s="3"/>
      <c r="Z2845" s="3"/>
      <c r="AA2845" s="3"/>
    </row>
    <row r="2846" ht="105.75" customHeight="1">
      <c r="A2846" s="11"/>
      <c r="B2846" s="12"/>
      <c r="C2846" s="11"/>
      <c r="D2846" s="13"/>
      <c r="E2846" s="14"/>
      <c r="F2846" s="14"/>
      <c r="G2846" s="14"/>
      <c r="H2846" s="15"/>
      <c r="I2846" s="15"/>
      <c r="J2846" s="3"/>
      <c r="K2846" s="3"/>
      <c r="L2846" s="3"/>
      <c r="M2846" s="3"/>
      <c r="N2846" s="3"/>
      <c r="O2846" s="3"/>
      <c r="P2846" s="3"/>
      <c r="Q2846" s="3"/>
      <c r="R2846" s="3"/>
      <c r="S2846" s="3"/>
      <c r="T2846" s="3"/>
      <c r="U2846" s="3"/>
      <c r="V2846" s="3"/>
      <c r="W2846" s="3"/>
      <c r="X2846" s="3"/>
      <c r="Y2846" s="3"/>
      <c r="Z2846" s="3"/>
      <c r="AA2846" s="3"/>
    </row>
    <row r="2847" ht="105.75" customHeight="1">
      <c r="A2847" s="11"/>
      <c r="B2847" s="12"/>
      <c r="C2847" s="11"/>
      <c r="D2847" s="13"/>
      <c r="E2847" s="14"/>
      <c r="F2847" s="14"/>
      <c r="G2847" s="14"/>
      <c r="H2847" s="15"/>
      <c r="I2847" s="15"/>
      <c r="J2847" s="3"/>
      <c r="K2847" s="3"/>
      <c r="L2847" s="3"/>
      <c r="M2847" s="3"/>
      <c r="N2847" s="3"/>
      <c r="O2847" s="3"/>
      <c r="P2847" s="3"/>
      <c r="Q2847" s="3"/>
      <c r="R2847" s="3"/>
      <c r="S2847" s="3"/>
      <c r="T2847" s="3"/>
      <c r="U2847" s="3"/>
      <c r="V2847" s="3"/>
      <c r="W2847" s="3"/>
      <c r="X2847" s="3"/>
      <c r="Y2847" s="3"/>
      <c r="Z2847" s="3"/>
      <c r="AA2847" s="3"/>
    </row>
    <row r="2848" ht="105.75" customHeight="1">
      <c r="A2848" s="11"/>
      <c r="B2848" s="12"/>
      <c r="C2848" s="11"/>
      <c r="D2848" s="13"/>
      <c r="E2848" s="14"/>
      <c r="F2848" s="14"/>
      <c r="G2848" s="14"/>
      <c r="H2848" s="15"/>
      <c r="I2848" s="15"/>
      <c r="J2848" s="3"/>
      <c r="K2848" s="3"/>
      <c r="L2848" s="3"/>
      <c r="M2848" s="3"/>
      <c r="N2848" s="3"/>
      <c r="O2848" s="3"/>
      <c r="P2848" s="3"/>
      <c r="Q2848" s="3"/>
      <c r="R2848" s="3"/>
      <c r="S2848" s="3"/>
      <c r="T2848" s="3"/>
      <c r="U2848" s="3"/>
      <c r="V2848" s="3"/>
      <c r="W2848" s="3"/>
      <c r="X2848" s="3"/>
      <c r="Y2848" s="3"/>
      <c r="Z2848" s="3"/>
      <c r="AA2848" s="3"/>
    </row>
    <row r="2849" ht="105.75" customHeight="1">
      <c r="A2849" s="11"/>
      <c r="B2849" s="12"/>
      <c r="C2849" s="11"/>
      <c r="D2849" s="13"/>
      <c r="E2849" s="14"/>
      <c r="F2849" s="14"/>
      <c r="G2849" s="14"/>
      <c r="H2849" s="15"/>
      <c r="I2849" s="15"/>
      <c r="J2849" s="3"/>
      <c r="K2849" s="3"/>
      <c r="L2849" s="3"/>
      <c r="M2849" s="3"/>
      <c r="N2849" s="3"/>
      <c r="O2849" s="3"/>
      <c r="P2849" s="3"/>
      <c r="Q2849" s="3"/>
      <c r="R2849" s="3"/>
      <c r="S2849" s="3"/>
      <c r="T2849" s="3"/>
      <c r="U2849" s="3"/>
      <c r="V2849" s="3"/>
      <c r="W2849" s="3"/>
      <c r="X2849" s="3"/>
      <c r="Y2849" s="3"/>
      <c r="Z2849" s="3"/>
      <c r="AA2849" s="3"/>
    </row>
    <row r="2850" ht="105.75" customHeight="1">
      <c r="A2850" s="11"/>
      <c r="B2850" s="12"/>
      <c r="C2850" s="11"/>
      <c r="D2850" s="13"/>
      <c r="E2850" s="14"/>
      <c r="F2850" s="14"/>
      <c r="G2850" s="14"/>
      <c r="H2850" s="15"/>
      <c r="I2850" s="15"/>
      <c r="J2850" s="3"/>
      <c r="K2850" s="3"/>
      <c r="L2850" s="3"/>
      <c r="M2850" s="3"/>
      <c r="N2850" s="3"/>
      <c r="O2850" s="3"/>
      <c r="P2850" s="3"/>
      <c r="Q2850" s="3"/>
      <c r="R2850" s="3"/>
      <c r="S2850" s="3"/>
      <c r="T2850" s="3"/>
      <c r="U2850" s="3"/>
      <c r="V2850" s="3"/>
      <c r="W2850" s="3"/>
      <c r="X2850" s="3"/>
      <c r="Y2850" s="3"/>
      <c r="Z2850" s="3"/>
      <c r="AA2850" s="3"/>
    </row>
    <row r="2851" ht="105.75" customHeight="1">
      <c r="A2851" s="11"/>
      <c r="B2851" s="12"/>
      <c r="C2851" s="11"/>
      <c r="D2851" s="13"/>
      <c r="E2851" s="14"/>
      <c r="F2851" s="14"/>
      <c r="G2851" s="14"/>
      <c r="H2851" s="15"/>
      <c r="I2851" s="15"/>
      <c r="J2851" s="3"/>
      <c r="K2851" s="3"/>
      <c r="L2851" s="3"/>
      <c r="M2851" s="3"/>
      <c r="N2851" s="3"/>
      <c r="O2851" s="3"/>
      <c r="P2851" s="3"/>
      <c r="Q2851" s="3"/>
      <c r="R2851" s="3"/>
      <c r="S2851" s="3"/>
      <c r="T2851" s="3"/>
      <c r="U2851" s="3"/>
      <c r="V2851" s="3"/>
      <c r="W2851" s="3"/>
      <c r="X2851" s="3"/>
      <c r="Y2851" s="3"/>
      <c r="Z2851" s="3"/>
      <c r="AA2851" s="3"/>
    </row>
    <row r="2852" ht="105.75" customHeight="1">
      <c r="A2852" s="11"/>
      <c r="B2852" s="12"/>
      <c r="C2852" s="11"/>
      <c r="D2852" s="13"/>
      <c r="E2852" s="14"/>
      <c r="F2852" s="14"/>
      <c r="G2852" s="14"/>
      <c r="H2852" s="15"/>
      <c r="I2852" s="15"/>
      <c r="J2852" s="3"/>
      <c r="K2852" s="3"/>
      <c r="L2852" s="3"/>
      <c r="M2852" s="3"/>
      <c r="N2852" s="3"/>
      <c r="O2852" s="3"/>
      <c r="P2852" s="3"/>
      <c r="Q2852" s="3"/>
      <c r="R2852" s="3"/>
      <c r="S2852" s="3"/>
      <c r="T2852" s="3"/>
      <c r="U2852" s="3"/>
      <c r="V2852" s="3"/>
      <c r="W2852" s="3"/>
      <c r="X2852" s="3"/>
      <c r="Y2852" s="3"/>
      <c r="Z2852" s="3"/>
      <c r="AA2852" s="3"/>
    </row>
    <row r="2853" ht="105.75" customHeight="1">
      <c r="A2853" s="11"/>
      <c r="B2853" s="12"/>
      <c r="C2853" s="11"/>
      <c r="D2853" s="13"/>
      <c r="E2853" s="14"/>
      <c r="F2853" s="14"/>
      <c r="G2853" s="14"/>
      <c r="H2853" s="15"/>
      <c r="I2853" s="15"/>
      <c r="J2853" s="3"/>
      <c r="K2853" s="3"/>
      <c r="L2853" s="3"/>
      <c r="M2853" s="3"/>
      <c r="N2853" s="3"/>
      <c r="O2853" s="3"/>
      <c r="P2853" s="3"/>
      <c r="Q2853" s="3"/>
      <c r="R2853" s="3"/>
      <c r="S2853" s="3"/>
      <c r="T2853" s="3"/>
      <c r="U2853" s="3"/>
      <c r="V2853" s="3"/>
      <c r="W2853" s="3"/>
      <c r="X2853" s="3"/>
      <c r="Y2853" s="3"/>
      <c r="Z2853" s="3"/>
      <c r="AA2853" s="3"/>
    </row>
    <row r="2854" ht="105.75" customHeight="1">
      <c r="A2854" s="11"/>
      <c r="B2854" s="12"/>
      <c r="C2854" s="11"/>
      <c r="D2854" s="13"/>
      <c r="E2854" s="14"/>
      <c r="F2854" s="14"/>
      <c r="G2854" s="14"/>
      <c r="H2854" s="15"/>
      <c r="I2854" s="15"/>
      <c r="J2854" s="3"/>
      <c r="K2854" s="3"/>
      <c r="L2854" s="3"/>
      <c r="M2854" s="3"/>
      <c r="N2854" s="3"/>
      <c r="O2854" s="3"/>
      <c r="P2854" s="3"/>
      <c r="Q2854" s="3"/>
      <c r="R2854" s="3"/>
      <c r="S2854" s="3"/>
      <c r="T2854" s="3"/>
      <c r="U2854" s="3"/>
      <c r="V2854" s="3"/>
      <c r="W2854" s="3"/>
      <c r="X2854" s="3"/>
      <c r="Y2854" s="3"/>
      <c r="Z2854" s="3"/>
      <c r="AA2854" s="3"/>
    </row>
    <row r="2855" ht="105.75" customHeight="1">
      <c r="A2855" s="11"/>
      <c r="B2855" s="12"/>
      <c r="C2855" s="11"/>
      <c r="D2855" s="13"/>
      <c r="E2855" s="14"/>
      <c r="F2855" s="14"/>
      <c r="G2855" s="14"/>
      <c r="H2855" s="15"/>
      <c r="I2855" s="15"/>
      <c r="J2855" s="3"/>
      <c r="K2855" s="3"/>
      <c r="L2855" s="3"/>
      <c r="M2855" s="3"/>
      <c r="N2855" s="3"/>
      <c r="O2855" s="3"/>
      <c r="P2855" s="3"/>
      <c r="Q2855" s="3"/>
      <c r="R2855" s="3"/>
      <c r="S2855" s="3"/>
      <c r="T2855" s="3"/>
      <c r="U2855" s="3"/>
      <c r="V2855" s="3"/>
      <c r="W2855" s="3"/>
      <c r="X2855" s="3"/>
      <c r="Y2855" s="3"/>
      <c r="Z2855" s="3"/>
      <c r="AA2855" s="3"/>
    </row>
    <row r="2856" ht="105.75" customHeight="1">
      <c r="A2856" s="11"/>
      <c r="B2856" s="12"/>
      <c r="C2856" s="11"/>
      <c r="D2856" s="13"/>
      <c r="E2856" s="16"/>
      <c r="F2856" s="16"/>
      <c r="G2856" s="16"/>
      <c r="H2856" s="15"/>
      <c r="I2856" s="15"/>
      <c r="J2856" s="3"/>
      <c r="K2856" s="3"/>
      <c r="L2856" s="3"/>
      <c r="M2856" s="3"/>
      <c r="N2856" s="3"/>
      <c r="O2856" s="3"/>
      <c r="P2856" s="3"/>
      <c r="Q2856" s="3"/>
      <c r="R2856" s="3"/>
      <c r="S2856" s="3"/>
      <c r="T2856" s="3"/>
      <c r="U2856" s="3"/>
      <c r="V2856" s="3"/>
      <c r="W2856" s="3"/>
      <c r="X2856" s="3"/>
      <c r="Y2856" s="3"/>
      <c r="Z2856" s="3"/>
      <c r="AA2856" s="3"/>
    </row>
    <row r="2857" ht="105.75" customHeight="1">
      <c r="A2857" s="11"/>
      <c r="B2857" s="12"/>
      <c r="C2857" s="11"/>
      <c r="D2857" s="13"/>
      <c r="E2857" s="14"/>
      <c r="F2857" s="14"/>
      <c r="G2857" s="14"/>
      <c r="H2857" s="15"/>
      <c r="I2857" s="15"/>
      <c r="J2857" s="3"/>
      <c r="K2857" s="3"/>
      <c r="L2857" s="3"/>
      <c r="M2857" s="3"/>
      <c r="N2857" s="3"/>
      <c r="O2857" s="3"/>
      <c r="P2857" s="3"/>
      <c r="Q2857" s="3"/>
      <c r="R2857" s="3"/>
      <c r="S2857" s="3"/>
      <c r="T2857" s="3"/>
      <c r="U2857" s="3"/>
      <c r="V2857" s="3"/>
      <c r="W2857" s="3"/>
      <c r="X2857" s="3"/>
      <c r="Y2857" s="3"/>
      <c r="Z2857" s="3"/>
      <c r="AA2857" s="3"/>
    </row>
    <row r="2858" ht="105.75" customHeight="1">
      <c r="A2858" s="11"/>
      <c r="B2858" s="12"/>
      <c r="C2858" s="11"/>
      <c r="D2858" s="13"/>
      <c r="E2858" s="14"/>
      <c r="F2858" s="14"/>
      <c r="G2858" s="14"/>
      <c r="H2858" s="15"/>
      <c r="I2858" s="15"/>
      <c r="J2858" s="3"/>
      <c r="K2858" s="3"/>
      <c r="L2858" s="3"/>
      <c r="M2858" s="3"/>
      <c r="N2858" s="3"/>
      <c r="O2858" s="3"/>
      <c r="P2858" s="3"/>
      <c r="Q2858" s="3"/>
      <c r="R2858" s="3"/>
      <c r="S2858" s="3"/>
      <c r="T2858" s="3"/>
      <c r="U2858" s="3"/>
      <c r="V2858" s="3"/>
      <c r="W2858" s="3"/>
      <c r="X2858" s="3"/>
      <c r="Y2858" s="3"/>
      <c r="Z2858" s="3"/>
      <c r="AA2858" s="3"/>
    </row>
    <row r="2859" ht="105.75" customHeight="1">
      <c r="A2859" s="11"/>
      <c r="B2859" s="12"/>
      <c r="C2859" s="11"/>
      <c r="D2859" s="13"/>
      <c r="E2859" s="14"/>
      <c r="F2859" s="14"/>
      <c r="G2859" s="14"/>
      <c r="H2859" s="15"/>
      <c r="I2859" s="15"/>
      <c r="J2859" s="3"/>
      <c r="K2859" s="3"/>
      <c r="L2859" s="3"/>
      <c r="M2859" s="3"/>
      <c r="N2859" s="3"/>
      <c r="O2859" s="3"/>
      <c r="P2859" s="3"/>
      <c r="Q2859" s="3"/>
      <c r="R2859" s="3"/>
      <c r="S2859" s="3"/>
      <c r="T2859" s="3"/>
      <c r="U2859" s="3"/>
      <c r="V2859" s="3"/>
      <c r="W2859" s="3"/>
      <c r="X2859" s="3"/>
      <c r="Y2859" s="3"/>
      <c r="Z2859" s="3"/>
      <c r="AA2859" s="3"/>
    </row>
    <row r="2860" ht="105.75" customHeight="1">
      <c r="A2860" s="11"/>
      <c r="B2860" s="12"/>
      <c r="C2860" s="11"/>
      <c r="D2860" s="13"/>
      <c r="E2860" s="14"/>
      <c r="F2860" s="14"/>
      <c r="G2860" s="14"/>
      <c r="H2860" s="15"/>
      <c r="I2860" s="15"/>
      <c r="J2860" s="3"/>
      <c r="K2860" s="3"/>
      <c r="L2860" s="3"/>
      <c r="M2860" s="3"/>
      <c r="N2860" s="3"/>
      <c r="O2860" s="3"/>
      <c r="P2860" s="3"/>
      <c r="Q2860" s="3"/>
      <c r="R2860" s="3"/>
      <c r="S2860" s="3"/>
      <c r="T2860" s="3"/>
      <c r="U2860" s="3"/>
      <c r="V2860" s="3"/>
      <c r="W2860" s="3"/>
      <c r="X2860" s="3"/>
      <c r="Y2860" s="3"/>
      <c r="Z2860" s="3"/>
      <c r="AA2860" s="3"/>
    </row>
    <row r="2861" ht="105.75" customHeight="1">
      <c r="A2861" s="11"/>
      <c r="B2861" s="12"/>
      <c r="C2861" s="11"/>
      <c r="D2861" s="13"/>
      <c r="E2861" s="14"/>
      <c r="F2861" s="14"/>
      <c r="G2861" s="14"/>
      <c r="H2861" s="15"/>
      <c r="I2861" s="15"/>
      <c r="J2861" s="3"/>
      <c r="K2861" s="3"/>
      <c r="L2861" s="3"/>
      <c r="M2861" s="3"/>
      <c r="N2861" s="3"/>
      <c r="O2861" s="3"/>
      <c r="P2861" s="3"/>
      <c r="Q2861" s="3"/>
      <c r="R2861" s="3"/>
      <c r="S2861" s="3"/>
      <c r="T2861" s="3"/>
      <c r="U2861" s="3"/>
      <c r="V2861" s="3"/>
      <c r="W2861" s="3"/>
      <c r="X2861" s="3"/>
      <c r="Y2861" s="3"/>
      <c r="Z2861" s="3"/>
      <c r="AA2861" s="3"/>
    </row>
    <row r="2862" ht="105.75" customHeight="1">
      <c r="A2862" s="11"/>
      <c r="B2862" s="12"/>
      <c r="C2862" s="11"/>
      <c r="D2862" s="13"/>
      <c r="E2862" s="14"/>
      <c r="F2862" s="14"/>
      <c r="G2862" s="14"/>
      <c r="H2862" s="15"/>
      <c r="I2862" s="15"/>
      <c r="J2862" s="3"/>
      <c r="K2862" s="3"/>
      <c r="L2862" s="3"/>
      <c r="M2862" s="3"/>
      <c r="N2862" s="3"/>
      <c r="O2862" s="3"/>
      <c r="P2862" s="3"/>
      <c r="Q2862" s="3"/>
      <c r="R2862" s="3"/>
      <c r="S2862" s="3"/>
      <c r="T2862" s="3"/>
      <c r="U2862" s="3"/>
      <c r="V2862" s="3"/>
      <c r="W2862" s="3"/>
      <c r="X2862" s="3"/>
      <c r="Y2862" s="3"/>
      <c r="Z2862" s="3"/>
      <c r="AA2862" s="3"/>
    </row>
    <row r="2863" ht="105.75" customHeight="1">
      <c r="A2863" s="11"/>
      <c r="B2863" s="12"/>
      <c r="C2863" s="11"/>
      <c r="D2863" s="13"/>
      <c r="E2863" s="16"/>
      <c r="F2863" s="16"/>
      <c r="G2863" s="16"/>
      <c r="H2863" s="15"/>
      <c r="I2863" s="15"/>
      <c r="J2863" s="3"/>
      <c r="K2863" s="3"/>
      <c r="L2863" s="3"/>
      <c r="M2863" s="3"/>
      <c r="N2863" s="3"/>
      <c r="O2863" s="3"/>
      <c r="P2863" s="3"/>
      <c r="Q2863" s="3"/>
      <c r="R2863" s="3"/>
      <c r="S2863" s="3"/>
      <c r="T2863" s="3"/>
      <c r="U2863" s="3"/>
      <c r="V2863" s="3"/>
      <c r="W2863" s="3"/>
      <c r="X2863" s="3"/>
      <c r="Y2863" s="3"/>
      <c r="Z2863" s="3"/>
      <c r="AA2863" s="3"/>
    </row>
    <row r="2864" ht="105.75" customHeight="1">
      <c r="A2864" s="11"/>
      <c r="B2864" s="12"/>
      <c r="C2864" s="11"/>
      <c r="D2864" s="13"/>
      <c r="E2864" s="14"/>
      <c r="F2864" s="14"/>
      <c r="G2864" s="14"/>
      <c r="H2864" s="15"/>
      <c r="I2864" s="15"/>
      <c r="J2864" s="3"/>
      <c r="K2864" s="3"/>
      <c r="L2864" s="3"/>
      <c r="M2864" s="3"/>
      <c r="N2864" s="3"/>
      <c r="O2864" s="3"/>
      <c r="P2864" s="3"/>
      <c r="Q2864" s="3"/>
      <c r="R2864" s="3"/>
      <c r="S2864" s="3"/>
      <c r="T2864" s="3"/>
      <c r="U2864" s="3"/>
      <c r="V2864" s="3"/>
      <c r="W2864" s="3"/>
      <c r="X2864" s="3"/>
      <c r="Y2864" s="3"/>
      <c r="Z2864" s="3"/>
      <c r="AA2864" s="3"/>
    </row>
    <row r="2865" ht="105.75" customHeight="1">
      <c r="A2865" s="11"/>
      <c r="B2865" s="12"/>
      <c r="C2865" s="11"/>
      <c r="D2865" s="13"/>
      <c r="E2865" s="14"/>
      <c r="F2865" s="14"/>
      <c r="G2865" s="14"/>
      <c r="H2865" s="15"/>
      <c r="I2865" s="15"/>
      <c r="J2865" s="3"/>
      <c r="K2865" s="3"/>
      <c r="L2865" s="3"/>
      <c r="M2865" s="3"/>
      <c r="N2865" s="3"/>
      <c r="O2865" s="3"/>
      <c r="P2865" s="3"/>
      <c r="Q2865" s="3"/>
      <c r="R2865" s="3"/>
      <c r="S2865" s="3"/>
      <c r="T2865" s="3"/>
      <c r="U2865" s="3"/>
      <c r="V2865" s="3"/>
      <c r="W2865" s="3"/>
      <c r="X2865" s="3"/>
      <c r="Y2865" s="3"/>
      <c r="Z2865" s="3"/>
      <c r="AA2865" s="3"/>
    </row>
    <row r="2866" ht="105.75" customHeight="1">
      <c r="A2866" s="11"/>
      <c r="B2866" s="12"/>
      <c r="C2866" s="11"/>
      <c r="D2866" s="13"/>
      <c r="E2866" s="14"/>
      <c r="F2866" s="14"/>
      <c r="G2866" s="14"/>
      <c r="H2866" s="15"/>
      <c r="I2866" s="15"/>
      <c r="J2866" s="3"/>
      <c r="K2866" s="3"/>
      <c r="L2866" s="3"/>
      <c r="M2866" s="3"/>
      <c r="N2866" s="3"/>
      <c r="O2866" s="3"/>
      <c r="P2866" s="3"/>
      <c r="Q2866" s="3"/>
      <c r="R2866" s="3"/>
      <c r="S2866" s="3"/>
      <c r="T2866" s="3"/>
      <c r="U2866" s="3"/>
      <c r="V2866" s="3"/>
      <c r="W2866" s="3"/>
      <c r="X2866" s="3"/>
      <c r="Y2866" s="3"/>
      <c r="Z2866" s="3"/>
      <c r="AA2866" s="3"/>
    </row>
    <row r="2867" ht="105.75" customHeight="1">
      <c r="A2867" s="11"/>
      <c r="B2867" s="12"/>
      <c r="C2867" s="11"/>
      <c r="D2867" s="13"/>
      <c r="E2867" s="14"/>
      <c r="F2867" s="14"/>
      <c r="G2867" s="14"/>
      <c r="H2867" s="15"/>
      <c r="I2867" s="15"/>
      <c r="J2867" s="3"/>
      <c r="K2867" s="3"/>
      <c r="L2867" s="3"/>
      <c r="M2867" s="3"/>
      <c r="N2867" s="3"/>
      <c r="O2867" s="3"/>
      <c r="P2867" s="3"/>
      <c r="Q2867" s="3"/>
      <c r="R2867" s="3"/>
      <c r="S2867" s="3"/>
      <c r="T2867" s="3"/>
      <c r="U2867" s="3"/>
      <c r="V2867" s="3"/>
      <c r="W2867" s="3"/>
      <c r="X2867" s="3"/>
      <c r="Y2867" s="3"/>
      <c r="Z2867" s="3"/>
      <c r="AA2867" s="3"/>
    </row>
    <row r="2868" ht="105.75" customHeight="1">
      <c r="A2868" s="11"/>
      <c r="B2868" s="12"/>
      <c r="C2868" s="11"/>
      <c r="D2868" s="13"/>
      <c r="E2868" s="14"/>
      <c r="F2868" s="14"/>
      <c r="G2868" s="14"/>
      <c r="H2868" s="15"/>
      <c r="I2868" s="15"/>
      <c r="J2868" s="3"/>
      <c r="K2868" s="3"/>
      <c r="L2868" s="3"/>
      <c r="M2868" s="3"/>
      <c r="N2868" s="3"/>
      <c r="O2868" s="3"/>
      <c r="P2868" s="3"/>
      <c r="Q2868" s="3"/>
      <c r="R2868" s="3"/>
      <c r="S2868" s="3"/>
      <c r="T2868" s="3"/>
      <c r="U2868" s="3"/>
      <c r="V2868" s="3"/>
      <c r="W2868" s="3"/>
      <c r="X2868" s="3"/>
      <c r="Y2868" s="3"/>
      <c r="Z2868" s="3"/>
      <c r="AA2868" s="3"/>
    </row>
    <row r="2869" ht="105.75" customHeight="1">
      <c r="A2869" s="11"/>
      <c r="B2869" s="12"/>
      <c r="C2869" s="11"/>
      <c r="D2869" s="13"/>
      <c r="E2869" s="14"/>
      <c r="F2869" s="14"/>
      <c r="G2869" s="14"/>
      <c r="H2869" s="15"/>
      <c r="I2869" s="15"/>
      <c r="J2869" s="3"/>
      <c r="K2869" s="3"/>
      <c r="L2869" s="3"/>
      <c r="M2869" s="3"/>
      <c r="N2869" s="3"/>
      <c r="O2869" s="3"/>
      <c r="P2869" s="3"/>
      <c r="Q2869" s="3"/>
      <c r="R2869" s="3"/>
      <c r="S2869" s="3"/>
      <c r="T2869" s="3"/>
      <c r="U2869" s="3"/>
      <c r="V2869" s="3"/>
      <c r="W2869" s="3"/>
      <c r="X2869" s="3"/>
      <c r="Y2869" s="3"/>
      <c r="Z2869" s="3"/>
      <c r="AA2869" s="3"/>
    </row>
    <row r="2870" ht="105.75" customHeight="1">
      <c r="A2870" s="11"/>
      <c r="B2870" s="12"/>
      <c r="C2870" s="11"/>
      <c r="D2870" s="13"/>
      <c r="E2870" s="14"/>
      <c r="F2870" s="14"/>
      <c r="G2870" s="14"/>
      <c r="H2870" s="15"/>
      <c r="I2870" s="15"/>
      <c r="J2870" s="3"/>
      <c r="K2870" s="3"/>
      <c r="L2870" s="3"/>
      <c r="M2870" s="3"/>
      <c r="N2870" s="3"/>
      <c r="O2870" s="3"/>
      <c r="P2870" s="3"/>
      <c r="Q2870" s="3"/>
      <c r="R2870" s="3"/>
      <c r="S2870" s="3"/>
      <c r="T2870" s="3"/>
      <c r="U2870" s="3"/>
      <c r="V2870" s="3"/>
      <c r="W2870" s="3"/>
      <c r="X2870" s="3"/>
      <c r="Y2870" s="3"/>
      <c r="Z2870" s="3"/>
      <c r="AA2870" s="3"/>
    </row>
    <row r="2871" ht="105.75" customHeight="1">
      <c r="A2871" s="11"/>
      <c r="B2871" s="12"/>
      <c r="C2871" s="11"/>
      <c r="D2871" s="13"/>
      <c r="E2871" s="14"/>
      <c r="F2871" s="14"/>
      <c r="G2871" s="14"/>
      <c r="H2871" s="15"/>
      <c r="I2871" s="15"/>
      <c r="J2871" s="3"/>
      <c r="K2871" s="3"/>
      <c r="L2871" s="3"/>
      <c r="M2871" s="3"/>
      <c r="N2871" s="3"/>
      <c r="O2871" s="3"/>
      <c r="P2871" s="3"/>
      <c r="Q2871" s="3"/>
      <c r="R2871" s="3"/>
      <c r="S2871" s="3"/>
      <c r="T2871" s="3"/>
      <c r="U2871" s="3"/>
      <c r="V2871" s="3"/>
      <c r="W2871" s="3"/>
      <c r="X2871" s="3"/>
      <c r="Y2871" s="3"/>
      <c r="Z2871" s="3"/>
      <c r="AA2871" s="3"/>
    </row>
    <row r="2872" ht="105.75" customHeight="1">
      <c r="A2872" s="11"/>
      <c r="B2872" s="12"/>
      <c r="C2872" s="11"/>
      <c r="D2872" s="13"/>
      <c r="E2872" s="14"/>
      <c r="F2872" s="14"/>
      <c r="G2872" s="14"/>
      <c r="H2872" s="15"/>
      <c r="I2872" s="15"/>
      <c r="J2872" s="3"/>
      <c r="K2872" s="3"/>
      <c r="L2872" s="3"/>
      <c r="M2872" s="3"/>
      <c r="N2872" s="3"/>
      <c r="O2872" s="3"/>
      <c r="P2872" s="3"/>
      <c r="Q2872" s="3"/>
      <c r="R2872" s="3"/>
      <c r="S2872" s="3"/>
      <c r="T2872" s="3"/>
      <c r="U2872" s="3"/>
      <c r="V2872" s="3"/>
      <c r="W2872" s="3"/>
      <c r="X2872" s="3"/>
      <c r="Y2872" s="3"/>
      <c r="Z2872" s="3"/>
      <c r="AA2872" s="3"/>
    </row>
    <row r="2873" ht="105.75" customHeight="1">
      <c r="A2873" s="11"/>
      <c r="B2873" s="12"/>
      <c r="C2873" s="11"/>
      <c r="D2873" s="13"/>
      <c r="E2873" s="14"/>
      <c r="F2873" s="14"/>
      <c r="G2873" s="14"/>
      <c r="H2873" s="15"/>
      <c r="I2873" s="15"/>
      <c r="J2873" s="3"/>
      <c r="K2873" s="3"/>
      <c r="L2873" s="3"/>
      <c r="M2873" s="3"/>
      <c r="N2873" s="3"/>
      <c r="O2873" s="3"/>
      <c r="P2873" s="3"/>
      <c r="Q2873" s="3"/>
      <c r="R2873" s="3"/>
      <c r="S2873" s="3"/>
      <c r="T2873" s="3"/>
      <c r="U2873" s="3"/>
      <c r="V2873" s="3"/>
      <c r="W2873" s="3"/>
      <c r="X2873" s="3"/>
      <c r="Y2873" s="3"/>
      <c r="Z2873" s="3"/>
      <c r="AA2873" s="3"/>
    </row>
    <row r="2874" ht="105.75" customHeight="1">
      <c r="A2874" s="11"/>
      <c r="B2874" s="12"/>
      <c r="C2874" s="11"/>
      <c r="D2874" s="13"/>
      <c r="E2874" s="14"/>
      <c r="F2874" s="14"/>
      <c r="G2874" s="14"/>
      <c r="H2874" s="15"/>
      <c r="I2874" s="15"/>
      <c r="J2874" s="3"/>
      <c r="K2874" s="3"/>
      <c r="L2874" s="3"/>
      <c r="M2874" s="3"/>
      <c r="N2874" s="3"/>
      <c r="O2874" s="3"/>
      <c r="P2874" s="3"/>
      <c r="Q2874" s="3"/>
      <c r="R2874" s="3"/>
      <c r="S2874" s="3"/>
      <c r="T2874" s="3"/>
      <c r="U2874" s="3"/>
      <c r="V2874" s="3"/>
      <c r="W2874" s="3"/>
      <c r="X2874" s="3"/>
      <c r="Y2874" s="3"/>
      <c r="Z2874" s="3"/>
      <c r="AA2874" s="3"/>
    </row>
    <row r="2875" ht="105.75" customHeight="1">
      <c r="A2875" s="11"/>
      <c r="B2875" s="12"/>
      <c r="C2875" s="11"/>
      <c r="D2875" s="13"/>
      <c r="E2875" s="14"/>
      <c r="F2875" s="14"/>
      <c r="G2875" s="14"/>
      <c r="H2875" s="15"/>
      <c r="I2875" s="15"/>
      <c r="J2875" s="3"/>
      <c r="K2875" s="3"/>
      <c r="L2875" s="3"/>
      <c r="M2875" s="3"/>
      <c r="N2875" s="3"/>
      <c r="O2875" s="3"/>
      <c r="P2875" s="3"/>
      <c r="Q2875" s="3"/>
      <c r="R2875" s="3"/>
      <c r="S2875" s="3"/>
      <c r="T2875" s="3"/>
      <c r="U2875" s="3"/>
      <c r="V2875" s="3"/>
      <c r="W2875" s="3"/>
      <c r="X2875" s="3"/>
      <c r="Y2875" s="3"/>
      <c r="Z2875" s="3"/>
      <c r="AA2875" s="3"/>
    </row>
    <row r="2876" ht="105.75" customHeight="1">
      <c r="A2876" s="11"/>
      <c r="B2876" s="12"/>
      <c r="C2876" s="11"/>
      <c r="D2876" s="13"/>
      <c r="E2876" s="14"/>
      <c r="F2876" s="14"/>
      <c r="G2876" s="14"/>
      <c r="H2876" s="15"/>
      <c r="I2876" s="15"/>
      <c r="J2876" s="3"/>
      <c r="K2876" s="3"/>
      <c r="L2876" s="3"/>
      <c r="M2876" s="3"/>
      <c r="N2876" s="3"/>
      <c r="O2876" s="3"/>
      <c r="P2876" s="3"/>
      <c r="Q2876" s="3"/>
      <c r="R2876" s="3"/>
      <c r="S2876" s="3"/>
      <c r="T2876" s="3"/>
      <c r="U2876" s="3"/>
      <c r="V2876" s="3"/>
      <c r="W2876" s="3"/>
      <c r="X2876" s="3"/>
      <c r="Y2876" s="3"/>
      <c r="Z2876" s="3"/>
      <c r="AA2876" s="3"/>
    </row>
    <row r="2877" ht="105.75" customHeight="1">
      <c r="A2877" s="11"/>
      <c r="B2877" s="12"/>
      <c r="C2877" s="11"/>
      <c r="D2877" s="13"/>
      <c r="E2877" s="14"/>
      <c r="F2877" s="14"/>
      <c r="G2877" s="14"/>
      <c r="H2877" s="15"/>
      <c r="I2877" s="15"/>
      <c r="J2877" s="3"/>
      <c r="K2877" s="3"/>
      <c r="L2877" s="3"/>
      <c r="M2877" s="3"/>
      <c r="N2877" s="3"/>
      <c r="O2877" s="3"/>
      <c r="P2877" s="3"/>
      <c r="Q2877" s="3"/>
      <c r="R2877" s="3"/>
      <c r="S2877" s="3"/>
      <c r="T2877" s="3"/>
      <c r="U2877" s="3"/>
      <c r="V2877" s="3"/>
      <c r="W2877" s="3"/>
      <c r="X2877" s="3"/>
      <c r="Y2877" s="3"/>
      <c r="Z2877" s="3"/>
      <c r="AA2877" s="3"/>
    </row>
    <row r="2878" ht="105.75" customHeight="1">
      <c r="A2878" s="11"/>
      <c r="B2878" s="12"/>
      <c r="C2878" s="11"/>
      <c r="D2878" s="13"/>
      <c r="E2878" s="14"/>
      <c r="F2878" s="14"/>
      <c r="G2878" s="14"/>
      <c r="H2878" s="15"/>
      <c r="I2878" s="15"/>
      <c r="J2878" s="3"/>
      <c r="K2878" s="3"/>
      <c r="L2878" s="3"/>
      <c r="M2878" s="3"/>
      <c r="N2878" s="3"/>
      <c r="O2878" s="3"/>
      <c r="P2878" s="3"/>
      <c r="Q2878" s="3"/>
      <c r="R2878" s="3"/>
      <c r="S2878" s="3"/>
      <c r="T2878" s="3"/>
      <c r="U2878" s="3"/>
      <c r="V2878" s="3"/>
      <c r="W2878" s="3"/>
      <c r="X2878" s="3"/>
      <c r="Y2878" s="3"/>
      <c r="Z2878" s="3"/>
      <c r="AA2878" s="3"/>
    </row>
    <row r="2879" ht="105.75" customHeight="1">
      <c r="A2879" s="11"/>
      <c r="B2879" s="12"/>
      <c r="C2879" s="11"/>
      <c r="D2879" s="13"/>
      <c r="E2879" s="14"/>
      <c r="F2879" s="14"/>
      <c r="G2879" s="14"/>
      <c r="H2879" s="15"/>
      <c r="I2879" s="15"/>
      <c r="J2879" s="3"/>
      <c r="K2879" s="3"/>
      <c r="L2879" s="3"/>
      <c r="M2879" s="3"/>
      <c r="N2879" s="3"/>
      <c r="O2879" s="3"/>
      <c r="P2879" s="3"/>
      <c r="Q2879" s="3"/>
      <c r="R2879" s="3"/>
      <c r="S2879" s="3"/>
      <c r="T2879" s="3"/>
      <c r="U2879" s="3"/>
      <c r="V2879" s="3"/>
      <c r="W2879" s="3"/>
      <c r="X2879" s="3"/>
      <c r="Y2879" s="3"/>
      <c r="Z2879" s="3"/>
      <c r="AA2879" s="3"/>
    </row>
    <row r="2880" ht="105.75" customHeight="1">
      <c r="A2880" s="11"/>
      <c r="B2880" s="12"/>
      <c r="C2880" s="11"/>
      <c r="D2880" s="13"/>
      <c r="E2880" s="14"/>
      <c r="F2880" s="14"/>
      <c r="G2880" s="14"/>
      <c r="H2880" s="15"/>
      <c r="I2880" s="15"/>
      <c r="J2880" s="3"/>
      <c r="K2880" s="3"/>
      <c r="L2880" s="3"/>
      <c r="M2880" s="3"/>
      <c r="N2880" s="3"/>
      <c r="O2880" s="3"/>
      <c r="P2880" s="3"/>
      <c r="Q2880" s="3"/>
      <c r="R2880" s="3"/>
      <c r="S2880" s="3"/>
      <c r="T2880" s="3"/>
      <c r="U2880" s="3"/>
      <c r="V2880" s="3"/>
      <c r="W2880" s="3"/>
      <c r="X2880" s="3"/>
      <c r="Y2880" s="3"/>
      <c r="Z2880" s="3"/>
      <c r="AA2880" s="3"/>
    </row>
    <row r="2881" ht="105.75" customHeight="1">
      <c r="A2881" s="11"/>
      <c r="B2881" s="12"/>
      <c r="C2881" s="11"/>
      <c r="D2881" s="13"/>
      <c r="E2881" s="14"/>
      <c r="F2881" s="14"/>
      <c r="G2881" s="14"/>
      <c r="H2881" s="15"/>
      <c r="I2881" s="15"/>
      <c r="J2881" s="3"/>
      <c r="K2881" s="3"/>
      <c r="L2881" s="3"/>
      <c r="M2881" s="3"/>
      <c r="N2881" s="3"/>
      <c r="O2881" s="3"/>
      <c r="P2881" s="3"/>
      <c r="Q2881" s="3"/>
      <c r="R2881" s="3"/>
      <c r="S2881" s="3"/>
      <c r="T2881" s="3"/>
      <c r="U2881" s="3"/>
      <c r="V2881" s="3"/>
      <c r="W2881" s="3"/>
      <c r="X2881" s="3"/>
      <c r="Y2881" s="3"/>
      <c r="Z2881" s="3"/>
      <c r="AA2881" s="3"/>
    </row>
    <row r="2882" ht="105.75" customHeight="1">
      <c r="A2882" s="11"/>
      <c r="B2882" s="12"/>
      <c r="C2882" s="11"/>
      <c r="D2882" s="13"/>
      <c r="E2882" s="14"/>
      <c r="F2882" s="14"/>
      <c r="G2882" s="14"/>
      <c r="H2882" s="15"/>
      <c r="I2882" s="15"/>
      <c r="J2882" s="3"/>
      <c r="K2882" s="3"/>
      <c r="L2882" s="3"/>
      <c r="M2882" s="3"/>
      <c r="N2882" s="3"/>
      <c r="O2882" s="3"/>
      <c r="P2882" s="3"/>
      <c r="Q2882" s="3"/>
      <c r="R2882" s="3"/>
      <c r="S2882" s="3"/>
      <c r="T2882" s="3"/>
      <c r="U2882" s="3"/>
      <c r="V2882" s="3"/>
      <c r="W2882" s="3"/>
      <c r="X2882" s="3"/>
      <c r="Y2882" s="3"/>
      <c r="Z2882" s="3"/>
      <c r="AA2882" s="3"/>
    </row>
    <row r="2883" ht="105.75" customHeight="1">
      <c r="A2883" s="11"/>
      <c r="B2883" s="12"/>
      <c r="C2883" s="11"/>
      <c r="D2883" s="13"/>
      <c r="E2883" s="16"/>
      <c r="F2883" s="16"/>
      <c r="G2883" s="16"/>
      <c r="H2883" s="15"/>
      <c r="I2883" s="15"/>
      <c r="J2883" s="3"/>
      <c r="K2883" s="3"/>
      <c r="L2883" s="3"/>
      <c r="M2883" s="3"/>
      <c r="N2883" s="3"/>
      <c r="O2883" s="3"/>
      <c r="P2883" s="3"/>
      <c r="Q2883" s="3"/>
      <c r="R2883" s="3"/>
      <c r="S2883" s="3"/>
      <c r="T2883" s="3"/>
      <c r="U2883" s="3"/>
      <c r="V2883" s="3"/>
      <c r="W2883" s="3"/>
      <c r="X2883" s="3"/>
      <c r="Y2883" s="3"/>
      <c r="Z2883" s="3"/>
      <c r="AA2883" s="3"/>
    </row>
    <row r="2884" ht="105.75" customHeight="1">
      <c r="A2884" s="11"/>
      <c r="B2884" s="12"/>
      <c r="C2884" s="11"/>
      <c r="D2884" s="13"/>
      <c r="E2884" s="16"/>
      <c r="F2884" s="16"/>
      <c r="G2884" s="16"/>
      <c r="H2884" s="15"/>
      <c r="I2884" s="15"/>
      <c r="J2884" s="3"/>
      <c r="K2884" s="3"/>
      <c r="L2884" s="3"/>
      <c r="M2884" s="3"/>
      <c r="N2884" s="3"/>
      <c r="O2884" s="3"/>
      <c r="P2884" s="3"/>
      <c r="Q2884" s="3"/>
      <c r="R2884" s="3"/>
      <c r="S2884" s="3"/>
      <c r="T2884" s="3"/>
      <c r="U2884" s="3"/>
      <c r="V2884" s="3"/>
      <c r="W2884" s="3"/>
      <c r="X2884" s="3"/>
      <c r="Y2884" s="3"/>
      <c r="Z2884" s="3"/>
      <c r="AA2884" s="3"/>
    </row>
    <row r="2885" ht="105.75" customHeight="1">
      <c r="A2885" s="11"/>
      <c r="B2885" s="12"/>
      <c r="C2885" s="11"/>
      <c r="D2885" s="13"/>
      <c r="E2885" s="14"/>
      <c r="F2885" s="14"/>
      <c r="G2885" s="14"/>
      <c r="H2885" s="15"/>
      <c r="I2885" s="15"/>
      <c r="J2885" s="3"/>
      <c r="K2885" s="3"/>
      <c r="L2885" s="3"/>
      <c r="M2885" s="3"/>
      <c r="N2885" s="3"/>
      <c r="O2885" s="3"/>
      <c r="P2885" s="3"/>
      <c r="Q2885" s="3"/>
      <c r="R2885" s="3"/>
      <c r="S2885" s="3"/>
      <c r="T2885" s="3"/>
      <c r="U2885" s="3"/>
      <c r="V2885" s="3"/>
      <c r="W2885" s="3"/>
      <c r="X2885" s="3"/>
      <c r="Y2885" s="3"/>
      <c r="Z2885" s="3"/>
      <c r="AA2885" s="3"/>
    </row>
    <row r="2886" ht="105.75" customHeight="1">
      <c r="A2886" s="11"/>
      <c r="B2886" s="12"/>
      <c r="C2886" s="11"/>
      <c r="D2886" s="13"/>
      <c r="E2886" s="14"/>
      <c r="F2886" s="14"/>
      <c r="G2886" s="14"/>
      <c r="H2886" s="15"/>
      <c r="I2886" s="15"/>
      <c r="J2886" s="3"/>
      <c r="K2886" s="3"/>
      <c r="L2886" s="3"/>
      <c r="M2886" s="3"/>
      <c r="N2886" s="3"/>
      <c r="O2886" s="3"/>
      <c r="P2886" s="3"/>
      <c r="Q2886" s="3"/>
      <c r="R2886" s="3"/>
      <c r="S2886" s="3"/>
      <c r="T2886" s="3"/>
      <c r="U2886" s="3"/>
      <c r="V2886" s="3"/>
      <c r="W2886" s="3"/>
      <c r="X2886" s="3"/>
      <c r="Y2886" s="3"/>
      <c r="Z2886" s="3"/>
      <c r="AA2886" s="3"/>
    </row>
    <row r="2887" ht="105.75" customHeight="1">
      <c r="A2887" s="11"/>
      <c r="B2887" s="12"/>
      <c r="C2887" s="11"/>
      <c r="D2887" s="13"/>
      <c r="E2887" s="14"/>
      <c r="F2887" s="14"/>
      <c r="G2887" s="14"/>
      <c r="H2887" s="15"/>
      <c r="I2887" s="15"/>
      <c r="J2887" s="3"/>
      <c r="K2887" s="3"/>
      <c r="L2887" s="3"/>
      <c r="M2887" s="3"/>
      <c r="N2887" s="3"/>
      <c r="O2887" s="3"/>
      <c r="P2887" s="3"/>
      <c r="Q2887" s="3"/>
      <c r="R2887" s="3"/>
      <c r="S2887" s="3"/>
      <c r="T2887" s="3"/>
      <c r="U2887" s="3"/>
      <c r="V2887" s="3"/>
      <c r="W2887" s="3"/>
      <c r="X2887" s="3"/>
      <c r="Y2887" s="3"/>
      <c r="Z2887" s="3"/>
      <c r="AA2887" s="3"/>
    </row>
    <row r="2888" ht="105.75" customHeight="1">
      <c r="A2888" s="11"/>
      <c r="B2888" s="12"/>
      <c r="C2888" s="11"/>
      <c r="D2888" s="13"/>
      <c r="E2888" s="14"/>
      <c r="F2888" s="14"/>
      <c r="G2888" s="14"/>
      <c r="H2888" s="15"/>
      <c r="I2888" s="15"/>
      <c r="J2888" s="3"/>
      <c r="K2888" s="3"/>
      <c r="L2888" s="3"/>
      <c r="M2888" s="3"/>
      <c r="N2888" s="3"/>
      <c r="O2888" s="3"/>
      <c r="P2888" s="3"/>
      <c r="Q2888" s="3"/>
      <c r="R2888" s="3"/>
      <c r="S2888" s="3"/>
      <c r="T2888" s="3"/>
      <c r="U2888" s="3"/>
      <c r="V2888" s="3"/>
      <c r="W2888" s="3"/>
      <c r="X2888" s="3"/>
      <c r="Y2888" s="3"/>
      <c r="Z2888" s="3"/>
      <c r="AA2888" s="3"/>
    </row>
    <row r="2889" ht="105.75" customHeight="1">
      <c r="A2889" s="11"/>
      <c r="B2889" s="12"/>
      <c r="C2889" s="11"/>
      <c r="D2889" s="13"/>
      <c r="E2889" s="16"/>
      <c r="F2889" s="16"/>
      <c r="G2889" s="16"/>
      <c r="H2889" s="15"/>
      <c r="I2889" s="15"/>
      <c r="J2889" s="3"/>
      <c r="K2889" s="3"/>
      <c r="L2889" s="3"/>
      <c r="M2889" s="3"/>
      <c r="N2889" s="3"/>
      <c r="O2889" s="3"/>
      <c r="P2889" s="3"/>
      <c r="Q2889" s="3"/>
      <c r="R2889" s="3"/>
      <c r="S2889" s="3"/>
      <c r="T2889" s="3"/>
      <c r="U2889" s="3"/>
      <c r="V2889" s="3"/>
      <c r="W2889" s="3"/>
      <c r="X2889" s="3"/>
      <c r="Y2889" s="3"/>
      <c r="Z2889" s="3"/>
      <c r="AA2889" s="3"/>
    </row>
    <row r="2890" ht="105.75" customHeight="1">
      <c r="A2890" s="11"/>
      <c r="B2890" s="12"/>
      <c r="C2890" s="11"/>
      <c r="D2890" s="13"/>
      <c r="E2890" s="14"/>
      <c r="F2890" s="14"/>
      <c r="G2890" s="14"/>
      <c r="H2890" s="15"/>
      <c r="I2890" s="15"/>
      <c r="J2890" s="3"/>
      <c r="K2890" s="3"/>
      <c r="L2890" s="3"/>
      <c r="M2890" s="3"/>
      <c r="N2890" s="3"/>
      <c r="O2890" s="3"/>
      <c r="P2890" s="3"/>
      <c r="Q2890" s="3"/>
      <c r="R2890" s="3"/>
      <c r="S2890" s="3"/>
      <c r="T2890" s="3"/>
      <c r="U2890" s="3"/>
      <c r="V2890" s="3"/>
      <c r="W2890" s="3"/>
      <c r="X2890" s="3"/>
      <c r="Y2890" s="3"/>
      <c r="Z2890" s="3"/>
      <c r="AA2890" s="3"/>
    </row>
    <row r="2891" ht="105.75" customHeight="1">
      <c r="A2891" s="11"/>
      <c r="B2891" s="12"/>
      <c r="C2891" s="11"/>
      <c r="D2891" s="13"/>
      <c r="E2891" s="14"/>
      <c r="F2891" s="14"/>
      <c r="G2891" s="14"/>
      <c r="H2891" s="15"/>
      <c r="I2891" s="15"/>
      <c r="J2891" s="3"/>
      <c r="K2891" s="3"/>
      <c r="L2891" s="3"/>
      <c r="M2891" s="3"/>
      <c r="N2891" s="3"/>
      <c r="O2891" s="3"/>
      <c r="P2891" s="3"/>
      <c r="Q2891" s="3"/>
      <c r="R2891" s="3"/>
      <c r="S2891" s="3"/>
      <c r="T2891" s="3"/>
      <c r="U2891" s="3"/>
      <c r="V2891" s="3"/>
      <c r="W2891" s="3"/>
      <c r="X2891" s="3"/>
      <c r="Y2891" s="3"/>
      <c r="Z2891" s="3"/>
      <c r="AA2891" s="3"/>
    </row>
    <row r="2892" ht="105.75" customHeight="1">
      <c r="A2892" s="11"/>
      <c r="B2892" s="12"/>
      <c r="C2892" s="11"/>
      <c r="D2892" s="13"/>
      <c r="E2892" s="16"/>
      <c r="F2892" s="16"/>
      <c r="G2892" s="16"/>
      <c r="H2892" s="15"/>
      <c r="I2892" s="15"/>
      <c r="J2892" s="3"/>
      <c r="K2892" s="3"/>
      <c r="L2892" s="3"/>
      <c r="M2892" s="3"/>
      <c r="N2892" s="3"/>
      <c r="O2892" s="3"/>
      <c r="P2892" s="3"/>
      <c r="Q2892" s="3"/>
      <c r="R2892" s="3"/>
      <c r="S2892" s="3"/>
      <c r="T2892" s="3"/>
      <c r="U2892" s="3"/>
      <c r="V2892" s="3"/>
      <c r="W2892" s="3"/>
      <c r="X2892" s="3"/>
      <c r="Y2892" s="3"/>
      <c r="Z2892" s="3"/>
      <c r="AA2892" s="3"/>
    </row>
    <row r="2893" ht="105.75" customHeight="1">
      <c r="A2893" s="11"/>
      <c r="B2893" s="12"/>
      <c r="C2893" s="11"/>
      <c r="D2893" s="13"/>
      <c r="E2893" s="14"/>
      <c r="F2893" s="14"/>
      <c r="G2893" s="14"/>
      <c r="H2893" s="15"/>
      <c r="I2893" s="15"/>
      <c r="J2893" s="3"/>
      <c r="K2893" s="3"/>
      <c r="L2893" s="3"/>
      <c r="M2893" s="3"/>
      <c r="N2893" s="3"/>
      <c r="O2893" s="3"/>
      <c r="P2893" s="3"/>
      <c r="Q2893" s="3"/>
      <c r="R2893" s="3"/>
      <c r="S2893" s="3"/>
      <c r="T2893" s="3"/>
      <c r="U2893" s="3"/>
      <c r="V2893" s="3"/>
      <c r="W2893" s="3"/>
      <c r="X2893" s="3"/>
      <c r="Y2893" s="3"/>
      <c r="Z2893" s="3"/>
      <c r="AA2893" s="3"/>
    </row>
    <row r="2894" ht="105.75" customHeight="1">
      <c r="A2894" s="11"/>
      <c r="B2894" s="12"/>
      <c r="C2894" s="11"/>
      <c r="D2894" s="13"/>
      <c r="E2894" s="14"/>
      <c r="F2894" s="14"/>
      <c r="G2894" s="14"/>
      <c r="H2894" s="15"/>
      <c r="I2894" s="15"/>
      <c r="J2894" s="3"/>
      <c r="K2894" s="3"/>
      <c r="L2894" s="3"/>
      <c r="M2894" s="3"/>
      <c r="N2894" s="3"/>
      <c r="O2894" s="3"/>
      <c r="P2894" s="3"/>
      <c r="Q2894" s="3"/>
      <c r="R2894" s="3"/>
      <c r="S2894" s="3"/>
      <c r="T2894" s="3"/>
      <c r="U2894" s="3"/>
      <c r="V2894" s="3"/>
      <c r="W2894" s="3"/>
      <c r="X2894" s="3"/>
      <c r="Y2894" s="3"/>
      <c r="Z2894" s="3"/>
      <c r="AA2894" s="3"/>
    </row>
    <row r="2895" ht="105.75" customHeight="1">
      <c r="A2895" s="11"/>
      <c r="B2895" s="12"/>
      <c r="C2895" s="11"/>
      <c r="D2895" s="13"/>
      <c r="E2895" s="14"/>
      <c r="F2895" s="14"/>
      <c r="G2895" s="14"/>
      <c r="H2895" s="15"/>
      <c r="I2895" s="15"/>
      <c r="J2895" s="3"/>
      <c r="K2895" s="3"/>
      <c r="L2895" s="3"/>
      <c r="M2895" s="3"/>
      <c r="N2895" s="3"/>
      <c r="O2895" s="3"/>
      <c r="P2895" s="3"/>
      <c r="Q2895" s="3"/>
      <c r="R2895" s="3"/>
      <c r="S2895" s="3"/>
      <c r="T2895" s="3"/>
      <c r="U2895" s="3"/>
      <c r="V2895" s="3"/>
      <c r="W2895" s="3"/>
      <c r="X2895" s="3"/>
      <c r="Y2895" s="3"/>
      <c r="Z2895" s="3"/>
      <c r="AA2895" s="3"/>
    </row>
    <row r="2896" ht="105.75" customHeight="1">
      <c r="A2896" s="11"/>
      <c r="B2896" s="12"/>
      <c r="C2896" s="11"/>
      <c r="D2896" s="13"/>
      <c r="E2896" s="14"/>
      <c r="F2896" s="14"/>
      <c r="G2896" s="14"/>
      <c r="H2896" s="15"/>
      <c r="I2896" s="15"/>
      <c r="J2896" s="3"/>
      <c r="K2896" s="3"/>
      <c r="L2896" s="3"/>
      <c r="M2896" s="3"/>
      <c r="N2896" s="3"/>
      <c r="O2896" s="3"/>
      <c r="P2896" s="3"/>
      <c r="Q2896" s="3"/>
      <c r="R2896" s="3"/>
      <c r="S2896" s="3"/>
      <c r="T2896" s="3"/>
      <c r="U2896" s="3"/>
      <c r="V2896" s="3"/>
      <c r="W2896" s="3"/>
      <c r="X2896" s="3"/>
      <c r="Y2896" s="3"/>
      <c r="Z2896" s="3"/>
      <c r="AA2896" s="3"/>
    </row>
    <row r="2897" ht="105.75" customHeight="1">
      <c r="A2897" s="11"/>
      <c r="B2897" s="12"/>
      <c r="C2897" s="11"/>
      <c r="D2897" s="13"/>
      <c r="E2897" s="16"/>
      <c r="F2897" s="16"/>
      <c r="G2897" s="16"/>
      <c r="H2897" s="15"/>
      <c r="I2897" s="15"/>
      <c r="J2897" s="3"/>
      <c r="K2897" s="3"/>
      <c r="L2897" s="3"/>
      <c r="M2897" s="3"/>
      <c r="N2897" s="3"/>
      <c r="O2897" s="3"/>
      <c r="P2897" s="3"/>
      <c r="Q2897" s="3"/>
      <c r="R2897" s="3"/>
      <c r="S2897" s="3"/>
      <c r="T2897" s="3"/>
      <c r="U2897" s="3"/>
      <c r="V2897" s="3"/>
      <c r="W2897" s="3"/>
      <c r="X2897" s="3"/>
      <c r="Y2897" s="3"/>
      <c r="Z2897" s="3"/>
      <c r="AA2897" s="3"/>
    </row>
    <row r="2898" ht="105.75" customHeight="1">
      <c r="A2898" s="11"/>
      <c r="B2898" s="12"/>
      <c r="C2898" s="11"/>
      <c r="D2898" s="13"/>
      <c r="E2898" s="14"/>
      <c r="F2898" s="14"/>
      <c r="G2898" s="14"/>
      <c r="H2898" s="15"/>
      <c r="I2898" s="15"/>
      <c r="J2898" s="3"/>
      <c r="K2898" s="3"/>
      <c r="L2898" s="3"/>
      <c r="M2898" s="3"/>
      <c r="N2898" s="3"/>
      <c r="O2898" s="3"/>
      <c r="P2898" s="3"/>
      <c r="Q2898" s="3"/>
      <c r="R2898" s="3"/>
      <c r="S2898" s="3"/>
      <c r="T2898" s="3"/>
      <c r="U2898" s="3"/>
      <c r="V2898" s="3"/>
      <c r="W2898" s="3"/>
      <c r="X2898" s="3"/>
      <c r="Y2898" s="3"/>
      <c r="Z2898" s="3"/>
      <c r="AA2898" s="3"/>
    </row>
    <row r="2899" ht="105.75" customHeight="1">
      <c r="A2899" s="11"/>
      <c r="B2899" s="12"/>
      <c r="C2899" s="11"/>
      <c r="D2899" s="13"/>
      <c r="E2899" s="14"/>
      <c r="F2899" s="14"/>
      <c r="G2899" s="14"/>
      <c r="H2899" s="15"/>
      <c r="I2899" s="15"/>
      <c r="J2899" s="3"/>
      <c r="K2899" s="3"/>
      <c r="L2899" s="3"/>
      <c r="M2899" s="3"/>
      <c r="N2899" s="3"/>
      <c r="O2899" s="3"/>
      <c r="P2899" s="3"/>
      <c r="Q2899" s="3"/>
      <c r="R2899" s="3"/>
      <c r="S2899" s="3"/>
      <c r="T2899" s="3"/>
      <c r="U2899" s="3"/>
      <c r="V2899" s="3"/>
      <c r="W2899" s="3"/>
      <c r="X2899" s="3"/>
      <c r="Y2899" s="3"/>
      <c r="Z2899" s="3"/>
      <c r="AA2899" s="3"/>
    </row>
    <row r="2900" ht="105.75" customHeight="1">
      <c r="A2900" s="11"/>
      <c r="B2900" s="12"/>
      <c r="C2900" s="11"/>
      <c r="D2900" s="13"/>
      <c r="E2900" s="14"/>
      <c r="F2900" s="14"/>
      <c r="G2900" s="14"/>
      <c r="H2900" s="15"/>
      <c r="I2900" s="15"/>
      <c r="J2900" s="3"/>
      <c r="K2900" s="3"/>
      <c r="L2900" s="3"/>
      <c r="M2900" s="3"/>
      <c r="N2900" s="3"/>
      <c r="O2900" s="3"/>
      <c r="P2900" s="3"/>
      <c r="Q2900" s="3"/>
      <c r="R2900" s="3"/>
      <c r="S2900" s="3"/>
      <c r="T2900" s="3"/>
      <c r="U2900" s="3"/>
      <c r="V2900" s="3"/>
      <c r="W2900" s="3"/>
      <c r="X2900" s="3"/>
      <c r="Y2900" s="3"/>
      <c r="Z2900" s="3"/>
      <c r="AA2900" s="3"/>
    </row>
    <row r="2901" ht="105.75" customHeight="1">
      <c r="A2901" s="11"/>
      <c r="B2901" s="12"/>
      <c r="C2901" s="11"/>
      <c r="D2901" s="13"/>
      <c r="E2901" s="14"/>
      <c r="F2901" s="14"/>
      <c r="G2901" s="14"/>
      <c r="H2901" s="15"/>
      <c r="I2901" s="15"/>
      <c r="J2901" s="3"/>
      <c r="K2901" s="3"/>
      <c r="L2901" s="3"/>
      <c r="M2901" s="3"/>
      <c r="N2901" s="3"/>
      <c r="O2901" s="3"/>
      <c r="P2901" s="3"/>
      <c r="Q2901" s="3"/>
      <c r="R2901" s="3"/>
      <c r="S2901" s="3"/>
      <c r="T2901" s="3"/>
      <c r="U2901" s="3"/>
      <c r="V2901" s="3"/>
      <c r="W2901" s="3"/>
      <c r="X2901" s="3"/>
      <c r="Y2901" s="3"/>
      <c r="Z2901" s="3"/>
      <c r="AA2901" s="3"/>
    </row>
    <row r="2902" ht="105.75" customHeight="1">
      <c r="A2902" s="11"/>
      <c r="B2902" s="12"/>
      <c r="C2902" s="11"/>
      <c r="D2902" s="13"/>
      <c r="E2902" s="14"/>
      <c r="F2902" s="14"/>
      <c r="G2902" s="14"/>
      <c r="H2902" s="15"/>
      <c r="I2902" s="15"/>
      <c r="J2902" s="3"/>
      <c r="K2902" s="3"/>
      <c r="L2902" s="3"/>
      <c r="M2902" s="3"/>
      <c r="N2902" s="3"/>
      <c r="O2902" s="3"/>
      <c r="P2902" s="3"/>
      <c r="Q2902" s="3"/>
      <c r="R2902" s="3"/>
      <c r="S2902" s="3"/>
      <c r="T2902" s="3"/>
      <c r="U2902" s="3"/>
      <c r="V2902" s="3"/>
      <c r="W2902" s="3"/>
      <c r="X2902" s="3"/>
      <c r="Y2902" s="3"/>
      <c r="Z2902" s="3"/>
      <c r="AA2902" s="3"/>
    </row>
    <row r="2903" ht="105.75" customHeight="1">
      <c r="A2903" s="11"/>
      <c r="B2903" s="12"/>
      <c r="C2903" s="11"/>
      <c r="D2903" s="13"/>
      <c r="E2903" s="14"/>
      <c r="F2903" s="14"/>
      <c r="G2903" s="14"/>
      <c r="H2903" s="15"/>
      <c r="I2903" s="15"/>
      <c r="J2903" s="3"/>
      <c r="K2903" s="3"/>
      <c r="L2903" s="3"/>
      <c r="M2903" s="3"/>
      <c r="N2903" s="3"/>
      <c r="O2903" s="3"/>
      <c r="P2903" s="3"/>
      <c r="Q2903" s="3"/>
      <c r="R2903" s="3"/>
      <c r="S2903" s="3"/>
      <c r="T2903" s="3"/>
      <c r="U2903" s="3"/>
      <c r="V2903" s="3"/>
      <c r="W2903" s="3"/>
      <c r="X2903" s="3"/>
      <c r="Y2903" s="3"/>
      <c r="Z2903" s="3"/>
      <c r="AA2903" s="3"/>
    </row>
    <row r="2904" ht="105.75" customHeight="1">
      <c r="A2904" s="11"/>
      <c r="B2904" s="12"/>
      <c r="C2904" s="11"/>
      <c r="D2904" s="13"/>
      <c r="E2904" s="16"/>
      <c r="F2904" s="16"/>
      <c r="G2904" s="16"/>
      <c r="H2904" s="15"/>
      <c r="I2904" s="15"/>
      <c r="J2904" s="3"/>
      <c r="K2904" s="3"/>
      <c r="L2904" s="3"/>
      <c r="M2904" s="3"/>
      <c r="N2904" s="3"/>
      <c r="O2904" s="3"/>
      <c r="P2904" s="3"/>
      <c r="Q2904" s="3"/>
      <c r="R2904" s="3"/>
      <c r="S2904" s="3"/>
      <c r="T2904" s="3"/>
      <c r="U2904" s="3"/>
      <c r="V2904" s="3"/>
      <c r="W2904" s="3"/>
      <c r="X2904" s="3"/>
      <c r="Y2904" s="3"/>
      <c r="Z2904" s="3"/>
      <c r="AA2904" s="3"/>
    </row>
    <row r="2905" ht="105.75" customHeight="1">
      <c r="A2905" s="11"/>
      <c r="B2905" s="12"/>
      <c r="C2905" s="11"/>
      <c r="D2905" s="13"/>
      <c r="E2905" s="16"/>
      <c r="F2905" s="16"/>
      <c r="G2905" s="16"/>
      <c r="H2905" s="15"/>
      <c r="I2905" s="15"/>
      <c r="J2905" s="3"/>
      <c r="K2905" s="3"/>
      <c r="L2905" s="3"/>
      <c r="M2905" s="3"/>
      <c r="N2905" s="3"/>
      <c r="O2905" s="3"/>
      <c r="P2905" s="3"/>
      <c r="Q2905" s="3"/>
      <c r="R2905" s="3"/>
      <c r="S2905" s="3"/>
      <c r="T2905" s="3"/>
      <c r="U2905" s="3"/>
      <c r="V2905" s="3"/>
      <c r="W2905" s="3"/>
      <c r="X2905" s="3"/>
      <c r="Y2905" s="3"/>
      <c r="Z2905" s="3"/>
      <c r="AA2905" s="3"/>
    </row>
    <row r="2906" ht="105.75" customHeight="1">
      <c r="A2906" s="11"/>
      <c r="B2906" s="12"/>
      <c r="C2906" s="11"/>
      <c r="D2906" s="13"/>
      <c r="E2906" s="14"/>
      <c r="F2906" s="14"/>
      <c r="G2906" s="14"/>
      <c r="H2906" s="15"/>
      <c r="I2906" s="15"/>
      <c r="J2906" s="3"/>
      <c r="K2906" s="3"/>
      <c r="L2906" s="3"/>
      <c r="M2906" s="3"/>
      <c r="N2906" s="3"/>
      <c r="O2906" s="3"/>
      <c r="P2906" s="3"/>
      <c r="Q2906" s="3"/>
      <c r="R2906" s="3"/>
      <c r="S2906" s="3"/>
      <c r="T2906" s="3"/>
      <c r="U2906" s="3"/>
      <c r="V2906" s="3"/>
      <c r="W2906" s="3"/>
      <c r="X2906" s="3"/>
      <c r="Y2906" s="3"/>
      <c r="Z2906" s="3"/>
      <c r="AA2906" s="3"/>
    </row>
    <row r="2907" ht="105.75" customHeight="1">
      <c r="A2907" s="11"/>
      <c r="B2907" s="12"/>
      <c r="C2907" s="11"/>
      <c r="D2907" s="13"/>
      <c r="E2907" s="14"/>
      <c r="F2907" s="14"/>
      <c r="G2907" s="14"/>
      <c r="H2907" s="15"/>
      <c r="I2907" s="15"/>
      <c r="J2907" s="3"/>
      <c r="K2907" s="3"/>
      <c r="L2907" s="3"/>
      <c r="M2907" s="3"/>
      <c r="N2907" s="3"/>
      <c r="O2907" s="3"/>
      <c r="P2907" s="3"/>
      <c r="Q2907" s="3"/>
      <c r="R2907" s="3"/>
      <c r="S2907" s="3"/>
      <c r="T2907" s="3"/>
      <c r="U2907" s="3"/>
      <c r="V2907" s="3"/>
      <c r="W2907" s="3"/>
      <c r="X2907" s="3"/>
      <c r="Y2907" s="3"/>
      <c r="Z2907" s="3"/>
      <c r="AA2907" s="3"/>
    </row>
    <row r="2908" ht="105.75" customHeight="1">
      <c r="A2908" s="11"/>
      <c r="B2908" s="12"/>
      <c r="C2908" s="11"/>
      <c r="D2908" s="13"/>
      <c r="E2908" s="14"/>
      <c r="F2908" s="14"/>
      <c r="G2908" s="14"/>
      <c r="H2908" s="15"/>
      <c r="I2908" s="15"/>
      <c r="J2908" s="3"/>
      <c r="K2908" s="3"/>
      <c r="L2908" s="3"/>
      <c r="M2908" s="3"/>
      <c r="N2908" s="3"/>
      <c r="O2908" s="3"/>
      <c r="P2908" s="3"/>
      <c r="Q2908" s="3"/>
      <c r="R2908" s="3"/>
      <c r="S2908" s="3"/>
      <c r="T2908" s="3"/>
      <c r="U2908" s="3"/>
      <c r="V2908" s="3"/>
      <c r="W2908" s="3"/>
      <c r="X2908" s="3"/>
      <c r="Y2908" s="3"/>
      <c r="Z2908" s="3"/>
      <c r="AA2908" s="3"/>
    </row>
    <row r="2909" ht="105.75" customHeight="1">
      <c r="A2909" s="11"/>
      <c r="B2909" s="12"/>
      <c r="C2909" s="11"/>
      <c r="D2909" s="13"/>
      <c r="E2909" s="16"/>
      <c r="F2909" s="16"/>
      <c r="G2909" s="16"/>
      <c r="H2909" s="15"/>
      <c r="I2909" s="15"/>
      <c r="J2909" s="3"/>
      <c r="K2909" s="3"/>
      <c r="L2909" s="3"/>
      <c r="M2909" s="3"/>
      <c r="N2909" s="3"/>
      <c r="O2909" s="3"/>
      <c r="P2909" s="3"/>
      <c r="Q2909" s="3"/>
      <c r="R2909" s="3"/>
      <c r="S2909" s="3"/>
      <c r="T2909" s="3"/>
      <c r="U2909" s="3"/>
      <c r="V2909" s="3"/>
      <c r="W2909" s="3"/>
      <c r="X2909" s="3"/>
      <c r="Y2909" s="3"/>
      <c r="Z2909" s="3"/>
      <c r="AA2909" s="3"/>
    </row>
    <row r="2910" ht="105.75" customHeight="1">
      <c r="A2910" s="11"/>
      <c r="B2910" s="12"/>
      <c r="C2910" s="11"/>
      <c r="D2910" s="13"/>
      <c r="E2910" s="14"/>
      <c r="F2910" s="14"/>
      <c r="G2910" s="14"/>
      <c r="H2910" s="15"/>
      <c r="I2910" s="15"/>
      <c r="J2910" s="3"/>
      <c r="K2910" s="3"/>
      <c r="L2910" s="3"/>
      <c r="M2910" s="3"/>
      <c r="N2910" s="3"/>
      <c r="O2910" s="3"/>
      <c r="P2910" s="3"/>
      <c r="Q2910" s="3"/>
      <c r="R2910" s="3"/>
      <c r="S2910" s="3"/>
      <c r="T2910" s="3"/>
      <c r="U2910" s="3"/>
      <c r="V2910" s="3"/>
      <c r="W2910" s="3"/>
      <c r="X2910" s="3"/>
      <c r="Y2910" s="3"/>
      <c r="Z2910" s="3"/>
      <c r="AA2910" s="3"/>
    </row>
    <row r="2911" ht="105.75" customHeight="1">
      <c r="A2911" s="11"/>
      <c r="B2911" s="12"/>
      <c r="C2911" s="11"/>
      <c r="D2911" s="13"/>
      <c r="E2911" s="14"/>
      <c r="F2911" s="14"/>
      <c r="G2911" s="14"/>
      <c r="H2911" s="15"/>
      <c r="I2911" s="15"/>
      <c r="J2911" s="3"/>
      <c r="K2911" s="3"/>
      <c r="L2911" s="3"/>
      <c r="M2911" s="3"/>
      <c r="N2911" s="3"/>
      <c r="O2911" s="3"/>
      <c r="P2911" s="3"/>
      <c r="Q2911" s="3"/>
      <c r="R2911" s="3"/>
      <c r="S2911" s="3"/>
      <c r="T2911" s="3"/>
      <c r="U2911" s="3"/>
      <c r="V2911" s="3"/>
      <c r="W2911" s="3"/>
      <c r="X2911" s="3"/>
      <c r="Y2911" s="3"/>
      <c r="Z2911" s="3"/>
      <c r="AA2911" s="3"/>
    </row>
    <row r="2912" ht="105.75" customHeight="1">
      <c r="A2912" s="11"/>
      <c r="B2912" s="12"/>
      <c r="C2912" s="11"/>
      <c r="D2912" s="13"/>
      <c r="E2912" s="14"/>
      <c r="F2912" s="14"/>
      <c r="G2912" s="14"/>
      <c r="H2912" s="15"/>
      <c r="I2912" s="15"/>
      <c r="J2912" s="3"/>
      <c r="K2912" s="3"/>
      <c r="L2912" s="3"/>
      <c r="M2912" s="3"/>
      <c r="N2912" s="3"/>
      <c r="O2912" s="3"/>
      <c r="P2912" s="3"/>
      <c r="Q2912" s="3"/>
      <c r="R2912" s="3"/>
      <c r="S2912" s="3"/>
      <c r="T2912" s="3"/>
      <c r="U2912" s="3"/>
      <c r="V2912" s="3"/>
      <c r="W2912" s="3"/>
      <c r="X2912" s="3"/>
      <c r="Y2912" s="3"/>
      <c r="Z2912" s="3"/>
      <c r="AA2912" s="3"/>
    </row>
    <row r="2913" ht="105.75" customHeight="1">
      <c r="A2913" s="11"/>
      <c r="B2913" s="12"/>
      <c r="C2913" s="11"/>
      <c r="D2913" s="13"/>
      <c r="E2913" s="16"/>
      <c r="F2913" s="16"/>
      <c r="G2913" s="16"/>
      <c r="H2913" s="15"/>
      <c r="I2913" s="15"/>
      <c r="J2913" s="3"/>
      <c r="K2913" s="3"/>
      <c r="L2913" s="3"/>
      <c r="M2913" s="3"/>
      <c r="N2913" s="3"/>
      <c r="O2913" s="3"/>
      <c r="P2913" s="3"/>
      <c r="Q2913" s="3"/>
      <c r="R2913" s="3"/>
      <c r="S2913" s="3"/>
      <c r="T2913" s="3"/>
      <c r="U2913" s="3"/>
      <c r="V2913" s="3"/>
      <c r="W2913" s="3"/>
      <c r="X2913" s="3"/>
      <c r="Y2913" s="3"/>
      <c r="Z2913" s="3"/>
      <c r="AA2913" s="3"/>
    </row>
    <row r="2914" ht="105.75" customHeight="1">
      <c r="A2914" s="11"/>
      <c r="B2914" s="12"/>
      <c r="C2914" s="11"/>
      <c r="D2914" s="13"/>
      <c r="E2914" s="14"/>
      <c r="F2914" s="14"/>
      <c r="G2914" s="14"/>
      <c r="H2914" s="15"/>
      <c r="I2914" s="15"/>
      <c r="J2914" s="3"/>
      <c r="K2914" s="3"/>
      <c r="L2914" s="3"/>
      <c r="M2914" s="3"/>
      <c r="N2914" s="3"/>
      <c r="O2914" s="3"/>
      <c r="P2914" s="3"/>
      <c r="Q2914" s="3"/>
      <c r="R2914" s="3"/>
      <c r="S2914" s="3"/>
      <c r="T2914" s="3"/>
      <c r="U2914" s="3"/>
      <c r="V2914" s="3"/>
      <c r="W2914" s="3"/>
      <c r="X2914" s="3"/>
      <c r="Y2914" s="3"/>
      <c r="Z2914" s="3"/>
      <c r="AA2914" s="3"/>
    </row>
    <row r="2915" ht="105.75" customHeight="1">
      <c r="A2915" s="11"/>
      <c r="B2915" s="12"/>
      <c r="C2915" s="11"/>
      <c r="D2915" s="13"/>
      <c r="E2915" s="14"/>
      <c r="F2915" s="14"/>
      <c r="G2915" s="14"/>
      <c r="H2915" s="15"/>
      <c r="I2915" s="15"/>
      <c r="J2915" s="3"/>
      <c r="K2915" s="3"/>
      <c r="L2915" s="3"/>
      <c r="M2915" s="3"/>
      <c r="N2915" s="3"/>
      <c r="O2915" s="3"/>
      <c r="P2915" s="3"/>
      <c r="Q2915" s="3"/>
      <c r="R2915" s="3"/>
      <c r="S2915" s="3"/>
      <c r="T2915" s="3"/>
      <c r="U2915" s="3"/>
      <c r="V2915" s="3"/>
      <c r="W2915" s="3"/>
      <c r="X2915" s="3"/>
      <c r="Y2915" s="3"/>
      <c r="Z2915" s="3"/>
      <c r="AA2915" s="3"/>
    </row>
    <row r="2916" ht="105.75" customHeight="1">
      <c r="A2916" s="11"/>
      <c r="B2916" s="12"/>
      <c r="C2916" s="11"/>
      <c r="D2916" s="13"/>
      <c r="E2916" s="14"/>
      <c r="F2916" s="14"/>
      <c r="G2916" s="14"/>
      <c r="H2916" s="15"/>
      <c r="I2916" s="15"/>
      <c r="J2916" s="3"/>
      <c r="K2916" s="3"/>
      <c r="L2916" s="3"/>
      <c r="M2916" s="3"/>
      <c r="N2916" s="3"/>
      <c r="O2916" s="3"/>
      <c r="P2916" s="3"/>
      <c r="Q2916" s="3"/>
      <c r="R2916" s="3"/>
      <c r="S2916" s="3"/>
      <c r="T2916" s="3"/>
      <c r="U2916" s="3"/>
      <c r="V2916" s="3"/>
      <c r="W2916" s="3"/>
      <c r="X2916" s="3"/>
      <c r="Y2916" s="3"/>
      <c r="Z2916" s="3"/>
      <c r="AA2916" s="3"/>
    </row>
    <row r="2917" ht="105.75" customHeight="1">
      <c r="A2917" s="11"/>
      <c r="B2917" s="12"/>
      <c r="C2917" s="11"/>
      <c r="D2917" s="13"/>
      <c r="E2917" s="14"/>
      <c r="F2917" s="14"/>
      <c r="G2917" s="14"/>
      <c r="H2917" s="15"/>
      <c r="I2917" s="15"/>
      <c r="J2917" s="3"/>
      <c r="K2917" s="3"/>
      <c r="L2917" s="3"/>
      <c r="M2917" s="3"/>
      <c r="N2917" s="3"/>
      <c r="O2917" s="3"/>
      <c r="P2917" s="3"/>
      <c r="Q2917" s="3"/>
      <c r="R2917" s="3"/>
      <c r="S2917" s="3"/>
      <c r="T2917" s="3"/>
      <c r="U2917" s="3"/>
      <c r="V2917" s="3"/>
      <c r="W2917" s="3"/>
      <c r="X2917" s="3"/>
      <c r="Y2917" s="3"/>
      <c r="Z2917" s="3"/>
      <c r="AA2917" s="3"/>
    </row>
    <row r="2918" ht="105.75" customHeight="1">
      <c r="A2918" s="11"/>
      <c r="B2918" s="12"/>
      <c r="C2918" s="11"/>
      <c r="D2918" s="13"/>
      <c r="E2918" s="14"/>
      <c r="F2918" s="14"/>
      <c r="G2918" s="14"/>
      <c r="H2918" s="15"/>
      <c r="I2918" s="15"/>
      <c r="J2918" s="3"/>
      <c r="K2918" s="3"/>
      <c r="L2918" s="3"/>
      <c r="M2918" s="3"/>
      <c r="N2918" s="3"/>
      <c r="O2918" s="3"/>
      <c r="P2918" s="3"/>
      <c r="Q2918" s="3"/>
      <c r="R2918" s="3"/>
      <c r="S2918" s="3"/>
      <c r="T2918" s="3"/>
      <c r="U2918" s="3"/>
      <c r="V2918" s="3"/>
      <c r="W2918" s="3"/>
      <c r="X2918" s="3"/>
      <c r="Y2918" s="3"/>
      <c r="Z2918" s="3"/>
      <c r="AA2918" s="3"/>
    </row>
    <row r="2919" ht="105.75" customHeight="1">
      <c r="A2919" s="11"/>
      <c r="B2919" s="12"/>
      <c r="C2919" s="11"/>
      <c r="D2919" s="13"/>
      <c r="E2919" s="14"/>
      <c r="F2919" s="14"/>
      <c r="G2919" s="14"/>
      <c r="H2919" s="15"/>
      <c r="I2919" s="15"/>
      <c r="J2919" s="3"/>
      <c r="K2919" s="3"/>
      <c r="L2919" s="3"/>
      <c r="M2919" s="3"/>
      <c r="N2919" s="3"/>
      <c r="O2919" s="3"/>
      <c r="P2919" s="3"/>
      <c r="Q2919" s="3"/>
      <c r="R2919" s="3"/>
      <c r="S2919" s="3"/>
      <c r="T2919" s="3"/>
      <c r="U2919" s="3"/>
      <c r="V2919" s="3"/>
      <c r="W2919" s="3"/>
      <c r="X2919" s="3"/>
      <c r="Y2919" s="3"/>
      <c r="Z2919" s="3"/>
      <c r="AA2919" s="3"/>
    </row>
    <row r="2920" ht="105.75" customHeight="1">
      <c r="A2920" s="11"/>
      <c r="B2920" s="12"/>
      <c r="C2920" s="11"/>
      <c r="D2920" s="13"/>
      <c r="E2920" s="14"/>
      <c r="F2920" s="14"/>
      <c r="G2920" s="14"/>
      <c r="H2920" s="15"/>
      <c r="I2920" s="15"/>
      <c r="J2920" s="3"/>
      <c r="K2920" s="3"/>
      <c r="L2920" s="3"/>
      <c r="M2920" s="3"/>
      <c r="N2920" s="3"/>
      <c r="O2920" s="3"/>
      <c r="P2920" s="3"/>
      <c r="Q2920" s="3"/>
      <c r="R2920" s="3"/>
      <c r="S2920" s="3"/>
      <c r="T2920" s="3"/>
      <c r="U2920" s="3"/>
      <c r="V2920" s="3"/>
      <c r="W2920" s="3"/>
      <c r="X2920" s="3"/>
      <c r="Y2920" s="3"/>
      <c r="Z2920" s="3"/>
      <c r="AA2920" s="3"/>
    </row>
    <row r="2921" ht="105.75" customHeight="1">
      <c r="A2921" s="11"/>
      <c r="B2921" s="12"/>
      <c r="C2921" s="11"/>
      <c r="D2921" s="13"/>
      <c r="E2921" s="14"/>
      <c r="F2921" s="14"/>
      <c r="G2921" s="14"/>
      <c r="H2921" s="15"/>
      <c r="I2921" s="15"/>
      <c r="J2921" s="3"/>
      <c r="K2921" s="3"/>
      <c r="L2921" s="3"/>
      <c r="M2921" s="3"/>
      <c r="N2921" s="3"/>
      <c r="O2921" s="3"/>
      <c r="P2921" s="3"/>
      <c r="Q2921" s="3"/>
      <c r="R2921" s="3"/>
      <c r="S2921" s="3"/>
      <c r="T2921" s="3"/>
      <c r="U2921" s="3"/>
      <c r="V2921" s="3"/>
      <c r="W2921" s="3"/>
      <c r="X2921" s="3"/>
      <c r="Y2921" s="3"/>
      <c r="Z2921" s="3"/>
      <c r="AA2921" s="3"/>
    </row>
    <row r="2922" ht="105.75" customHeight="1">
      <c r="A2922" s="11"/>
      <c r="B2922" s="12"/>
      <c r="C2922" s="11"/>
      <c r="D2922" s="13"/>
      <c r="E2922" s="14"/>
      <c r="F2922" s="14"/>
      <c r="G2922" s="14"/>
      <c r="H2922" s="15"/>
      <c r="I2922" s="15"/>
      <c r="J2922" s="3"/>
      <c r="K2922" s="3"/>
      <c r="L2922" s="3"/>
      <c r="M2922" s="3"/>
      <c r="N2922" s="3"/>
      <c r="O2922" s="3"/>
      <c r="P2922" s="3"/>
      <c r="Q2922" s="3"/>
      <c r="R2922" s="3"/>
      <c r="S2922" s="3"/>
      <c r="T2922" s="3"/>
      <c r="U2922" s="3"/>
      <c r="V2922" s="3"/>
      <c r="W2922" s="3"/>
      <c r="X2922" s="3"/>
      <c r="Y2922" s="3"/>
      <c r="Z2922" s="3"/>
      <c r="AA2922" s="3"/>
    </row>
    <row r="2923" ht="105.75" customHeight="1">
      <c r="A2923" s="11"/>
      <c r="B2923" s="12"/>
      <c r="C2923" s="11"/>
      <c r="D2923" s="13"/>
      <c r="E2923" s="14"/>
      <c r="F2923" s="14"/>
      <c r="G2923" s="14"/>
      <c r="H2923" s="15"/>
      <c r="I2923" s="15"/>
      <c r="J2923" s="3"/>
      <c r="K2923" s="3"/>
      <c r="L2923" s="3"/>
      <c r="M2923" s="3"/>
      <c r="N2923" s="3"/>
      <c r="O2923" s="3"/>
      <c r="P2923" s="3"/>
      <c r="Q2923" s="3"/>
      <c r="R2923" s="3"/>
      <c r="S2923" s="3"/>
      <c r="T2923" s="3"/>
      <c r="U2923" s="3"/>
      <c r="V2923" s="3"/>
      <c r="W2923" s="3"/>
      <c r="X2923" s="3"/>
      <c r="Y2923" s="3"/>
      <c r="Z2923" s="3"/>
      <c r="AA2923" s="3"/>
    </row>
    <row r="2924" ht="105.75" customHeight="1">
      <c r="A2924" s="11"/>
      <c r="B2924" s="12"/>
      <c r="C2924" s="11"/>
      <c r="D2924" s="13"/>
      <c r="E2924" s="14"/>
      <c r="F2924" s="14"/>
      <c r="G2924" s="14"/>
      <c r="H2924" s="15"/>
      <c r="I2924" s="15"/>
      <c r="J2924" s="3"/>
      <c r="K2924" s="3"/>
      <c r="L2924" s="3"/>
      <c r="M2924" s="3"/>
      <c r="N2924" s="3"/>
      <c r="O2924" s="3"/>
      <c r="P2924" s="3"/>
      <c r="Q2924" s="3"/>
      <c r="R2924" s="3"/>
      <c r="S2924" s="3"/>
      <c r="T2924" s="3"/>
      <c r="U2924" s="3"/>
      <c r="V2924" s="3"/>
      <c r="W2924" s="3"/>
      <c r="X2924" s="3"/>
      <c r="Y2924" s="3"/>
      <c r="Z2924" s="3"/>
      <c r="AA2924" s="3"/>
    </row>
    <row r="2925" ht="105.75" customHeight="1">
      <c r="A2925" s="11"/>
      <c r="B2925" s="12"/>
      <c r="C2925" s="11"/>
      <c r="D2925" s="13"/>
      <c r="E2925" s="14"/>
      <c r="F2925" s="14"/>
      <c r="G2925" s="14"/>
      <c r="H2925" s="15"/>
      <c r="I2925" s="15"/>
      <c r="J2925" s="3"/>
      <c r="K2925" s="3"/>
      <c r="L2925" s="3"/>
      <c r="M2925" s="3"/>
      <c r="N2925" s="3"/>
      <c r="O2925" s="3"/>
      <c r="P2925" s="3"/>
      <c r="Q2925" s="3"/>
      <c r="R2925" s="3"/>
      <c r="S2925" s="3"/>
      <c r="T2925" s="3"/>
      <c r="U2925" s="3"/>
      <c r="V2925" s="3"/>
      <c r="W2925" s="3"/>
      <c r="X2925" s="3"/>
      <c r="Y2925" s="3"/>
      <c r="Z2925" s="3"/>
      <c r="AA2925" s="3"/>
    </row>
    <row r="2926" ht="105.75" customHeight="1">
      <c r="A2926" s="11"/>
      <c r="B2926" s="12"/>
      <c r="C2926" s="11"/>
      <c r="D2926" s="13"/>
      <c r="E2926" s="14"/>
      <c r="F2926" s="14"/>
      <c r="G2926" s="14"/>
      <c r="H2926" s="15"/>
      <c r="I2926" s="15"/>
      <c r="J2926" s="3"/>
      <c r="K2926" s="3"/>
      <c r="L2926" s="3"/>
      <c r="M2926" s="3"/>
      <c r="N2926" s="3"/>
      <c r="O2926" s="3"/>
      <c r="P2926" s="3"/>
      <c r="Q2926" s="3"/>
      <c r="R2926" s="3"/>
      <c r="S2926" s="3"/>
      <c r="T2926" s="3"/>
      <c r="U2926" s="3"/>
      <c r="V2926" s="3"/>
      <c r="W2926" s="3"/>
      <c r="X2926" s="3"/>
      <c r="Y2926" s="3"/>
      <c r="Z2926" s="3"/>
      <c r="AA2926" s="3"/>
    </row>
    <row r="2927" ht="105.75" customHeight="1">
      <c r="A2927" s="11"/>
      <c r="B2927" s="12"/>
      <c r="C2927" s="11"/>
      <c r="D2927" s="13"/>
      <c r="E2927" s="14"/>
      <c r="F2927" s="14"/>
      <c r="G2927" s="14"/>
      <c r="H2927" s="15"/>
      <c r="I2927" s="15"/>
      <c r="J2927" s="3"/>
      <c r="K2927" s="3"/>
      <c r="L2927" s="3"/>
      <c r="M2927" s="3"/>
      <c r="N2927" s="3"/>
      <c r="O2927" s="3"/>
      <c r="P2927" s="3"/>
      <c r="Q2927" s="3"/>
      <c r="R2927" s="3"/>
      <c r="S2927" s="3"/>
      <c r="T2927" s="3"/>
      <c r="U2927" s="3"/>
      <c r="V2927" s="3"/>
      <c r="W2927" s="3"/>
      <c r="X2927" s="3"/>
      <c r="Y2927" s="3"/>
      <c r="Z2927" s="3"/>
      <c r="AA2927" s="3"/>
    </row>
    <row r="2928" ht="105.75" customHeight="1">
      <c r="A2928" s="11"/>
      <c r="B2928" s="12"/>
      <c r="C2928" s="11"/>
      <c r="D2928" s="13"/>
      <c r="E2928" s="14"/>
      <c r="F2928" s="14"/>
      <c r="G2928" s="14"/>
      <c r="H2928" s="15"/>
      <c r="I2928" s="15"/>
      <c r="J2928" s="3"/>
      <c r="K2928" s="3"/>
      <c r="L2928" s="3"/>
      <c r="M2928" s="3"/>
      <c r="N2928" s="3"/>
      <c r="O2928" s="3"/>
      <c r="P2928" s="3"/>
      <c r="Q2928" s="3"/>
      <c r="R2928" s="3"/>
      <c r="S2928" s="3"/>
      <c r="T2928" s="3"/>
      <c r="U2928" s="3"/>
      <c r="V2928" s="3"/>
      <c r="W2928" s="3"/>
      <c r="X2928" s="3"/>
      <c r="Y2928" s="3"/>
      <c r="Z2928" s="3"/>
      <c r="AA2928" s="3"/>
    </row>
    <row r="2929" ht="105.75" customHeight="1">
      <c r="A2929" s="11"/>
      <c r="B2929" s="12"/>
      <c r="C2929" s="11"/>
      <c r="D2929" s="13"/>
      <c r="E2929" s="14"/>
      <c r="F2929" s="14"/>
      <c r="G2929" s="14"/>
      <c r="H2929" s="15"/>
      <c r="I2929" s="15"/>
      <c r="J2929" s="3"/>
      <c r="K2929" s="3"/>
      <c r="L2929" s="3"/>
      <c r="M2929" s="3"/>
      <c r="N2929" s="3"/>
      <c r="O2929" s="3"/>
      <c r="P2929" s="3"/>
      <c r="Q2929" s="3"/>
      <c r="R2929" s="3"/>
      <c r="S2929" s="3"/>
      <c r="T2929" s="3"/>
      <c r="U2929" s="3"/>
      <c r="V2929" s="3"/>
      <c r="W2929" s="3"/>
      <c r="X2929" s="3"/>
      <c r="Y2929" s="3"/>
      <c r="Z2929" s="3"/>
      <c r="AA2929" s="3"/>
    </row>
    <row r="2930" ht="105.75" customHeight="1">
      <c r="A2930" s="11"/>
      <c r="B2930" s="12"/>
      <c r="C2930" s="11"/>
      <c r="D2930" s="13"/>
      <c r="E2930" s="14"/>
      <c r="F2930" s="14"/>
      <c r="G2930" s="14"/>
      <c r="H2930" s="15"/>
      <c r="I2930" s="15"/>
      <c r="J2930" s="3"/>
      <c r="K2930" s="3"/>
      <c r="L2930" s="3"/>
      <c r="M2930" s="3"/>
      <c r="N2930" s="3"/>
      <c r="O2930" s="3"/>
      <c r="P2930" s="3"/>
      <c r="Q2930" s="3"/>
      <c r="R2930" s="3"/>
      <c r="S2930" s="3"/>
      <c r="T2930" s="3"/>
      <c r="U2930" s="3"/>
      <c r="V2930" s="3"/>
      <c r="W2930" s="3"/>
      <c r="X2930" s="3"/>
      <c r="Y2930" s="3"/>
      <c r="Z2930" s="3"/>
      <c r="AA2930" s="3"/>
    </row>
    <row r="2931" ht="105.75" customHeight="1">
      <c r="A2931" s="11"/>
      <c r="B2931" s="12"/>
      <c r="C2931" s="11"/>
      <c r="D2931" s="13"/>
      <c r="E2931" s="14"/>
      <c r="F2931" s="14"/>
      <c r="G2931" s="14"/>
      <c r="H2931" s="15"/>
      <c r="I2931" s="15"/>
      <c r="J2931" s="3"/>
      <c r="K2931" s="3"/>
      <c r="L2931" s="3"/>
      <c r="M2931" s="3"/>
      <c r="N2931" s="3"/>
      <c r="O2931" s="3"/>
      <c r="P2931" s="3"/>
      <c r="Q2931" s="3"/>
      <c r="R2931" s="3"/>
      <c r="S2931" s="3"/>
      <c r="T2931" s="3"/>
      <c r="U2931" s="3"/>
      <c r="V2931" s="3"/>
      <c r="W2931" s="3"/>
      <c r="X2931" s="3"/>
      <c r="Y2931" s="3"/>
      <c r="Z2931" s="3"/>
      <c r="AA2931" s="3"/>
    </row>
    <row r="2932" ht="105.75" customHeight="1">
      <c r="A2932" s="11"/>
      <c r="B2932" s="12"/>
      <c r="C2932" s="11"/>
      <c r="D2932" s="13"/>
      <c r="E2932" s="16"/>
      <c r="F2932" s="16"/>
      <c r="G2932" s="16"/>
      <c r="H2932" s="15"/>
      <c r="I2932" s="15"/>
      <c r="J2932" s="3"/>
      <c r="K2932" s="3"/>
      <c r="L2932" s="3"/>
      <c r="M2932" s="3"/>
      <c r="N2932" s="3"/>
      <c r="O2932" s="3"/>
      <c r="P2932" s="3"/>
      <c r="Q2932" s="3"/>
      <c r="R2932" s="3"/>
      <c r="S2932" s="3"/>
      <c r="T2932" s="3"/>
      <c r="U2932" s="3"/>
      <c r="V2932" s="3"/>
      <c r="W2932" s="3"/>
      <c r="X2932" s="3"/>
      <c r="Y2932" s="3"/>
      <c r="Z2932" s="3"/>
      <c r="AA2932" s="3"/>
    </row>
    <row r="2933" ht="105.75" customHeight="1">
      <c r="A2933" s="11"/>
      <c r="B2933" s="12"/>
      <c r="C2933" s="11"/>
      <c r="D2933" s="13"/>
      <c r="E2933" s="14"/>
      <c r="F2933" s="14"/>
      <c r="G2933" s="14"/>
      <c r="H2933" s="15"/>
      <c r="I2933" s="15"/>
      <c r="J2933" s="3"/>
      <c r="K2933" s="3"/>
      <c r="L2933" s="3"/>
      <c r="M2933" s="3"/>
      <c r="N2933" s="3"/>
      <c r="O2933" s="3"/>
      <c r="P2933" s="3"/>
      <c r="Q2933" s="3"/>
      <c r="R2933" s="3"/>
      <c r="S2933" s="3"/>
      <c r="T2933" s="3"/>
      <c r="U2933" s="3"/>
      <c r="V2933" s="3"/>
      <c r="W2933" s="3"/>
      <c r="X2933" s="3"/>
      <c r="Y2933" s="3"/>
      <c r="Z2933" s="3"/>
      <c r="AA2933" s="3"/>
    </row>
    <row r="2934" ht="105.75" customHeight="1">
      <c r="A2934" s="11"/>
      <c r="B2934" s="12"/>
      <c r="C2934" s="11"/>
      <c r="D2934" s="13"/>
      <c r="E2934" s="14"/>
      <c r="F2934" s="14"/>
      <c r="G2934" s="14"/>
      <c r="H2934" s="15"/>
      <c r="I2934" s="15"/>
      <c r="J2934" s="3"/>
      <c r="K2934" s="3"/>
      <c r="L2934" s="3"/>
      <c r="M2934" s="3"/>
      <c r="N2934" s="3"/>
      <c r="O2934" s="3"/>
      <c r="P2934" s="3"/>
      <c r="Q2934" s="3"/>
      <c r="R2934" s="3"/>
      <c r="S2934" s="3"/>
      <c r="T2934" s="3"/>
      <c r="U2934" s="3"/>
      <c r="V2934" s="3"/>
      <c r="W2934" s="3"/>
      <c r="X2934" s="3"/>
      <c r="Y2934" s="3"/>
      <c r="Z2934" s="3"/>
      <c r="AA2934" s="3"/>
    </row>
    <row r="2935" ht="105.75" customHeight="1">
      <c r="A2935" s="11"/>
      <c r="B2935" s="12"/>
      <c r="C2935" s="11"/>
      <c r="D2935" s="13"/>
      <c r="E2935" s="14"/>
      <c r="F2935" s="14"/>
      <c r="G2935" s="14"/>
      <c r="H2935" s="15"/>
      <c r="I2935" s="15"/>
      <c r="J2935" s="3"/>
      <c r="K2935" s="3"/>
      <c r="L2935" s="3"/>
      <c r="M2935" s="3"/>
      <c r="N2935" s="3"/>
      <c r="O2935" s="3"/>
      <c r="P2935" s="3"/>
      <c r="Q2935" s="3"/>
      <c r="R2935" s="3"/>
      <c r="S2935" s="3"/>
      <c r="T2935" s="3"/>
      <c r="U2935" s="3"/>
      <c r="V2935" s="3"/>
      <c r="W2935" s="3"/>
      <c r="X2935" s="3"/>
      <c r="Y2935" s="3"/>
      <c r="Z2935" s="3"/>
      <c r="AA2935" s="3"/>
    </row>
    <row r="2936" ht="105.75" customHeight="1">
      <c r="A2936" s="11"/>
      <c r="B2936" s="12"/>
      <c r="C2936" s="11"/>
      <c r="D2936" s="13"/>
      <c r="E2936" s="14"/>
      <c r="F2936" s="14"/>
      <c r="G2936" s="14"/>
      <c r="H2936" s="15"/>
      <c r="I2936" s="15"/>
      <c r="J2936" s="3"/>
      <c r="K2936" s="3"/>
      <c r="L2936" s="3"/>
      <c r="M2936" s="3"/>
      <c r="N2936" s="3"/>
      <c r="O2936" s="3"/>
      <c r="P2936" s="3"/>
      <c r="Q2936" s="3"/>
      <c r="R2936" s="3"/>
      <c r="S2936" s="3"/>
      <c r="T2936" s="3"/>
      <c r="U2936" s="3"/>
      <c r="V2936" s="3"/>
      <c r="W2936" s="3"/>
      <c r="X2936" s="3"/>
      <c r="Y2936" s="3"/>
      <c r="Z2936" s="3"/>
      <c r="AA2936" s="3"/>
    </row>
    <row r="2937" ht="105.75" customHeight="1">
      <c r="A2937" s="11"/>
      <c r="B2937" s="12"/>
      <c r="C2937" s="11"/>
      <c r="D2937" s="13"/>
      <c r="E2937" s="14"/>
      <c r="F2937" s="14"/>
      <c r="G2937" s="14"/>
      <c r="H2937" s="15"/>
      <c r="I2937" s="15"/>
      <c r="J2937" s="3"/>
      <c r="K2937" s="3"/>
      <c r="L2937" s="3"/>
      <c r="M2937" s="3"/>
      <c r="N2937" s="3"/>
      <c r="O2937" s="3"/>
      <c r="P2937" s="3"/>
      <c r="Q2937" s="3"/>
      <c r="R2937" s="3"/>
      <c r="S2937" s="3"/>
      <c r="T2937" s="3"/>
      <c r="U2937" s="3"/>
      <c r="V2937" s="3"/>
      <c r="W2937" s="3"/>
      <c r="X2937" s="3"/>
      <c r="Y2937" s="3"/>
      <c r="Z2937" s="3"/>
      <c r="AA2937" s="3"/>
    </row>
    <row r="2938" ht="105.75" customHeight="1">
      <c r="A2938" s="11"/>
      <c r="B2938" s="12"/>
      <c r="C2938" s="11"/>
      <c r="D2938" s="13"/>
      <c r="E2938" s="14"/>
      <c r="F2938" s="14"/>
      <c r="G2938" s="14"/>
      <c r="H2938" s="15"/>
      <c r="I2938" s="15"/>
      <c r="J2938" s="3"/>
      <c r="K2938" s="3"/>
      <c r="L2938" s="3"/>
      <c r="M2938" s="3"/>
      <c r="N2938" s="3"/>
      <c r="O2938" s="3"/>
      <c r="P2938" s="3"/>
      <c r="Q2938" s="3"/>
      <c r="R2938" s="3"/>
      <c r="S2938" s="3"/>
      <c r="T2938" s="3"/>
      <c r="U2938" s="3"/>
      <c r="V2938" s="3"/>
      <c r="W2938" s="3"/>
      <c r="X2938" s="3"/>
      <c r="Y2938" s="3"/>
      <c r="Z2938" s="3"/>
      <c r="AA2938" s="3"/>
    </row>
    <row r="2939" ht="105.75" customHeight="1">
      <c r="A2939" s="11"/>
      <c r="B2939" s="12"/>
      <c r="C2939" s="11"/>
      <c r="D2939" s="13"/>
      <c r="E2939" s="14"/>
      <c r="F2939" s="14"/>
      <c r="G2939" s="14"/>
      <c r="H2939" s="15"/>
      <c r="I2939" s="15"/>
      <c r="J2939" s="3"/>
      <c r="K2939" s="3"/>
      <c r="L2939" s="3"/>
      <c r="M2939" s="3"/>
      <c r="N2939" s="3"/>
      <c r="O2939" s="3"/>
      <c r="P2939" s="3"/>
      <c r="Q2939" s="3"/>
      <c r="R2939" s="3"/>
      <c r="S2939" s="3"/>
      <c r="T2939" s="3"/>
      <c r="U2939" s="3"/>
      <c r="V2939" s="3"/>
      <c r="W2939" s="3"/>
      <c r="X2939" s="3"/>
      <c r="Y2939" s="3"/>
      <c r="Z2939" s="3"/>
      <c r="AA2939" s="3"/>
    </row>
    <row r="2940" ht="105.75" customHeight="1">
      <c r="A2940" s="11"/>
      <c r="B2940" s="12"/>
      <c r="C2940" s="11"/>
      <c r="D2940" s="13"/>
      <c r="E2940" s="16"/>
      <c r="F2940" s="16"/>
      <c r="G2940" s="16"/>
      <c r="H2940" s="15"/>
      <c r="I2940" s="15"/>
      <c r="J2940" s="3"/>
      <c r="K2940" s="3"/>
      <c r="L2940" s="3"/>
      <c r="M2940" s="3"/>
      <c r="N2940" s="3"/>
      <c r="O2940" s="3"/>
      <c r="P2940" s="3"/>
      <c r="Q2940" s="3"/>
      <c r="R2940" s="3"/>
      <c r="S2940" s="3"/>
      <c r="T2940" s="3"/>
      <c r="U2940" s="3"/>
      <c r="V2940" s="3"/>
      <c r="W2940" s="3"/>
      <c r="X2940" s="3"/>
      <c r="Y2940" s="3"/>
      <c r="Z2940" s="3"/>
      <c r="AA2940" s="3"/>
    </row>
    <row r="2941" ht="105.75" customHeight="1">
      <c r="A2941" s="11"/>
      <c r="B2941" s="12"/>
      <c r="C2941" s="11"/>
      <c r="D2941" s="13"/>
      <c r="E2941" s="14"/>
      <c r="F2941" s="14"/>
      <c r="G2941" s="14"/>
      <c r="H2941" s="15"/>
      <c r="I2941" s="15"/>
      <c r="J2941" s="3"/>
      <c r="K2941" s="3"/>
      <c r="L2941" s="3"/>
      <c r="M2941" s="3"/>
      <c r="N2941" s="3"/>
      <c r="O2941" s="3"/>
      <c r="P2941" s="3"/>
      <c r="Q2941" s="3"/>
      <c r="R2941" s="3"/>
      <c r="S2941" s="3"/>
      <c r="T2941" s="3"/>
      <c r="U2941" s="3"/>
      <c r="V2941" s="3"/>
      <c r="W2941" s="3"/>
      <c r="X2941" s="3"/>
      <c r="Y2941" s="3"/>
      <c r="Z2941" s="3"/>
      <c r="AA2941" s="3"/>
    </row>
    <row r="2942" ht="105.75" customHeight="1">
      <c r="A2942" s="11"/>
      <c r="B2942" s="12"/>
      <c r="C2942" s="11"/>
      <c r="D2942" s="13"/>
      <c r="E2942" s="14"/>
      <c r="F2942" s="14"/>
      <c r="G2942" s="14"/>
      <c r="H2942" s="15"/>
      <c r="I2942" s="15"/>
      <c r="J2942" s="3"/>
      <c r="K2942" s="3"/>
      <c r="L2942" s="3"/>
      <c r="M2942" s="3"/>
      <c r="N2942" s="3"/>
      <c r="O2942" s="3"/>
      <c r="P2942" s="3"/>
      <c r="Q2942" s="3"/>
      <c r="R2942" s="3"/>
      <c r="S2942" s="3"/>
      <c r="T2942" s="3"/>
      <c r="U2942" s="3"/>
      <c r="V2942" s="3"/>
      <c r="W2942" s="3"/>
      <c r="X2942" s="3"/>
      <c r="Y2942" s="3"/>
      <c r="Z2942" s="3"/>
      <c r="AA2942" s="3"/>
    </row>
    <row r="2943" ht="105.75" customHeight="1">
      <c r="A2943" s="11"/>
      <c r="B2943" s="12"/>
      <c r="C2943" s="11"/>
      <c r="D2943" s="13"/>
      <c r="E2943" s="14"/>
      <c r="F2943" s="14"/>
      <c r="G2943" s="14"/>
      <c r="H2943" s="15"/>
      <c r="I2943" s="15"/>
      <c r="J2943" s="3"/>
      <c r="K2943" s="3"/>
      <c r="L2943" s="3"/>
      <c r="M2943" s="3"/>
      <c r="N2943" s="3"/>
      <c r="O2943" s="3"/>
      <c r="P2943" s="3"/>
      <c r="Q2943" s="3"/>
      <c r="R2943" s="3"/>
      <c r="S2943" s="3"/>
      <c r="T2943" s="3"/>
      <c r="U2943" s="3"/>
      <c r="V2943" s="3"/>
      <c r="W2943" s="3"/>
      <c r="X2943" s="3"/>
      <c r="Y2943" s="3"/>
      <c r="Z2943" s="3"/>
      <c r="AA2943" s="3"/>
    </row>
    <row r="2944" ht="105.75" customHeight="1">
      <c r="A2944" s="11"/>
      <c r="B2944" s="12"/>
      <c r="C2944" s="11"/>
      <c r="D2944" s="13"/>
      <c r="E2944" s="16"/>
      <c r="F2944" s="16"/>
      <c r="G2944" s="16"/>
      <c r="H2944" s="15"/>
      <c r="I2944" s="15"/>
      <c r="J2944" s="3"/>
      <c r="K2944" s="3"/>
      <c r="L2944" s="3"/>
      <c r="M2944" s="3"/>
      <c r="N2944" s="3"/>
      <c r="O2944" s="3"/>
      <c r="P2944" s="3"/>
      <c r="Q2944" s="3"/>
      <c r="R2944" s="3"/>
      <c r="S2944" s="3"/>
      <c r="T2944" s="3"/>
      <c r="U2944" s="3"/>
      <c r="V2944" s="3"/>
      <c r="W2944" s="3"/>
      <c r="X2944" s="3"/>
      <c r="Y2944" s="3"/>
      <c r="Z2944" s="3"/>
      <c r="AA2944" s="3"/>
    </row>
    <row r="2945" ht="105.75" customHeight="1">
      <c r="A2945" s="11"/>
      <c r="B2945" s="12"/>
      <c r="C2945" s="11"/>
      <c r="D2945" s="13"/>
      <c r="E2945" s="14"/>
      <c r="F2945" s="14"/>
      <c r="G2945" s="14"/>
      <c r="H2945" s="15"/>
      <c r="I2945" s="15"/>
      <c r="J2945" s="3"/>
      <c r="K2945" s="3"/>
      <c r="L2945" s="3"/>
      <c r="M2945" s="3"/>
      <c r="N2945" s="3"/>
      <c r="O2945" s="3"/>
      <c r="P2945" s="3"/>
      <c r="Q2945" s="3"/>
      <c r="R2945" s="3"/>
      <c r="S2945" s="3"/>
      <c r="T2945" s="3"/>
      <c r="U2945" s="3"/>
      <c r="V2945" s="3"/>
      <c r="W2945" s="3"/>
      <c r="X2945" s="3"/>
      <c r="Y2945" s="3"/>
      <c r="Z2945" s="3"/>
      <c r="AA2945" s="3"/>
    </row>
    <row r="2946" ht="105.75" customHeight="1">
      <c r="A2946" s="11"/>
      <c r="B2946" s="12"/>
      <c r="C2946" s="11"/>
      <c r="D2946" s="13"/>
      <c r="E2946" s="14"/>
      <c r="F2946" s="14"/>
      <c r="G2946" s="14"/>
      <c r="H2946" s="15"/>
      <c r="I2946" s="15"/>
      <c r="J2946" s="3"/>
      <c r="K2946" s="3"/>
      <c r="L2946" s="3"/>
      <c r="M2946" s="3"/>
      <c r="N2946" s="3"/>
      <c r="O2946" s="3"/>
      <c r="P2946" s="3"/>
      <c r="Q2946" s="3"/>
      <c r="R2946" s="3"/>
      <c r="S2946" s="3"/>
      <c r="T2946" s="3"/>
      <c r="U2946" s="3"/>
      <c r="V2946" s="3"/>
      <c r="W2946" s="3"/>
      <c r="X2946" s="3"/>
      <c r="Y2946" s="3"/>
      <c r="Z2946" s="3"/>
      <c r="AA2946" s="3"/>
    </row>
    <row r="2947" ht="105.75" customHeight="1">
      <c r="A2947" s="11"/>
      <c r="B2947" s="12"/>
      <c r="C2947" s="11"/>
      <c r="D2947" s="13"/>
      <c r="E2947" s="14"/>
      <c r="F2947" s="14"/>
      <c r="G2947" s="14"/>
      <c r="H2947" s="15"/>
      <c r="I2947" s="15"/>
      <c r="J2947" s="3"/>
      <c r="K2947" s="3"/>
      <c r="L2947" s="3"/>
      <c r="M2947" s="3"/>
      <c r="N2947" s="3"/>
      <c r="O2947" s="3"/>
      <c r="P2947" s="3"/>
      <c r="Q2947" s="3"/>
      <c r="R2947" s="3"/>
      <c r="S2947" s="3"/>
      <c r="T2947" s="3"/>
      <c r="U2947" s="3"/>
      <c r="V2947" s="3"/>
      <c r="W2947" s="3"/>
      <c r="X2947" s="3"/>
      <c r="Y2947" s="3"/>
      <c r="Z2947" s="3"/>
      <c r="AA2947" s="3"/>
    </row>
    <row r="2948" ht="105.75" customHeight="1">
      <c r="A2948" s="11"/>
      <c r="B2948" s="12"/>
      <c r="C2948" s="11"/>
      <c r="D2948" s="13"/>
      <c r="E2948" s="14"/>
      <c r="F2948" s="14"/>
      <c r="G2948" s="14"/>
      <c r="H2948" s="15"/>
      <c r="I2948" s="15"/>
      <c r="J2948" s="3"/>
      <c r="K2948" s="3"/>
      <c r="L2948" s="3"/>
      <c r="M2948" s="3"/>
      <c r="N2948" s="3"/>
      <c r="O2948" s="3"/>
      <c r="P2948" s="3"/>
      <c r="Q2948" s="3"/>
      <c r="R2948" s="3"/>
      <c r="S2948" s="3"/>
      <c r="T2948" s="3"/>
      <c r="U2948" s="3"/>
      <c r="V2948" s="3"/>
      <c r="W2948" s="3"/>
      <c r="X2948" s="3"/>
      <c r="Y2948" s="3"/>
      <c r="Z2948" s="3"/>
      <c r="AA2948" s="3"/>
    </row>
    <row r="2949" ht="105.75" customHeight="1">
      <c r="A2949" s="11"/>
      <c r="B2949" s="12"/>
      <c r="C2949" s="11"/>
      <c r="D2949" s="13"/>
      <c r="E2949" s="14"/>
      <c r="F2949" s="14"/>
      <c r="G2949" s="14"/>
      <c r="H2949" s="15"/>
      <c r="I2949" s="15"/>
      <c r="J2949" s="3"/>
      <c r="K2949" s="3"/>
      <c r="L2949" s="3"/>
      <c r="M2949" s="3"/>
      <c r="N2949" s="3"/>
      <c r="O2949" s="3"/>
      <c r="P2949" s="3"/>
      <c r="Q2949" s="3"/>
      <c r="R2949" s="3"/>
      <c r="S2949" s="3"/>
      <c r="T2949" s="3"/>
      <c r="U2949" s="3"/>
      <c r="V2949" s="3"/>
      <c r="W2949" s="3"/>
      <c r="X2949" s="3"/>
      <c r="Y2949" s="3"/>
      <c r="Z2949" s="3"/>
      <c r="AA2949" s="3"/>
    </row>
    <row r="2950" ht="105.75" customHeight="1">
      <c r="A2950" s="11"/>
      <c r="B2950" s="12"/>
      <c r="C2950" s="11"/>
      <c r="D2950" s="13"/>
      <c r="E2950" s="14"/>
      <c r="F2950" s="14"/>
      <c r="G2950" s="14"/>
      <c r="H2950" s="15"/>
      <c r="I2950" s="15"/>
      <c r="J2950" s="3"/>
      <c r="K2950" s="3"/>
      <c r="L2950" s="3"/>
      <c r="M2950" s="3"/>
      <c r="N2950" s="3"/>
      <c r="O2950" s="3"/>
      <c r="P2950" s="3"/>
      <c r="Q2950" s="3"/>
      <c r="R2950" s="3"/>
      <c r="S2950" s="3"/>
      <c r="T2950" s="3"/>
      <c r="U2950" s="3"/>
      <c r="V2950" s="3"/>
      <c r="W2950" s="3"/>
      <c r="X2950" s="3"/>
      <c r="Y2950" s="3"/>
      <c r="Z2950" s="3"/>
      <c r="AA2950" s="3"/>
    </row>
    <row r="2951" ht="105.75" customHeight="1">
      <c r="A2951" s="11"/>
      <c r="B2951" s="12"/>
      <c r="C2951" s="11"/>
      <c r="D2951" s="13"/>
      <c r="E2951" s="14"/>
      <c r="F2951" s="14"/>
      <c r="G2951" s="14"/>
      <c r="H2951" s="15"/>
      <c r="I2951" s="15"/>
      <c r="J2951" s="3"/>
      <c r="K2951" s="3"/>
      <c r="L2951" s="3"/>
      <c r="M2951" s="3"/>
      <c r="N2951" s="3"/>
      <c r="O2951" s="3"/>
      <c r="P2951" s="3"/>
      <c r="Q2951" s="3"/>
      <c r="R2951" s="3"/>
      <c r="S2951" s="3"/>
      <c r="T2951" s="3"/>
      <c r="U2951" s="3"/>
      <c r="V2951" s="3"/>
      <c r="W2951" s="3"/>
      <c r="X2951" s="3"/>
      <c r="Y2951" s="3"/>
      <c r="Z2951" s="3"/>
      <c r="AA2951" s="3"/>
    </row>
    <row r="2952" ht="105.75" customHeight="1">
      <c r="A2952" s="11"/>
      <c r="B2952" s="12"/>
      <c r="C2952" s="11"/>
      <c r="D2952" s="13"/>
      <c r="E2952" s="14"/>
      <c r="F2952" s="14"/>
      <c r="G2952" s="14"/>
      <c r="H2952" s="15"/>
      <c r="I2952" s="15"/>
      <c r="J2952" s="3"/>
      <c r="K2952" s="3"/>
      <c r="L2952" s="3"/>
      <c r="M2952" s="3"/>
      <c r="N2952" s="3"/>
      <c r="O2952" s="3"/>
      <c r="P2952" s="3"/>
      <c r="Q2952" s="3"/>
      <c r="R2952" s="3"/>
      <c r="S2952" s="3"/>
      <c r="T2952" s="3"/>
      <c r="U2952" s="3"/>
      <c r="V2952" s="3"/>
      <c r="W2952" s="3"/>
      <c r="X2952" s="3"/>
      <c r="Y2952" s="3"/>
      <c r="Z2952" s="3"/>
      <c r="AA2952" s="3"/>
    </row>
    <row r="2953" ht="105.75" customHeight="1">
      <c r="A2953" s="11"/>
      <c r="B2953" s="12"/>
      <c r="C2953" s="11"/>
      <c r="D2953" s="13"/>
      <c r="E2953" s="14"/>
      <c r="F2953" s="14"/>
      <c r="G2953" s="14"/>
      <c r="H2953" s="15"/>
      <c r="I2953" s="15"/>
      <c r="J2953" s="3"/>
      <c r="K2953" s="3"/>
      <c r="L2953" s="3"/>
      <c r="M2953" s="3"/>
      <c r="N2953" s="3"/>
      <c r="O2953" s="3"/>
      <c r="P2953" s="3"/>
      <c r="Q2953" s="3"/>
      <c r="R2953" s="3"/>
      <c r="S2953" s="3"/>
      <c r="T2953" s="3"/>
      <c r="U2953" s="3"/>
      <c r="V2953" s="3"/>
      <c r="W2953" s="3"/>
      <c r="X2953" s="3"/>
      <c r="Y2953" s="3"/>
      <c r="Z2953" s="3"/>
      <c r="AA2953" s="3"/>
    </row>
    <row r="2954" ht="105.75" customHeight="1">
      <c r="A2954" s="11"/>
      <c r="B2954" s="12"/>
      <c r="C2954" s="11"/>
      <c r="D2954" s="13"/>
      <c r="E2954" s="14"/>
      <c r="F2954" s="14"/>
      <c r="G2954" s="14"/>
      <c r="H2954" s="15"/>
      <c r="I2954" s="15"/>
      <c r="J2954" s="3"/>
      <c r="K2954" s="3"/>
      <c r="L2954" s="3"/>
      <c r="M2954" s="3"/>
      <c r="N2954" s="3"/>
      <c r="O2954" s="3"/>
      <c r="P2954" s="3"/>
      <c r="Q2954" s="3"/>
      <c r="R2954" s="3"/>
      <c r="S2954" s="3"/>
      <c r="T2954" s="3"/>
      <c r="U2954" s="3"/>
      <c r="V2954" s="3"/>
      <c r="W2954" s="3"/>
      <c r="X2954" s="3"/>
      <c r="Y2954" s="3"/>
      <c r="Z2954" s="3"/>
      <c r="AA2954" s="3"/>
    </row>
    <row r="2955" ht="105.75" customHeight="1">
      <c r="A2955" s="11"/>
      <c r="B2955" s="12"/>
      <c r="C2955" s="11"/>
      <c r="D2955" s="13"/>
      <c r="E2955" s="16"/>
      <c r="F2955" s="16"/>
      <c r="G2955" s="16"/>
      <c r="H2955" s="15"/>
      <c r="I2955" s="15"/>
      <c r="J2955" s="3"/>
      <c r="K2955" s="3"/>
      <c r="L2955" s="3"/>
      <c r="M2955" s="3"/>
      <c r="N2955" s="3"/>
      <c r="O2955" s="3"/>
      <c r="P2955" s="3"/>
      <c r="Q2955" s="3"/>
      <c r="R2955" s="3"/>
      <c r="S2955" s="3"/>
      <c r="T2955" s="3"/>
      <c r="U2955" s="3"/>
      <c r="V2955" s="3"/>
      <c r="W2955" s="3"/>
      <c r="X2955" s="3"/>
      <c r="Y2955" s="3"/>
      <c r="Z2955" s="3"/>
      <c r="AA2955" s="3"/>
    </row>
    <row r="2956" ht="105.75" customHeight="1">
      <c r="A2956" s="11"/>
      <c r="B2956" s="12"/>
      <c r="C2956" s="11"/>
      <c r="D2956" s="13"/>
      <c r="E2956" s="14"/>
      <c r="F2956" s="14"/>
      <c r="G2956" s="14"/>
      <c r="H2956" s="15"/>
      <c r="I2956" s="15"/>
      <c r="J2956" s="3"/>
      <c r="K2956" s="3"/>
      <c r="L2956" s="3"/>
      <c r="M2956" s="3"/>
      <c r="N2956" s="3"/>
      <c r="O2956" s="3"/>
      <c r="P2956" s="3"/>
      <c r="Q2956" s="3"/>
      <c r="R2956" s="3"/>
      <c r="S2956" s="3"/>
      <c r="T2956" s="3"/>
      <c r="U2956" s="3"/>
      <c r="V2956" s="3"/>
      <c r="W2956" s="3"/>
      <c r="X2956" s="3"/>
      <c r="Y2956" s="3"/>
      <c r="Z2956" s="3"/>
      <c r="AA2956" s="3"/>
    </row>
    <row r="2957" ht="105.75" customHeight="1">
      <c r="A2957" s="11"/>
      <c r="B2957" s="12"/>
      <c r="C2957" s="11"/>
      <c r="D2957" s="13"/>
      <c r="E2957" s="14"/>
      <c r="F2957" s="14"/>
      <c r="G2957" s="14"/>
      <c r="H2957" s="15"/>
      <c r="I2957" s="15"/>
      <c r="J2957" s="3"/>
      <c r="K2957" s="3"/>
      <c r="L2957" s="3"/>
      <c r="M2957" s="3"/>
      <c r="N2957" s="3"/>
      <c r="O2957" s="3"/>
      <c r="P2957" s="3"/>
      <c r="Q2957" s="3"/>
      <c r="R2957" s="3"/>
      <c r="S2957" s="3"/>
      <c r="T2957" s="3"/>
      <c r="U2957" s="3"/>
      <c r="V2957" s="3"/>
      <c r="W2957" s="3"/>
      <c r="X2957" s="3"/>
      <c r="Y2957" s="3"/>
      <c r="Z2957" s="3"/>
      <c r="AA2957" s="3"/>
    </row>
    <row r="2958" ht="105.75" customHeight="1">
      <c r="A2958" s="11"/>
      <c r="B2958" s="12"/>
      <c r="C2958" s="11"/>
      <c r="D2958" s="13"/>
      <c r="E2958" s="14"/>
      <c r="F2958" s="14"/>
      <c r="G2958" s="14"/>
      <c r="H2958" s="15"/>
      <c r="I2958" s="15"/>
      <c r="J2958" s="3"/>
      <c r="K2958" s="3"/>
      <c r="L2958" s="3"/>
      <c r="M2958" s="3"/>
      <c r="N2958" s="3"/>
      <c r="O2958" s="3"/>
      <c r="P2958" s="3"/>
      <c r="Q2958" s="3"/>
      <c r="R2958" s="3"/>
      <c r="S2958" s="3"/>
      <c r="T2958" s="3"/>
      <c r="U2958" s="3"/>
      <c r="V2958" s="3"/>
      <c r="W2958" s="3"/>
      <c r="X2958" s="3"/>
      <c r="Y2958" s="3"/>
      <c r="Z2958" s="3"/>
      <c r="AA2958" s="3"/>
    </row>
    <row r="2959" ht="105.75" customHeight="1">
      <c r="A2959" s="11"/>
      <c r="B2959" s="12"/>
      <c r="C2959" s="11"/>
      <c r="D2959" s="13"/>
      <c r="E2959" s="14"/>
      <c r="F2959" s="14"/>
      <c r="G2959" s="14"/>
      <c r="H2959" s="15"/>
      <c r="I2959" s="15"/>
      <c r="J2959" s="3"/>
      <c r="K2959" s="3"/>
      <c r="L2959" s="3"/>
      <c r="M2959" s="3"/>
      <c r="N2959" s="3"/>
      <c r="O2959" s="3"/>
      <c r="P2959" s="3"/>
      <c r="Q2959" s="3"/>
      <c r="R2959" s="3"/>
      <c r="S2959" s="3"/>
      <c r="T2959" s="3"/>
      <c r="U2959" s="3"/>
      <c r="V2959" s="3"/>
      <c r="W2959" s="3"/>
      <c r="X2959" s="3"/>
      <c r="Y2959" s="3"/>
      <c r="Z2959" s="3"/>
      <c r="AA2959" s="3"/>
    </row>
    <row r="2960" ht="105.75" customHeight="1">
      <c r="A2960" s="11"/>
      <c r="B2960" s="12"/>
      <c r="C2960" s="11"/>
      <c r="D2960" s="13"/>
      <c r="E2960" s="14"/>
      <c r="F2960" s="14"/>
      <c r="G2960" s="14"/>
      <c r="H2960" s="15"/>
      <c r="I2960" s="15"/>
      <c r="J2960" s="3"/>
      <c r="K2960" s="3"/>
      <c r="L2960" s="3"/>
      <c r="M2960" s="3"/>
      <c r="N2960" s="3"/>
      <c r="O2960" s="3"/>
      <c r="P2960" s="3"/>
      <c r="Q2960" s="3"/>
      <c r="R2960" s="3"/>
      <c r="S2960" s="3"/>
      <c r="T2960" s="3"/>
      <c r="U2960" s="3"/>
      <c r="V2960" s="3"/>
      <c r="W2960" s="3"/>
      <c r="X2960" s="3"/>
      <c r="Y2960" s="3"/>
      <c r="Z2960" s="3"/>
      <c r="AA2960" s="3"/>
    </row>
    <row r="2961" ht="105.75" customHeight="1">
      <c r="A2961" s="11"/>
      <c r="B2961" s="12"/>
      <c r="C2961" s="11"/>
      <c r="D2961" s="13"/>
      <c r="E2961" s="14"/>
      <c r="F2961" s="14"/>
      <c r="G2961" s="14"/>
      <c r="H2961" s="15"/>
      <c r="I2961" s="15"/>
      <c r="J2961" s="3"/>
      <c r="K2961" s="3"/>
      <c r="L2961" s="3"/>
      <c r="M2961" s="3"/>
      <c r="N2961" s="3"/>
      <c r="O2961" s="3"/>
      <c r="P2961" s="3"/>
      <c r="Q2961" s="3"/>
      <c r="R2961" s="3"/>
      <c r="S2961" s="3"/>
      <c r="T2961" s="3"/>
      <c r="U2961" s="3"/>
      <c r="V2961" s="3"/>
      <c r="W2961" s="3"/>
      <c r="X2961" s="3"/>
      <c r="Y2961" s="3"/>
      <c r="Z2961" s="3"/>
      <c r="AA2961" s="3"/>
    </row>
    <row r="2962" ht="105.75" customHeight="1">
      <c r="A2962" s="11"/>
      <c r="B2962" s="12"/>
      <c r="C2962" s="11"/>
      <c r="D2962" s="13"/>
      <c r="E2962" s="14"/>
      <c r="F2962" s="14"/>
      <c r="G2962" s="14"/>
      <c r="H2962" s="15"/>
      <c r="I2962" s="15"/>
      <c r="J2962" s="3"/>
      <c r="K2962" s="3"/>
      <c r="L2962" s="3"/>
      <c r="M2962" s="3"/>
      <c r="N2962" s="3"/>
      <c r="O2962" s="3"/>
      <c r="P2962" s="3"/>
      <c r="Q2962" s="3"/>
      <c r="R2962" s="3"/>
      <c r="S2962" s="3"/>
      <c r="T2962" s="3"/>
      <c r="U2962" s="3"/>
      <c r="V2962" s="3"/>
      <c r="W2962" s="3"/>
      <c r="X2962" s="3"/>
      <c r="Y2962" s="3"/>
      <c r="Z2962" s="3"/>
      <c r="AA2962" s="3"/>
    </row>
    <row r="2963" ht="105.75" customHeight="1">
      <c r="A2963" s="11"/>
      <c r="B2963" s="12"/>
      <c r="C2963" s="11"/>
      <c r="D2963" s="13"/>
      <c r="E2963" s="14"/>
      <c r="F2963" s="14"/>
      <c r="G2963" s="14"/>
      <c r="H2963" s="15"/>
      <c r="I2963" s="15"/>
      <c r="J2963" s="3"/>
      <c r="K2963" s="3"/>
      <c r="L2963" s="3"/>
      <c r="M2963" s="3"/>
      <c r="N2963" s="3"/>
      <c r="O2963" s="3"/>
      <c r="P2963" s="3"/>
      <c r="Q2963" s="3"/>
      <c r="R2963" s="3"/>
      <c r="S2963" s="3"/>
      <c r="T2963" s="3"/>
      <c r="U2963" s="3"/>
      <c r="V2963" s="3"/>
      <c r="W2963" s="3"/>
      <c r="X2963" s="3"/>
      <c r="Y2963" s="3"/>
      <c r="Z2963" s="3"/>
      <c r="AA2963" s="3"/>
    </row>
    <row r="2964" ht="105.75" customHeight="1">
      <c r="A2964" s="11"/>
      <c r="B2964" s="12"/>
      <c r="C2964" s="11"/>
      <c r="D2964" s="13"/>
      <c r="E2964" s="14"/>
      <c r="F2964" s="14"/>
      <c r="G2964" s="14"/>
      <c r="H2964" s="15"/>
      <c r="I2964" s="15"/>
      <c r="J2964" s="3"/>
      <c r="K2964" s="3"/>
      <c r="L2964" s="3"/>
      <c r="M2964" s="3"/>
      <c r="N2964" s="3"/>
      <c r="O2964" s="3"/>
      <c r="P2964" s="3"/>
      <c r="Q2964" s="3"/>
      <c r="R2964" s="3"/>
      <c r="S2964" s="3"/>
      <c r="T2964" s="3"/>
      <c r="U2964" s="3"/>
      <c r="V2964" s="3"/>
      <c r="W2964" s="3"/>
      <c r="X2964" s="3"/>
      <c r="Y2964" s="3"/>
      <c r="Z2964" s="3"/>
      <c r="AA2964" s="3"/>
    </row>
    <row r="2965" ht="105.75" customHeight="1">
      <c r="A2965" s="11"/>
      <c r="B2965" s="12"/>
      <c r="C2965" s="11"/>
      <c r="D2965" s="13"/>
      <c r="E2965" s="14"/>
      <c r="F2965" s="14"/>
      <c r="G2965" s="14"/>
      <c r="H2965" s="15"/>
      <c r="I2965" s="15"/>
      <c r="J2965" s="3"/>
      <c r="K2965" s="3"/>
      <c r="L2965" s="3"/>
      <c r="M2965" s="3"/>
      <c r="N2965" s="3"/>
      <c r="O2965" s="3"/>
      <c r="P2965" s="3"/>
      <c r="Q2965" s="3"/>
      <c r="R2965" s="3"/>
      <c r="S2965" s="3"/>
      <c r="T2965" s="3"/>
      <c r="U2965" s="3"/>
      <c r="V2965" s="3"/>
      <c r="W2965" s="3"/>
      <c r="X2965" s="3"/>
      <c r="Y2965" s="3"/>
      <c r="Z2965" s="3"/>
      <c r="AA2965" s="3"/>
    </row>
    <row r="2966" ht="105.75" customHeight="1">
      <c r="A2966" s="11"/>
      <c r="B2966" s="12"/>
      <c r="C2966" s="11"/>
      <c r="D2966" s="13"/>
      <c r="E2966" s="14"/>
      <c r="F2966" s="14"/>
      <c r="G2966" s="14"/>
      <c r="H2966" s="15"/>
      <c r="I2966" s="15"/>
      <c r="J2966" s="3"/>
      <c r="K2966" s="3"/>
      <c r="L2966" s="3"/>
      <c r="M2966" s="3"/>
      <c r="N2966" s="3"/>
      <c r="O2966" s="3"/>
      <c r="P2966" s="3"/>
      <c r="Q2966" s="3"/>
      <c r="R2966" s="3"/>
      <c r="S2966" s="3"/>
      <c r="T2966" s="3"/>
      <c r="U2966" s="3"/>
      <c r="V2966" s="3"/>
      <c r="W2966" s="3"/>
      <c r="X2966" s="3"/>
      <c r="Y2966" s="3"/>
      <c r="Z2966" s="3"/>
      <c r="AA2966" s="3"/>
    </row>
    <row r="2967" ht="105.75" customHeight="1">
      <c r="A2967" s="11"/>
      <c r="B2967" s="12"/>
      <c r="C2967" s="11"/>
      <c r="D2967" s="13"/>
      <c r="E2967" s="14"/>
      <c r="F2967" s="14"/>
      <c r="G2967" s="14"/>
      <c r="H2967" s="15"/>
      <c r="I2967" s="15"/>
      <c r="J2967" s="3"/>
      <c r="K2967" s="3"/>
      <c r="L2967" s="3"/>
      <c r="M2967" s="3"/>
      <c r="N2967" s="3"/>
      <c r="O2967" s="3"/>
      <c r="P2967" s="3"/>
      <c r="Q2967" s="3"/>
      <c r="R2967" s="3"/>
      <c r="S2967" s="3"/>
      <c r="T2967" s="3"/>
      <c r="U2967" s="3"/>
      <c r="V2967" s="3"/>
      <c r="W2967" s="3"/>
      <c r="X2967" s="3"/>
      <c r="Y2967" s="3"/>
      <c r="Z2967" s="3"/>
      <c r="AA2967" s="3"/>
    </row>
    <row r="2968" ht="105.75" customHeight="1">
      <c r="A2968" s="11"/>
      <c r="B2968" s="12"/>
      <c r="C2968" s="11"/>
      <c r="D2968" s="13"/>
      <c r="E2968" s="14"/>
      <c r="F2968" s="14"/>
      <c r="G2968" s="14"/>
      <c r="H2968" s="15"/>
      <c r="I2968" s="15"/>
      <c r="J2968" s="3"/>
      <c r="K2968" s="3"/>
      <c r="L2968" s="3"/>
      <c r="M2968" s="3"/>
      <c r="N2968" s="3"/>
      <c r="O2968" s="3"/>
      <c r="P2968" s="3"/>
      <c r="Q2968" s="3"/>
      <c r="R2968" s="3"/>
      <c r="S2968" s="3"/>
      <c r="T2968" s="3"/>
      <c r="U2968" s="3"/>
      <c r="V2968" s="3"/>
      <c r="W2968" s="3"/>
      <c r="X2968" s="3"/>
      <c r="Y2968" s="3"/>
      <c r="Z2968" s="3"/>
      <c r="AA2968" s="3"/>
    </row>
    <row r="2969" ht="105.75" customHeight="1">
      <c r="A2969" s="11"/>
      <c r="B2969" s="12"/>
      <c r="C2969" s="11"/>
      <c r="D2969" s="13"/>
      <c r="E2969" s="14"/>
      <c r="F2969" s="14"/>
      <c r="G2969" s="14"/>
      <c r="H2969" s="15"/>
      <c r="I2969" s="15"/>
      <c r="J2969" s="3"/>
      <c r="K2969" s="3"/>
      <c r="L2969" s="3"/>
      <c r="M2969" s="3"/>
      <c r="N2969" s="3"/>
      <c r="O2969" s="3"/>
      <c r="P2969" s="3"/>
      <c r="Q2969" s="3"/>
      <c r="R2969" s="3"/>
      <c r="S2969" s="3"/>
      <c r="T2969" s="3"/>
      <c r="U2969" s="3"/>
      <c r="V2969" s="3"/>
      <c r="W2969" s="3"/>
      <c r="X2969" s="3"/>
      <c r="Y2969" s="3"/>
      <c r="Z2969" s="3"/>
      <c r="AA2969" s="3"/>
    </row>
    <row r="2970" ht="105.75" customHeight="1">
      <c r="A2970" s="11"/>
      <c r="B2970" s="12"/>
      <c r="C2970" s="11"/>
      <c r="D2970" s="13"/>
      <c r="E2970" s="14"/>
      <c r="F2970" s="14"/>
      <c r="G2970" s="14"/>
      <c r="H2970" s="15"/>
      <c r="I2970" s="15"/>
      <c r="J2970" s="3"/>
      <c r="K2970" s="3"/>
      <c r="L2970" s="3"/>
      <c r="M2970" s="3"/>
      <c r="N2970" s="3"/>
      <c r="O2970" s="3"/>
      <c r="P2970" s="3"/>
      <c r="Q2970" s="3"/>
      <c r="R2970" s="3"/>
      <c r="S2970" s="3"/>
      <c r="T2970" s="3"/>
      <c r="U2970" s="3"/>
      <c r="V2970" s="3"/>
      <c r="W2970" s="3"/>
      <c r="X2970" s="3"/>
      <c r="Y2970" s="3"/>
      <c r="Z2970" s="3"/>
      <c r="AA2970" s="3"/>
    </row>
    <row r="2971" ht="105.75" customHeight="1">
      <c r="A2971" s="11"/>
      <c r="B2971" s="12"/>
      <c r="C2971" s="11"/>
      <c r="D2971" s="13"/>
      <c r="E2971" s="14"/>
      <c r="F2971" s="14"/>
      <c r="G2971" s="14"/>
      <c r="H2971" s="15"/>
      <c r="I2971" s="15"/>
      <c r="J2971" s="3"/>
      <c r="K2971" s="3"/>
      <c r="L2971" s="3"/>
      <c r="M2971" s="3"/>
      <c r="N2971" s="3"/>
      <c r="O2971" s="3"/>
      <c r="P2971" s="3"/>
      <c r="Q2971" s="3"/>
      <c r="R2971" s="3"/>
      <c r="S2971" s="3"/>
      <c r="T2971" s="3"/>
      <c r="U2971" s="3"/>
      <c r="V2971" s="3"/>
      <c r="W2971" s="3"/>
      <c r="X2971" s="3"/>
      <c r="Y2971" s="3"/>
      <c r="Z2971" s="3"/>
      <c r="AA2971" s="3"/>
    </row>
    <row r="2972" ht="105.75" customHeight="1">
      <c r="A2972" s="11"/>
      <c r="B2972" s="12"/>
      <c r="C2972" s="11"/>
      <c r="D2972" s="13"/>
      <c r="E2972" s="16"/>
      <c r="F2972" s="16"/>
      <c r="G2972" s="16"/>
      <c r="H2972" s="15"/>
      <c r="I2972" s="15"/>
      <c r="J2972" s="3"/>
      <c r="K2972" s="3"/>
      <c r="L2972" s="3"/>
      <c r="M2972" s="3"/>
      <c r="N2972" s="3"/>
      <c r="O2972" s="3"/>
      <c r="P2972" s="3"/>
      <c r="Q2972" s="3"/>
      <c r="R2972" s="3"/>
      <c r="S2972" s="3"/>
      <c r="T2972" s="3"/>
      <c r="U2972" s="3"/>
      <c r="V2972" s="3"/>
      <c r="W2972" s="3"/>
      <c r="X2972" s="3"/>
      <c r="Y2972" s="3"/>
      <c r="Z2972" s="3"/>
      <c r="AA2972" s="3"/>
    </row>
    <row r="2973" ht="105.75" customHeight="1">
      <c r="A2973" s="11"/>
      <c r="B2973" s="12"/>
      <c r="C2973" s="11"/>
      <c r="D2973" s="13"/>
      <c r="E2973" s="14"/>
      <c r="F2973" s="14"/>
      <c r="G2973" s="14"/>
      <c r="H2973" s="15"/>
      <c r="I2973" s="15"/>
      <c r="J2973" s="3"/>
      <c r="K2973" s="3"/>
      <c r="L2973" s="3"/>
      <c r="M2973" s="3"/>
      <c r="N2973" s="3"/>
      <c r="O2973" s="3"/>
      <c r="P2973" s="3"/>
      <c r="Q2973" s="3"/>
      <c r="R2973" s="3"/>
      <c r="S2973" s="3"/>
      <c r="T2973" s="3"/>
      <c r="U2973" s="3"/>
      <c r="V2973" s="3"/>
      <c r="W2973" s="3"/>
      <c r="X2973" s="3"/>
      <c r="Y2973" s="3"/>
      <c r="Z2973" s="3"/>
      <c r="AA2973" s="3"/>
    </row>
    <row r="2974" ht="105.75" customHeight="1">
      <c r="A2974" s="11"/>
      <c r="B2974" s="12"/>
      <c r="C2974" s="11"/>
      <c r="D2974" s="13"/>
      <c r="E2974" s="14"/>
      <c r="F2974" s="14"/>
      <c r="G2974" s="14"/>
      <c r="H2974" s="15"/>
      <c r="I2974" s="15"/>
      <c r="J2974" s="3"/>
      <c r="K2974" s="3"/>
      <c r="L2974" s="3"/>
      <c r="M2974" s="3"/>
      <c r="N2974" s="3"/>
      <c r="O2974" s="3"/>
      <c r="P2974" s="3"/>
      <c r="Q2974" s="3"/>
      <c r="R2974" s="3"/>
      <c r="S2974" s="3"/>
      <c r="T2974" s="3"/>
      <c r="U2974" s="3"/>
      <c r="V2974" s="3"/>
      <c r="W2974" s="3"/>
      <c r="X2974" s="3"/>
      <c r="Y2974" s="3"/>
      <c r="Z2974" s="3"/>
      <c r="AA2974" s="3"/>
    </row>
    <row r="2975" ht="105.75" customHeight="1">
      <c r="A2975" s="11"/>
      <c r="B2975" s="12"/>
      <c r="C2975" s="11"/>
      <c r="D2975" s="13"/>
      <c r="E2975" s="14"/>
      <c r="F2975" s="14"/>
      <c r="G2975" s="14"/>
      <c r="H2975" s="15"/>
      <c r="I2975" s="15"/>
      <c r="J2975" s="3"/>
      <c r="K2975" s="3"/>
      <c r="L2975" s="3"/>
      <c r="M2975" s="3"/>
      <c r="N2975" s="3"/>
      <c r="O2975" s="3"/>
      <c r="P2975" s="3"/>
      <c r="Q2975" s="3"/>
      <c r="R2975" s="3"/>
      <c r="S2975" s="3"/>
      <c r="T2975" s="3"/>
      <c r="U2975" s="3"/>
      <c r="V2975" s="3"/>
      <c r="W2975" s="3"/>
      <c r="X2975" s="3"/>
      <c r="Y2975" s="3"/>
      <c r="Z2975" s="3"/>
      <c r="AA2975" s="3"/>
    </row>
    <row r="2976" ht="105.75" customHeight="1">
      <c r="A2976" s="11"/>
      <c r="B2976" s="12"/>
      <c r="C2976" s="11"/>
      <c r="D2976" s="13"/>
      <c r="E2976" s="14"/>
      <c r="F2976" s="14"/>
      <c r="G2976" s="14"/>
      <c r="H2976" s="15"/>
      <c r="I2976" s="15"/>
      <c r="J2976" s="3"/>
      <c r="K2976" s="3"/>
      <c r="L2976" s="3"/>
      <c r="M2976" s="3"/>
      <c r="N2976" s="3"/>
      <c r="O2976" s="3"/>
      <c r="P2976" s="3"/>
      <c r="Q2976" s="3"/>
      <c r="R2976" s="3"/>
      <c r="S2976" s="3"/>
      <c r="T2976" s="3"/>
      <c r="U2976" s="3"/>
      <c r="V2976" s="3"/>
      <c r="W2976" s="3"/>
      <c r="X2976" s="3"/>
      <c r="Y2976" s="3"/>
      <c r="Z2976" s="3"/>
      <c r="AA2976" s="3"/>
    </row>
    <row r="2977" ht="105.75" customHeight="1">
      <c r="A2977" s="11"/>
      <c r="B2977" s="12"/>
      <c r="C2977" s="11"/>
      <c r="D2977" s="13"/>
      <c r="E2977" s="14"/>
      <c r="F2977" s="14"/>
      <c r="G2977" s="14"/>
      <c r="H2977" s="15"/>
      <c r="I2977" s="15"/>
      <c r="J2977" s="3"/>
      <c r="K2977" s="3"/>
      <c r="L2977" s="3"/>
      <c r="M2977" s="3"/>
      <c r="N2977" s="3"/>
      <c r="O2977" s="3"/>
      <c r="P2977" s="3"/>
      <c r="Q2977" s="3"/>
      <c r="R2977" s="3"/>
      <c r="S2977" s="3"/>
      <c r="T2977" s="3"/>
      <c r="U2977" s="3"/>
      <c r="V2977" s="3"/>
      <c r="W2977" s="3"/>
      <c r="X2977" s="3"/>
      <c r="Y2977" s="3"/>
      <c r="Z2977" s="3"/>
      <c r="AA2977" s="3"/>
    </row>
    <row r="2978" ht="105.75" customHeight="1">
      <c r="A2978" s="11"/>
      <c r="B2978" s="12"/>
      <c r="C2978" s="11"/>
      <c r="D2978" s="13"/>
      <c r="E2978" s="14"/>
      <c r="F2978" s="14"/>
      <c r="G2978" s="14"/>
      <c r="H2978" s="15"/>
      <c r="I2978" s="15"/>
      <c r="J2978" s="3"/>
      <c r="K2978" s="3"/>
      <c r="L2978" s="3"/>
      <c r="M2978" s="3"/>
      <c r="N2978" s="3"/>
      <c r="O2978" s="3"/>
      <c r="P2978" s="3"/>
      <c r="Q2978" s="3"/>
      <c r="R2978" s="3"/>
      <c r="S2978" s="3"/>
      <c r="T2978" s="3"/>
      <c r="U2978" s="3"/>
      <c r="V2978" s="3"/>
      <c r="W2978" s="3"/>
      <c r="X2978" s="3"/>
      <c r="Y2978" s="3"/>
      <c r="Z2978" s="3"/>
      <c r="AA2978" s="3"/>
    </row>
    <row r="2979" ht="105.75" customHeight="1">
      <c r="A2979" s="11"/>
      <c r="B2979" s="12"/>
      <c r="C2979" s="11"/>
      <c r="D2979" s="13"/>
      <c r="E2979" s="14"/>
      <c r="F2979" s="14"/>
      <c r="G2979" s="14"/>
      <c r="H2979" s="15"/>
      <c r="I2979" s="15"/>
      <c r="J2979" s="3"/>
      <c r="K2979" s="3"/>
      <c r="L2979" s="3"/>
      <c r="M2979" s="3"/>
      <c r="N2979" s="3"/>
      <c r="O2979" s="3"/>
      <c r="P2979" s="3"/>
      <c r="Q2979" s="3"/>
      <c r="R2979" s="3"/>
      <c r="S2979" s="3"/>
      <c r="T2979" s="3"/>
      <c r="U2979" s="3"/>
      <c r="V2979" s="3"/>
      <c r="W2979" s="3"/>
      <c r="X2979" s="3"/>
      <c r="Y2979" s="3"/>
      <c r="Z2979" s="3"/>
      <c r="AA2979" s="3"/>
    </row>
    <row r="2980" ht="105.75" customHeight="1">
      <c r="A2980" s="11"/>
      <c r="B2980" s="12"/>
      <c r="C2980" s="11"/>
      <c r="D2980" s="13"/>
      <c r="E2980" s="14"/>
      <c r="F2980" s="14"/>
      <c r="G2980" s="14"/>
      <c r="H2980" s="15"/>
      <c r="I2980" s="15"/>
      <c r="J2980" s="3"/>
      <c r="K2980" s="3"/>
      <c r="L2980" s="3"/>
      <c r="M2980" s="3"/>
      <c r="N2980" s="3"/>
      <c r="O2980" s="3"/>
      <c r="P2980" s="3"/>
      <c r="Q2980" s="3"/>
      <c r="R2980" s="3"/>
      <c r="S2980" s="3"/>
      <c r="T2980" s="3"/>
      <c r="U2980" s="3"/>
      <c r="V2980" s="3"/>
      <c r="W2980" s="3"/>
      <c r="X2980" s="3"/>
      <c r="Y2980" s="3"/>
      <c r="Z2980" s="3"/>
      <c r="AA2980" s="3"/>
    </row>
    <row r="2981" ht="105.75" customHeight="1">
      <c r="A2981" s="11"/>
      <c r="B2981" s="12"/>
      <c r="C2981" s="11"/>
      <c r="D2981" s="13"/>
      <c r="E2981" s="14"/>
      <c r="F2981" s="14"/>
      <c r="G2981" s="14"/>
      <c r="H2981" s="15"/>
      <c r="I2981" s="15"/>
      <c r="J2981" s="3"/>
      <c r="K2981" s="3"/>
      <c r="L2981" s="3"/>
      <c r="M2981" s="3"/>
      <c r="N2981" s="3"/>
      <c r="O2981" s="3"/>
      <c r="P2981" s="3"/>
      <c r="Q2981" s="3"/>
      <c r="R2981" s="3"/>
      <c r="S2981" s="3"/>
      <c r="T2981" s="3"/>
      <c r="U2981" s="3"/>
      <c r="V2981" s="3"/>
      <c r="W2981" s="3"/>
      <c r="X2981" s="3"/>
      <c r="Y2981" s="3"/>
      <c r="Z2981" s="3"/>
      <c r="AA2981" s="3"/>
    </row>
    <row r="2982" ht="105.75" customHeight="1">
      <c r="A2982" s="11"/>
      <c r="B2982" s="12"/>
      <c r="C2982" s="11"/>
      <c r="D2982" s="13"/>
      <c r="E2982" s="14"/>
      <c r="F2982" s="14"/>
      <c r="G2982" s="14"/>
      <c r="H2982" s="15"/>
      <c r="I2982" s="15"/>
      <c r="J2982" s="3"/>
      <c r="K2982" s="3"/>
      <c r="L2982" s="3"/>
      <c r="M2982" s="3"/>
      <c r="N2982" s="3"/>
      <c r="O2982" s="3"/>
      <c r="P2982" s="3"/>
      <c r="Q2982" s="3"/>
      <c r="R2982" s="3"/>
      <c r="S2982" s="3"/>
      <c r="T2982" s="3"/>
      <c r="U2982" s="3"/>
      <c r="V2982" s="3"/>
      <c r="W2982" s="3"/>
      <c r="X2982" s="3"/>
      <c r="Y2982" s="3"/>
      <c r="Z2982" s="3"/>
      <c r="AA2982" s="3"/>
    </row>
    <row r="2983" ht="105.75" customHeight="1">
      <c r="A2983" s="11"/>
      <c r="B2983" s="12"/>
      <c r="C2983" s="11"/>
      <c r="D2983" s="13"/>
      <c r="E2983" s="14"/>
      <c r="F2983" s="14"/>
      <c r="G2983" s="14"/>
      <c r="H2983" s="15"/>
      <c r="I2983" s="15"/>
      <c r="J2983" s="3"/>
      <c r="K2983" s="3"/>
      <c r="L2983" s="3"/>
      <c r="M2983" s="3"/>
      <c r="N2983" s="3"/>
      <c r="O2983" s="3"/>
      <c r="P2983" s="3"/>
      <c r="Q2983" s="3"/>
      <c r="R2983" s="3"/>
      <c r="S2983" s="3"/>
      <c r="T2983" s="3"/>
      <c r="U2983" s="3"/>
      <c r="V2983" s="3"/>
      <c r="W2983" s="3"/>
      <c r="X2983" s="3"/>
      <c r="Y2983" s="3"/>
      <c r="Z2983" s="3"/>
      <c r="AA2983" s="3"/>
    </row>
    <row r="2984" ht="105.75" customHeight="1">
      <c r="A2984" s="11"/>
      <c r="B2984" s="12"/>
      <c r="C2984" s="11"/>
      <c r="D2984" s="13"/>
      <c r="E2984" s="14"/>
      <c r="F2984" s="14"/>
      <c r="G2984" s="14"/>
      <c r="H2984" s="15"/>
      <c r="I2984" s="15"/>
      <c r="J2984" s="3"/>
      <c r="K2984" s="3"/>
      <c r="L2984" s="3"/>
      <c r="M2984" s="3"/>
      <c r="N2984" s="3"/>
      <c r="O2984" s="3"/>
      <c r="P2984" s="3"/>
      <c r="Q2984" s="3"/>
      <c r="R2984" s="3"/>
      <c r="S2984" s="3"/>
      <c r="T2984" s="3"/>
      <c r="U2984" s="3"/>
      <c r="V2984" s="3"/>
      <c r="W2984" s="3"/>
      <c r="X2984" s="3"/>
      <c r="Y2984" s="3"/>
      <c r="Z2984" s="3"/>
      <c r="AA2984" s="3"/>
    </row>
    <row r="2985" ht="105.75" customHeight="1">
      <c r="A2985" s="11"/>
      <c r="B2985" s="12"/>
      <c r="C2985" s="11"/>
      <c r="D2985" s="13"/>
      <c r="E2985" s="14"/>
      <c r="F2985" s="14"/>
      <c r="G2985" s="14"/>
      <c r="H2985" s="15"/>
      <c r="I2985" s="15"/>
      <c r="J2985" s="3"/>
      <c r="K2985" s="3"/>
      <c r="L2985" s="3"/>
      <c r="M2985" s="3"/>
      <c r="N2985" s="3"/>
      <c r="O2985" s="3"/>
      <c r="P2985" s="3"/>
      <c r="Q2985" s="3"/>
      <c r="R2985" s="3"/>
      <c r="S2985" s="3"/>
      <c r="T2985" s="3"/>
      <c r="U2985" s="3"/>
      <c r="V2985" s="3"/>
      <c r="W2985" s="3"/>
      <c r="X2985" s="3"/>
      <c r="Y2985" s="3"/>
      <c r="Z2985" s="3"/>
      <c r="AA2985" s="3"/>
    </row>
    <row r="2986" ht="105.75" customHeight="1">
      <c r="A2986" s="11"/>
      <c r="B2986" s="12"/>
      <c r="C2986" s="11"/>
      <c r="D2986" s="13"/>
      <c r="E2986" s="14"/>
      <c r="F2986" s="14"/>
      <c r="G2986" s="14"/>
      <c r="H2986" s="15"/>
      <c r="I2986" s="15"/>
      <c r="J2986" s="3"/>
      <c r="K2986" s="3"/>
      <c r="L2986" s="3"/>
      <c r="M2986" s="3"/>
      <c r="N2986" s="3"/>
      <c r="O2986" s="3"/>
      <c r="P2986" s="3"/>
      <c r="Q2986" s="3"/>
      <c r="R2986" s="3"/>
      <c r="S2986" s="3"/>
      <c r="T2986" s="3"/>
      <c r="U2986" s="3"/>
      <c r="V2986" s="3"/>
      <c r="W2986" s="3"/>
      <c r="X2986" s="3"/>
      <c r="Y2986" s="3"/>
      <c r="Z2986" s="3"/>
      <c r="AA2986" s="3"/>
    </row>
    <row r="2987" ht="105.75" customHeight="1">
      <c r="A2987" s="11"/>
      <c r="B2987" s="12"/>
      <c r="C2987" s="11"/>
      <c r="D2987" s="13"/>
      <c r="E2987" s="14"/>
      <c r="F2987" s="14"/>
      <c r="G2987" s="14"/>
      <c r="H2987" s="15"/>
      <c r="I2987" s="15"/>
      <c r="J2987" s="3"/>
      <c r="K2987" s="3"/>
      <c r="L2987" s="3"/>
      <c r="M2987" s="3"/>
      <c r="N2987" s="3"/>
      <c r="O2987" s="3"/>
      <c r="P2987" s="3"/>
      <c r="Q2987" s="3"/>
      <c r="R2987" s="3"/>
      <c r="S2987" s="3"/>
      <c r="T2987" s="3"/>
      <c r="U2987" s="3"/>
      <c r="V2987" s="3"/>
      <c r="W2987" s="3"/>
      <c r="X2987" s="3"/>
      <c r="Y2987" s="3"/>
      <c r="Z2987" s="3"/>
      <c r="AA2987" s="3"/>
    </row>
    <row r="2988" ht="105.75" customHeight="1">
      <c r="A2988" s="11"/>
      <c r="B2988" s="12"/>
      <c r="C2988" s="11"/>
      <c r="D2988" s="13"/>
      <c r="E2988" s="14"/>
      <c r="F2988" s="14"/>
      <c r="G2988" s="14"/>
      <c r="H2988" s="15"/>
      <c r="I2988" s="15"/>
      <c r="J2988" s="3"/>
      <c r="K2988" s="3"/>
      <c r="L2988" s="3"/>
      <c r="M2988" s="3"/>
      <c r="N2988" s="3"/>
      <c r="O2988" s="3"/>
      <c r="P2988" s="3"/>
      <c r="Q2988" s="3"/>
      <c r="R2988" s="3"/>
      <c r="S2988" s="3"/>
      <c r="T2988" s="3"/>
      <c r="U2988" s="3"/>
      <c r="V2988" s="3"/>
      <c r="W2988" s="3"/>
      <c r="X2988" s="3"/>
      <c r="Y2988" s="3"/>
      <c r="Z2988" s="3"/>
      <c r="AA2988" s="3"/>
    </row>
    <row r="2989" ht="105.75" customHeight="1">
      <c r="A2989" s="11"/>
      <c r="B2989" s="12"/>
      <c r="C2989" s="11"/>
      <c r="D2989" s="13"/>
      <c r="E2989" s="14"/>
      <c r="F2989" s="14"/>
      <c r="G2989" s="14"/>
      <c r="H2989" s="15"/>
      <c r="I2989" s="15"/>
      <c r="J2989" s="3"/>
      <c r="K2989" s="3"/>
      <c r="L2989" s="3"/>
      <c r="M2989" s="3"/>
      <c r="N2989" s="3"/>
      <c r="O2989" s="3"/>
      <c r="P2989" s="3"/>
      <c r="Q2989" s="3"/>
      <c r="R2989" s="3"/>
      <c r="S2989" s="3"/>
      <c r="T2989" s="3"/>
      <c r="U2989" s="3"/>
      <c r="V2989" s="3"/>
      <c r="W2989" s="3"/>
      <c r="X2989" s="3"/>
      <c r="Y2989" s="3"/>
      <c r="Z2989" s="3"/>
      <c r="AA2989" s="3"/>
    </row>
    <row r="2990" ht="105.75" customHeight="1">
      <c r="A2990" s="11"/>
      <c r="B2990" s="12"/>
      <c r="C2990" s="11"/>
      <c r="D2990" s="13"/>
      <c r="E2990" s="14"/>
      <c r="F2990" s="14"/>
      <c r="G2990" s="14"/>
      <c r="H2990" s="15"/>
      <c r="I2990" s="15"/>
      <c r="J2990" s="3"/>
      <c r="K2990" s="3"/>
      <c r="L2990" s="3"/>
      <c r="M2990" s="3"/>
      <c r="N2990" s="3"/>
      <c r="O2990" s="3"/>
      <c r="P2990" s="3"/>
      <c r="Q2990" s="3"/>
      <c r="R2990" s="3"/>
      <c r="S2990" s="3"/>
      <c r="T2990" s="3"/>
      <c r="U2990" s="3"/>
      <c r="V2990" s="3"/>
      <c r="W2990" s="3"/>
      <c r="X2990" s="3"/>
      <c r="Y2990" s="3"/>
      <c r="Z2990" s="3"/>
      <c r="AA2990" s="3"/>
    </row>
    <row r="2991" ht="105.75" customHeight="1">
      <c r="A2991" s="11"/>
      <c r="B2991" s="12"/>
      <c r="C2991" s="11"/>
      <c r="D2991" s="13"/>
      <c r="E2991" s="14"/>
      <c r="F2991" s="14"/>
      <c r="G2991" s="14"/>
      <c r="H2991" s="15"/>
      <c r="I2991" s="15"/>
      <c r="J2991" s="3"/>
      <c r="K2991" s="3"/>
      <c r="L2991" s="3"/>
      <c r="M2991" s="3"/>
      <c r="N2991" s="3"/>
      <c r="O2991" s="3"/>
      <c r="P2991" s="3"/>
      <c r="Q2991" s="3"/>
      <c r="R2991" s="3"/>
      <c r="S2991" s="3"/>
      <c r="T2991" s="3"/>
      <c r="U2991" s="3"/>
      <c r="V2991" s="3"/>
      <c r="W2991" s="3"/>
      <c r="X2991" s="3"/>
      <c r="Y2991" s="3"/>
      <c r="Z2991" s="3"/>
      <c r="AA2991" s="3"/>
    </row>
    <row r="2992" ht="105.75" customHeight="1">
      <c r="A2992" s="11"/>
      <c r="B2992" s="12"/>
      <c r="C2992" s="11"/>
      <c r="D2992" s="13"/>
      <c r="E2992" s="14"/>
      <c r="F2992" s="14"/>
      <c r="G2992" s="14"/>
      <c r="H2992" s="15"/>
      <c r="I2992" s="15"/>
      <c r="J2992" s="3"/>
      <c r="K2992" s="3"/>
      <c r="L2992" s="3"/>
      <c r="M2992" s="3"/>
      <c r="N2992" s="3"/>
      <c r="O2992" s="3"/>
      <c r="P2992" s="3"/>
      <c r="Q2992" s="3"/>
      <c r="R2992" s="3"/>
      <c r="S2992" s="3"/>
      <c r="T2992" s="3"/>
      <c r="U2992" s="3"/>
      <c r="V2992" s="3"/>
      <c r="W2992" s="3"/>
      <c r="X2992" s="3"/>
      <c r="Y2992" s="3"/>
      <c r="Z2992" s="3"/>
      <c r="AA2992" s="3"/>
    </row>
    <row r="2993" ht="105.75" customHeight="1">
      <c r="A2993" s="11"/>
      <c r="B2993" s="12"/>
      <c r="C2993" s="11"/>
      <c r="D2993" s="13"/>
      <c r="E2993" s="14"/>
      <c r="F2993" s="14"/>
      <c r="G2993" s="14"/>
      <c r="H2993" s="15"/>
      <c r="I2993" s="15"/>
      <c r="J2993" s="3"/>
      <c r="K2993" s="3"/>
      <c r="L2993" s="3"/>
      <c r="M2993" s="3"/>
      <c r="N2993" s="3"/>
      <c r="O2993" s="3"/>
      <c r="P2993" s="3"/>
      <c r="Q2993" s="3"/>
      <c r="R2993" s="3"/>
      <c r="S2993" s="3"/>
      <c r="T2993" s="3"/>
      <c r="U2993" s="3"/>
      <c r="V2993" s="3"/>
      <c r="W2993" s="3"/>
      <c r="X2993" s="3"/>
      <c r="Y2993" s="3"/>
      <c r="Z2993" s="3"/>
      <c r="AA2993" s="3"/>
    </row>
    <row r="2994" ht="105.75" customHeight="1">
      <c r="A2994" s="11"/>
      <c r="B2994" s="12"/>
      <c r="C2994" s="11"/>
      <c r="D2994" s="13"/>
      <c r="E2994" s="16"/>
      <c r="F2994" s="16"/>
      <c r="G2994" s="16"/>
      <c r="H2994" s="15"/>
      <c r="I2994" s="15"/>
      <c r="J2994" s="3"/>
      <c r="K2994" s="3"/>
      <c r="L2994" s="3"/>
      <c r="M2994" s="3"/>
      <c r="N2994" s="3"/>
      <c r="O2994" s="3"/>
      <c r="P2994" s="3"/>
      <c r="Q2994" s="3"/>
      <c r="R2994" s="3"/>
      <c r="S2994" s="3"/>
      <c r="T2994" s="3"/>
      <c r="U2994" s="3"/>
      <c r="V2994" s="3"/>
      <c r="W2994" s="3"/>
      <c r="X2994" s="3"/>
      <c r="Y2994" s="3"/>
      <c r="Z2994" s="3"/>
      <c r="AA2994" s="3"/>
    </row>
    <row r="2995" ht="105.75" customHeight="1">
      <c r="A2995" s="11"/>
      <c r="B2995" s="12"/>
      <c r="C2995" s="11"/>
      <c r="D2995" s="13"/>
      <c r="E2995" s="14"/>
      <c r="F2995" s="14"/>
      <c r="G2995" s="14"/>
      <c r="H2995" s="15"/>
      <c r="I2995" s="15"/>
      <c r="J2995" s="3"/>
      <c r="K2995" s="3"/>
      <c r="L2995" s="3"/>
      <c r="M2995" s="3"/>
      <c r="N2995" s="3"/>
      <c r="O2995" s="3"/>
      <c r="P2995" s="3"/>
      <c r="Q2995" s="3"/>
      <c r="R2995" s="3"/>
      <c r="S2995" s="3"/>
      <c r="T2995" s="3"/>
      <c r="U2995" s="3"/>
      <c r="V2995" s="3"/>
      <c r="W2995" s="3"/>
      <c r="X2995" s="3"/>
      <c r="Y2995" s="3"/>
      <c r="Z2995" s="3"/>
      <c r="AA2995" s="3"/>
    </row>
    <row r="2996" ht="105.75" customHeight="1">
      <c r="A2996" s="11"/>
      <c r="B2996" s="12"/>
      <c r="C2996" s="11"/>
      <c r="D2996" s="13"/>
      <c r="E2996" s="14"/>
      <c r="F2996" s="14"/>
      <c r="G2996" s="14"/>
      <c r="H2996" s="15"/>
      <c r="I2996" s="15"/>
      <c r="J2996" s="3"/>
      <c r="K2996" s="3"/>
      <c r="L2996" s="3"/>
      <c r="M2996" s="3"/>
      <c r="N2996" s="3"/>
      <c r="O2996" s="3"/>
      <c r="P2996" s="3"/>
      <c r="Q2996" s="3"/>
      <c r="R2996" s="3"/>
      <c r="S2996" s="3"/>
      <c r="T2996" s="3"/>
      <c r="U2996" s="3"/>
      <c r="V2996" s="3"/>
      <c r="W2996" s="3"/>
      <c r="X2996" s="3"/>
      <c r="Y2996" s="3"/>
      <c r="Z2996" s="3"/>
      <c r="AA2996" s="3"/>
    </row>
    <row r="2997" ht="105.75" customHeight="1">
      <c r="A2997" s="11"/>
      <c r="B2997" s="12"/>
      <c r="C2997" s="11"/>
      <c r="D2997" s="13"/>
      <c r="E2997" s="16"/>
      <c r="F2997" s="16"/>
      <c r="G2997" s="16"/>
      <c r="H2997" s="15"/>
      <c r="I2997" s="15"/>
      <c r="J2997" s="3"/>
      <c r="K2997" s="3"/>
      <c r="L2997" s="3"/>
      <c r="M2997" s="3"/>
      <c r="N2997" s="3"/>
      <c r="O2997" s="3"/>
      <c r="P2997" s="3"/>
      <c r="Q2997" s="3"/>
      <c r="R2997" s="3"/>
      <c r="S2997" s="3"/>
      <c r="T2997" s="3"/>
      <c r="U2997" s="3"/>
      <c r="V2997" s="3"/>
      <c r="W2997" s="3"/>
      <c r="X2997" s="3"/>
      <c r="Y2997" s="3"/>
      <c r="Z2997" s="3"/>
      <c r="AA2997" s="3"/>
    </row>
    <row r="2998" ht="105.75" customHeight="1">
      <c r="A2998" s="11"/>
      <c r="B2998" s="12"/>
      <c r="C2998" s="11"/>
      <c r="D2998" s="13"/>
      <c r="E2998" s="16"/>
      <c r="F2998" s="16"/>
      <c r="G2998" s="16"/>
      <c r="H2998" s="15"/>
      <c r="I2998" s="15"/>
      <c r="J2998" s="3"/>
      <c r="K2998" s="3"/>
      <c r="L2998" s="3"/>
      <c r="M2998" s="3"/>
      <c r="N2998" s="3"/>
      <c r="O2998" s="3"/>
      <c r="P2998" s="3"/>
      <c r="Q2998" s="3"/>
      <c r="R2998" s="3"/>
      <c r="S2998" s="3"/>
      <c r="T2998" s="3"/>
      <c r="U2998" s="3"/>
      <c r="V2998" s="3"/>
      <c r="W2998" s="3"/>
      <c r="X2998" s="3"/>
      <c r="Y2998" s="3"/>
      <c r="Z2998" s="3"/>
      <c r="AA2998" s="3"/>
    </row>
    <row r="2999" ht="105.75" customHeight="1">
      <c r="A2999" s="11"/>
      <c r="B2999" s="12"/>
      <c r="C2999" s="11"/>
      <c r="D2999" s="13"/>
      <c r="E2999" s="14"/>
      <c r="F2999" s="14"/>
      <c r="G2999" s="14"/>
      <c r="H2999" s="15"/>
      <c r="I2999" s="15"/>
      <c r="J2999" s="3"/>
      <c r="K2999" s="3"/>
      <c r="L2999" s="3"/>
      <c r="M2999" s="3"/>
      <c r="N2999" s="3"/>
      <c r="O2999" s="3"/>
      <c r="P2999" s="3"/>
      <c r="Q2999" s="3"/>
      <c r="R2999" s="3"/>
      <c r="S2999" s="3"/>
      <c r="T2999" s="3"/>
      <c r="U2999" s="3"/>
      <c r="V2999" s="3"/>
      <c r="W2999" s="3"/>
      <c r="X2999" s="3"/>
      <c r="Y2999" s="3"/>
      <c r="Z2999" s="3"/>
      <c r="AA2999" s="3"/>
    </row>
    <row r="3000" ht="105.75" customHeight="1">
      <c r="A3000" s="11"/>
      <c r="B3000" s="12"/>
      <c r="C3000" s="11"/>
      <c r="D3000" s="13"/>
      <c r="E3000" s="14"/>
      <c r="F3000" s="14"/>
      <c r="G3000" s="14"/>
      <c r="H3000" s="15"/>
      <c r="I3000" s="15"/>
      <c r="J3000" s="3"/>
      <c r="K3000" s="3"/>
      <c r="L3000" s="3"/>
      <c r="M3000" s="3"/>
      <c r="N3000" s="3"/>
      <c r="O3000" s="3"/>
      <c r="P3000" s="3"/>
      <c r="Q3000" s="3"/>
      <c r="R3000" s="3"/>
      <c r="S3000" s="3"/>
      <c r="T3000" s="3"/>
      <c r="U3000" s="3"/>
      <c r="V3000" s="3"/>
      <c r="W3000" s="3"/>
      <c r="X3000" s="3"/>
      <c r="Y3000" s="3"/>
      <c r="Z3000" s="3"/>
      <c r="AA3000" s="3"/>
    </row>
    <row r="3001" ht="105.75" customHeight="1">
      <c r="A3001" s="11"/>
      <c r="B3001" s="12"/>
      <c r="C3001" s="11"/>
      <c r="D3001" s="13"/>
      <c r="E3001" s="14"/>
      <c r="F3001" s="14"/>
      <c r="G3001" s="14"/>
      <c r="H3001" s="15"/>
      <c r="I3001" s="15"/>
      <c r="J3001" s="3"/>
      <c r="K3001" s="3"/>
      <c r="L3001" s="3"/>
      <c r="M3001" s="3"/>
      <c r="N3001" s="3"/>
      <c r="O3001" s="3"/>
      <c r="P3001" s="3"/>
      <c r="Q3001" s="3"/>
      <c r="R3001" s="3"/>
      <c r="S3001" s="3"/>
      <c r="T3001" s="3"/>
      <c r="U3001" s="3"/>
      <c r="V3001" s="3"/>
      <c r="W3001" s="3"/>
      <c r="X3001" s="3"/>
      <c r="Y3001" s="3"/>
      <c r="Z3001" s="3"/>
      <c r="AA3001" s="3"/>
    </row>
    <row r="3002" ht="105.75" customHeight="1">
      <c r="A3002" s="11"/>
      <c r="B3002" s="12"/>
      <c r="C3002" s="11"/>
      <c r="D3002" s="13"/>
      <c r="E3002" s="14"/>
      <c r="F3002" s="14"/>
      <c r="G3002" s="14"/>
      <c r="H3002" s="15"/>
      <c r="I3002" s="15"/>
      <c r="J3002" s="3"/>
      <c r="K3002" s="3"/>
      <c r="L3002" s="3"/>
      <c r="M3002" s="3"/>
      <c r="N3002" s="3"/>
      <c r="O3002" s="3"/>
      <c r="P3002" s="3"/>
      <c r="Q3002" s="3"/>
      <c r="R3002" s="3"/>
      <c r="S3002" s="3"/>
      <c r="T3002" s="3"/>
      <c r="U3002" s="3"/>
      <c r="V3002" s="3"/>
      <c r="W3002" s="3"/>
      <c r="X3002" s="3"/>
      <c r="Y3002" s="3"/>
      <c r="Z3002" s="3"/>
      <c r="AA3002" s="3"/>
    </row>
    <row r="3003" ht="105.75" customHeight="1">
      <c r="A3003" s="11"/>
      <c r="B3003" s="12"/>
      <c r="C3003" s="11"/>
      <c r="D3003" s="13"/>
      <c r="E3003" s="14"/>
      <c r="F3003" s="14"/>
      <c r="G3003" s="14"/>
      <c r="H3003" s="15"/>
      <c r="I3003" s="15"/>
      <c r="J3003" s="3"/>
      <c r="K3003" s="3"/>
      <c r="L3003" s="3"/>
      <c r="M3003" s="3"/>
      <c r="N3003" s="3"/>
      <c r="O3003" s="3"/>
      <c r="P3003" s="3"/>
      <c r="Q3003" s="3"/>
      <c r="R3003" s="3"/>
      <c r="S3003" s="3"/>
      <c r="T3003" s="3"/>
      <c r="U3003" s="3"/>
      <c r="V3003" s="3"/>
      <c r="W3003" s="3"/>
      <c r="X3003" s="3"/>
      <c r="Y3003" s="3"/>
      <c r="Z3003" s="3"/>
      <c r="AA3003" s="3"/>
    </row>
    <row r="3004" ht="105.75" customHeight="1">
      <c r="A3004" s="11"/>
      <c r="B3004" s="12"/>
      <c r="C3004" s="11"/>
      <c r="D3004" s="13"/>
      <c r="E3004" s="16"/>
      <c r="F3004" s="16"/>
      <c r="G3004" s="16"/>
      <c r="H3004" s="15"/>
      <c r="I3004" s="15"/>
      <c r="J3004" s="3"/>
      <c r="K3004" s="3"/>
      <c r="L3004" s="3"/>
      <c r="M3004" s="3"/>
      <c r="N3004" s="3"/>
      <c r="O3004" s="3"/>
      <c r="P3004" s="3"/>
      <c r="Q3004" s="3"/>
      <c r="R3004" s="3"/>
      <c r="S3004" s="3"/>
      <c r="T3004" s="3"/>
      <c r="U3004" s="3"/>
      <c r="V3004" s="3"/>
      <c r="W3004" s="3"/>
      <c r="X3004" s="3"/>
      <c r="Y3004" s="3"/>
      <c r="Z3004" s="3"/>
      <c r="AA3004" s="3"/>
    </row>
    <row r="3005" ht="105.75" customHeight="1">
      <c r="A3005" s="11"/>
      <c r="B3005" s="12"/>
      <c r="C3005" s="11"/>
      <c r="D3005" s="13"/>
      <c r="E3005" s="14"/>
      <c r="F3005" s="14"/>
      <c r="G3005" s="14"/>
      <c r="H3005" s="15"/>
      <c r="I3005" s="15"/>
      <c r="J3005" s="3"/>
      <c r="K3005" s="3"/>
      <c r="L3005" s="3"/>
      <c r="M3005" s="3"/>
      <c r="N3005" s="3"/>
      <c r="O3005" s="3"/>
      <c r="P3005" s="3"/>
      <c r="Q3005" s="3"/>
      <c r="R3005" s="3"/>
      <c r="S3005" s="3"/>
      <c r="T3005" s="3"/>
      <c r="U3005" s="3"/>
      <c r="V3005" s="3"/>
      <c r="W3005" s="3"/>
      <c r="X3005" s="3"/>
      <c r="Y3005" s="3"/>
      <c r="Z3005" s="3"/>
      <c r="AA3005" s="3"/>
    </row>
    <row r="3006" ht="105.75" customHeight="1">
      <c r="A3006" s="11"/>
      <c r="B3006" s="12"/>
      <c r="C3006" s="11"/>
      <c r="D3006" s="13"/>
      <c r="E3006" s="14"/>
      <c r="F3006" s="14"/>
      <c r="G3006" s="14"/>
      <c r="H3006" s="15"/>
      <c r="I3006" s="15"/>
      <c r="J3006" s="3"/>
      <c r="K3006" s="3"/>
      <c r="L3006" s="3"/>
      <c r="M3006" s="3"/>
      <c r="N3006" s="3"/>
      <c r="O3006" s="3"/>
      <c r="P3006" s="3"/>
      <c r="Q3006" s="3"/>
      <c r="R3006" s="3"/>
      <c r="S3006" s="3"/>
      <c r="T3006" s="3"/>
      <c r="U3006" s="3"/>
      <c r="V3006" s="3"/>
      <c r="W3006" s="3"/>
      <c r="X3006" s="3"/>
      <c r="Y3006" s="3"/>
      <c r="Z3006" s="3"/>
      <c r="AA3006" s="3"/>
    </row>
    <row r="3007" ht="105.75" customHeight="1">
      <c r="A3007" s="11"/>
      <c r="B3007" s="12"/>
      <c r="C3007" s="11"/>
      <c r="D3007" s="13"/>
      <c r="E3007" s="14"/>
      <c r="F3007" s="14"/>
      <c r="G3007" s="14"/>
      <c r="H3007" s="15"/>
      <c r="I3007" s="15"/>
      <c r="J3007" s="3"/>
      <c r="K3007" s="3"/>
      <c r="L3007" s="3"/>
      <c r="M3007" s="3"/>
      <c r="N3007" s="3"/>
      <c r="O3007" s="3"/>
      <c r="P3007" s="3"/>
      <c r="Q3007" s="3"/>
      <c r="R3007" s="3"/>
      <c r="S3007" s="3"/>
      <c r="T3007" s="3"/>
      <c r="U3007" s="3"/>
      <c r="V3007" s="3"/>
      <c r="W3007" s="3"/>
      <c r="X3007" s="3"/>
      <c r="Y3007" s="3"/>
      <c r="Z3007" s="3"/>
      <c r="AA3007" s="3"/>
    </row>
    <row r="3008" ht="105.75" customHeight="1">
      <c r="A3008" s="11"/>
      <c r="B3008" s="12"/>
      <c r="C3008" s="11"/>
      <c r="D3008" s="13"/>
      <c r="E3008" s="14"/>
      <c r="F3008" s="14"/>
      <c r="G3008" s="14"/>
      <c r="H3008" s="15"/>
      <c r="I3008" s="15"/>
      <c r="J3008" s="3"/>
      <c r="K3008" s="3"/>
      <c r="L3008" s="3"/>
      <c r="M3008" s="3"/>
      <c r="N3008" s="3"/>
      <c r="O3008" s="3"/>
      <c r="P3008" s="3"/>
      <c r="Q3008" s="3"/>
      <c r="R3008" s="3"/>
      <c r="S3008" s="3"/>
      <c r="T3008" s="3"/>
      <c r="U3008" s="3"/>
      <c r="V3008" s="3"/>
      <c r="W3008" s="3"/>
      <c r="X3008" s="3"/>
      <c r="Y3008" s="3"/>
      <c r="Z3008" s="3"/>
      <c r="AA3008" s="3"/>
    </row>
    <row r="3009" ht="105.75" customHeight="1">
      <c r="A3009" s="11"/>
      <c r="B3009" s="12"/>
      <c r="C3009" s="11"/>
      <c r="D3009" s="13"/>
      <c r="E3009" s="14"/>
      <c r="F3009" s="14"/>
      <c r="G3009" s="14"/>
      <c r="H3009" s="15"/>
      <c r="I3009" s="15"/>
      <c r="J3009" s="3"/>
      <c r="K3009" s="3"/>
      <c r="L3009" s="3"/>
      <c r="M3009" s="3"/>
      <c r="N3009" s="3"/>
      <c r="O3009" s="3"/>
      <c r="P3009" s="3"/>
      <c r="Q3009" s="3"/>
      <c r="R3009" s="3"/>
      <c r="S3009" s="3"/>
      <c r="T3009" s="3"/>
      <c r="U3009" s="3"/>
      <c r="V3009" s="3"/>
      <c r="W3009" s="3"/>
      <c r="X3009" s="3"/>
      <c r="Y3009" s="3"/>
      <c r="Z3009" s="3"/>
      <c r="AA3009" s="3"/>
    </row>
    <row r="3010" ht="105.75" customHeight="1">
      <c r="A3010" s="11"/>
      <c r="B3010" s="12"/>
      <c r="C3010" s="11"/>
      <c r="D3010" s="13"/>
      <c r="E3010" s="14"/>
      <c r="F3010" s="14"/>
      <c r="G3010" s="14"/>
      <c r="H3010" s="15"/>
      <c r="I3010" s="15"/>
      <c r="J3010" s="3"/>
      <c r="K3010" s="3"/>
      <c r="L3010" s="3"/>
      <c r="M3010" s="3"/>
      <c r="N3010" s="3"/>
      <c r="O3010" s="3"/>
      <c r="P3010" s="3"/>
      <c r="Q3010" s="3"/>
      <c r="R3010" s="3"/>
      <c r="S3010" s="3"/>
      <c r="T3010" s="3"/>
      <c r="U3010" s="3"/>
      <c r="V3010" s="3"/>
      <c r="W3010" s="3"/>
      <c r="X3010" s="3"/>
      <c r="Y3010" s="3"/>
      <c r="Z3010" s="3"/>
      <c r="AA3010" s="3"/>
    </row>
    <row r="3011" ht="105.75" customHeight="1">
      <c r="A3011" s="11"/>
      <c r="B3011" s="12"/>
      <c r="C3011" s="11"/>
      <c r="D3011" s="13"/>
      <c r="E3011" s="14"/>
      <c r="F3011" s="14"/>
      <c r="G3011" s="14"/>
      <c r="H3011" s="15"/>
      <c r="I3011" s="15"/>
      <c r="J3011" s="3"/>
      <c r="K3011" s="3"/>
      <c r="L3011" s="3"/>
      <c r="M3011" s="3"/>
      <c r="N3011" s="3"/>
      <c r="O3011" s="3"/>
      <c r="P3011" s="3"/>
      <c r="Q3011" s="3"/>
      <c r="R3011" s="3"/>
      <c r="S3011" s="3"/>
      <c r="T3011" s="3"/>
      <c r="U3011" s="3"/>
      <c r="V3011" s="3"/>
      <c r="W3011" s="3"/>
      <c r="X3011" s="3"/>
      <c r="Y3011" s="3"/>
      <c r="Z3011" s="3"/>
      <c r="AA3011" s="3"/>
    </row>
    <row r="3012" ht="105.75" customHeight="1">
      <c r="A3012" s="11"/>
      <c r="B3012" s="12"/>
      <c r="C3012" s="11"/>
      <c r="D3012" s="13"/>
      <c r="E3012" s="14"/>
      <c r="F3012" s="14"/>
      <c r="G3012" s="14"/>
      <c r="H3012" s="15"/>
      <c r="I3012" s="15"/>
      <c r="J3012" s="3"/>
      <c r="K3012" s="3"/>
      <c r="L3012" s="3"/>
      <c r="M3012" s="3"/>
      <c r="N3012" s="3"/>
      <c r="O3012" s="3"/>
      <c r="P3012" s="3"/>
      <c r="Q3012" s="3"/>
      <c r="R3012" s="3"/>
      <c r="S3012" s="3"/>
      <c r="T3012" s="3"/>
      <c r="U3012" s="3"/>
      <c r="V3012" s="3"/>
      <c r="W3012" s="3"/>
      <c r="X3012" s="3"/>
      <c r="Y3012" s="3"/>
      <c r="Z3012" s="3"/>
      <c r="AA3012" s="3"/>
    </row>
    <row r="3013" ht="105.75" customHeight="1">
      <c r="A3013" s="11"/>
      <c r="B3013" s="12"/>
      <c r="C3013" s="11"/>
      <c r="D3013" s="13"/>
      <c r="E3013" s="14"/>
      <c r="F3013" s="14"/>
      <c r="G3013" s="14"/>
      <c r="H3013" s="15"/>
      <c r="I3013" s="15"/>
      <c r="J3013" s="3"/>
      <c r="K3013" s="3"/>
      <c r="L3013" s="3"/>
      <c r="M3013" s="3"/>
      <c r="N3013" s="3"/>
      <c r="O3013" s="3"/>
      <c r="P3013" s="3"/>
      <c r="Q3013" s="3"/>
      <c r="R3013" s="3"/>
      <c r="S3013" s="3"/>
      <c r="T3013" s="3"/>
      <c r="U3013" s="3"/>
      <c r="V3013" s="3"/>
      <c r="W3013" s="3"/>
      <c r="X3013" s="3"/>
      <c r="Y3013" s="3"/>
      <c r="Z3013" s="3"/>
      <c r="AA3013" s="3"/>
    </row>
    <row r="3014" ht="105.75" customHeight="1">
      <c r="A3014" s="11"/>
      <c r="B3014" s="12"/>
      <c r="C3014" s="11"/>
      <c r="D3014" s="13"/>
      <c r="E3014" s="14"/>
      <c r="F3014" s="14"/>
      <c r="G3014" s="14"/>
      <c r="H3014" s="15"/>
      <c r="I3014" s="15"/>
      <c r="J3014" s="3"/>
      <c r="K3014" s="3"/>
      <c r="L3014" s="3"/>
      <c r="M3014" s="3"/>
      <c r="N3014" s="3"/>
      <c r="O3014" s="3"/>
      <c r="P3014" s="3"/>
      <c r="Q3014" s="3"/>
      <c r="R3014" s="3"/>
      <c r="S3014" s="3"/>
      <c r="T3014" s="3"/>
      <c r="U3014" s="3"/>
      <c r="V3014" s="3"/>
      <c r="W3014" s="3"/>
      <c r="X3014" s="3"/>
      <c r="Y3014" s="3"/>
      <c r="Z3014" s="3"/>
      <c r="AA3014" s="3"/>
    </row>
    <row r="3015" ht="105.75" customHeight="1">
      <c r="A3015" s="11"/>
      <c r="B3015" s="12"/>
      <c r="C3015" s="11"/>
      <c r="D3015" s="13"/>
      <c r="E3015" s="14"/>
      <c r="F3015" s="14"/>
      <c r="G3015" s="14"/>
      <c r="H3015" s="15"/>
      <c r="I3015" s="15"/>
      <c r="J3015" s="3"/>
      <c r="K3015" s="3"/>
      <c r="L3015" s="3"/>
      <c r="M3015" s="3"/>
      <c r="N3015" s="3"/>
      <c r="O3015" s="3"/>
      <c r="P3015" s="3"/>
      <c r="Q3015" s="3"/>
      <c r="R3015" s="3"/>
      <c r="S3015" s="3"/>
      <c r="T3015" s="3"/>
      <c r="U3015" s="3"/>
      <c r="V3015" s="3"/>
      <c r="W3015" s="3"/>
      <c r="X3015" s="3"/>
      <c r="Y3015" s="3"/>
      <c r="Z3015" s="3"/>
      <c r="AA3015" s="3"/>
    </row>
    <row r="3016" ht="105.75" customHeight="1">
      <c r="A3016" s="11"/>
      <c r="B3016" s="12"/>
      <c r="C3016" s="11"/>
      <c r="D3016" s="13"/>
      <c r="E3016" s="14"/>
      <c r="F3016" s="14"/>
      <c r="G3016" s="14"/>
      <c r="H3016" s="15"/>
      <c r="I3016" s="15"/>
      <c r="J3016" s="3"/>
      <c r="K3016" s="3"/>
      <c r="L3016" s="3"/>
      <c r="M3016" s="3"/>
      <c r="N3016" s="3"/>
      <c r="O3016" s="3"/>
      <c r="P3016" s="3"/>
      <c r="Q3016" s="3"/>
      <c r="R3016" s="3"/>
      <c r="S3016" s="3"/>
      <c r="T3016" s="3"/>
      <c r="U3016" s="3"/>
      <c r="V3016" s="3"/>
      <c r="W3016" s="3"/>
      <c r="X3016" s="3"/>
      <c r="Y3016" s="3"/>
      <c r="Z3016" s="3"/>
      <c r="AA3016" s="3"/>
    </row>
    <row r="3017" ht="105.75" customHeight="1">
      <c r="A3017" s="11"/>
      <c r="B3017" s="12"/>
      <c r="C3017" s="11"/>
      <c r="D3017" s="13"/>
      <c r="E3017" s="14"/>
      <c r="F3017" s="14"/>
      <c r="G3017" s="14"/>
      <c r="H3017" s="15"/>
      <c r="I3017" s="15"/>
      <c r="J3017" s="3"/>
      <c r="K3017" s="3"/>
      <c r="L3017" s="3"/>
      <c r="M3017" s="3"/>
      <c r="N3017" s="3"/>
      <c r="O3017" s="3"/>
      <c r="P3017" s="3"/>
      <c r="Q3017" s="3"/>
      <c r="R3017" s="3"/>
      <c r="S3017" s="3"/>
      <c r="T3017" s="3"/>
      <c r="U3017" s="3"/>
      <c r="V3017" s="3"/>
      <c r="W3017" s="3"/>
      <c r="X3017" s="3"/>
      <c r="Y3017" s="3"/>
      <c r="Z3017" s="3"/>
      <c r="AA3017" s="3"/>
    </row>
    <row r="3018" ht="105.75" customHeight="1">
      <c r="A3018" s="11"/>
      <c r="B3018" s="12"/>
      <c r="C3018" s="11"/>
      <c r="D3018" s="13"/>
      <c r="E3018" s="14"/>
      <c r="F3018" s="14"/>
      <c r="G3018" s="14"/>
      <c r="H3018" s="15"/>
      <c r="I3018" s="15"/>
      <c r="J3018" s="3"/>
      <c r="K3018" s="3"/>
      <c r="L3018" s="3"/>
      <c r="M3018" s="3"/>
      <c r="N3018" s="3"/>
      <c r="O3018" s="3"/>
      <c r="P3018" s="3"/>
      <c r="Q3018" s="3"/>
      <c r="R3018" s="3"/>
      <c r="S3018" s="3"/>
      <c r="T3018" s="3"/>
      <c r="U3018" s="3"/>
      <c r="V3018" s="3"/>
      <c r="W3018" s="3"/>
      <c r="X3018" s="3"/>
      <c r="Y3018" s="3"/>
      <c r="Z3018" s="3"/>
      <c r="AA3018" s="3"/>
    </row>
    <row r="3019" ht="105.75" customHeight="1">
      <c r="A3019" s="11"/>
      <c r="B3019" s="12"/>
      <c r="C3019" s="11"/>
      <c r="D3019" s="13"/>
      <c r="E3019" s="14"/>
      <c r="F3019" s="14"/>
      <c r="G3019" s="14"/>
      <c r="H3019" s="15"/>
      <c r="I3019" s="15"/>
      <c r="J3019" s="3"/>
      <c r="K3019" s="3"/>
      <c r="L3019" s="3"/>
      <c r="M3019" s="3"/>
      <c r="N3019" s="3"/>
      <c r="O3019" s="3"/>
      <c r="P3019" s="3"/>
      <c r="Q3019" s="3"/>
      <c r="R3019" s="3"/>
      <c r="S3019" s="3"/>
      <c r="T3019" s="3"/>
      <c r="U3019" s="3"/>
      <c r="V3019" s="3"/>
      <c r="W3019" s="3"/>
      <c r="X3019" s="3"/>
      <c r="Y3019" s="3"/>
      <c r="Z3019" s="3"/>
      <c r="AA3019" s="3"/>
    </row>
    <row r="3020" ht="105.75" customHeight="1">
      <c r="A3020" s="11"/>
      <c r="B3020" s="12"/>
      <c r="C3020" s="11"/>
      <c r="D3020" s="13"/>
      <c r="E3020" s="14"/>
      <c r="F3020" s="14"/>
      <c r="G3020" s="14"/>
      <c r="H3020" s="15"/>
      <c r="I3020" s="15"/>
      <c r="J3020" s="3"/>
      <c r="K3020" s="3"/>
      <c r="L3020" s="3"/>
      <c r="M3020" s="3"/>
      <c r="N3020" s="3"/>
      <c r="O3020" s="3"/>
      <c r="P3020" s="3"/>
      <c r="Q3020" s="3"/>
      <c r="R3020" s="3"/>
      <c r="S3020" s="3"/>
      <c r="T3020" s="3"/>
      <c r="U3020" s="3"/>
      <c r="V3020" s="3"/>
      <c r="W3020" s="3"/>
      <c r="X3020" s="3"/>
      <c r="Y3020" s="3"/>
      <c r="Z3020" s="3"/>
      <c r="AA3020" s="3"/>
    </row>
    <row r="3021" ht="105.75" customHeight="1">
      <c r="A3021" s="11"/>
      <c r="B3021" s="12"/>
      <c r="C3021" s="11"/>
      <c r="D3021" s="13"/>
      <c r="E3021" s="14"/>
      <c r="F3021" s="14"/>
      <c r="G3021" s="14"/>
      <c r="H3021" s="15"/>
      <c r="I3021" s="15"/>
      <c r="J3021" s="3"/>
      <c r="K3021" s="3"/>
      <c r="L3021" s="3"/>
      <c r="M3021" s="3"/>
      <c r="N3021" s="3"/>
      <c r="O3021" s="3"/>
      <c r="P3021" s="3"/>
      <c r="Q3021" s="3"/>
      <c r="R3021" s="3"/>
      <c r="S3021" s="3"/>
      <c r="T3021" s="3"/>
      <c r="U3021" s="3"/>
      <c r="V3021" s="3"/>
      <c r="W3021" s="3"/>
      <c r="X3021" s="3"/>
      <c r="Y3021" s="3"/>
      <c r="Z3021" s="3"/>
      <c r="AA3021" s="3"/>
    </row>
    <row r="3022" ht="105.75" customHeight="1">
      <c r="A3022" s="11"/>
      <c r="B3022" s="12"/>
      <c r="C3022" s="11"/>
      <c r="D3022" s="13"/>
      <c r="E3022" s="14"/>
      <c r="F3022" s="14"/>
      <c r="G3022" s="14"/>
      <c r="H3022" s="15"/>
      <c r="I3022" s="15"/>
      <c r="J3022" s="3"/>
      <c r="K3022" s="3"/>
      <c r="L3022" s="3"/>
      <c r="M3022" s="3"/>
      <c r="N3022" s="3"/>
      <c r="O3022" s="3"/>
      <c r="P3022" s="3"/>
      <c r="Q3022" s="3"/>
      <c r="R3022" s="3"/>
      <c r="S3022" s="3"/>
      <c r="T3022" s="3"/>
      <c r="U3022" s="3"/>
      <c r="V3022" s="3"/>
      <c r="W3022" s="3"/>
      <c r="X3022" s="3"/>
      <c r="Y3022" s="3"/>
      <c r="Z3022" s="3"/>
      <c r="AA3022" s="3"/>
    </row>
    <row r="3023" ht="105.75" customHeight="1">
      <c r="A3023" s="11"/>
      <c r="B3023" s="12"/>
      <c r="C3023" s="11"/>
      <c r="D3023" s="13"/>
      <c r="E3023" s="14"/>
      <c r="F3023" s="14"/>
      <c r="G3023" s="14"/>
      <c r="H3023" s="15"/>
      <c r="I3023" s="15"/>
      <c r="J3023" s="3"/>
      <c r="K3023" s="3"/>
      <c r="L3023" s="3"/>
      <c r="M3023" s="3"/>
      <c r="N3023" s="3"/>
      <c r="O3023" s="3"/>
      <c r="P3023" s="3"/>
      <c r="Q3023" s="3"/>
      <c r="R3023" s="3"/>
      <c r="S3023" s="3"/>
      <c r="T3023" s="3"/>
      <c r="U3023" s="3"/>
      <c r="V3023" s="3"/>
      <c r="W3023" s="3"/>
      <c r="X3023" s="3"/>
      <c r="Y3023" s="3"/>
      <c r="Z3023" s="3"/>
      <c r="AA3023" s="3"/>
    </row>
    <row r="3024" ht="105.75" customHeight="1">
      <c r="A3024" s="11"/>
      <c r="B3024" s="12"/>
      <c r="C3024" s="11"/>
      <c r="D3024" s="13"/>
      <c r="E3024" s="14"/>
      <c r="F3024" s="14"/>
      <c r="G3024" s="14"/>
      <c r="H3024" s="15"/>
      <c r="I3024" s="15"/>
      <c r="J3024" s="3"/>
      <c r="K3024" s="3"/>
      <c r="L3024" s="3"/>
      <c r="M3024" s="3"/>
      <c r="N3024" s="3"/>
      <c r="O3024" s="3"/>
      <c r="P3024" s="3"/>
      <c r="Q3024" s="3"/>
      <c r="R3024" s="3"/>
      <c r="S3024" s="3"/>
      <c r="T3024" s="3"/>
      <c r="U3024" s="3"/>
      <c r="V3024" s="3"/>
      <c r="W3024" s="3"/>
      <c r="X3024" s="3"/>
      <c r="Y3024" s="3"/>
      <c r="Z3024" s="3"/>
      <c r="AA3024" s="3"/>
    </row>
    <row r="3025" ht="105.75" customHeight="1">
      <c r="A3025" s="11"/>
      <c r="B3025" s="12"/>
      <c r="C3025" s="11"/>
      <c r="D3025" s="13"/>
      <c r="E3025" s="14"/>
      <c r="F3025" s="14"/>
      <c r="G3025" s="14"/>
      <c r="H3025" s="15"/>
      <c r="I3025" s="15"/>
      <c r="J3025" s="3"/>
      <c r="K3025" s="3"/>
      <c r="L3025" s="3"/>
      <c r="M3025" s="3"/>
      <c r="N3025" s="3"/>
      <c r="O3025" s="3"/>
      <c r="P3025" s="3"/>
      <c r="Q3025" s="3"/>
      <c r="R3025" s="3"/>
      <c r="S3025" s="3"/>
      <c r="T3025" s="3"/>
      <c r="U3025" s="3"/>
      <c r="V3025" s="3"/>
      <c r="W3025" s="3"/>
      <c r="X3025" s="3"/>
      <c r="Y3025" s="3"/>
      <c r="Z3025" s="3"/>
      <c r="AA3025" s="3"/>
    </row>
    <row r="3026" ht="105.75" customHeight="1">
      <c r="A3026" s="11"/>
      <c r="B3026" s="12"/>
      <c r="C3026" s="11"/>
      <c r="D3026" s="13"/>
      <c r="E3026" s="14"/>
      <c r="F3026" s="14"/>
      <c r="G3026" s="14"/>
      <c r="H3026" s="15"/>
      <c r="I3026" s="15"/>
      <c r="J3026" s="3"/>
      <c r="K3026" s="3"/>
      <c r="L3026" s="3"/>
      <c r="M3026" s="3"/>
      <c r="N3026" s="3"/>
      <c r="O3026" s="3"/>
      <c r="P3026" s="3"/>
      <c r="Q3026" s="3"/>
      <c r="R3026" s="3"/>
      <c r="S3026" s="3"/>
      <c r="T3026" s="3"/>
      <c r="U3026" s="3"/>
      <c r="V3026" s="3"/>
      <c r="W3026" s="3"/>
      <c r="X3026" s="3"/>
      <c r="Y3026" s="3"/>
      <c r="Z3026" s="3"/>
      <c r="AA3026" s="3"/>
    </row>
    <row r="3027" ht="105.75" customHeight="1">
      <c r="A3027" s="11"/>
      <c r="B3027" s="12"/>
      <c r="C3027" s="11"/>
      <c r="D3027" s="13"/>
      <c r="E3027" s="14"/>
      <c r="F3027" s="14"/>
      <c r="G3027" s="14"/>
      <c r="H3027" s="15"/>
      <c r="I3027" s="15"/>
      <c r="J3027" s="3"/>
      <c r="K3027" s="3"/>
      <c r="L3027" s="3"/>
      <c r="M3027" s="3"/>
      <c r="N3027" s="3"/>
      <c r="O3027" s="3"/>
      <c r="P3027" s="3"/>
      <c r="Q3027" s="3"/>
      <c r="R3027" s="3"/>
      <c r="S3027" s="3"/>
      <c r="T3027" s="3"/>
      <c r="U3027" s="3"/>
      <c r="V3027" s="3"/>
      <c r="W3027" s="3"/>
      <c r="X3027" s="3"/>
      <c r="Y3027" s="3"/>
      <c r="Z3027" s="3"/>
      <c r="AA3027" s="3"/>
    </row>
    <row r="3028" ht="105.75" customHeight="1">
      <c r="A3028" s="11"/>
      <c r="B3028" s="12"/>
      <c r="C3028" s="11"/>
      <c r="D3028" s="13"/>
      <c r="E3028" s="16"/>
      <c r="F3028" s="16"/>
      <c r="G3028" s="16"/>
      <c r="H3028" s="15"/>
      <c r="I3028" s="15"/>
      <c r="J3028" s="3"/>
      <c r="K3028" s="3"/>
      <c r="L3028" s="3"/>
      <c r="M3028" s="3"/>
      <c r="N3028" s="3"/>
      <c r="O3028" s="3"/>
      <c r="P3028" s="3"/>
      <c r="Q3028" s="3"/>
      <c r="R3028" s="3"/>
      <c r="S3028" s="3"/>
      <c r="T3028" s="3"/>
      <c r="U3028" s="3"/>
      <c r="V3028" s="3"/>
      <c r="W3028" s="3"/>
      <c r="X3028" s="3"/>
      <c r="Y3028" s="3"/>
      <c r="Z3028" s="3"/>
      <c r="AA3028" s="3"/>
    </row>
    <row r="3029" ht="105.75" customHeight="1">
      <c r="A3029" s="11"/>
      <c r="B3029" s="12"/>
      <c r="C3029" s="11"/>
      <c r="D3029" s="13"/>
      <c r="E3029" s="14"/>
      <c r="F3029" s="14"/>
      <c r="G3029" s="14"/>
      <c r="H3029" s="15"/>
      <c r="I3029" s="15"/>
      <c r="J3029" s="3"/>
      <c r="K3029" s="3"/>
      <c r="L3029" s="3"/>
      <c r="M3029" s="3"/>
      <c r="N3029" s="3"/>
      <c r="O3029" s="3"/>
      <c r="P3029" s="3"/>
      <c r="Q3029" s="3"/>
      <c r="R3029" s="3"/>
      <c r="S3029" s="3"/>
      <c r="T3029" s="3"/>
      <c r="U3029" s="3"/>
      <c r="V3029" s="3"/>
      <c r="W3029" s="3"/>
      <c r="X3029" s="3"/>
      <c r="Y3029" s="3"/>
      <c r="Z3029" s="3"/>
      <c r="AA3029" s="3"/>
    </row>
    <row r="3030" ht="105.75" customHeight="1">
      <c r="A3030" s="11"/>
      <c r="B3030" s="12"/>
      <c r="C3030" s="11"/>
      <c r="D3030" s="13"/>
      <c r="E3030" s="14"/>
      <c r="F3030" s="14"/>
      <c r="G3030" s="14"/>
      <c r="H3030" s="15"/>
      <c r="I3030" s="15"/>
      <c r="J3030" s="3"/>
      <c r="K3030" s="3"/>
      <c r="L3030" s="3"/>
      <c r="M3030" s="3"/>
      <c r="N3030" s="3"/>
      <c r="O3030" s="3"/>
      <c r="P3030" s="3"/>
      <c r="Q3030" s="3"/>
      <c r="R3030" s="3"/>
      <c r="S3030" s="3"/>
      <c r="T3030" s="3"/>
      <c r="U3030" s="3"/>
      <c r="V3030" s="3"/>
      <c r="W3030" s="3"/>
      <c r="X3030" s="3"/>
      <c r="Y3030" s="3"/>
      <c r="Z3030" s="3"/>
      <c r="AA3030" s="3"/>
    </row>
    <row r="3031" ht="105.75" customHeight="1">
      <c r="A3031" s="11"/>
      <c r="B3031" s="12"/>
      <c r="C3031" s="11"/>
      <c r="D3031" s="13"/>
      <c r="E3031" s="14"/>
      <c r="F3031" s="14"/>
      <c r="G3031" s="14"/>
      <c r="H3031" s="15"/>
      <c r="I3031" s="15"/>
      <c r="J3031" s="3"/>
      <c r="K3031" s="3"/>
      <c r="L3031" s="3"/>
      <c r="M3031" s="3"/>
      <c r="N3031" s="3"/>
      <c r="O3031" s="3"/>
      <c r="P3031" s="3"/>
      <c r="Q3031" s="3"/>
      <c r="R3031" s="3"/>
      <c r="S3031" s="3"/>
      <c r="T3031" s="3"/>
      <c r="U3031" s="3"/>
      <c r="V3031" s="3"/>
      <c r="W3031" s="3"/>
      <c r="X3031" s="3"/>
      <c r="Y3031" s="3"/>
      <c r="Z3031" s="3"/>
      <c r="AA3031" s="3"/>
    </row>
    <row r="3032" ht="105.75" customHeight="1">
      <c r="A3032" s="11"/>
      <c r="B3032" s="12"/>
      <c r="C3032" s="11"/>
      <c r="D3032" s="13"/>
      <c r="E3032" s="14"/>
      <c r="F3032" s="14"/>
      <c r="G3032" s="14"/>
      <c r="H3032" s="15"/>
      <c r="I3032" s="15"/>
      <c r="J3032" s="3"/>
      <c r="K3032" s="3"/>
      <c r="L3032" s="3"/>
      <c r="M3032" s="3"/>
      <c r="N3032" s="3"/>
      <c r="O3032" s="3"/>
      <c r="P3032" s="3"/>
      <c r="Q3032" s="3"/>
      <c r="R3032" s="3"/>
      <c r="S3032" s="3"/>
      <c r="T3032" s="3"/>
      <c r="U3032" s="3"/>
      <c r="V3032" s="3"/>
      <c r="W3032" s="3"/>
      <c r="X3032" s="3"/>
      <c r="Y3032" s="3"/>
      <c r="Z3032" s="3"/>
      <c r="AA3032" s="3"/>
    </row>
    <row r="3033" ht="105.75" customHeight="1">
      <c r="A3033" s="11"/>
      <c r="B3033" s="12"/>
      <c r="C3033" s="11"/>
      <c r="D3033" s="13"/>
      <c r="E3033" s="14"/>
      <c r="F3033" s="14"/>
      <c r="G3033" s="14"/>
      <c r="H3033" s="15"/>
      <c r="I3033" s="15"/>
      <c r="J3033" s="3"/>
      <c r="K3033" s="3"/>
      <c r="L3033" s="3"/>
      <c r="M3033" s="3"/>
      <c r="N3033" s="3"/>
      <c r="O3033" s="3"/>
      <c r="P3033" s="3"/>
      <c r="Q3033" s="3"/>
      <c r="R3033" s="3"/>
      <c r="S3033" s="3"/>
      <c r="T3033" s="3"/>
      <c r="U3033" s="3"/>
      <c r="V3033" s="3"/>
      <c r="W3033" s="3"/>
      <c r="X3033" s="3"/>
      <c r="Y3033" s="3"/>
      <c r="Z3033" s="3"/>
      <c r="AA3033" s="3"/>
    </row>
    <row r="3034" ht="105.75" customHeight="1">
      <c r="A3034" s="11"/>
      <c r="B3034" s="12"/>
      <c r="C3034" s="11"/>
      <c r="D3034" s="13"/>
      <c r="E3034" s="14"/>
      <c r="F3034" s="14"/>
      <c r="G3034" s="14"/>
      <c r="H3034" s="15"/>
      <c r="I3034" s="15"/>
      <c r="J3034" s="3"/>
      <c r="K3034" s="3"/>
      <c r="L3034" s="3"/>
      <c r="M3034" s="3"/>
      <c r="N3034" s="3"/>
      <c r="O3034" s="3"/>
      <c r="P3034" s="3"/>
      <c r="Q3034" s="3"/>
      <c r="R3034" s="3"/>
      <c r="S3034" s="3"/>
      <c r="T3034" s="3"/>
      <c r="U3034" s="3"/>
      <c r="V3034" s="3"/>
      <c r="W3034" s="3"/>
      <c r="X3034" s="3"/>
      <c r="Y3034" s="3"/>
      <c r="Z3034" s="3"/>
      <c r="AA3034" s="3"/>
    </row>
    <row r="3035" ht="105.75" customHeight="1">
      <c r="A3035" s="11"/>
      <c r="B3035" s="12"/>
      <c r="C3035" s="11"/>
      <c r="D3035" s="13"/>
      <c r="E3035" s="16"/>
      <c r="F3035" s="16"/>
      <c r="G3035" s="16"/>
      <c r="H3035" s="15"/>
      <c r="I3035" s="15"/>
      <c r="J3035" s="3"/>
      <c r="K3035" s="3"/>
      <c r="L3035" s="3"/>
      <c r="M3035" s="3"/>
      <c r="N3035" s="3"/>
      <c r="O3035" s="3"/>
      <c r="P3035" s="3"/>
      <c r="Q3035" s="3"/>
      <c r="R3035" s="3"/>
      <c r="S3035" s="3"/>
      <c r="T3035" s="3"/>
      <c r="U3035" s="3"/>
      <c r="V3035" s="3"/>
      <c r="W3035" s="3"/>
      <c r="X3035" s="3"/>
      <c r="Y3035" s="3"/>
      <c r="Z3035" s="3"/>
      <c r="AA3035" s="3"/>
    </row>
    <row r="3036" ht="105.75" customHeight="1">
      <c r="A3036" s="11"/>
      <c r="B3036" s="12"/>
      <c r="C3036" s="11"/>
      <c r="D3036" s="13"/>
      <c r="E3036" s="14"/>
      <c r="F3036" s="14"/>
      <c r="G3036" s="14"/>
      <c r="H3036" s="15"/>
      <c r="I3036" s="15"/>
      <c r="J3036" s="3"/>
      <c r="K3036" s="3"/>
      <c r="L3036" s="3"/>
      <c r="M3036" s="3"/>
      <c r="N3036" s="3"/>
      <c r="O3036" s="3"/>
      <c r="P3036" s="3"/>
      <c r="Q3036" s="3"/>
      <c r="R3036" s="3"/>
      <c r="S3036" s="3"/>
      <c r="T3036" s="3"/>
      <c r="U3036" s="3"/>
      <c r="V3036" s="3"/>
      <c r="W3036" s="3"/>
      <c r="X3036" s="3"/>
      <c r="Y3036" s="3"/>
      <c r="Z3036" s="3"/>
      <c r="AA3036" s="3"/>
    </row>
    <row r="3037" ht="105.75" customHeight="1">
      <c r="A3037" s="11"/>
      <c r="B3037" s="12"/>
      <c r="C3037" s="11"/>
      <c r="D3037" s="13"/>
      <c r="E3037" s="14"/>
      <c r="F3037" s="14"/>
      <c r="G3037" s="14"/>
      <c r="H3037" s="15"/>
      <c r="I3037" s="15"/>
      <c r="J3037" s="3"/>
      <c r="K3037" s="3"/>
      <c r="L3037" s="3"/>
      <c r="M3037" s="3"/>
      <c r="N3037" s="3"/>
      <c r="O3037" s="3"/>
      <c r="P3037" s="3"/>
      <c r="Q3037" s="3"/>
      <c r="R3037" s="3"/>
      <c r="S3037" s="3"/>
      <c r="T3037" s="3"/>
      <c r="U3037" s="3"/>
      <c r="V3037" s="3"/>
      <c r="W3037" s="3"/>
      <c r="X3037" s="3"/>
      <c r="Y3037" s="3"/>
      <c r="Z3037" s="3"/>
      <c r="AA3037" s="3"/>
    </row>
    <row r="3038" ht="105.75" customHeight="1">
      <c r="A3038" s="11"/>
      <c r="B3038" s="12"/>
      <c r="C3038" s="11"/>
      <c r="D3038" s="13"/>
      <c r="E3038" s="14"/>
      <c r="F3038" s="14"/>
      <c r="G3038" s="14"/>
      <c r="H3038" s="15"/>
      <c r="I3038" s="15"/>
      <c r="J3038" s="3"/>
      <c r="K3038" s="3"/>
      <c r="L3038" s="3"/>
      <c r="M3038" s="3"/>
      <c r="N3038" s="3"/>
      <c r="O3038" s="3"/>
      <c r="P3038" s="3"/>
      <c r="Q3038" s="3"/>
      <c r="R3038" s="3"/>
      <c r="S3038" s="3"/>
      <c r="T3038" s="3"/>
      <c r="U3038" s="3"/>
      <c r="V3038" s="3"/>
      <c r="W3038" s="3"/>
      <c r="X3038" s="3"/>
      <c r="Y3038" s="3"/>
      <c r="Z3038" s="3"/>
      <c r="AA3038" s="3"/>
    </row>
    <row r="3039" ht="105.75" customHeight="1">
      <c r="A3039" s="11"/>
      <c r="B3039" s="12"/>
      <c r="C3039" s="11"/>
      <c r="D3039" s="13"/>
      <c r="E3039" s="14"/>
      <c r="F3039" s="14"/>
      <c r="G3039" s="14"/>
      <c r="H3039" s="15"/>
      <c r="I3039" s="15"/>
      <c r="J3039" s="3"/>
      <c r="K3039" s="3"/>
      <c r="L3039" s="3"/>
      <c r="M3039" s="3"/>
      <c r="N3039" s="3"/>
      <c r="O3039" s="3"/>
      <c r="P3039" s="3"/>
      <c r="Q3039" s="3"/>
      <c r="R3039" s="3"/>
      <c r="S3039" s="3"/>
      <c r="T3039" s="3"/>
      <c r="U3039" s="3"/>
      <c r="V3039" s="3"/>
      <c r="W3039" s="3"/>
      <c r="X3039" s="3"/>
      <c r="Y3039" s="3"/>
      <c r="Z3039" s="3"/>
      <c r="AA3039" s="3"/>
    </row>
    <row r="3040" ht="105.75" customHeight="1">
      <c r="A3040" s="11"/>
      <c r="B3040" s="12"/>
      <c r="C3040" s="11"/>
      <c r="D3040" s="13"/>
      <c r="E3040" s="16"/>
      <c r="F3040" s="16"/>
      <c r="G3040" s="16"/>
      <c r="H3040" s="15"/>
      <c r="I3040" s="15"/>
      <c r="J3040" s="3"/>
      <c r="K3040" s="3"/>
      <c r="L3040" s="3"/>
      <c r="M3040" s="3"/>
      <c r="N3040" s="3"/>
      <c r="O3040" s="3"/>
      <c r="P3040" s="3"/>
      <c r="Q3040" s="3"/>
      <c r="R3040" s="3"/>
      <c r="S3040" s="3"/>
      <c r="T3040" s="3"/>
      <c r="U3040" s="3"/>
      <c r="V3040" s="3"/>
      <c r="W3040" s="3"/>
      <c r="X3040" s="3"/>
      <c r="Y3040" s="3"/>
      <c r="Z3040" s="3"/>
      <c r="AA3040" s="3"/>
    </row>
    <row r="3041" ht="105.75" customHeight="1">
      <c r="A3041" s="11"/>
      <c r="B3041" s="12"/>
      <c r="C3041" s="11"/>
      <c r="D3041" s="13"/>
      <c r="E3041" s="14"/>
      <c r="F3041" s="14"/>
      <c r="G3041" s="14"/>
      <c r="H3041" s="15"/>
      <c r="I3041" s="15"/>
      <c r="J3041" s="3"/>
      <c r="K3041" s="3"/>
      <c r="L3041" s="3"/>
      <c r="M3041" s="3"/>
      <c r="N3041" s="3"/>
      <c r="O3041" s="3"/>
      <c r="P3041" s="3"/>
      <c r="Q3041" s="3"/>
      <c r="R3041" s="3"/>
      <c r="S3041" s="3"/>
      <c r="T3041" s="3"/>
      <c r="U3041" s="3"/>
      <c r="V3041" s="3"/>
      <c r="W3041" s="3"/>
      <c r="X3041" s="3"/>
      <c r="Y3041" s="3"/>
      <c r="Z3041" s="3"/>
      <c r="AA3041" s="3"/>
    </row>
    <row r="3042" ht="105.75" customHeight="1">
      <c r="A3042" s="11"/>
      <c r="B3042" s="12"/>
      <c r="C3042" s="11"/>
      <c r="D3042" s="13"/>
      <c r="E3042" s="14"/>
      <c r="F3042" s="14"/>
      <c r="G3042" s="14"/>
      <c r="H3042" s="15"/>
      <c r="I3042" s="15"/>
      <c r="J3042" s="3"/>
      <c r="K3042" s="3"/>
      <c r="L3042" s="3"/>
      <c r="M3042" s="3"/>
      <c r="N3042" s="3"/>
      <c r="O3042" s="3"/>
      <c r="P3042" s="3"/>
      <c r="Q3042" s="3"/>
      <c r="R3042" s="3"/>
      <c r="S3042" s="3"/>
      <c r="T3042" s="3"/>
      <c r="U3042" s="3"/>
      <c r="V3042" s="3"/>
      <c r="W3042" s="3"/>
      <c r="X3042" s="3"/>
      <c r="Y3042" s="3"/>
      <c r="Z3042" s="3"/>
      <c r="AA3042" s="3"/>
    </row>
    <row r="3043" ht="105.75" customHeight="1">
      <c r="A3043" s="11"/>
      <c r="B3043" s="12"/>
      <c r="C3043" s="11"/>
      <c r="D3043" s="13"/>
      <c r="E3043" s="14"/>
      <c r="F3043" s="14"/>
      <c r="G3043" s="14"/>
      <c r="H3043" s="15"/>
      <c r="I3043" s="15"/>
      <c r="J3043" s="3"/>
      <c r="K3043" s="3"/>
      <c r="L3043" s="3"/>
      <c r="M3043" s="3"/>
      <c r="N3043" s="3"/>
      <c r="O3043" s="3"/>
      <c r="P3043" s="3"/>
      <c r="Q3043" s="3"/>
      <c r="R3043" s="3"/>
      <c r="S3043" s="3"/>
      <c r="T3043" s="3"/>
      <c r="U3043" s="3"/>
      <c r="V3043" s="3"/>
      <c r="W3043" s="3"/>
      <c r="X3043" s="3"/>
      <c r="Y3043" s="3"/>
      <c r="Z3043" s="3"/>
      <c r="AA3043" s="3"/>
    </row>
    <row r="3044" ht="105.75" customHeight="1">
      <c r="A3044" s="11"/>
      <c r="B3044" s="12"/>
      <c r="C3044" s="11"/>
      <c r="D3044" s="13"/>
      <c r="E3044" s="14"/>
      <c r="F3044" s="14"/>
      <c r="G3044" s="14"/>
      <c r="H3044" s="15"/>
      <c r="I3044" s="15"/>
      <c r="J3044" s="3"/>
      <c r="K3044" s="3"/>
      <c r="L3044" s="3"/>
      <c r="M3044" s="3"/>
      <c r="N3044" s="3"/>
      <c r="O3044" s="3"/>
      <c r="P3044" s="3"/>
      <c r="Q3044" s="3"/>
      <c r="R3044" s="3"/>
      <c r="S3044" s="3"/>
      <c r="T3044" s="3"/>
      <c r="U3044" s="3"/>
      <c r="V3044" s="3"/>
      <c r="W3044" s="3"/>
      <c r="X3044" s="3"/>
      <c r="Y3044" s="3"/>
      <c r="Z3044" s="3"/>
      <c r="AA3044" s="3"/>
    </row>
    <row r="3045" ht="105.75" customHeight="1">
      <c r="A3045" s="11"/>
      <c r="B3045" s="12"/>
      <c r="C3045" s="11"/>
      <c r="D3045" s="13"/>
      <c r="E3045" s="14"/>
      <c r="F3045" s="14"/>
      <c r="G3045" s="14"/>
      <c r="H3045" s="15"/>
      <c r="I3045" s="15"/>
      <c r="J3045" s="3"/>
      <c r="K3045" s="3"/>
      <c r="L3045" s="3"/>
      <c r="M3045" s="3"/>
      <c r="N3045" s="3"/>
      <c r="O3045" s="3"/>
      <c r="P3045" s="3"/>
      <c r="Q3045" s="3"/>
      <c r="R3045" s="3"/>
      <c r="S3045" s="3"/>
      <c r="T3045" s="3"/>
      <c r="U3045" s="3"/>
      <c r="V3045" s="3"/>
      <c r="W3045" s="3"/>
      <c r="X3045" s="3"/>
      <c r="Y3045" s="3"/>
      <c r="Z3045" s="3"/>
      <c r="AA3045" s="3"/>
    </row>
    <row r="3046" ht="105.75" customHeight="1">
      <c r="A3046" s="11"/>
      <c r="B3046" s="12"/>
      <c r="C3046" s="11"/>
      <c r="D3046" s="13"/>
      <c r="E3046" s="14"/>
      <c r="F3046" s="14"/>
      <c r="G3046" s="14"/>
      <c r="H3046" s="15"/>
      <c r="I3046" s="15"/>
      <c r="J3046" s="3"/>
      <c r="K3046" s="3"/>
      <c r="L3046" s="3"/>
      <c r="M3046" s="3"/>
      <c r="N3046" s="3"/>
      <c r="O3046" s="3"/>
      <c r="P3046" s="3"/>
      <c r="Q3046" s="3"/>
      <c r="R3046" s="3"/>
      <c r="S3046" s="3"/>
      <c r="T3046" s="3"/>
      <c r="U3046" s="3"/>
      <c r="V3046" s="3"/>
      <c r="W3046" s="3"/>
      <c r="X3046" s="3"/>
      <c r="Y3046" s="3"/>
      <c r="Z3046" s="3"/>
      <c r="AA3046" s="3"/>
    </row>
    <row r="3047" ht="105.75" customHeight="1">
      <c r="A3047" s="11"/>
      <c r="B3047" s="12"/>
      <c r="C3047" s="11"/>
      <c r="D3047" s="13"/>
      <c r="E3047" s="16"/>
      <c r="F3047" s="16"/>
      <c r="G3047" s="16"/>
      <c r="H3047" s="15"/>
      <c r="I3047" s="15"/>
      <c r="J3047" s="3"/>
      <c r="K3047" s="3"/>
      <c r="L3047" s="3"/>
      <c r="M3047" s="3"/>
      <c r="N3047" s="3"/>
      <c r="O3047" s="3"/>
      <c r="P3047" s="3"/>
      <c r="Q3047" s="3"/>
      <c r="R3047" s="3"/>
      <c r="S3047" s="3"/>
      <c r="T3047" s="3"/>
      <c r="U3047" s="3"/>
      <c r="V3047" s="3"/>
      <c r="W3047" s="3"/>
      <c r="X3047" s="3"/>
      <c r="Y3047" s="3"/>
      <c r="Z3047" s="3"/>
      <c r="AA3047" s="3"/>
    </row>
    <row r="3048" ht="105.75" customHeight="1">
      <c r="A3048" s="11"/>
      <c r="B3048" s="12"/>
      <c r="C3048" s="11"/>
      <c r="D3048" s="13"/>
      <c r="E3048" s="14"/>
      <c r="F3048" s="14"/>
      <c r="G3048" s="14"/>
      <c r="H3048" s="15"/>
      <c r="I3048" s="15"/>
      <c r="J3048" s="3"/>
      <c r="K3048" s="3"/>
      <c r="L3048" s="3"/>
      <c r="M3048" s="3"/>
      <c r="N3048" s="3"/>
      <c r="O3048" s="3"/>
      <c r="P3048" s="3"/>
      <c r="Q3048" s="3"/>
      <c r="R3048" s="3"/>
      <c r="S3048" s="3"/>
      <c r="T3048" s="3"/>
      <c r="U3048" s="3"/>
      <c r="V3048" s="3"/>
      <c r="W3048" s="3"/>
      <c r="X3048" s="3"/>
      <c r="Y3048" s="3"/>
      <c r="Z3048" s="3"/>
      <c r="AA3048" s="3"/>
    </row>
    <row r="3049" ht="105.75" customHeight="1">
      <c r="A3049" s="11"/>
      <c r="B3049" s="12"/>
      <c r="C3049" s="11"/>
      <c r="D3049" s="13"/>
      <c r="E3049" s="16"/>
      <c r="F3049" s="16"/>
      <c r="G3049" s="16"/>
      <c r="H3049" s="15"/>
      <c r="I3049" s="15"/>
      <c r="J3049" s="3"/>
      <c r="K3049" s="3"/>
      <c r="L3049" s="3"/>
      <c r="M3049" s="3"/>
      <c r="N3049" s="3"/>
      <c r="O3049" s="3"/>
      <c r="P3049" s="3"/>
      <c r="Q3049" s="3"/>
      <c r="R3049" s="3"/>
      <c r="S3049" s="3"/>
      <c r="T3049" s="3"/>
      <c r="U3049" s="3"/>
      <c r="V3049" s="3"/>
      <c r="W3049" s="3"/>
      <c r="X3049" s="3"/>
      <c r="Y3049" s="3"/>
      <c r="Z3049" s="3"/>
      <c r="AA3049" s="3"/>
    </row>
    <row r="3050" ht="105.75" customHeight="1">
      <c r="A3050" s="11"/>
      <c r="B3050" s="12"/>
      <c r="C3050" s="11"/>
      <c r="D3050" s="13"/>
      <c r="E3050" s="14"/>
      <c r="F3050" s="14"/>
      <c r="G3050" s="14"/>
      <c r="H3050" s="15"/>
      <c r="I3050" s="15"/>
      <c r="J3050" s="3"/>
      <c r="K3050" s="3"/>
      <c r="L3050" s="3"/>
      <c r="M3050" s="3"/>
      <c r="N3050" s="3"/>
      <c r="O3050" s="3"/>
      <c r="P3050" s="3"/>
      <c r="Q3050" s="3"/>
      <c r="R3050" s="3"/>
      <c r="S3050" s="3"/>
      <c r="T3050" s="3"/>
      <c r="U3050" s="3"/>
      <c r="V3050" s="3"/>
      <c r="W3050" s="3"/>
      <c r="X3050" s="3"/>
      <c r="Y3050" s="3"/>
      <c r="Z3050" s="3"/>
      <c r="AA3050" s="3"/>
    </row>
    <row r="3051" ht="105.75" customHeight="1">
      <c r="A3051" s="11"/>
      <c r="B3051" s="12"/>
      <c r="C3051" s="11"/>
      <c r="D3051" s="13"/>
      <c r="E3051" s="14"/>
      <c r="F3051" s="14"/>
      <c r="G3051" s="14"/>
      <c r="H3051" s="15"/>
      <c r="I3051" s="15"/>
      <c r="J3051" s="3"/>
      <c r="K3051" s="3"/>
      <c r="L3051" s="3"/>
      <c r="M3051" s="3"/>
      <c r="N3051" s="3"/>
      <c r="O3051" s="3"/>
      <c r="P3051" s="3"/>
      <c r="Q3051" s="3"/>
      <c r="R3051" s="3"/>
      <c r="S3051" s="3"/>
      <c r="T3051" s="3"/>
      <c r="U3051" s="3"/>
      <c r="V3051" s="3"/>
      <c r="W3051" s="3"/>
      <c r="X3051" s="3"/>
      <c r="Y3051" s="3"/>
      <c r="Z3051" s="3"/>
      <c r="AA3051" s="3"/>
    </row>
    <row r="3052" ht="105.75" customHeight="1">
      <c r="A3052" s="11"/>
      <c r="B3052" s="12"/>
      <c r="C3052" s="11"/>
      <c r="D3052" s="13"/>
      <c r="E3052" s="14"/>
      <c r="F3052" s="14"/>
      <c r="G3052" s="14"/>
      <c r="H3052" s="15"/>
      <c r="I3052" s="15"/>
      <c r="J3052" s="3"/>
      <c r="K3052" s="3"/>
      <c r="L3052" s="3"/>
      <c r="M3052" s="3"/>
      <c r="N3052" s="3"/>
      <c r="O3052" s="3"/>
      <c r="P3052" s="3"/>
      <c r="Q3052" s="3"/>
      <c r="R3052" s="3"/>
      <c r="S3052" s="3"/>
      <c r="T3052" s="3"/>
      <c r="U3052" s="3"/>
      <c r="V3052" s="3"/>
      <c r="W3052" s="3"/>
      <c r="X3052" s="3"/>
      <c r="Y3052" s="3"/>
      <c r="Z3052" s="3"/>
      <c r="AA3052" s="3"/>
    </row>
    <row r="3053" ht="105.75" customHeight="1">
      <c r="A3053" s="11"/>
      <c r="B3053" s="12"/>
      <c r="C3053" s="11"/>
      <c r="D3053" s="13"/>
      <c r="E3053" s="14"/>
      <c r="F3053" s="14"/>
      <c r="G3053" s="14"/>
      <c r="H3053" s="15"/>
      <c r="I3053" s="15"/>
      <c r="J3053" s="3"/>
      <c r="K3053" s="3"/>
      <c r="L3053" s="3"/>
      <c r="M3053" s="3"/>
      <c r="N3053" s="3"/>
      <c r="O3053" s="3"/>
      <c r="P3053" s="3"/>
      <c r="Q3053" s="3"/>
      <c r="R3053" s="3"/>
      <c r="S3053" s="3"/>
      <c r="T3053" s="3"/>
      <c r="U3053" s="3"/>
      <c r="V3053" s="3"/>
      <c r="W3053" s="3"/>
      <c r="X3053" s="3"/>
      <c r="Y3053" s="3"/>
      <c r="Z3053" s="3"/>
      <c r="AA3053" s="3"/>
    </row>
    <row r="3054" ht="105.75" customHeight="1">
      <c r="A3054" s="11"/>
      <c r="B3054" s="12"/>
      <c r="C3054" s="11"/>
      <c r="D3054" s="13"/>
      <c r="E3054" s="14"/>
      <c r="F3054" s="14"/>
      <c r="G3054" s="14"/>
      <c r="H3054" s="15"/>
      <c r="I3054" s="15"/>
      <c r="J3054" s="3"/>
      <c r="K3054" s="3"/>
      <c r="L3054" s="3"/>
      <c r="M3054" s="3"/>
      <c r="N3054" s="3"/>
      <c r="O3054" s="3"/>
      <c r="P3054" s="3"/>
      <c r="Q3054" s="3"/>
      <c r="R3054" s="3"/>
      <c r="S3054" s="3"/>
      <c r="T3054" s="3"/>
      <c r="U3054" s="3"/>
      <c r="V3054" s="3"/>
      <c r="W3054" s="3"/>
      <c r="X3054" s="3"/>
      <c r="Y3054" s="3"/>
      <c r="Z3054" s="3"/>
      <c r="AA3054" s="3"/>
    </row>
    <row r="3055" ht="105.75" customHeight="1">
      <c r="A3055" s="11"/>
      <c r="B3055" s="12"/>
      <c r="C3055" s="11"/>
      <c r="D3055" s="13"/>
      <c r="E3055" s="14"/>
      <c r="F3055" s="14"/>
      <c r="G3055" s="14"/>
      <c r="H3055" s="15"/>
      <c r="I3055" s="15"/>
      <c r="J3055" s="3"/>
      <c r="K3055" s="3"/>
      <c r="L3055" s="3"/>
      <c r="M3055" s="3"/>
      <c r="N3055" s="3"/>
      <c r="O3055" s="3"/>
      <c r="P3055" s="3"/>
      <c r="Q3055" s="3"/>
      <c r="R3055" s="3"/>
      <c r="S3055" s="3"/>
      <c r="T3055" s="3"/>
      <c r="U3055" s="3"/>
      <c r="V3055" s="3"/>
      <c r="W3055" s="3"/>
      <c r="X3055" s="3"/>
      <c r="Y3055" s="3"/>
      <c r="Z3055" s="3"/>
      <c r="AA3055" s="3"/>
    </row>
    <row r="3056" ht="105.75" customHeight="1">
      <c r="A3056" s="11"/>
      <c r="B3056" s="12"/>
      <c r="C3056" s="11"/>
      <c r="D3056" s="13"/>
      <c r="E3056" s="14"/>
      <c r="F3056" s="14"/>
      <c r="G3056" s="14"/>
      <c r="H3056" s="15"/>
      <c r="I3056" s="15"/>
      <c r="J3056" s="3"/>
      <c r="K3056" s="3"/>
      <c r="L3056" s="3"/>
      <c r="M3056" s="3"/>
      <c r="N3056" s="3"/>
      <c r="O3056" s="3"/>
      <c r="P3056" s="3"/>
      <c r="Q3056" s="3"/>
      <c r="R3056" s="3"/>
      <c r="S3056" s="3"/>
      <c r="T3056" s="3"/>
      <c r="U3056" s="3"/>
      <c r="V3056" s="3"/>
      <c r="W3056" s="3"/>
      <c r="X3056" s="3"/>
      <c r="Y3056" s="3"/>
      <c r="Z3056" s="3"/>
      <c r="AA3056" s="3"/>
    </row>
    <row r="3057" ht="105.75" customHeight="1">
      <c r="A3057" s="11"/>
      <c r="B3057" s="12"/>
      <c r="C3057" s="11"/>
      <c r="D3057" s="13"/>
      <c r="E3057" s="14"/>
      <c r="F3057" s="14"/>
      <c r="G3057" s="14"/>
      <c r="H3057" s="15"/>
      <c r="I3057" s="15"/>
      <c r="J3057" s="3"/>
      <c r="K3057" s="3"/>
      <c r="L3057" s="3"/>
      <c r="M3057" s="3"/>
      <c r="N3057" s="3"/>
      <c r="O3057" s="3"/>
      <c r="P3057" s="3"/>
      <c r="Q3057" s="3"/>
      <c r="R3057" s="3"/>
      <c r="S3057" s="3"/>
      <c r="T3057" s="3"/>
      <c r="U3057" s="3"/>
      <c r="V3057" s="3"/>
      <c r="W3057" s="3"/>
      <c r="X3057" s="3"/>
      <c r="Y3057" s="3"/>
      <c r="Z3057" s="3"/>
      <c r="AA3057" s="3"/>
    </row>
    <row r="3058" ht="105.75" customHeight="1">
      <c r="A3058" s="11"/>
      <c r="B3058" s="12"/>
      <c r="C3058" s="11"/>
      <c r="D3058" s="13"/>
      <c r="E3058" s="14"/>
      <c r="F3058" s="14"/>
      <c r="G3058" s="14"/>
      <c r="H3058" s="15"/>
      <c r="I3058" s="15"/>
      <c r="J3058" s="3"/>
      <c r="K3058" s="3"/>
      <c r="L3058" s="3"/>
      <c r="M3058" s="3"/>
      <c r="N3058" s="3"/>
      <c r="O3058" s="3"/>
      <c r="P3058" s="3"/>
      <c r="Q3058" s="3"/>
      <c r="R3058" s="3"/>
      <c r="S3058" s="3"/>
      <c r="T3058" s="3"/>
      <c r="U3058" s="3"/>
      <c r="V3058" s="3"/>
      <c r="W3058" s="3"/>
      <c r="X3058" s="3"/>
      <c r="Y3058" s="3"/>
      <c r="Z3058" s="3"/>
      <c r="AA3058" s="3"/>
    </row>
    <row r="3059" ht="105.75" customHeight="1">
      <c r="A3059" s="11"/>
      <c r="B3059" s="12"/>
      <c r="C3059" s="11"/>
      <c r="D3059" s="13"/>
      <c r="E3059" s="14"/>
      <c r="F3059" s="14"/>
      <c r="G3059" s="14"/>
      <c r="H3059" s="15"/>
      <c r="I3059" s="15"/>
      <c r="J3059" s="3"/>
      <c r="K3059" s="3"/>
      <c r="L3059" s="3"/>
      <c r="M3059" s="3"/>
      <c r="N3059" s="3"/>
      <c r="O3059" s="3"/>
      <c r="P3059" s="3"/>
      <c r="Q3059" s="3"/>
      <c r="R3059" s="3"/>
      <c r="S3059" s="3"/>
      <c r="T3059" s="3"/>
      <c r="U3059" s="3"/>
      <c r="V3059" s="3"/>
      <c r="W3059" s="3"/>
      <c r="X3059" s="3"/>
      <c r="Y3059" s="3"/>
      <c r="Z3059" s="3"/>
      <c r="AA3059" s="3"/>
    </row>
    <row r="3060" ht="105.75" customHeight="1">
      <c r="A3060" s="11"/>
      <c r="B3060" s="12"/>
      <c r="C3060" s="11"/>
      <c r="D3060" s="13"/>
      <c r="E3060" s="16"/>
      <c r="F3060" s="16"/>
      <c r="G3060" s="16"/>
      <c r="H3060" s="15"/>
      <c r="I3060" s="15"/>
      <c r="J3060" s="3"/>
      <c r="K3060" s="3"/>
      <c r="L3060" s="3"/>
      <c r="M3060" s="3"/>
      <c r="N3060" s="3"/>
      <c r="O3060" s="3"/>
      <c r="P3060" s="3"/>
      <c r="Q3060" s="3"/>
      <c r="R3060" s="3"/>
      <c r="S3060" s="3"/>
      <c r="T3060" s="3"/>
      <c r="U3060" s="3"/>
      <c r="V3060" s="3"/>
      <c r="W3060" s="3"/>
      <c r="X3060" s="3"/>
      <c r="Y3060" s="3"/>
      <c r="Z3060" s="3"/>
      <c r="AA3060" s="3"/>
    </row>
    <row r="3061" ht="105.75" customHeight="1">
      <c r="A3061" s="11"/>
      <c r="B3061" s="12"/>
      <c r="C3061" s="11"/>
      <c r="D3061" s="13"/>
      <c r="E3061" s="16"/>
      <c r="F3061" s="16"/>
      <c r="G3061" s="16"/>
      <c r="H3061" s="15"/>
      <c r="I3061" s="15"/>
      <c r="J3061" s="3"/>
      <c r="K3061" s="3"/>
      <c r="L3061" s="3"/>
      <c r="M3061" s="3"/>
      <c r="N3061" s="3"/>
      <c r="O3061" s="3"/>
      <c r="P3061" s="3"/>
      <c r="Q3061" s="3"/>
      <c r="R3061" s="3"/>
      <c r="S3061" s="3"/>
      <c r="T3061" s="3"/>
      <c r="U3061" s="3"/>
      <c r="V3061" s="3"/>
      <c r="W3061" s="3"/>
      <c r="X3061" s="3"/>
      <c r="Y3061" s="3"/>
      <c r="Z3061" s="3"/>
      <c r="AA3061" s="3"/>
    </row>
    <row r="3062" ht="105.75" customHeight="1">
      <c r="A3062" s="11"/>
      <c r="B3062" s="12"/>
      <c r="C3062" s="11"/>
      <c r="D3062" s="13"/>
      <c r="E3062" s="16"/>
      <c r="F3062" s="16"/>
      <c r="G3062" s="16"/>
      <c r="H3062" s="15"/>
      <c r="I3062" s="15"/>
      <c r="J3062" s="3"/>
      <c r="K3062" s="3"/>
      <c r="L3062" s="3"/>
      <c r="M3062" s="3"/>
      <c r="N3062" s="3"/>
      <c r="O3062" s="3"/>
      <c r="P3062" s="3"/>
      <c r="Q3062" s="3"/>
      <c r="R3062" s="3"/>
      <c r="S3062" s="3"/>
      <c r="T3062" s="3"/>
      <c r="U3062" s="3"/>
      <c r="V3062" s="3"/>
      <c r="W3062" s="3"/>
      <c r="X3062" s="3"/>
      <c r="Y3062" s="3"/>
      <c r="Z3062" s="3"/>
      <c r="AA3062" s="3"/>
    </row>
    <row r="3063" ht="105.75" customHeight="1">
      <c r="A3063" s="11"/>
      <c r="B3063" s="12"/>
      <c r="C3063" s="11"/>
      <c r="D3063" s="13"/>
      <c r="E3063" s="14"/>
      <c r="F3063" s="14"/>
      <c r="G3063" s="14"/>
      <c r="H3063" s="15"/>
      <c r="I3063" s="15"/>
      <c r="J3063" s="3"/>
      <c r="K3063" s="3"/>
      <c r="L3063" s="3"/>
      <c r="M3063" s="3"/>
      <c r="N3063" s="3"/>
      <c r="O3063" s="3"/>
      <c r="P3063" s="3"/>
      <c r="Q3063" s="3"/>
      <c r="R3063" s="3"/>
      <c r="S3063" s="3"/>
      <c r="T3063" s="3"/>
      <c r="U3063" s="3"/>
      <c r="V3063" s="3"/>
      <c r="W3063" s="3"/>
      <c r="X3063" s="3"/>
      <c r="Y3063" s="3"/>
      <c r="Z3063" s="3"/>
      <c r="AA3063" s="3"/>
    </row>
    <row r="3064" ht="105.75" customHeight="1">
      <c r="A3064" s="11"/>
      <c r="B3064" s="12"/>
      <c r="C3064" s="11"/>
      <c r="D3064" s="13"/>
      <c r="E3064" s="14"/>
      <c r="F3064" s="14"/>
      <c r="G3064" s="14"/>
      <c r="H3064" s="15"/>
      <c r="I3064" s="15"/>
      <c r="J3064" s="3"/>
      <c r="K3064" s="3"/>
      <c r="L3064" s="3"/>
      <c r="M3064" s="3"/>
      <c r="N3064" s="3"/>
      <c r="O3064" s="3"/>
      <c r="P3064" s="3"/>
      <c r="Q3064" s="3"/>
      <c r="R3064" s="3"/>
      <c r="S3064" s="3"/>
      <c r="T3064" s="3"/>
      <c r="U3064" s="3"/>
      <c r="V3064" s="3"/>
      <c r="W3064" s="3"/>
      <c r="X3064" s="3"/>
      <c r="Y3064" s="3"/>
      <c r="Z3064" s="3"/>
      <c r="AA3064" s="3"/>
    </row>
    <row r="3065" ht="105.75" customHeight="1">
      <c r="A3065" s="11"/>
      <c r="B3065" s="12"/>
      <c r="C3065" s="11"/>
      <c r="D3065" s="13"/>
      <c r="E3065" s="14"/>
      <c r="F3065" s="14"/>
      <c r="G3065" s="14"/>
      <c r="H3065" s="15"/>
      <c r="I3065" s="15"/>
      <c r="J3065" s="3"/>
      <c r="K3065" s="3"/>
      <c r="L3065" s="3"/>
      <c r="M3065" s="3"/>
      <c r="N3065" s="3"/>
      <c r="O3065" s="3"/>
      <c r="P3065" s="3"/>
      <c r="Q3065" s="3"/>
      <c r="R3065" s="3"/>
      <c r="S3065" s="3"/>
      <c r="T3065" s="3"/>
      <c r="U3065" s="3"/>
      <c r="V3065" s="3"/>
      <c r="W3065" s="3"/>
      <c r="X3065" s="3"/>
      <c r="Y3065" s="3"/>
      <c r="Z3065" s="3"/>
      <c r="AA3065" s="3"/>
    </row>
    <row r="3066" ht="105.75" customHeight="1">
      <c r="A3066" s="11"/>
      <c r="B3066" s="12"/>
      <c r="C3066" s="11"/>
      <c r="D3066" s="13"/>
      <c r="E3066" s="16"/>
      <c r="F3066" s="16"/>
      <c r="G3066" s="16"/>
      <c r="H3066" s="15"/>
      <c r="I3066" s="15"/>
      <c r="J3066" s="3"/>
      <c r="K3066" s="3"/>
      <c r="L3066" s="3"/>
      <c r="M3066" s="3"/>
      <c r="N3066" s="3"/>
      <c r="O3066" s="3"/>
      <c r="P3066" s="3"/>
      <c r="Q3066" s="3"/>
      <c r="R3066" s="3"/>
      <c r="S3066" s="3"/>
      <c r="T3066" s="3"/>
      <c r="U3066" s="3"/>
      <c r="V3066" s="3"/>
      <c r="W3066" s="3"/>
      <c r="X3066" s="3"/>
      <c r="Y3066" s="3"/>
      <c r="Z3066" s="3"/>
      <c r="AA3066" s="3"/>
    </row>
    <row r="3067" ht="105.75" customHeight="1">
      <c r="A3067" s="11"/>
      <c r="B3067" s="12"/>
      <c r="C3067" s="11"/>
      <c r="D3067" s="13"/>
      <c r="E3067" s="14"/>
      <c r="F3067" s="14"/>
      <c r="G3067" s="14"/>
      <c r="H3067" s="15"/>
      <c r="I3067" s="15"/>
      <c r="J3067" s="3"/>
      <c r="K3067" s="3"/>
      <c r="L3067" s="3"/>
      <c r="M3067" s="3"/>
      <c r="N3067" s="3"/>
      <c r="O3067" s="3"/>
      <c r="P3067" s="3"/>
      <c r="Q3067" s="3"/>
      <c r="R3067" s="3"/>
      <c r="S3067" s="3"/>
      <c r="T3067" s="3"/>
      <c r="U3067" s="3"/>
      <c r="V3067" s="3"/>
      <c r="W3067" s="3"/>
      <c r="X3067" s="3"/>
      <c r="Y3067" s="3"/>
      <c r="Z3067" s="3"/>
      <c r="AA3067" s="3"/>
    </row>
    <row r="3068" ht="105.75" customHeight="1">
      <c r="A3068" s="11"/>
      <c r="B3068" s="12"/>
      <c r="C3068" s="11"/>
      <c r="D3068" s="13"/>
      <c r="E3068" s="14"/>
      <c r="F3068" s="14"/>
      <c r="G3068" s="14"/>
      <c r="H3068" s="15"/>
      <c r="I3068" s="15"/>
      <c r="J3068" s="3"/>
      <c r="K3068" s="3"/>
      <c r="L3068" s="3"/>
      <c r="M3068" s="3"/>
      <c r="N3068" s="3"/>
      <c r="O3068" s="3"/>
      <c r="P3068" s="3"/>
      <c r="Q3068" s="3"/>
      <c r="R3068" s="3"/>
      <c r="S3068" s="3"/>
      <c r="T3068" s="3"/>
      <c r="U3068" s="3"/>
      <c r="V3068" s="3"/>
      <c r="W3068" s="3"/>
      <c r="X3068" s="3"/>
      <c r="Y3068" s="3"/>
      <c r="Z3068" s="3"/>
      <c r="AA3068" s="3"/>
    </row>
    <row r="3069" ht="105.75" customHeight="1">
      <c r="A3069" s="11"/>
      <c r="B3069" s="12"/>
      <c r="C3069" s="11"/>
      <c r="D3069" s="13"/>
      <c r="E3069" s="14"/>
      <c r="F3069" s="14"/>
      <c r="G3069" s="14"/>
      <c r="H3069" s="15"/>
      <c r="I3069" s="15"/>
      <c r="J3069" s="3"/>
      <c r="K3069" s="3"/>
      <c r="L3069" s="3"/>
      <c r="M3069" s="3"/>
      <c r="N3069" s="3"/>
      <c r="O3069" s="3"/>
      <c r="P3069" s="3"/>
      <c r="Q3069" s="3"/>
      <c r="R3069" s="3"/>
      <c r="S3069" s="3"/>
      <c r="T3069" s="3"/>
      <c r="U3069" s="3"/>
      <c r="V3069" s="3"/>
      <c r="W3069" s="3"/>
      <c r="X3069" s="3"/>
      <c r="Y3069" s="3"/>
      <c r="Z3069" s="3"/>
      <c r="AA3069" s="3"/>
    </row>
    <row r="3070" ht="105.75" customHeight="1">
      <c r="A3070" s="11"/>
      <c r="B3070" s="12"/>
      <c r="C3070" s="11"/>
      <c r="D3070" s="13"/>
      <c r="E3070" s="14"/>
      <c r="F3070" s="14"/>
      <c r="G3070" s="14"/>
      <c r="H3070" s="15"/>
      <c r="I3070" s="15"/>
      <c r="J3070" s="3"/>
      <c r="K3070" s="3"/>
      <c r="L3070" s="3"/>
      <c r="M3070" s="3"/>
      <c r="N3070" s="3"/>
      <c r="O3070" s="3"/>
      <c r="P3070" s="3"/>
      <c r="Q3070" s="3"/>
      <c r="R3070" s="3"/>
      <c r="S3070" s="3"/>
      <c r="T3070" s="3"/>
      <c r="U3070" s="3"/>
      <c r="V3070" s="3"/>
      <c r="W3070" s="3"/>
      <c r="X3070" s="3"/>
      <c r="Y3070" s="3"/>
      <c r="Z3070" s="3"/>
      <c r="AA3070" s="3"/>
    </row>
    <row r="3071" ht="105.75" customHeight="1">
      <c r="A3071" s="11"/>
      <c r="B3071" s="12"/>
      <c r="C3071" s="11"/>
      <c r="D3071" s="13"/>
      <c r="E3071" s="16"/>
      <c r="F3071" s="16"/>
      <c r="G3071" s="16"/>
      <c r="H3071" s="15"/>
      <c r="I3071" s="15"/>
      <c r="J3071" s="3"/>
      <c r="K3071" s="3"/>
      <c r="L3071" s="3"/>
      <c r="M3071" s="3"/>
      <c r="N3071" s="3"/>
      <c r="O3071" s="3"/>
      <c r="P3071" s="3"/>
      <c r="Q3071" s="3"/>
      <c r="R3071" s="3"/>
      <c r="S3071" s="3"/>
      <c r="T3071" s="3"/>
      <c r="U3071" s="3"/>
      <c r="V3071" s="3"/>
      <c r="W3071" s="3"/>
      <c r="X3071" s="3"/>
      <c r="Y3071" s="3"/>
      <c r="Z3071" s="3"/>
      <c r="AA3071" s="3"/>
    </row>
    <row r="3072" ht="105.75" customHeight="1">
      <c r="A3072" s="11"/>
      <c r="B3072" s="12"/>
      <c r="C3072" s="11"/>
      <c r="D3072" s="13"/>
      <c r="E3072" s="16"/>
      <c r="F3072" s="16"/>
      <c r="G3072" s="16"/>
      <c r="H3072" s="15"/>
      <c r="I3072" s="15"/>
      <c r="J3072" s="3"/>
      <c r="K3072" s="3"/>
      <c r="L3072" s="3"/>
      <c r="M3072" s="3"/>
      <c r="N3072" s="3"/>
      <c r="O3072" s="3"/>
      <c r="P3072" s="3"/>
      <c r="Q3072" s="3"/>
      <c r="R3072" s="3"/>
      <c r="S3072" s="3"/>
      <c r="T3072" s="3"/>
      <c r="U3072" s="3"/>
      <c r="V3072" s="3"/>
      <c r="W3072" s="3"/>
      <c r="X3072" s="3"/>
      <c r="Y3072" s="3"/>
      <c r="Z3072" s="3"/>
      <c r="AA3072" s="3"/>
    </row>
    <row r="3073" ht="105.75" customHeight="1">
      <c r="A3073" s="11"/>
      <c r="B3073" s="12"/>
      <c r="C3073" s="11"/>
      <c r="D3073" s="13"/>
      <c r="E3073" s="16"/>
      <c r="F3073" s="16"/>
      <c r="G3073" s="16"/>
      <c r="H3073" s="15"/>
      <c r="I3073" s="15"/>
      <c r="J3073" s="3"/>
      <c r="K3073" s="3"/>
      <c r="L3073" s="3"/>
      <c r="M3073" s="3"/>
      <c r="N3073" s="3"/>
      <c r="O3073" s="3"/>
      <c r="P3073" s="3"/>
      <c r="Q3073" s="3"/>
      <c r="R3073" s="3"/>
      <c r="S3073" s="3"/>
      <c r="T3073" s="3"/>
      <c r="U3073" s="3"/>
      <c r="V3073" s="3"/>
      <c r="W3073" s="3"/>
      <c r="X3073" s="3"/>
      <c r="Y3073" s="3"/>
      <c r="Z3073" s="3"/>
      <c r="AA3073" s="3"/>
    </row>
    <row r="3074" ht="105.75" customHeight="1">
      <c r="A3074" s="11"/>
      <c r="B3074" s="12"/>
      <c r="C3074" s="11"/>
      <c r="D3074" s="13"/>
      <c r="E3074" s="14"/>
      <c r="F3074" s="14"/>
      <c r="G3074" s="14"/>
      <c r="H3074" s="15"/>
      <c r="I3074" s="15"/>
      <c r="J3074" s="3"/>
      <c r="K3074" s="3"/>
      <c r="L3074" s="3"/>
      <c r="M3074" s="3"/>
      <c r="N3074" s="3"/>
      <c r="O3074" s="3"/>
      <c r="P3074" s="3"/>
      <c r="Q3074" s="3"/>
      <c r="R3074" s="3"/>
      <c r="S3074" s="3"/>
      <c r="T3074" s="3"/>
      <c r="U3074" s="3"/>
      <c r="V3074" s="3"/>
      <c r="W3074" s="3"/>
      <c r="X3074" s="3"/>
      <c r="Y3074" s="3"/>
      <c r="Z3074" s="3"/>
      <c r="AA3074" s="3"/>
    </row>
    <row r="3075" ht="105.75" customHeight="1">
      <c r="A3075" s="11"/>
      <c r="B3075" s="12"/>
      <c r="C3075" s="11"/>
      <c r="D3075" s="13"/>
      <c r="E3075" s="14"/>
      <c r="F3075" s="14"/>
      <c r="G3075" s="14"/>
      <c r="H3075" s="15"/>
      <c r="I3075" s="15"/>
      <c r="J3075" s="3"/>
      <c r="K3075" s="3"/>
      <c r="L3075" s="3"/>
      <c r="M3075" s="3"/>
      <c r="N3075" s="3"/>
      <c r="O3075" s="3"/>
      <c r="P3075" s="3"/>
      <c r="Q3075" s="3"/>
      <c r="R3075" s="3"/>
      <c r="S3075" s="3"/>
      <c r="T3075" s="3"/>
      <c r="U3075" s="3"/>
      <c r="V3075" s="3"/>
      <c r="W3075" s="3"/>
      <c r="X3075" s="3"/>
      <c r="Y3075" s="3"/>
      <c r="Z3075" s="3"/>
      <c r="AA3075" s="3"/>
    </row>
    <row r="3076" ht="105.75" customHeight="1">
      <c r="A3076" s="11"/>
      <c r="B3076" s="12"/>
      <c r="C3076" s="11"/>
      <c r="D3076" s="13"/>
      <c r="E3076" s="14"/>
      <c r="F3076" s="14"/>
      <c r="G3076" s="14"/>
      <c r="H3076" s="15"/>
      <c r="I3076" s="15"/>
      <c r="J3076" s="3"/>
      <c r="K3076" s="3"/>
      <c r="L3076" s="3"/>
      <c r="M3076" s="3"/>
      <c r="N3076" s="3"/>
      <c r="O3076" s="3"/>
      <c r="P3076" s="3"/>
      <c r="Q3076" s="3"/>
      <c r="R3076" s="3"/>
      <c r="S3076" s="3"/>
      <c r="T3076" s="3"/>
      <c r="U3076" s="3"/>
      <c r="V3076" s="3"/>
      <c r="W3076" s="3"/>
      <c r="X3076" s="3"/>
      <c r="Y3076" s="3"/>
      <c r="Z3076" s="3"/>
      <c r="AA3076" s="3"/>
    </row>
    <row r="3077" ht="105.75" customHeight="1">
      <c r="A3077" s="11"/>
      <c r="B3077" s="12"/>
      <c r="C3077" s="11"/>
      <c r="D3077" s="13"/>
      <c r="E3077" s="14"/>
      <c r="F3077" s="14"/>
      <c r="G3077" s="14"/>
      <c r="H3077" s="15"/>
      <c r="I3077" s="15"/>
      <c r="J3077" s="3"/>
      <c r="K3077" s="3"/>
      <c r="L3077" s="3"/>
      <c r="M3077" s="3"/>
      <c r="N3077" s="3"/>
      <c r="O3077" s="3"/>
      <c r="P3077" s="3"/>
      <c r="Q3077" s="3"/>
      <c r="R3077" s="3"/>
      <c r="S3077" s="3"/>
      <c r="T3077" s="3"/>
      <c r="U3077" s="3"/>
      <c r="V3077" s="3"/>
      <c r="W3077" s="3"/>
      <c r="X3077" s="3"/>
      <c r="Y3077" s="3"/>
      <c r="Z3077" s="3"/>
      <c r="AA3077" s="3"/>
    </row>
    <row r="3078" ht="105.75" customHeight="1">
      <c r="A3078" s="11"/>
      <c r="B3078" s="12"/>
      <c r="C3078" s="11"/>
      <c r="D3078" s="13"/>
      <c r="E3078" s="14"/>
      <c r="F3078" s="14"/>
      <c r="G3078" s="14"/>
      <c r="H3078" s="15"/>
      <c r="I3078" s="15"/>
      <c r="J3078" s="3"/>
      <c r="K3078" s="3"/>
      <c r="L3078" s="3"/>
      <c r="M3078" s="3"/>
      <c r="N3078" s="3"/>
      <c r="O3078" s="3"/>
      <c r="P3078" s="3"/>
      <c r="Q3078" s="3"/>
      <c r="R3078" s="3"/>
      <c r="S3078" s="3"/>
      <c r="T3078" s="3"/>
      <c r="U3078" s="3"/>
      <c r="V3078" s="3"/>
      <c r="W3078" s="3"/>
      <c r="X3078" s="3"/>
      <c r="Y3078" s="3"/>
      <c r="Z3078" s="3"/>
      <c r="AA3078" s="3"/>
    </row>
    <row r="3079" ht="105.75" customHeight="1">
      <c r="A3079" s="11"/>
      <c r="B3079" s="12"/>
      <c r="C3079" s="11"/>
      <c r="D3079" s="13"/>
      <c r="E3079" s="14"/>
      <c r="F3079" s="14"/>
      <c r="G3079" s="14"/>
      <c r="H3079" s="15"/>
      <c r="I3079" s="15"/>
      <c r="J3079" s="3"/>
      <c r="K3079" s="3"/>
      <c r="L3079" s="3"/>
      <c r="M3079" s="3"/>
      <c r="N3079" s="3"/>
      <c r="O3079" s="3"/>
      <c r="P3079" s="3"/>
      <c r="Q3079" s="3"/>
      <c r="R3079" s="3"/>
      <c r="S3079" s="3"/>
      <c r="T3079" s="3"/>
      <c r="U3079" s="3"/>
      <c r="V3079" s="3"/>
      <c r="W3079" s="3"/>
      <c r="X3079" s="3"/>
      <c r="Y3079" s="3"/>
      <c r="Z3079" s="3"/>
      <c r="AA3079" s="3"/>
    </row>
    <row r="3080" ht="105.75" customHeight="1">
      <c r="A3080" s="11"/>
      <c r="B3080" s="12"/>
      <c r="C3080" s="11"/>
      <c r="D3080" s="13"/>
      <c r="E3080" s="14"/>
      <c r="F3080" s="14"/>
      <c r="G3080" s="14"/>
      <c r="H3080" s="15"/>
      <c r="I3080" s="15"/>
      <c r="J3080" s="3"/>
      <c r="K3080" s="3"/>
      <c r="L3080" s="3"/>
      <c r="M3080" s="3"/>
      <c r="N3080" s="3"/>
      <c r="O3080" s="3"/>
      <c r="P3080" s="3"/>
      <c r="Q3080" s="3"/>
      <c r="R3080" s="3"/>
      <c r="S3080" s="3"/>
      <c r="T3080" s="3"/>
      <c r="U3080" s="3"/>
      <c r="V3080" s="3"/>
      <c r="W3080" s="3"/>
      <c r="X3080" s="3"/>
      <c r="Y3080" s="3"/>
      <c r="Z3080" s="3"/>
      <c r="AA3080" s="3"/>
    </row>
    <row r="3081" ht="105.75" customHeight="1">
      <c r="A3081" s="11"/>
      <c r="B3081" s="12"/>
      <c r="C3081" s="11"/>
      <c r="D3081" s="13"/>
      <c r="E3081" s="14"/>
      <c r="F3081" s="14"/>
      <c r="G3081" s="14"/>
      <c r="H3081" s="15"/>
      <c r="I3081" s="15"/>
      <c r="J3081" s="3"/>
      <c r="K3081" s="3"/>
      <c r="L3081" s="3"/>
      <c r="M3081" s="3"/>
      <c r="N3081" s="3"/>
      <c r="O3081" s="3"/>
      <c r="P3081" s="3"/>
      <c r="Q3081" s="3"/>
      <c r="R3081" s="3"/>
      <c r="S3081" s="3"/>
      <c r="T3081" s="3"/>
      <c r="U3081" s="3"/>
      <c r="V3081" s="3"/>
      <c r="W3081" s="3"/>
      <c r="X3081" s="3"/>
      <c r="Y3081" s="3"/>
      <c r="Z3081" s="3"/>
      <c r="AA3081" s="3"/>
    </row>
    <row r="3082" ht="105.75" customHeight="1">
      <c r="A3082" s="11"/>
      <c r="B3082" s="12"/>
      <c r="C3082" s="11"/>
      <c r="D3082" s="13"/>
      <c r="E3082" s="14"/>
      <c r="F3082" s="14"/>
      <c r="G3082" s="14"/>
      <c r="H3082" s="15"/>
      <c r="I3082" s="15"/>
      <c r="J3082" s="3"/>
      <c r="K3082" s="3"/>
      <c r="L3082" s="3"/>
      <c r="M3082" s="3"/>
      <c r="N3082" s="3"/>
      <c r="O3082" s="3"/>
      <c r="P3082" s="3"/>
      <c r="Q3082" s="3"/>
      <c r="R3082" s="3"/>
      <c r="S3082" s="3"/>
      <c r="T3082" s="3"/>
      <c r="U3082" s="3"/>
      <c r="V3082" s="3"/>
      <c r="W3082" s="3"/>
      <c r="X3082" s="3"/>
      <c r="Y3082" s="3"/>
      <c r="Z3082" s="3"/>
      <c r="AA3082" s="3"/>
    </row>
    <row r="3083" ht="105.75" customHeight="1">
      <c r="A3083" s="11"/>
      <c r="B3083" s="12"/>
      <c r="C3083" s="11"/>
      <c r="D3083" s="13"/>
      <c r="E3083" s="14"/>
      <c r="F3083" s="14"/>
      <c r="G3083" s="14"/>
      <c r="H3083" s="15"/>
      <c r="I3083" s="15"/>
      <c r="J3083" s="3"/>
      <c r="K3083" s="3"/>
      <c r="L3083" s="3"/>
      <c r="M3083" s="3"/>
      <c r="N3083" s="3"/>
      <c r="O3083" s="3"/>
      <c r="P3083" s="3"/>
      <c r="Q3083" s="3"/>
      <c r="R3083" s="3"/>
      <c r="S3083" s="3"/>
      <c r="T3083" s="3"/>
      <c r="U3083" s="3"/>
      <c r="V3083" s="3"/>
      <c r="W3083" s="3"/>
      <c r="X3083" s="3"/>
      <c r="Y3083" s="3"/>
      <c r="Z3083" s="3"/>
      <c r="AA3083" s="3"/>
    </row>
    <row r="3084" ht="105.75" customHeight="1">
      <c r="A3084" s="11"/>
      <c r="B3084" s="12"/>
      <c r="C3084" s="11"/>
      <c r="D3084" s="13"/>
      <c r="E3084" s="14"/>
      <c r="F3084" s="14"/>
      <c r="G3084" s="14"/>
      <c r="H3084" s="15"/>
      <c r="I3084" s="15"/>
      <c r="J3084" s="3"/>
      <c r="K3084" s="3"/>
      <c r="L3084" s="3"/>
      <c r="M3084" s="3"/>
      <c r="N3084" s="3"/>
      <c r="O3084" s="3"/>
      <c r="P3084" s="3"/>
      <c r="Q3084" s="3"/>
      <c r="R3084" s="3"/>
      <c r="S3084" s="3"/>
      <c r="T3084" s="3"/>
      <c r="U3084" s="3"/>
      <c r="V3084" s="3"/>
      <c r="W3084" s="3"/>
      <c r="X3084" s="3"/>
      <c r="Y3084" s="3"/>
      <c r="Z3084" s="3"/>
      <c r="AA3084" s="3"/>
    </row>
    <row r="3085" ht="105.75" customHeight="1">
      <c r="A3085" s="11"/>
      <c r="B3085" s="12"/>
      <c r="C3085" s="11"/>
      <c r="D3085" s="13"/>
      <c r="E3085" s="14"/>
      <c r="F3085" s="14"/>
      <c r="G3085" s="14"/>
      <c r="H3085" s="15"/>
      <c r="I3085" s="15"/>
      <c r="J3085" s="3"/>
      <c r="K3085" s="3"/>
      <c r="L3085" s="3"/>
      <c r="M3085" s="3"/>
      <c r="N3085" s="3"/>
      <c r="O3085" s="3"/>
      <c r="P3085" s="3"/>
      <c r="Q3085" s="3"/>
      <c r="R3085" s="3"/>
      <c r="S3085" s="3"/>
      <c r="T3085" s="3"/>
      <c r="U3085" s="3"/>
      <c r="V3085" s="3"/>
      <c r="W3085" s="3"/>
      <c r="X3085" s="3"/>
      <c r="Y3085" s="3"/>
      <c r="Z3085" s="3"/>
      <c r="AA3085" s="3"/>
    </row>
    <row r="3086" ht="105.75" customHeight="1">
      <c r="A3086" s="11"/>
      <c r="B3086" s="12"/>
      <c r="C3086" s="11"/>
      <c r="D3086" s="13"/>
      <c r="E3086" s="14"/>
      <c r="F3086" s="14"/>
      <c r="G3086" s="14"/>
      <c r="H3086" s="15"/>
      <c r="I3086" s="15"/>
      <c r="J3086" s="3"/>
      <c r="K3086" s="3"/>
      <c r="L3086" s="3"/>
      <c r="M3086" s="3"/>
      <c r="N3086" s="3"/>
      <c r="O3086" s="3"/>
      <c r="P3086" s="3"/>
      <c r="Q3086" s="3"/>
      <c r="R3086" s="3"/>
      <c r="S3086" s="3"/>
      <c r="T3086" s="3"/>
      <c r="U3086" s="3"/>
      <c r="V3086" s="3"/>
      <c r="W3086" s="3"/>
      <c r="X3086" s="3"/>
      <c r="Y3086" s="3"/>
      <c r="Z3086" s="3"/>
      <c r="AA3086" s="3"/>
    </row>
    <row r="3087" ht="105.75" customHeight="1">
      <c r="A3087" s="11"/>
      <c r="B3087" s="12"/>
      <c r="C3087" s="11"/>
      <c r="D3087" s="13"/>
      <c r="E3087" s="14"/>
      <c r="F3087" s="14"/>
      <c r="G3087" s="14"/>
      <c r="H3087" s="15"/>
      <c r="I3087" s="15"/>
      <c r="J3087" s="3"/>
      <c r="K3087" s="3"/>
      <c r="L3087" s="3"/>
      <c r="M3087" s="3"/>
      <c r="N3087" s="3"/>
      <c r="O3087" s="3"/>
      <c r="P3087" s="3"/>
      <c r="Q3087" s="3"/>
      <c r="R3087" s="3"/>
      <c r="S3087" s="3"/>
      <c r="T3087" s="3"/>
      <c r="U3087" s="3"/>
      <c r="V3087" s="3"/>
      <c r="W3087" s="3"/>
      <c r="X3087" s="3"/>
      <c r="Y3087" s="3"/>
      <c r="Z3087" s="3"/>
      <c r="AA3087" s="3"/>
    </row>
    <row r="3088" ht="105.75" customHeight="1">
      <c r="A3088" s="11"/>
      <c r="B3088" s="12"/>
      <c r="C3088" s="11"/>
      <c r="D3088" s="13"/>
      <c r="E3088" s="14"/>
      <c r="F3088" s="14"/>
      <c r="G3088" s="14"/>
      <c r="H3088" s="15"/>
      <c r="I3088" s="15"/>
      <c r="J3088" s="3"/>
      <c r="K3088" s="3"/>
      <c r="L3088" s="3"/>
      <c r="M3088" s="3"/>
      <c r="N3088" s="3"/>
      <c r="O3088" s="3"/>
      <c r="P3088" s="3"/>
      <c r="Q3088" s="3"/>
      <c r="R3088" s="3"/>
      <c r="S3088" s="3"/>
      <c r="T3088" s="3"/>
      <c r="U3088" s="3"/>
      <c r="V3088" s="3"/>
      <c r="W3088" s="3"/>
      <c r="X3088" s="3"/>
      <c r="Y3088" s="3"/>
      <c r="Z3088" s="3"/>
      <c r="AA3088" s="3"/>
    </row>
    <row r="3089" ht="105.75" customHeight="1">
      <c r="A3089" s="11"/>
      <c r="B3089" s="12"/>
      <c r="C3089" s="11"/>
      <c r="D3089" s="13"/>
      <c r="E3089" s="14"/>
      <c r="F3089" s="14"/>
      <c r="G3089" s="14"/>
      <c r="H3089" s="15"/>
      <c r="I3089" s="15"/>
      <c r="J3089" s="3"/>
      <c r="K3089" s="3"/>
      <c r="L3089" s="3"/>
      <c r="M3089" s="3"/>
      <c r="N3089" s="3"/>
      <c r="O3089" s="3"/>
      <c r="P3089" s="3"/>
      <c r="Q3089" s="3"/>
      <c r="R3089" s="3"/>
      <c r="S3089" s="3"/>
      <c r="T3089" s="3"/>
      <c r="U3089" s="3"/>
      <c r="V3089" s="3"/>
      <c r="W3089" s="3"/>
      <c r="X3089" s="3"/>
      <c r="Y3089" s="3"/>
      <c r="Z3089" s="3"/>
      <c r="AA3089" s="3"/>
    </row>
    <row r="3090" ht="105.75" customHeight="1">
      <c r="A3090" s="11"/>
      <c r="B3090" s="12"/>
      <c r="C3090" s="11"/>
      <c r="D3090" s="13"/>
      <c r="E3090" s="14"/>
      <c r="F3090" s="14"/>
      <c r="G3090" s="14"/>
      <c r="H3090" s="15"/>
      <c r="I3090" s="15"/>
      <c r="J3090" s="3"/>
      <c r="K3090" s="3"/>
      <c r="L3090" s="3"/>
      <c r="M3090" s="3"/>
      <c r="N3090" s="3"/>
      <c r="O3090" s="3"/>
      <c r="P3090" s="3"/>
      <c r="Q3090" s="3"/>
      <c r="R3090" s="3"/>
      <c r="S3090" s="3"/>
      <c r="T3090" s="3"/>
      <c r="U3090" s="3"/>
      <c r="V3090" s="3"/>
      <c r="W3090" s="3"/>
      <c r="X3090" s="3"/>
      <c r="Y3090" s="3"/>
      <c r="Z3090" s="3"/>
      <c r="AA3090" s="3"/>
    </row>
    <row r="3091" ht="105.75" customHeight="1">
      <c r="A3091" s="11"/>
      <c r="B3091" s="12"/>
      <c r="C3091" s="11"/>
      <c r="D3091" s="13"/>
      <c r="E3091" s="14"/>
      <c r="F3091" s="14"/>
      <c r="G3091" s="14"/>
      <c r="H3091" s="15"/>
      <c r="I3091" s="15"/>
      <c r="J3091" s="3"/>
      <c r="K3091" s="3"/>
      <c r="L3091" s="3"/>
      <c r="M3091" s="3"/>
      <c r="N3091" s="3"/>
      <c r="O3091" s="3"/>
      <c r="P3091" s="3"/>
      <c r="Q3091" s="3"/>
      <c r="R3091" s="3"/>
      <c r="S3091" s="3"/>
      <c r="T3091" s="3"/>
      <c r="U3091" s="3"/>
      <c r="V3091" s="3"/>
      <c r="W3091" s="3"/>
      <c r="X3091" s="3"/>
      <c r="Y3091" s="3"/>
      <c r="Z3091" s="3"/>
      <c r="AA3091" s="3"/>
    </row>
    <row r="3092" ht="105.75" customHeight="1">
      <c r="A3092" s="11"/>
      <c r="B3092" s="12"/>
      <c r="C3092" s="11"/>
      <c r="D3092" s="13"/>
      <c r="E3092" s="14"/>
      <c r="F3092" s="14"/>
      <c r="G3092" s="14"/>
      <c r="H3092" s="15"/>
      <c r="I3092" s="15"/>
      <c r="J3092" s="3"/>
      <c r="K3092" s="3"/>
      <c r="L3092" s="3"/>
      <c r="M3092" s="3"/>
      <c r="N3092" s="3"/>
      <c r="O3092" s="3"/>
      <c r="P3092" s="3"/>
      <c r="Q3092" s="3"/>
      <c r="R3092" s="3"/>
      <c r="S3092" s="3"/>
      <c r="T3092" s="3"/>
      <c r="U3092" s="3"/>
      <c r="V3092" s="3"/>
      <c r="W3092" s="3"/>
      <c r="X3092" s="3"/>
      <c r="Y3092" s="3"/>
      <c r="Z3092" s="3"/>
      <c r="AA3092" s="3"/>
    </row>
    <row r="3093" ht="105.75" customHeight="1">
      <c r="A3093" s="11"/>
      <c r="B3093" s="12"/>
      <c r="C3093" s="11"/>
      <c r="D3093" s="13"/>
      <c r="E3093" s="14"/>
      <c r="F3093" s="14"/>
      <c r="G3093" s="14"/>
      <c r="H3093" s="15"/>
      <c r="I3093" s="15"/>
      <c r="J3093" s="3"/>
      <c r="K3093" s="3"/>
      <c r="L3093" s="3"/>
      <c r="M3093" s="3"/>
      <c r="N3093" s="3"/>
      <c r="O3093" s="3"/>
      <c r="P3093" s="3"/>
      <c r="Q3093" s="3"/>
      <c r="R3093" s="3"/>
      <c r="S3093" s="3"/>
      <c r="T3093" s="3"/>
      <c r="U3093" s="3"/>
      <c r="V3093" s="3"/>
      <c r="W3093" s="3"/>
      <c r="X3093" s="3"/>
      <c r="Y3093" s="3"/>
      <c r="Z3093" s="3"/>
      <c r="AA3093" s="3"/>
    </row>
    <row r="3094" ht="105.75" customHeight="1">
      <c r="A3094" s="11"/>
      <c r="B3094" s="12"/>
      <c r="C3094" s="11"/>
      <c r="D3094" s="13"/>
      <c r="E3094" s="14"/>
      <c r="F3094" s="14"/>
      <c r="G3094" s="14"/>
      <c r="H3094" s="15"/>
      <c r="I3094" s="15"/>
      <c r="J3094" s="3"/>
      <c r="K3094" s="3"/>
      <c r="L3094" s="3"/>
      <c r="M3094" s="3"/>
      <c r="N3094" s="3"/>
      <c r="O3094" s="3"/>
      <c r="P3094" s="3"/>
      <c r="Q3094" s="3"/>
      <c r="R3094" s="3"/>
      <c r="S3094" s="3"/>
      <c r="T3094" s="3"/>
      <c r="U3094" s="3"/>
      <c r="V3094" s="3"/>
      <c r="W3094" s="3"/>
      <c r="X3094" s="3"/>
      <c r="Y3094" s="3"/>
      <c r="Z3094" s="3"/>
      <c r="AA3094" s="3"/>
    </row>
    <row r="3095" ht="105.75" customHeight="1">
      <c r="A3095" s="11"/>
      <c r="B3095" s="12"/>
      <c r="C3095" s="11"/>
      <c r="D3095" s="13"/>
      <c r="E3095" s="14"/>
      <c r="F3095" s="14"/>
      <c r="G3095" s="14"/>
      <c r="H3095" s="15"/>
      <c r="I3095" s="15"/>
      <c r="J3095" s="3"/>
      <c r="K3095" s="3"/>
      <c r="L3095" s="3"/>
      <c r="M3095" s="3"/>
      <c r="N3095" s="3"/>
      <c r="O3095" s="3"/>
      <c r="P3095" s="3"/>
      <c r="Q3095" s="3"/>
      <c r="R3095" s="3"/>
      <c r="S3095" s="3"/>
      <c r="T3095" s="3"/>
      <c r="U3095" s="3"/>
      <c r="V3095" s="3"/>
      <c r="W3095" s="3"/>
      <c r="X3095" s="3"/>
      <c r="Y3095" s="3"/>
      <c r="Z3095" s="3"/>
      <c r="AA3095" s="3"/>
    </row>
    <row r="3096" ht="105.75" customHeight="1">
      <c r="A3096" s="11"/>
      <c r="B3096" s="12"/>
      <c r="C3096" s="11"/>
      <c r="D3096" s="13"/>
      <c r="E3096" s="14"/>
      <c r="F3096" s="14"/>
      <c r="G3096" s="14"/>
      <c r="H3096" s="15"/>
      <c r="I3096" s="15"/>
      <c r="J3096" s="3"/>
      <c r="K3096" s="3"/>
      <c r="L3096" s="3"/>
      <c r="M3096" s="3"/>
      <c r="N3096" s="3"/>
      <c r="O3096" s="3"/>
      <c r="P3096" s="3"/>
      <c r="Q3096" s="3"/>
      <c r="R3096" s="3"/>
      <c r="S3096" s="3"/>
      <c r="T3096" s="3"/>
      <c r="U3096" s="3"/>
      <c r="V3096" s="3"/>
      <c r="W3096" s="3"/>
      <c r="X3096" s="3"/>
      <c r="Y3096" s="3"/>
      <c r="Z3096" s="3"/>
      <c r="AA3096" s="3"/>
    </row>
    <row r="3097" ht="105.75" customHeight="1">
      <c r="A3097" s="11"/>
      <c r="B3097" s="12"/>
      <c r="C3097" s="11"/>
      <c r="D3097" s="13"/>
      <c r="E3097" s="16"/>
      <c r="F3097" s="16"/>
      <c r="G3097" s="16"/>
      <c r="H3097" s="15"/>
      <c r="I3097" s="15"/>
      <c r="J3097" s="3"/>
      <c r="K3097" s="3"/>
      <c r="L3097" s="3"/>
      <c r="M3097" s="3"/>
      <c r="N3097" s="3"/>
      <c r="O3097" s="3"/>
      <c r="P3097" s="3"/>
      <c r="Q3097" s="3"/>
      <c r="R3097" s="3"/>
      <c r="S3097" s="3"/>
      <c r="T3097" s="3"/>
      <c r="U3097" s="3"/>
      <c r="V3097" s="3"/>
      <c r="W3097" s="3"/>
      <c r="X3097" s="3"/>
      <c r="Y3097" s="3"/>
      <c r="Z3097" s="3"/>
      <c r="AA3097" s="3"/>
    </row>
    <row r="3098" ht="105.75" customHeight="1">
      <c r="A3098" s="11"/>
      <c r="B3098" s="12"/>
      <c r="C3098" s="11"/>
      <c r="D3098" s="13"/>
      <c r="E3098" s="14"/>
      <c r="F3098" s="14"/>
      <c r="G3098" s="14"/>
      <c r="H3098" s="15"/>
      <c r="I3098" s="15"/>
      <c r="J3098" s="3"/>
      <c r="K3098" s="3"/>
      <c r="L3098" s="3"/>
      <c r="M3098" s="3"/>
      <c r="N3098" s="3"/>
      <c r="O3098" s="3"/>
      <c r="P3098" s="3"/>
      <c r="Q3098" s="3"/>
      <c r="R3098" s="3"/>
      <c r="S3098" s="3"/>
      <c r="T3098" s="3"/>
      <c r="U3098" s="3"/>
      <c r="V3098" s="3"/>
      <c r="W3098" s="3"/>
      <c r="X3098" s="3"/>
      <c r="Y3098" s="3"/>
      <c r="Z3098" s="3"/>
      <c r="AA3098" s="3"/>
    </row>
    <row r="3099" ht="105.75" customHeight="1">
      <c r="A3099" s="11"/>
      <c r="B3099" s="12"/>
      <c r="C3099" s="11"/>
      <c r="D3099" s="13"/>
      <c r="E3099" s="14"/>
      <c r="F3099" s="14"/>
      <c r="G3099" s="14"/>
      <c r="H3099" s="15"/>
      <c r="I3099" s="15"/>
      <c r="J3099" s="3"/>
      <c r="K3099" s="3"/>
      <c r="L3099" s="3"/>
      <c r="M3099" s="3"/>
      <c r="N3099" s="3"/>
      <c r="O3099" s="3"/>
      <c r="P3099" s="3"/>
      <c r="Q3099" s="3"/>
      <c r="R3099" s="3"/>
      <c r="S3099" s="3"/>
      <c r="T3099" s="3"/>
      <c r="U3099" s="3"/>
      <c r="V3099" s="3"/>
      <c r="W3099" s="3"/>
      <c r="X3099" s="3"/>
      <c r="Y3099" s="3"/>
      <c r="Z3099" s="3"/>
      <c r="AA3099" s="3"/>
    </row>
    <row r="3100" ht="105.75" customHeight="1">
      <c r="A3100" s="11"/>
      <c r="B3100" s="12"/>
      <c r="C3100" s="11"/>
      <c r="D3100" s="13"/>
      <c r="E3100" s="14"/>
      <c r="F3100" s="14"/>
      <c r="G3100" s="14"/>
      <c r="H3100" s="15"/>
      <c r="I3100" s="15"/>
      <c r="J3100" s="3"/>
      <c r="K3100" s="3"/>
      <c r="L3100" s="3"/>
      <c r="M3100" s="3"/>
      <c r="N3100" s="3"/>
      <c r="O3100" s="3"/>
      <c r="P3100" s="3"/>
      <c r="Q3100" s="3"/>
      <c r="R3100" s="3"/>
      <c r="S3100" s="3"/>
      <c r="T3100" s="3"/>
      <c r="U3100" s="3"/>
      <c r="V3100" s="3"/>
      <c r="W3100" s="3"/>
      <c r="X3100" s="3"/>
      <c r="Y3100" s="3"/>
      <c r="Z3100" s="3"/>
      <c r="AA3100" s="3"/>
    </row>
    <row r="3101" ht="105.75" customHeight="1">
      <c r="A3101" s="11"/>
      <c r="B3101" s="12"/>
      <c r="C3101" s="11"/>
      <c r="D3101" s="13"/>
      <c r="E3101" s="14"/>
      <c r="F3101" s="14"/>
      <c r="G3101" s="14"/>
      <c r="H3101" s="15"/>
      <c r="I3101" s="15"/>
      <c r="J3101" s="3"/>
      <c r="K3101" s="3"/>
      <c r="L3101" s="3"/>
      <c r="M3101" s="3"/>
      <c r="N3101" s="3"/>
      <c r="O3101" s="3"/>
      <c r="P3101" s="3"/>
      <c r="Q3101" s="3"/>
      <c r="R3101" s="3"/>
      <c r="S3101" s="3"/>
      <c r="T3101" s="3"/>
      <c r="U3101" s="3"/>
      <c r="V3101" s="3"/>
      <c r="W3101" s="3"/>
      <c r="X3101" s="3"/>
      <c r="Y3101" s="3"/>
      <c r="Z3101" s="3"/>
      <c r="AA3101" s="3"/>
    </row>
    <row r="3102" ht="105.75" customHeight="1">
      <c r="A3102" s="11"/>
      <c r="B3102" s="12"/>
      <c r="C3102" s="11"/>
      <c r="D3102" s="13"/>
      <c r="E3102" s="14"/>
      <c r="F3102" s="14"/>
      <c r="G3102" s="14"/>
      <c r="H3102" s="15"/>
      <c r="I3102" s="15"/>
      <c r="J3102" s="3"/>
      <c r="K3102" s="3"/>
      <c r="L3102" s="3"/>
      <c r="M3102" s="3"/>
      <c r="N3102" s="3"/>
      <c r="O3102" s="3"/>
      <c r="P3102" s="3"/>
      <c r="Q3102" s="3"/>
      <c r="R3102" s="3"/>
      <c r="S3102" s="3"/>
      <c r="T3102" s="3"/>
      <c r="U3102" s="3"/>
      <c r="V3102" s="3"/>
      <c r="W3102" s="3"/>
      <c r="X3102" s="3"/>
      <c r="Y3102" s="3"/>
      <c r="Z3102" s="3"/>
      <c r="AA3102" s="3"/>
    </row>
    <row r="3103" ht="105.75" customHeight="1">
      <c r="A3103" s="11"/>
      <c r="B3103" s="12"/>
      <c r="C3103" s="11"/>
      <c r="D3103" s="13"/>
      <c r="E3103" s="14"/>
      <c r="F3103" s="14"/>
      <c r="G3103" s="14"/>
      <c r="H3103" s="15"/>
      <c r="I3103" s="15"/>
      <c r="J3103" s="3"/>
      <c r="K3103" s="3"/>
      <c r="L3103" s="3"/>
      <c r="M3103" s="3"/>
      <c r="N3103" s="3"/>
      <c r="O3103" s="3"/>
      <c r="P3103" s="3"/>
      <c r="Q3103" s="3"/>
      <c r="R3103" s="3"/>
      <c r="S3103" s="3"/>
      <c r="T3103" s="3"/>
      <c r="U3103" s="3"/>
      <c r="V3103" s="3"/>
      <c r="W3103" s="3"/>
      <c r="X3103" s="3"/>
      <c r="Y3103" s="3"/>
      <c r="Z3103" s="3"/>
      <c r="AA3103" s="3"/>
    </row>
    <row r="3104" ht="105.75" customHeight="1">
      <c r="A3104" s="11"/>
      <c r="B3104" s="12"/>
      <c r="C3104" s="11"/>
      <c r="D3104" s="13"/>
      <c r="E3104" s="14"/>
      <c r="F3104" s="14"/>
      <c r="G3104" s="14"/>
      <c r="H3104" s="15"/>
      <c r="I3104" s="15"/>
      <c r="J3104" s="3"/>
      <c r="K3104" s="3"/>
      <c r="L3104" s="3"/>
      <c r="M3104" s="3"/>
      <c r="N3104" s="3"/>
      <c r="O3104" s="3"/>
      <c r="P3104" s="3"/>
      <c r="Q3104" s="3"/>
      <c r="R3104" s="3"/>
      <c r="S3104" s="3"/>
      <c r="T3104" s="3"/>
      <c r="U3104" s="3"/>
      <c r="V3104" s="3"/>
      <c r="W3104" s="3"/>
      <c r="X3104" s="3"/>
      <c r="Y3104" s="3"/>
      <c r="Z3104" s="3"/>
      <c r="AA3104" s="3"/>
    </row>
    <row r="3105" ht="105.75" customHeight="1">
      <c r="A3105" s="11"/>
      <c r="B3105" s="12"/>
      <c r="C3105" s="11"/>
      <c r="D3105" s="13"/>
      <c r="E3105" s="16"/>
      <c r="F3105" s="16"/>
      <c r="G3105" s="16"/>
      <c r="H3105" s="15"/>
      <c r="I3105" s="15"/>
      <c r="J3105" s="3"/>
      <c r="K3105" s="3"/>
      <c r="L3105" s="3"/>
      <c r="M3105" s="3"/>
      <c r="N3105" s="3"/>
      <c r="O3105" s="3"/>
      <c r="P3105" s="3"/>
      <c r="Q3105" s="3"/>
      <c r="R3105" s="3"/>
      <c r="S3105" s="3"/>
      <c r="T3105" s="3"/>
      <c r="U3105" s="3"/>
      <c r="V3105" s="3"/>
      <c r="W3105" s="3"/>
      <c r="X3105" s="3"/>
      <c r="Y3105" s="3"/>
      <c r="Z3105" s="3"/>
      <c r="AA3105" s="3"/>
    </row>
    <row r="3106" ht="105.75" customHeight="1">
      <c r="A3106" s="11"/>
      <c r="B3106" s="12"/>
      <c r="C3106" s="11"/>
      <c r="D3106" s="13"/>
      <c r="E3106" s="14"/>
      <c r="F3106" s="14"/>
      <c r="G3106" s="14"/>
      <c r="H3106" s="15"/>
      <c r="I3106" s="15"/>
      <c r="J3106" s="3"/>
      <c r="K3106" s="3"/>
      <c r="L3106" s="3"/>
      <c r="M3106" s="3"/>
      <c r="N3106" s="3"/>
      <c r="O3106" s="3"/>
      <c r="P3106" s="3"/>
      <c r="Q3106" s="3"/>
      <c r="R3106" s="3"/>
      <c r="S3106" s="3"/>
      <c r="T3106" s="3"/>
      <c r="U3106" s="3"/>
      <c r="V3106" s="3"/>
      <c r="W3106" s="3"/>
      <c r="X3106" s="3"/>
      <c r="Y3106" s="3"/>
      <c r="Z3106" s="3"/>
      <c r="AA3106" s="3"/>
    </row>
    <row r="3107" ht="105.75" customHeight="1">
      <c r="A3107" s="11"/>
      <c r="B3107" s="12"/>
      <c r="C3107" s="11"/>
      <c r="D3107" s="13"/>
      <c r="E3107" s="14"/>
      <c r="F3107" s="14"/>
      <c r="G3107" s="14"/>
      <c r="H3107" s="15"/>
      <c r="I3107" s="15"/>
      <c r="J3107" s="3"/>
      <c r="K3107" s="3"/>
      <c r="L3107" s="3"/>
      <c r="M3107" s="3"/>
      <c r="N3107" s="3"/>
      <c r="O3107" s="3"/>
      <c r="P3107" s="3"/>
      <c r="Q3107" s="3"/>
      <c r="R3107" s="3"/>
      <c r="S3107" s="3"/>
      <c r="T3107" s="3"/>
      <c r="U3107" s="3"/>
      <c r="V3107" s="3"/>
      <c r="W3107" s="3"/>
      <c r="X3107" s="3"/>
      <c r="Y3107" s="3"/>
      <c r="Z3107" s="3"/>
      <c r="AA3107" s="3"/>
    </row>
    <row r="3108" ht="105.75" customHeight="1">
      <c r="A3108" s="11"/>
      <c r="B3108" s="12"/>
      <c r="C3108" s="11"/>
      <c r="D3108" s="13"/>
      <c r="E3108" s="14"/>
      <c r="F3108" s="14"/>
      <c r="G3108" s="14"/>
      <c r="H3108" s="15"/>
      <c r="I3108" s="15"/>
      <c r="J3108" s="3"/>
      <c r="K3108" s="3"/>
      <c r="L3108" s="3"/>
      <c r="M3108" s="3"/>
      <c r="N3108" s="3"/>
      <c r="O3108" s="3"/>
      <c r="P3108" s="3"/>
      <c r="Q3108" s="3"/>
      <c r="R3108" s="3"/>
      <c r="S3108" s="3"/>
      <c r="T3108" s="3"/>
      <c r="U3108" s="3"/>
      <c r="V3108" s="3"/>
      <c r="W3108" s="3"/>
      <c r="X3108" s="3"/>
      <c r="Y3108" s="3"/>
      <c r="Z3108" s="3"/>
      <c r="AA3108" s="3"/>
    </row>
    <row r="3109" ht="105.75" customHeight="1">
      <c r="A3109" s="11"/>
      <c r="B3109" s="12"/>
      <c r="C3109" s="11"/>
      <c r="D3109" s="13"/>
      <c r="E3109" s="14"/>
      <c r="F3109" s="14"/>
      <c r="G3109" s="14"/>
      <c r="H3109" s="15"/>
      <c r="I3109" s="15"/>
      <c r="J3109" s="3"/>
      <c r="K3109" s="3"/>
      <c r="L3109" s="3"/>
      <c r="M3109" s="3"/>
      <c r="N3109" s="3"/>
      <c r="O3109" s="3"/>
      <c r="P3109" s="3"/>
      <c r="Q3109" s="3"/>
      <c r="R3109" s="3"/>
      <c r="S3109" s="3"/>
      <c r="T3109" s="3"/>
      <c r="U3109" s="3"/>
      <c r="V3109" s="3"/>
      <c r="W3109" s="3"/>
      <c r="X3109" s="3"/>
      <c r="Y3109" s="3"/>
      <c r="Z3109" s="3"/>
      <c r="AA3109" s="3"/>
    </row>
    <row r="3110" ht="105.75" customHeight="1">
      <c r="A3110" s="11"/>
      <c r="B3110" s="12"/>
      <c r="C3110" s="11"/>
      <c r="D3110" s="13"/>
      <c r="E3110" s="14"/>
      <c r="F3110" s="14"/>
      <c r="G3110" s="14"/>
      <c r="H3110" s="15"/>
      <c r="I3110" s="15"/>
      <c r="J3110" s="3"/>
      <c r="K3110" s="3"/>
      <c r="L3110" s="3"/>
      <c r="M3110" s="3"/>
      <c r="N3110" s="3"/>
      <c r="O3110" s="3"/>
      <c r="P3110" s="3"/>
      <c r="Q3110" s="3"/>
      <c r="R3110" s="3"/>
      <c r="S3110" s="3"/>
      <c r="T3110" s="3"/>
      <c r="U3110" s="3"/>
      <c r="V3110" s="3"/>
      <c r="W3110" s="3"/>
      <c r="X3110" s="3"/>
      <c r="Y3110" s="3"/>
      <c r="Z3110" s="3"/>
      <c r="AA3110" s="3"/>
    </row>
    <row r="3111" ht="105.75" customHeight="1">
      <c r="A3111" s="11"/>
      <c r="B3111" s="12"/>
      <c r="C3111" s="11"/>
      <c r="D3111" s="13"/>
      <c r="E3111" s="14"/>
      <c r="F3111" s="14"/>
      <c r="G3111" s="14"/>
      <c r="H3111" s="15"/>
      <c r="I3111" s="15"/>
      <c r="J3111" s="3"/>
      <c r="K3111" s="3"/>
      <c r="L3111" s="3"/>
      <c r="M3111" s="3"/>
      <c r="N3111" s="3"/>
      <c r="O3111" s="3"/>
      <c r="P3111" s="3"/>
      <c r="Q3111" s="3"/>
      <c r="R3111" s="3"/>
      <c r="S3111" s="3"/>
      <c r="T3111" s="3"/>
      <c r="U3111" s="3"/>
      <c r="V3111" s="3"/>
      <c r="W3111" s="3"/>
      <c r="X3111" s="3"/>
      <c r="Y3111" s="3"/>
      <c r="Z3111" s="3"/>
      <c r="AA3111" s="3"/>
    </row>
    <row r="3112" ht="105.75" customHeight="1">
      <c r="A3112" s="11"/>
      <c r="B3112" s="12"/>
      <c r="C3112" s="11"/>
      <c r="D3112" s="13"/>
      <c r="E3112" s="14"/>
      <c r="F3112" s="14"/>
      <c r="G3112" s="14"/>
      <c r="H3112" s="15"/>
      <c r="I3112" s="15"/>
      <c r="J3112" s="3"/>
      <c r="K3112" s="3"/>
      <c r="L3112" s="3"/>
      <c r="M3112" s="3"/>
      <c r="N3112" s="3"/>
      <c r="O3112" s="3"/>
      <c r="P3112" s="3"/>
      <c r="Q3112" s="3"/>
      <c r="R3112" s="3"/>
      <c r="S3112" s="3"/>
      <c r="T3112" s="3"/>
      <c r="U3112" s="3"/>
      <c r="V3112" s="3"/>
      <c r="W3112" s="3"/>
      <c r="X3112" s="3"/>
      <c r="Y3112" s="3"/>
      <c r="Z3112" s="3"/>
      <c r="AA3112" s="3"/>
    </row>
    <row r="3113" ht="105.75" customHeight="1">
      <c r="A3113" s="11"/>
      <c r="B3113" s="12"/>
      <c r="C3113" s="11"/>
      <c r="D3113" s="13"/>
      <c r="E3113" s="14"/>
      <c r="F3113" s="14"/>
      <c r="G3113" s="14"/>
      <c r="H3113" s="15"/>
      <c r="I3113" s="15"/>
      <c r="J3113" s="3"/>
      <c r="K3113" s="3"/>
      <c r="L3113" s="3"/>
      <c r="M3113" s="3"/>
      <c r="N3113" s="3"/>
      <c r="O3113" s="3"/>
      <c r="P3113" s="3"/>
      <c r="Q3113" s="3"/>
      <c r="R3113" s="3"/>
      <c r="S3113" s="3"/>
      <c r="T3113" s="3"/>
      <c r="U3113" s="3"/>
      <c r="V3113" s="3"/>
      <c r="W3113" s="3"/>
      <c r="X3113" s="3"/>
      <c r="Y3113" s="3"/>
      <c r="Z3113" s="3"/>
      <c r="AA3113" s="3"/>
    </row>
    <row r="3114" ht="105.75" customHeight="1">
      <c r="A3114" s="11"/>
      <c r="B3114" s="12"/>
      <c r="C3114" s="11"/>
      <c r="D3114" s="13"/>
      <c r="E3114" s="14"/>
      <c r="F3114" s="14"/>
      <c r="G3114" s="14"/>
      <c r="H3114" s="15"/>
      <c r="I3114" s="15"/>
      <c r="J3114" s="3"/>
      <c r="K3114" s="3"/>
      <c r="L3114" s="3"/>
      <c r="M3114" s="3"/>
      <c r="N3114" s="3"/>
      <c r="O3114" s="3"/>
      <c r="P3114" s="3"/>
      <c r="Q3114" s="3"/>
      <c r="R3114" s="3"/>
      <c r="S3114" s="3"/>
      <c r="T3114" s="3"/>
      <c r="U3114" s="3"/>
      <c r="V3114" s="3"/>
      <c r="W3114" s="3"/>
      <c r="X3114" s="3"/>
      <c r="Y3114" s="3"/>
      <c r="Z3114" s="3"/>
      <c r="AA3114" s="3"/>
    </row>
    <row r="3115" ht="105.75" customHeight="1">
      <c r="A3115" s="11"/>
      <c r="B3115" s="12"/>
      <c r="C3115" s="11"/>
      <c r="D3115" s="13"/>
      <c r="E3115" s="14"/>
      <c r="F3115" s="14"/>
      <c r="G3115" s="14"/>
      <c r="H3115" s="15"/>
      <c r="I3115" s="15"/>
      <c r="J3115" s="3"/>
      <c r="K3115" s="3"/>
      <c r="L3115" s="3"/>
      <c r="M3115" s="3"/>
      <c r="N3115" s="3"/>
      <c r="O3115" s="3"/>
      <c r="P3115" s="3"/>
      <c r="Q3115" s="3"/>
      <c r="R3115" s="3"/>
      <c r="S3115" s="3"/>
      <c r="T3115" s="3"/>
      <c r="U3115" s="3"/>
      <c r="V3115" s="3"/>
      <c r="W3115" s="3"/>
      <c r="X3115" s="3"/>
      <c r="Y3115" s="3"/>
      <c r="Z3115" s="3"/>
      <c r="AA3115" s="3"/>
    </row>
    <row r="3116" ht="105.75" customHeight="1">
      <c r="A3116" s="11"/>
      <c r="B3116" s="12"/>
      <c r="C3116" s="11"/>
      <c r="D3116" s="13"/>
      <c r="E3116" s="14"/>
      <c r="F3116" s="14"/>
      <c r="G3116" s="14"/>
      <c r="H3116" s="15"/>
      <c r="I3116" s="15"/>
      <c r="J3116" s="3"/>
      <c r="K3116" s="3"/>
      <c r="L3116" s="3"/>
      <c r="M3116" s="3"/>
      <c r="N3116" s="3"/>
      <c r="O3116" s="3"/>
      <c r="P3116" s="3"/>
      <c r="Q3116" s="3"/>
      <c r="R3116" s="3"/>
      <c r="S3116" s="3"/>
      <c r="T3116" s="3"/>
      <c r="U3116" s="3"/>
      <c r="V3116" s="3"/>
      <c r="W3116" s="3"/>
      <c r="X3116" s="3"/>
      <c r="Y3116" s="3"/>
      <c r="Z3116" s="3"/>
      <c r="AA3116" s="3"/>
    </row>
    <row r="3117" ht="105.75" customHeight="1">
      <c r="A3117" s="11"/>
      <c r="B3117" s="12"/>
      <c r="C3117" s="11"/>
      <c r="D3117" s="13"/>
      <c r="E3117" s="14"/>
      <c r="F3117" s="14"/>
      <c r="G3117" s="14"/>
      <c r="H3117" s="15"/>
      <c r="I3117" s="15"/>
      <c r="J3117" s="3"/>
      <c r="K3117" s="3"/>
      <c r="L3117" s="3"/>
      <c r="M3117" s="3"/>
      <c r="N3117" s="3"/>
      <c r="O3117" s="3"/>
      <c r="P3117" s="3"/>
      <c r="Q3117" s="3"/>
      <c r="R3117" s="3"/>
      <c r="S3117" s="3"/>
      <c r="T3117" s="3"/>
      <c r="U3117" s="3"/>
      <c r="V3117" s="3"/>
      <c r="W3117" s="3"/>
      <c r="X3117" s="3"/>
      <c r="Y3117" s="3"/>
      <c r="Z3117" s="3"/>
      <c r="AA3117" s="3"/>
    </row>
    <row r="3118" ht="105.75" customHeight="1">
      <c r="A3118" s="11"/>
      <c r="B3118" s="12"/>
      <c r="C3118" s="11"/>
      <c r="D3118" s="13"/>
      <c r="E3118" s="16"/>
      <c r="F3118" s="16"/>
      <c r="G3118" s="16"/>
      <c r="H3118" s="15"/>
      <c r="I3118" s="15"/>
      <c r="J3118" s="3"/>
      <c r="K3118" s="3"/>
      <c r="L3118" s="3"/>
      <c r="M3118" s="3"/>
      <c r="N3118" s="3"/>
      <c r="O3118" s="3"/>
      <c r="P3118" s="3"/>
      <c r="Q3118" s="3"/>
      <c r="R3118" s="3"/>
      <c r="S3118" s="3"/>
      <c r="T3118" s="3"/>
      <c r="U3118" s="3"/>
      <c r="V3118" s="3"/>
      <c r="W3118" s="3"/>
      <c r="X3118" s="3"/>
      <c r="Y3118" s="3"/>
      <c r="Z3118" s="3"/>
      <c r="AA3118" s="3"/>
    </row>
    <row r="3119" ht="105.75" customHeight="1">
      <c r="A3119" s="11"/>
      <c r="B3119" s="12"/>
      <c r="C3119" s="11"/>
      <c r="D3119" s="13"/>
      <c r="E3119" s="14"/>
      <c r="F3119" s="14"/>
      <c r="G3119" s="14"/>
      <c r="H3119" s="15"/>
      <c r="I3119" s="15"/>
      <c r="J3119" s="3"/>
      <c r="K3119" s="3"/>
      <c r="L3119" s="3"/>
      <c r="M3119" s="3"/>
      <c r="N3119" s="3"/>
      <c r="O3119" s="3"/>
      <c r="P3119" s="3"/>
      <c r="Q3119" s="3"/>
      <c r="R3119" s="3"/>
      <c r="S3119" s="3"/>
      <c r="T3119" s="3"/>
      <c r="U3119" s="3"/>
      <c r="V3119" s="3"/>
      <c r="W3119" s="3"/>
      <c r="X3119" s="3"/>
      <c r="Y3119" s="3"/>
      <c r="Z3119" s="3"/>
      <c r="AA3119" s="3"/>
    </row>
    <row r="3120" ht="105.75" customHeight="1">
      <c r="A3120" s="11"/>
      <c r="B3120" s="12"/>
      <c r="C3120" s="11"/>
      <c r="D3120" s="13"/>
      <c r="E3120" s="14"/>
      <c r="F3120" s="14"/>
      <c r="G3120" s="14"/>
      <c r="H3120" s="15"/>
      <c r="I3120" s="15"/>
      <c r="J3120" s="3"/>
      <c r="K3120" s="3"/>
      <c r="L3120" s="3"/>
      <c r="M3120" s="3"/>
      <c r="N3120" s="3"/>
      <c r="O3120" s="3"/>
      <c r="P3120" s="3"/>
      <c r="Q3120" s="3"/>
      <c r="R3120" s="3"/>
      <c r="S3120" s="3"/>
      <c r="T3120" s="3"/>
      <c r="U3120" s="3"/>
      <c r="V3120" s="3"/>
      <c r="W3120" s="3"/>
      <c r="X3120" s="3"/>
      <c r="Y3120" s="3"/>
      <c r="Z3120" s="3"/>
      <c r="AA3120" s="3"/>
    </row>
    <row r="3121" ht="105.75" customHeight="1">
      <c r="A3121" s="11"/>
      <c r="B3121" s="12"/>
      <c r="C3121" s="11"/>
      <c r="D3121" s="13"/>
      <c r="E3121" s="14"/>
      <c r="F3121" s="14"/>
      <c r="G3121" s="14"/>
      <c r="H3121" s="15"/>
      <c r="I3121" s="15"/>
      <c r="J3121" s="3"/>
      <c r="K3121" s="3"/>
      <c r="L3121" s="3"/>
      <c r="M3121" s="3"/>
      <c r="N3121" s="3"/>
      <c r="O3121" s="3"/>
      <c r="P3121" s="3"/>
      <c r="Q3121" s="3"/>
      <c r="R3121" s="3"/>
      <c r="S3121" s="3"/>
      <c r="T3121" s="3"/>
      <c r="U3121" s="3"/>
      <c r="V3121" s="3"/>
      <c r="W3121" s="3"/>
      <c r="X3121" s="3"/>
      <c r="Y3121" s="3"/>
      <c r="Z3121" s="3"/>
      <c r="AA3121" s="3"/>
    </row>
    <row r="3122" ht="105.75" customHeight="1">
      <c r="A3122" s="11"/>
      <c r="B3122" s="12"/>
      <c r="C3122" s="11"/>
      <c r="D3122" s="13"/>
      <c r="E3122" s="14"/>
      <c r="F3122" s="14"/>
      <c r="G3122" s="14"/>
      <c r="H3122" s="15"/>
      <c r="I3122" s="15"/>
      <c r="J3122" s="3"/>
      <c r="K3122" s="3"/>
      <c r="L3122" s="3"/>
      <c r="M3122" s="3"/>
      <c r="N3122" s="3"/>
      <c r="O3122" s="3"/>
      <c r="P3122" s="3"/>
      <c r="Q3122" s="3"/>
      <c r="R3122" s="3"/>
      <c r="S3122" s="3"/>
      <c r="T3122" s="3"/>
      <c r="U3122" s="3"/>
      <c r="V3122" s="3"/>
      <c r="W3122" s="3"/>
      <c r="X3122" s="3"/>
      <c r="Y3122" s="3"/>
      <c r="Z3122" s="3"/>
      <c r="AA3122" s="3"/>
    </row>
    <row r="3123" ht="105.75" customHeight="1">
      <c r="A3123" s="11"/>
      <c r="B3123" s="12"/>
      <c r="C3123" s="11"/>
      <c r="D3123" s="13"/>
      <c r="E3123" s="14"/>
      <c r="F3123" s="14"/>
      <c r="G3123" s="14"/>
      <c r="H3123" s="15"/>
      <c r="I3123" s="15"/>
      <c r="J3123" s="3"/>
      <c r="K3123" s="3"/>
      <c r="L3123" s="3"/>
      <c r="M3123" s="3"/>
      <c r="N3123" s="3"/>
      <c r="O3123" s="3"/>
      <c r="P3123" s="3"/>
      <c r="Q3123" s="3"/>
      <c r="R3123" s="3"/>
      <c r="S3123" s="3"/>
      <c r="T3123" s="3"/>
      <c r="U3123" s="3"/>
      <c r="V3123" s="3"/>
      <c r="W3123" s="3"/>
      <c r="X3123" s="3"/>
      <c r="Y3123" s="3"/>
      <c r="Z3123" s="3"/>
      <c r="AA3123" s="3"/>
    </row>
    <row r="3124" ht="105.75" customHeight="1">
      <c r="A3124" s="11"/>
      <c r="B3124" s="12"/>
      <c r="C3124" s="11"/>
      <c r="D3124" s="13"/>
      <c r="E3124" s="16"/>
      <c r="F3124" s="16"/>
      <c r="G3124" s="16"/>
      <c r="H3124" s="15"/>
      <c r="I3124" s="15"/>
      <c r="J3124" s="3"/>
      <c r="K3124" s="3"/>
      <c r="L3124" s="3"/>
      <c r="M3124" s="3"/>
      <c r="N3124" s="3"/>
      <c r="O3124" s="3"/>
      <c r="P3124" s="3"/>
      <c r="Q3124" s="3"/>
      <c r="R3124" s="3"/>
      <c r="S3124" s="3"/>
      <c r="T3124" s="3"/>
      <c r="U3124" s="3"/>
      <c r="V3124" s="3"/>
      <c r="W3124" s="3"/>
      <c r="X3124" s="3"/>
      <c r="Y3124" s="3"/>
      <c r="Z3124" s="3"/>
      <c r="AA3124" s="3"/>
    </row>
    <row r="3125" ht="105.75" customHeight="1">
      <c r="A3125" s="11"/>
      <c r="B3125" s="12"/>
      <c r="C3125" s="11"/>
      <c r="D3125" s="13"/>
      <c r="E3125" s="14"/>
      <c r="F3125" s="14"/>
      <c r="G3125" s="14"/>
      <c r="H3125" s="15"/>
      <c r="I3125" s="15"/>
      <c r="J3125" s="3"/>
      <c r="K3125" s="3"/>
      <c r="L3125" s="3"/>
      <c r="M3125" s="3"/>
      <c r="N3125" s="3"/>
      <c r="O3125" s="3"/>
      <c r="P3125" s="3"/>
      <c r="Q3125" s="3"/>
      <c r="R3125" s="3"/>
      <c r="S3125" s="3"/>
      <c r="T3125" s="3"/>
      <c r="U3125" s="3"/>
      <c r="V3125" s="3"/>
      <c r="W3125" s="3"/>
      <c r="X3125" s="3"/>
      <c r="Y3125" s="3"/>
      <c r="Z3125" s="3"/>
      <c r="AA3125" s="3"/>
    </row>
    <row r="3126" ht="105.75" customHeight="1">
      <c r="A3126" s="11"/>
      <c r="B3126" s="12"/>
      <c r="C3126" s="11"/>
      <c r="D3126" s="13"/>
      <c r="E3126" s="14"/>
      <c r="F3126" s="14"/>
      <c r="G3126" s="14"/>
      <c r="H3126" s="15"/>
      <c r="I3126" s="15"/>
      <c r="J3126" s="3"/>
      <c r="K3126" s="3"/>
      <c r="L3126" s="3"/>
      <c r="M3126" s="3"/>
      <c r="N3126" s="3"/>
      <c r="O3126" s="3"/>
      <c r="P3126" s="3"/>
      <c r="Q3126" s="3"/>
      <c r="R3126" s="3"/>
      <c r="S3126" s="3"/>
      <c r="T3126" s="3"/>
      <c r="U3126" s="3"/>
      <c r="V3126" s="3"/>
      <c r="W3126" s="3"/>
      <c r="X3126" s="3"/>
      <c r="Y3126" s="3"/>
      <c r="Z3126" s="3"/>
      <c r="AA3126" s="3"/>
    </row>
    <row r="3127" ht="105.75" customHeight="1">
      <c r="A3127" s="11"/>
      <c r="B3127" s="12"/>
      <c r="C3127" s="11"/>
      <c r="D3127" s="13"/>
      <c r="E3127" s="14"/>
      <c r="F3127" s="14"/>
      <c r="G3127" s="14"/>
      <c r="H3127" s="15"/>
      <c r="I3127" s="15"/>
      <c r="J3127" s="3"/>
      <c r="K3127" s="3"/>
      <c r="L3127" s="3"/>
      <c r="M3127" s="3"/>
      <c r="N3127" s="3"/>
      <c r="O3127" s="3"/>
      <c r="P3127" s="3"/>
      <c r="Q3127" s="3"/>
      <c r="R3127" s="3"/>
      <c r="S3127" s="3"/>
      <c r="T3127" s="3"/>
      <c r="U3127" s="3"/>
      <c r="V3127" s="3"/>
      <c r="W3127" s="3"/>
      <c r="X3127" s="3"/>
      <c r="Y3127" s="3"/>
      <c r="Z3127" s="3"/>
      <c r="AA3127" s="3"/>
    </row>
    <row r="3128" ht="105.75" customHeight="1">
      <c r="A3128" s="11"/>
      <c r="B3128" s="12"/>
      <c r="C3128" s="11"/>
      <c r="D3128" s="13"/>
      <c r="E3128" s="14"/>
      <c r="F3128" s="14"/>
      <c r="G3128" s="14"/>
      <c r="H3128" s="15"/>
      <c r="I3128" s="15"/>
      <c r="J3128" s="3"/>
      <c r="K3128" s="3"/>
      <c r="L3128" s="3"/>
      <c r="M3128" s="3"/>
      <c r="N3128" s="3"/>
      <c r="O3128" s="3"/>
      <c r="P3128" s="3"/>
      <c r="Q3128" s="3"/>
      <c r="R3128" s="3"/>
      <c r="S3128" s="3"/>
      <c r="T3128" s="3"/>
      <c r="U3128" s="3"/>
      <c r="V3128" s="3"/>
      <c r="W3128" s="3"/>
      <c r="X3128" s="3"/>
      <c r="Y3128" s="3"/>
      <c r="Z3128" s="3"/>
      <c r="AA3128" s="3"/>
    </row>
    <row r="3129" ht="105.75" customHeight="1">
      <c r="A3129" s="11"/>
      <c r="B3129" s="12"/>
      <c r="C3129" s="11"/>
      <c r="D3129" s="13"/>
      <c r="E3129" s="14"/>
      <c r="F3129" s="14"/>
      <c r="G3129" s="14"/>
      <c r="H3129" s="15"/>
      <c r="I3129" s="15"/>
      <c r="J3129" s="3"/>
      <c r="K3129" s="3"/>
      <c r="L3129" s="3"/>
      <c r="M3129" s="3"/>
      <c r="N3129" s="3"/>
      <c r="O3129" s="3"/>
      <c r="P3129" s="3"/>
      <c r="Q3129" s="3"/>
      <c r="R3129" s="3"/>
      <c r="S3129" s="3"/>
      <c r="T3129" s="3"/>
      <c r="U3129" s="3"/>
      <c r="V3129" s="3"/>
      <c r="W3129" s="3"/>
      <c r="X3129" s="3"/>
      <c r="Y3129" s="3"/>
      <c r="Z3129" s="3"/>
      <c r="AA3129" s="3"/>
    </row>
    <row r="3130" ht="105.75" customHeight="1">
      <c r="A3130" s="11"/>
      <c r="B3130" s="12"/>
      <c r="C3130" s="11"/>
      <c r="D3130" s="13"/>
      <c r="E3130" s="16"/>
      <c r="F3130" s="16"/>
      <c r="G3130" s="16"/>
      <c r="H3130" s="15"/>
      <c r="I3130" s="15"/>
      <c r="J3130" s="3"/>
      <c r="K3130" s="3"/>
      <c r="L3130" s="3"/>
      <c r="M3130" s="3"/>
      <c r="N3130" s="3"/>
      <c r="O3130" s="3"/>
      <c r="P3130" s="3"/>
      <c r="Q3130" s="3"/>
      <c r="R3130" s="3"/>
      <c r="S3130" s="3"/>
      <c r="T3130" s="3"/>
      <c r="U3130" s="3"/>
      <c r="V3130" s="3"/>
      <c r="W3130" s="3"/>
      <c r="X3130" s="3"/>
      <c r="Y3130" s="3"/>
      <c r="Z3130" s="3"/>
      <c r="AA3130" s="3"/>
    </row>
    <row r="3131" ht="105.75" customHeight="1">
      <c r="A3131" s="11"/>
      <c r="B3131" s="12"/>
      <c r="C3131" s="11"/>
      <c r="D3131" s="13"/>
      <c r="E3131" s="14"/>
      <c r="F3131" s="14"/>
      <c r="G3131" s="14"/>
      <c r="H3131" s="15"/>
      <c r="I3131" s="15"/>
      <c r="J3131" s="3"/>
      <c r="K3131" s="3"/>
      <c r="L3131" s="3"/>
      <c r="M3131" s="3"/>
      <c r="N3131" s="3"/>
      <c r="O3131" s="3"/>
      <c r="P3131" s="3"/>
      <c r="Q3131" s="3"/>
      <c r="R3131" s="3"/>
      <c r="S3131" s="3"/>
      <c r="T3131" s="3"/>
      <c r="U3131" s="3"/>
      <c r="V3131" s="3"/>
      <c r="W3131" s="3"/>
      <c r="X3131" s="3"/>
      <c r="Y3131" s="3"/>
      <c r="Z3131" s="3"/>
      <c r="AA3131" s="3"/>
    </row>
    <row r="3132" ht="105.75" customHeight="1">
      <c r="A3132" s="11"/>
      <c r="B3132" s="12"/>
      <c r="C3132" s="11"/>
      <c r="D3132" s="13"/>
      <c r="E3132" s="14"/>
      <c r="F3132" s="14"/>
      <c r="G3132" s="14"/>
      <c r="H3132" s="15"/>
      <c r="I3132" s="15"/>
      <c r="J3132" s="3"/>
      <c r="K3132" s="3"/>
      <c r="L3132" s="3"/>
      <c r="M3132" s="3"/>
      <c r="N3132" s="3"/>
      <c r="O3132" s="3"/>
      <c r="P3132" s="3"/>
      <c r="Q3132" s="3"/>
      <c r="R3132" s="3"/>
      <c r="S3132" s="3"/>
      <c r="T3132" s="3"/>
      <c r="U3132" s="3"/>
      <c r="V3132" s="3"/>
      <c r="W3132" s="3"/>
      <c r="X3132" s="3"/>
      <c r="Y3132" s="3"/>
      <c r="Z3132" s="3"/>
      <c r="AA3132" s="3"/>
    </row>
    <row r="3133" ht="105.75" customHeight="1">
      <c r="A3133" s="11"/>
      <c r="B3133" s="12"/>
      <c r="C3133" s="11"/>
      <c r="D3133" s="13"/>
      <c r="E3133" s="14"/>
      <c r="F3133" s="14"/>
      <c r="G3133" s="14"/>
      <c r="H3133" s="15"/>
      <c r="I3133" s="15"/>
      <c r="J3133" s="3"/>
      <c r="K3133" s="3"/>
      <c r="L3133" s="3"/>
      <c r="M3133" s="3"/>
      <c r="N3133" s="3"/>
      <c r="O3133" s="3"/>
      <c r="P3133" s="3"/>
      <c r="Q3133" s="3"/>
      <c r="R3133" s="3"/>
      <c r="S3133" s="3"/>
      <c r="T3133" s="3"/>
      <c r="U3133" s="3"/>
      <c r="V3133" s="3"/>
      <c r="W3133" s="3"/>
      <c r="X3133" s="3"/>
      <c r="Y3133" s="3"/>
      <c r="Z3133" s="3"/>
      <c r="AA3133" s="3"/>
    </row>
    <row r="3134" ht="105.75" customHeight="1">
      <c r="A3134" s="11"/>
      <c r="B3134" s="12"/>
      <c r="C3134" s="11"/>
      <c r="D3134" s="13"/>
      <c r="E3134" s="14"/>
      <c r="F3134" s="14"/>
      <c r="G3134" s="14"/>
      <c r="H3134" s="15"/>
      <c r="I3134" s="15"/>
      <c r="J3134" s="3"/>
      <c r="K3134" s="3"/>
      <c r="L3134" s="3"/>
      <c r="M3134" s="3"/>
      <c r="N3134" s="3"/>
      <c r="O3134" s="3"/>
      <c r="P3134" s="3"/>
      <c r="Q3134" s="3"/>
      <c r="R3134" s="3"/>
      <c r="S3134" s="3"/>
      <c r="T3134" s="3"/>
      <c r="U3134" s="3"/>
      <c r="V3134" s="3"/>
      <c r="W3134" s="3"/>
      <c r="X3134" s="3"/>
      <c r="Y3134" s="3"/>
      <c r="Z3134" s="3"/>
      <c r="AA3134" s="3"/>
    </row>
    <row r="3135" ht="105.75" customHeight="1">
      <c r="A3135" s="11"/>
      <c r="B3135" s="12"/>
      <c r="C3135" s="11"/>
      <c r="D3135" s="13"/>
      <c r="E3135" s="14"/>
      <c r="F3135" s="14"/>
      <c r="G3135" s="14"/>
      <c r="H3135" s="15"/>
      <c r="I3135" s="15"/>
      <c r="J3135" s="3"/>
      <c r="K3135" s="3"/>
      <c r="L3135" s="3"/>
      <c r="M3135" s="3"/>
      <c r="N3135" s="3"/>
      <c r="O3135" s="3"/>
      <c r="P3135" s="3"/>
      <c r="Q3135" s="3"/>
      <c r="R3135" s="3"/>
      <c r="S3135" s="3"/>
      <c r="T3135" s="3"/>
      <c r="U3135" s="3"/>
      <c r="V3135" s="3"/>
      <c r="W3135" s="3"/>
      <c r="X3135" s="3"/>
      <c r="Y3135" s="3"/>
      <c r="Z3135" s="3"/>
      <c r="AA3135" s="3"/>
    </row>
    <row r="3136" ht="105.75" customHeight="1">
      <c r="A3136" s="11"/>
      <c r="B3136" s="12"/>
      <c r="C3136" s="11"/>
      <c r="D3136" s="13"/>
      <c r="E3136" s="14"/>
      <c r="F3136" s="14"/>
      <c r="G3136" s="14"/>
      <c r="H3136" s="15"/>
      <c r="I3136" s="15"/>
      <c r="J3136" s="3"/>
      <c r="K3136" s="3"/>
      <c r="L3136" s="3"/>
      <c r="M3136" s="3"/>
      <c r="N3136" s="3"/>
      <c r="O3136" s="3"/>
      <c r="P3136" s="3"/>
      <c r="Q3136" s="3"/>
      <c r="R3136" s="3"/>
      <c r="S3136" s="3"/>
      <c r="T3136" s="3"/>
      <c r="U3136" s="3"/>
      <c r="V3136" s="3"/>
      <c r="W3136" s="3"/>
      <c r="X3136" s="3"/>
      <c r="Y3136" s="3"/>
      <c r="Z3136" s="3"/>
      <c r="AA3136" s="3"/>
    </row>
    <row r="3137" ht="105.75" customHeight="1">
      <c r="A3137" s="11"/>
      <c r="B3137" s="12"/>
      <c r="C3137" s="11"/>
      <c r="D3137" s="13"/>
      <c r="E3137" s="14"/>
      <c r="F3137" s="14"/>
      <c r="G3137" s="14"/>
      <c r="H3137" s="15"/>
      <c r="I3137" s="15"/>
      <c r="J3137" s="3"/>
      <c r="K3137" s="3"/>
      <c r="L3137" s="3"/>
      <c r="M3137" s="3"/>
      <c r="N3137" s="3"/>
      <c r="O3137" s="3"/>
      <c r="P3137" s="3"/>
      <c r="Q3137" s="3"/>
      <c r="R3137" s="3"/>
      <c r="S3137" s="3"/>
      <c r="T3137" s="3"/>
      <c r="U3137" s="3"/>
      <c r="V3137" s="3"/>
      <c r="W3137" s="3"/>
      <c r="X3137" s="3"/>
      <c r="Y3137" s="3"/>
      <c r="Z3137" s="3"/>
      <c r="AA3137" s="3"/>
    </row>
    <row r="3138" ht="105.75" customHeight="1">
      <c r="A3138" s="11"/>
      <c r="B3138" s="12"/>
      <c r="C3138" s="11"/>
      <c r="D3138" s="13"/>
      <c r="E3138" s="14"/>
      <c r="F3138" s="14"/>
      <c r="G3138" s="14"/>
      <c r="H3138" s="15"/>
      <c r="I3138" s="15"/>
      <c r="J3138" s="3"/>
      <c r="K3138" s="3"/>
      <c r="L3138" s="3"/>
      <c r="M3138" s="3"/>
      <c r="N3138" s="3"/>
      <c r="O3138" s="3"/>
      <c r="P3138" s="3"/>
      <c r="Q3138" s="3"/>
      <c r="R3138" s="3"/>
      <c r="S3138" s="3"/>
      <c r="T3138" s="3"/>
      <c r="U3138" s="3"/>
      <c r="V3138" s="3"/>
      <c r="W3138" s="3"/>
      <c r="X3138" s="3"/>
      <c r="Y3138" s="3"/>
      <c r="Z3138" s="3"/>
      <c r="AA3138" s="3"/>
    </row>
    <row r="3139" ht="105.75" customHeight="1">
      <c r="A3139" s="11"/>
      <c r="B3139" s="12"/>
      <c r="C3139" s="11"/>
      <c r="D3139" s="13"/>
      <c r="E3139" s="14"/>
      <c r="F3139" s="14"/>
      <c r="G3139" s="14"/>
      <c r="H3139" s="15"/>
      <c r="I3139" s="15"/>
      <c r="J3139" s="3"/>
      <c r="K3139" s="3"/>
      <c r="L3139" s="3"/>
      <c r="M3139" s="3"/>
      <c r="N3139" s="3"/>
      <c r="O3139" s="3"/>
      <c r="P3139" s="3"/>
      <c r="Q3139" s="3"/>
      <c r="R3139" s="3"/>
      <c r="S3139" s="3"/>
      <c r="T3139" s="3"/>
      <c r="U3139" s="3"/>
      <c r="V3139" s="3"/>
      <c r="W3139" s="3"/>
      <c r="X3139" s="3"/>
      <c r="Y3139" s="3"/>
      <c r="Z3139" s="3"/>
      <c r="AA3139" s="3"/>
    </row>
    <row r="3140" ht="105.75" customHeight="1">
      <c r="A3140" s="11"/>
      <c r="B3140" s="12"/>
      <c r="C3140" s="11"/>
      <c r="D3140" s="13"/>
      <c r="E3140" s="14"/>
      <c r="F3140" s="14"/>
      <c r="G3140" s="14"/>
      <c r="H3140" s="15"/>
      <c r="I3140" s="15"/>
      <c r="J3140" s="3"/>
      <c r="K3140" s="3"/>
      <c r="L3140" s="3"/>
      <c r="M3140" s="3"/>
      <c r="N3140" s="3"/>
      <c r="O3140" s="3"/>
      <c r="P3140" s="3"/>
      <c r="Q3140" s="3"/>
      <c r="R3140" s="3"/>
      <c r="S3140" s="3"/>
      <c r="T3140" s="3"/>
      <c r="U3140" s="3"/>
      <c r="V3140" s="3"/>
      <c r="W3140" s="3"/>
      <c r="X3140" s="3"/>
      <c r="Y3140" s="3"/>
      <c r="Z3140" s="3"/>
      <c r="AA3140" s="3"/>
    </row>
    <row r="3141" ht="105.75" customHeight="1">
      <c r="A3141" s="11"/>
      <c r="B3141" s="12"/>
      <c r="C3141" s="11"/>
      <c r="D3141" s="13"/>
      <c r="E3141" s="14"/>
      <c r="F3141" s="14"/>
      <c r="G3141" s="14"/>
      <c r="H3141" s="15"/>
      <c r="I3141" s="15"/>
      <c r="J3141" s="3"/>
      <c r="K3141" s="3"/>
      <c r="L3141" s="3"/>
      <c r="M3141" s="3"/>
      <c r="N3141" s="3"/>
      <c r="O3141" s="3"/>
      <c r="P3141" s="3"/>
      <c r="Q3141" s="3"/>
      <c r="R3141" s="3"/>
      <c r="S3141" s="3"/>
      <c r="T3141" s="3"/>
      <c r="U3141" s="3"/>
      <c r="V3141" s="3"/>
      <c r="W3141" s="3"/>
      <c r="X3141" s="3"/>
      <c r="Y3141" s="3"/>
      <c r="Z3141" s="3"/>
      <c r="AA3141" s="3"/>
    </row>
    <row r="3142" ht="105.75" customHeight="1">
      <c r="A3142" s="11"/>
      <c r="B3142" s="12"/>
      <c r="C3142" s="11"/>
      <c r="D3142" s="13"/>
      <c r="E3142" s="14"/>
      <c r="F3142" s="14"/>
      <c r="G3142" s="14"/>
      <c r="H3142" s="15"/>
      <c r="I3142" s="15"/>
      <c r="J3142" s="3"/>
      <c r="K3142" s="3"/>
      <c r="L3142" s="3"/>
      <c r="M3142" s="3"/>
      <c r="N3142" s="3"/>
      <c r="O3142" s="3"/>
      <c r="P3142" s="3"/>
      <c r="Q3142" s="3"/>
      <c r="R3142" s="3"/>
      <c r="S3142" s="3"/>
      <c r="T3142" s="3"/>
      <c r="U3142" s="3"/>
      <c r="V3142" s="3"/>
      <c r="W3142" s="3"/>
      <c r="X3142" s="3"/>
      <c r="Y3142" s="3"/>
      <c r="Z3142" s="3"/>
      <c r="AA3142" s="3"/>
    </row>
    <row r="3143" ht="105.75" customHeight="1">
      <c r="A3143" s="11"/>
      <c r="B3143" s="12"/>
      <c r="C3143" s="11"/>
      <c r="D3143" s="13"/>
      <c r="E3143" s="14"/>
      <c r="F3143" s="14"/>
      <c r="G3143" s="14"/>
      <c r="H3143" s="15"/>
      <c r="I3143" s="15"/>
      <c r="J3143" s="3"/>
      <c r="K3143" s="3"/>
      <c r="L3143" s="3"/>
      <c r="M3143" s="3"/>
      <c r="N3143" s="3"/>
      <c r="O3143" s="3"/>
      <c r="P3143" s="3"/>
      <c r="Q3143" s="3"/>
      <c r="R3143" s="3"/>
      <c r="S3143" s="3"/>
      <c r="T3143" s="3"/>
      <c r="U3143" s="3"/>
      <c r="V3143" s="3"/>
      <c r="W3143" s="3"/>
      <c r="X3143" s="3"/>
      <c r="Y3143" s="3"/>
      <c r="Z3143" s="3"/>
      <c r="AA3143" s="3"/>
    </row>
    <row r="3144" ht="105.75" customHeight="1">
      <c r="A3144" s="11"/>
      <c r="B3144" s="12"/>
      <c r="C3144" s="11"/>
      <c r="D3144" s="13"/>
      <c r="E3144" s="14"/>
      <c r="F3144" s="14"/>
      <c r="G3144" s="14"/>
      <c r="H3144" s="15"/>
      <c r="I3144" s="15"/>
      <c r="J3144" s="3"/>
      <c r="K3144" s="3"/>
      <c r="L3144" s="3"/>
      <c r="M3144" s="3"/>
      <c r="N3144" s="3"/>
      <c r="O3144" s="3"/>
      <c r="P3144" s="3"/>
      <c r="Q3144" s="3"/>
      <c r="R3144" s="3"/>
      <c r="S3144" s="3"/>
      <c r="T3144" s="3"/>
      <c r="U3144" s="3"/>
      <c r="V3144" s="3"/>
      <c r="W3144" s="3"/>
      <c r="X3144" s="3"/>
      <c r="Y3144" s="3"/>
      <c r="Z3144" s="3"/>
      <c r="AA3144" s="3"/>
    </row>
    <row r="3145" ht="105.75" customHeight="1">
      <c r="A3145" s="11"/>
      <c r="B3145" s="12"/>
      <c r="C3145" s="11"/>
      <c r="D3145" s="13"/>
      <c r="E3145" s="14"/>
      <c r="F3145" s="14"/>
      <c r="G3145" s="14"/>
      <c r="H3145" s="15"/>
      <c r="I3145" s="15"/>
      <c r="J3145" s="3"/>
      <c r="K3145" s="3"/>
      <c r="L3145" s="3"/>
      <c r="M3145" s="3"/>
      <c r="N3145" s="3"/>
      <c r="O3145" s="3"/>
      <c r="P3145" s="3"/>
      <c r="Q3145" s="3"/>
      <c r="R3145" s="3"/>
      <c r="S3145" s="3"/>
      <c r="T3145" s="3"/>
      <c r="U3145" s="3"/>
      <c r="V3145" s="3"/>
      <c r="W3145" s="3"/>
      <c r="X3145" s="3"/>
      <c r="Y3145" s="3"/>
      <c r="Z3145" s="3"/>
      <c r="AA3145" s="3"/>
    </row>
    <row r="3146" ht="105.75" customHeight="1">
      <c r="A3146" s="11"/>
      <c r="B3146" s="12"/>
      <c r="C3146" s="11"/>
      <c r="D3146" s="13"/>
      <c r="E3146" s="14"/>
      <c r="F3146" s="14"/>
      <c r="G3146" s="14"/>
      <c r="H3146" s="15"/>
      <c r="I3146" s="15"/>
      <c r="J3146" s="3"/>
      <c r="K3146" s="3"/>
      <c r="L3146" s="3"/>
      <c r="M3146" s="3"/>
      <c r="N3146" s="3"/>
      <c r="O3146" s="3"/>
      <c r="P3146" s="3"/>
      <c r="Q3146" s="3"/>
      <c r="R3146" s="3"/>
      <c r="S3146" s="3"/>
      <c r="T3146" s="3"/>
      <c r="U3146" s="3"/>
      <c r="V3146" s="3"/>
      <c r="W3146" s="3"/>
      <c r="X3146" s="3"/>
      <c r="Y3146" s="3"/>
      <c r="Z3146" s="3"/>
      <c r="AA3146" s="3"/>
    </row>
    <row r="3147" ht="105.75" customHeight="1">
      <c r="A3147" s="11"/>
      <c r="B3147" s="12"/>
      <c r="C3147" s="11"/>
      <c r="D3147" s="13"/>
      <c r="E3147" s="14"/>
      <c r="F3147" s="14"/>
      <c r="G3147" s="14"/>
      <c r="H3147" s="15"/>
      <c r="I3147" s="15"/>
      <c r="J3147" s="3"/>
      <c r="K3147" s="3"/>
      <c r="L3147" s="3"/>
      <c r="M3147" s="3"/>
      <c r="N3147" s="3"/>
      <c r="O3147" s="3"/>
      <c r="P3147" s="3"/>
      <c r="Q3147" s="3"/>
      <c r="R3147" s="3"/>
      <c r="S3147" s="3"/>
      <c r="T3147" s="3"/>
      <c r="U3147" s="3"/>
      <c r="V3147" s="3"/>
      <c r="W3147" s="3"/>
      <c r="X3147" s="3"/>
      <c r="Y3147" s="3"/>
      <c r="Z3147" s="3"/>
      <c r="AA3147" s="3"/>
    </row>
    <row r="3148" ht="105.75" customHeight="1">
      <c r="A3148" s="11"/>
      <c r="B3148" s="12"/>
      <c r="C3148" s="11"/>
      <c r="D3148" s="13"/>
      <c r="E3148" s="16"/>
      <c r="F3148" s="16"/>
      <c r="G3148" s="16"/>
      <c r="H3148" s="15"/>
      <c r="I3148" s="15"/>
      <c r="J3148" s="3"/>
      <c r="K3148" s="3"/>
      <c r="L3148" s="3"/>
      <c r="M3148" s="3"/>
      <c r="N3148" s="3"/>
      <c r="O3148" s="3"/>
      <c r="P3148" s="3"/>
      <c r="Q3148" s="3"/>
      <c r="R3148" s="3"/>
      <c r="S3148" s="3"/>
      <c r="T3148" s="3"/>
      <c r="U3148" s="3"/>
      <c r="V3148" s="3"/>
      <c r="W3148" s="3"/>
      <c r="X3148" s="3"/>
      <c r="Y3148" s="3"/>
      <c r="Z3148" s="3"/>
      <c r="AA3148" s="3"/>
    </row>
    <row r="3149" ht="105.75" customHeight="1">
      <c r="A3149" s="11"/>
      <c r="B3149" s="12"/>
      <c r="C3149" s="11"/>
      <c r="D3149" s="13"/>
      <c r="E3149" s="14"/>
      <c r="F3149" s="14"/>
      <c r="G3149" s="14"/>
      <c r="H3149" s="15"/>
      <c r="I3149" s="15"/>
      <c r="J3149" s="3"/>
      <c r="K3149" s="3"/>
      <c r="L3149" s="3"/>
      <c r="M3149" s="3"/>
      <c r="N3149" s="3"/>
      <c r="O3149" s="3"/>
      <c r="P3149" s="3"/>
      <c r="Q3149" s="3"/>
      <c r="R3149" s="3"/>
      <c r="S3149" s="3"/>
      <c r="T3149" s="3"/>
      <c r="U3149" s="3"/>
      <c r="V3149" s="3"/>
      <c r="W3149" s="3"/>
      <c r="X3149" s="3"/>
      <c r="Y3149" s="3"/>
      <c r="Z3149" s="3"/>
      <c r="AA3149" s="3"/>
    </row>
    <row r="3150" ht="105.75" customHeight="1">
      <c r="A3150" s="11"/>
      <c r="B3150" s="12"/>
      <c r="C3150" s="11"/>
      <c r="D3150" s="13"/>
      <c r="E3150" s="14"/>
      <c r="F3150" s="14"/>
      <c r="G3150" s="14"/>
      <c r="H3150" s="15"/>
      <c r="I3150" s="15"/>
      <c r="J3150" s="3"/>
      <c r="K3150" s="3"/>
      <c r="L3150" s="3"/>
      <c r="M3150" s="3"/>
      <c r="N3150" s="3"/>
      <c r="O3150" s="3"/>
      <c r="P3150" s="3"/>
      <c r="Q3150" s="3"/>
      <c r="R3150" s="3"/>
      <c r="S3150" s="3"/>
      <c r="T3150" s="3"/>
      <c r="U3150" s="3"/>
      <c r="V3150" s="3"/>
      <c r="W3150" s="3"/>
      <c r="X3150" s="3"/>
      <c r="Y3150" s="3"/>
      <c r="Z3150" s="3"/>
      <c r="AA3150" s="3"/>
    </row>
    <row r="3151" ht="105.75" customHeight="1">
      <c r="A3151" s="11"/>
      <c r="B3151" s="12"/>
      <c r="C3151" s="11"/>
      <c r="D3151" s="13"/>
      <c r="E3151" s="14"/>
      <c r="F3151" s="14"/>
      <c r="G3151" s="14"/>
      <c r="H3151" s="15"/>
      <c r="I3151" s="15"/>
      <c r="J3151" s="3"/>
      <c r="K3151" s="3"/>
      <c r="L3151" s="3"/>
      <c r="M3151" s="3"/>
      <c r="N3151" s="3"/>
      <c r="O3151" s="3"/>
      <c r="P3151" s="3"/>
      <c r="Q3151" s="3"/>
      <c r="R3151" s="3"/>
      <c r="S3151" s="3"/>
      <c r="T3151" s="3"/>
      <c r="U3151" s="3"/>
      <c r="V3151" s="3"/>
      <c r="W3151" s="3"/>
      <c r="X3151" s="3"/>
      <c r="Y3151" s="3"/>
      <c r="Z3151" s="3"/>
      <c r="AA3151" s="3"/>
    </row>
    <row r="3152" ht="105.75" customHeight="1">
      <c r="A3152" s="11"/>
      <c r="B3152" s="12"/>
      <c r="C3152" s="11"/>
      <c r="D3152" s="13"/>
      <c r="E3152" s="14"/>
      <c r="F3152" s="14"/>
      <c r="G3152" s="14"/>
      <c r="H3152" s="15"/>
      <c r="I3152" s="15"/>
      <c r="J3152" s="3"/>
      <c r="K3152" s="3"/>
      <c r="L3152" s="3"/>
      <c r="M3152" s="3"/>
      <c r="N3152" s="3"/>
      <c r="O3152" s="3"/>
      <c r="P3152" s="3"/>
      <c r="Q3152" s="3"/>
      <c r="R3152" s="3"/>
      <c r="S3152" s="3"/>
      <c r="T3152" s="3"/>
      <c r="U3152" s="3"/>
      <c r="V3152" s="3"/>
      <c r="W3152" s="3"/>
      <c r="X3152" s="3"/>
      <c r="Y3152" s="3"/>
      <c r="Z3152" s="3"/>
      <c r="AA3152" s="3"/>
    </row>
    <row r="3153" ht="105.75" customHeight="1">
      <c r="A3153" s="11"/>
      <c r="B3153" s="12"/>
      <c r="C3153" s="11"/>
      <c r="D3153" s="13"/>
      <c r="E3153" s="14"/>
      <c r="F3153" s="14"/>
      <c r="G3153" s="14"/>
      <c r="H3153" s="15"/>
      <c r="I3153" s="15"/>
      <c r="J3153" s="3"/>
      <c r="K3153" s="3"/>
      <c r="L3153" s="3"/>
      <c r="M3153" s="3"/>
      <c r="N3153" s="3"/>
      <c r="O3153" s="3"/>
      <c r="P3153" s="3"/>
      <c r="Q3153" s="3"/>
      <c r="R3153" s="3"/>
      <c r="S3153" s="3"/>
      <c r="T3153" s="3"/>
      <c r="U3153" s="3"/>
      <c r="V3153" s="3"/>
      <c r="W3153" s="3"/>
      <c r="X3153" s="3"/>
      <c r="Y3153" s="3"/>
      <c r="Z3153" s="3"/>
      <c r="AA3153" s="3"/>
    </row>
    <row r="3154" ht="105.75" customHeight="1">
      <c r="A3154" s="11"/>
      <c r="B3154" s="12"/>
      <c r="C3154" s="11"/>
      <c r="D3154" s="13"/>
      <c r="E3154" s="14"/>
      <c r="F3154" s="14"/>
      <c r="G3154" s="14"/>
      <c r="H3154" s="15"/>
      <c r="I3154" s="15"/>
      <c r="J3154" s="3"/>
      <c r="K3154" s="3"/>
      <c r="L3154" s="3"/>
      <c r="M3154" s="3"/>
      <c r="N3154" s="3"/>
      <c r="O3154" s="3"/>
      <c r="P3154" s="3"/>
      <c r="Q3154" s="3"/>
      <c r="R3154" s="3"/>
      <c r="S3154" s="3"/>
      <c r="T3154" s="3"/>
      <c r="U3154" s="3"/>
      <c r="V3154" s="3"/>
      <c r="W3154" s="3"/>
      <c r="X3154" s="3"/>
      <c r="Y3154" s="3"/>
      <c r="Z3154" s="3"/>
      <c r="AA3154" s="3"/>
    </row>
    <row r="3155" ht="105.75" customHeight="1">
      <c r="A3155" s="11"/>
      <c r="B3155" s="12"/>
      <c r="C3155" s="11"/>
      <c r="D3155" s="13"/>
      <c r="E3155" s="14"/>
      <c r="F3155" s="14"/>
      <c r="G3155" s="14"/>
      <c r="H3155" s="15"/>
      <c r="I3155" s="15"/>
      <c r="J3155" s="3"/>
      <c r="K3155" s="3"/>
      <c r="L3155" s="3"/>
      <c r="M3155" s="3"/>
      <c r="N3155" s="3"/>
      <c r="O3155" s="3"/>
      <c r="P3155" s="3"/>
      <c r="Q3155" s="3"/>
      <c r="R3155" s="3"/>
      <c r="S3155" s="3"/>
      <c r="T3155" s="3"/>
      <c r="U3155" s="3"/>
      <c r="V3155" s="3"/>
      <c r="W3155" s="3"/>
      <c r="X3155" s="3"/>
      <c r="Y3155" s="3"/>
      <c r="Z3155" s="3"/>
      <c r="AA3155" s="3"/>
    </row>
    <row r="3156" ht="105.75" customHeight="1">
      <c r="A3156" s="11"/>
      <c r="B3156" s="12"/>
      <c r="C3156" s="11"/>
      <c r="D3156" s="13"/>
      <c r="E3156" s="14"/>
      <c r="F3156" s="14"/>
      <c r="G3156" s="14"/>
      <c r="H3156" s="15"/>
      <c r="I3156" s="15"/>
      <c r="J3156" s="3"/>
      <c r="K3156" s="3"/>
      <c r="L3156" s="3"/>
      <c r="M3156" s="3"/>
      <c r="N3156" s="3"/>
      <c r="O3156" s="3"/>
      <c r="P3156" s="3"/>
      <c r="Q3156" s="3"/>
      <c r="R3156" s="3"/>
      <c r="S3156" s="3"/>
      <c r="T3156" s="3"/>
      <c r="U3156" s="3"/>
      <c r="V3156" s="3"/>
      <c r="W3156" s="3"/>
      <c r="X3156" s="3"/>
      <c r="Y3156" s="3"/>
      <c r="Z3156" s="3"/>
      <c r="AA3156" s="3"/>
    </row>
    <row r="3157" ht="105.75" customHeight="1">
      <c r="A3157" s="11"/>
      <c r="B3157" s="12"/>
      <c r="C3157" s="11"/>
      <c r="D3157" s="13"/>
      <c r="E3157" s="14"/>
      <c r="F3157" s="14"/>
      <c r="G3157" s="14"/>
      <c r="H3157" s="15"/>
      <c r="I3157" s="15"/>
      <c r="J3157" s="3"/>
      <c r="K3157" s="3"/>
      <c r="L3157" s="3"/>
      <c r="M3157" s="3"/>
      <c r="N3157" s="3"/>
      <c r="O3157" s="3"/>
      <c r="P3157" s="3"/>
      <c r="Q3157" s="3"/>
      <c r="R3157" s="3"/>
      <c r="S3157" s="3"/>
      <c r="T3157" s="3"/>
      <c r="U3157" s="3"/>
      <c r="V3157" s="3"/>
      <c r="W3157" s="3"/>
      <c r="X3157" s="3"/>
      <c r="Y3157" s="3"/>
      <c r="Z3157" s="3"/>
      <c r="AA3157" s="3"/>
    </row>
    <row r="3158" ht="105.75" customHeight="1">
      <c r="A3158" s="11"/>
      <c r="B3158" s="12"/>
      <c r="C3158" s="11"/>
      <c r="D3158" s="13"/>
      <c r="E3158" s="14"/>
      <c r="F3158" s="14"/>
      <c r="G3158" s="14"/>
      <c r="H3158" s="15"/>
      <c r="I3158" s="15"/>
      <c r="J3158" s="3"/>
      <c r="K3158" s="3"/>
      <c r="L3158" s="3"/>
      <c r="M3158" s="3"/>
      <c r="N3158" s="3"/>
      <c r="O3158" s="3"/>
      <c r="P3158" s="3"/>
      <c r="Q3158" s="3"/>
      <c r="R3158" s="3"/>
      <c r="S3158" s="3"/>
      <c r="T3158" s="3"/>
      <c r="U3158" s="3"/>
      <c r="V3158" s="3"/>
      <c r="W3158" s="3"/>
      <c r="X3158" s="3"/>
      <c r="Y3158" s="3"/>
      <c r="Z3158" s="3"/>
      <c r="AA3158" s="3"/>
    </row>
    <row r="3159" ht="105.75" customHeight="1">
      <c r="A3159" s="11"/>
      <c r="B3159" s="12"/>
      <c r="C3159" s="11"/>
      <c r="D3159" s="13"/>
      <c r="E3159" s="14"/>
      <c r="F3159" s="14"/>
      <c r="G3159" s="14"/>
      <c r="H3159" s="15"/>
      <c r="I3159" s="15"/>
      <c r="J3159" s="3"/>
      <c r="K3159" s="3"/>
      <c r="L3159" s="3"/>
      <c r="M3159" s="3"/>
      <c r="N3159" s="3"/>
      <c r="O3159" s="3"/>
      <c r="P3159" s="3"/>
      <c r="Q3159" s="3"/>
      <c r="R3159" s="3"/>
      <c r="S3159" s="3"/>
      <c r="T3159" s="3"/>
      <c r="U3159" s="3"/>
      <c r="V3159" s="3"/>
      <c r="W3159" s="3"/>
      <c r="X3159" s="3"/>
      <c r="Y3159" s="3"/>
      <c r="Z3159" s="3"/>
      <c r="AA3159" s="3"/>
    </row>
    <row r="3160" ht="105.75" customHeight="1">
      <c r="A3160" s="11"/>
      <c r="B3160" s="12"/>
      <c r="C3160" s="11"/>
      <c r="D3160" s="13"/>
      <c r="E3160" s="14"/>
      <c r="F3160" s="14"/>
      <c r="G3160" s="14"/>
      <c r="H3160" s="15"/>
      <c r="I3160" s="15"/>
      <c r="J3160" s="3"/>
      <c r="K3160" s="3"/>
      <c r="L3160" s="3"/>
      <c r="M3160" s="3"/>
      <c r="N3160" s="3"/>
      <c r="O3160" s="3"/>
      <c r="P3160" s="3"/>
      <c r="Q3160" s="3"/>
      <c r="R3160" s="3"/>
      <c r="S3160" s="3"/>
      <c r="T3160" s="3"/>
      <c r="U3160" s="3"/>
      <c r="V3160" s="3"/>
      <c r="W3160" s="3"/>
      <c r="X3160" s="3"/>
      <c r="Y3160" s="3"/>
      <c r="Z3160" s="3"/>
      <c r="AA3160" s="3"/>
    </row>
    <row r="3161" ht="105.75" customHeight="1">
      <c r="A3161" s="11"/>
      <c r="B3161" s="12"/>
      <c r="C3161" s="11"/>
      <c r="D3161" s="13"/>
      <c r="E3161" s="14"/>
      <c r="F3161" s="14"/>
      <c r="G3161" s="14"/>
      <c r="H3161" s="15"/>
      <c r="I3161" s="15"/>
      <c r="J3161" s="3"/>
      <c r="K3161" s="3"/>
      <c r="L3161" s="3"/>
      <c r="M3161" s="3"/>
      <c r="N3161" s="3"/>
      <c r="O3161" s="3"/>
      <c r="P3161" s="3"/>
      <c r="Q3161" s="3"/>
      <c r="R3161" s="3"/>
      <c r="S3161" s="3"/>
      <c r="T3161" s="3"/>
      <c r="U3161" s="3"/>
      <c r="V3161" s="3"/>
      <c r="W3161" s="3"/>
      <c r="X3161" s="3"/>
      <c r="Y3161" s="3"/>
      <c r="Z3161" s="3"/>
      <c r="AA3161" s="3"/>
    </row>
    <row r="3162" ht="105.75" customHeight="1">
      <c r="A3162" s="11"/>
      <c r="B3162" s="12"/>
      <c r="C3162" s="11"/>
      <c r="D3162" s="13"/>
      <c r="E3162" s="14"/>
      <c r="F3162" s="14"/>
      <c r="G3162" s="14"/>
      <c r="H3162" s="15"/>
      <c r="I3162" s="15"/>
      <c r="J3162" s="3"/>
      <c r="K3162" s="3"/>
      <c r="L3162" s="3"/>
      <c r="M3162" s="3"/>
      <c r="N3162" s="3"/>
      <c r="O3162" s="3"/>
      <c r="P3162" s="3"/>
      <c r="Q3162" s="3"/>
      <c r="R3162" s="3"/>
      <c r="S3162" s="3"/>
      <c r="T3162" s="3"/>
      <c r="U3162" s="3"/>
      <c r="V3162" s="3"/>
      <c r="W3162" s="3"/>
      <c r="X3162" s="3"/>
      <c r="Y3162" s="3"/>
      <c r="Z3162" s="3"/>
      <c r="AA3162" s="3"/>
    </row>
    <row r="3163" ht="105.75" customHeight="1">
      <c r="A3163" s="11"/>
      <c r="B3163" s="12"/>
      <c r="C3163" s="11"/>
      <c r="D3163" s="13"/>
      <c r="E3163" s="14"/>
      <c r="F3163" s="14"/>
      <c r="G3163" s="14"/>
      <c r="H3163" s="15"/>
      <c r="I3163" s="15"/>
      <c r="J3163" s="3"/>
      <c r="K3163" s="3"/>
      <c r="L3163" s="3"/>
      <c r="M3163" s="3"/>
      <c r="N3163" s="3"/>
      <c r="O3163" s="3"/>
      <c r="P3163" s="3"/>
      <c r="Q3163" s="3"/>
      <c r="R3163" s="3"/>
      <c r="S3163" s="3"/>
      <c r="T3163" s="3"/>
      <c r="U3163" s="3"/>
      <c r="V3163" s="3"/>
      <c r="W3163" s="3"/>
      <c r="X3163" s="3"/>
      <c r="Y3163" s="3"/>
      <c r="Z3163" s="3"/>
      <c r="AA3163" s="3"/>
    </row>
    <row r="3164" ht="105.75" customHeight="1">
      <c r="A3164" s="11"/>
      <c r="B3164" s="12"/>
      <c r="C3164" s="11"/>
      <c r="D3164" s="13"/>
      <c r="E3164" s="14"/>
      <c r="F3164" s="14"/>
      <c r="G3164" s="14"/>
      <c r="H3164" s="15"/>
      <c r="I3164" s="15"/>
      <c r="J3164" s="3"/>
      <c r="K3164" s="3"/>
      <c r="L3164" s="3"/>
      <c r="M3164" s="3"/>
      <c r="N3164" s="3"/>
      <c r="O3164" s="3"/>
      <c r="P3164" s="3"/>
      <c r="Q3164" s="3"/>
      <c r="R3164" s="3"/>
      <c r="S3164" s="3"/>
      <c r="T3164" s="3"/>
      <c r="U3164" s="3"/>
      <c r="V3164" s="3"/>
      <c r="W3164" s="3"/>
      <c r="X3164" s="3"/>
      <c r="Y3164" s="3"/>
      <c r="Z3164" s="3"/>
      <c r="AA3164" s="3"/>
    </row>
    <row r="3165" ht="105.75" customHeight="1">
      <c r="A3165" s="11"/>
      <c r="B3165" s="12"/>
      <c r="C3165" s="11"/>
      <c r="D3165" s="13"/>
      <c r="E3165" s="14"/>
      <c r="F3165" s="14"/>
      <c r="G3165" s="14"/>
      <c r="H3165" s="15"/>
      <c r="I3165" s="15"/>
      <c r="J3165" s="3"/>
      <c r="K3165" s="3"/>
      <c r="L3165" s="3"/>
      <c r="M3165" s="3"/>
      <c r="N3165" s="3"/>
      <c r="O3165" s="3"/>
      <c r="P3165" s="3"/>
      <c r="Q3165" s="3"/>
      <c r="R3165" s="3"/>
      <c r="S3165" s="3"/>
      <c r="T3165" s="3"/>
      <c r="U3165" s="3"/>
      <c r="V3165" s="3"/>
      <c r="W3165" s="3"/>
      <c r="X3165" s="3"/>
      <c r="Y3165" s="3"/>
      <c r="Z3165" s="3"/>
      <c r="AA3165" s="3"/>
    </row>
    <row r="3166" ht="105.75" customHeight="1">
      <c r="A3166" s="11"/>
      <c r="B3166" s="12"/>
      <c r="C3166" s="11"/>
      <c r="D3166" s="13"/>
      <c r="E3166" s="14"/>
      <c r="F3166" s="14"/>
      <c r="G3166" s="14"/>
      <c r="H3166" s="15"/>
      <c r="I3166" s="15"/>
      <c r="J3166" s="3"/>
      <c r="K3166" s="3"/>
      <c r="L3166" s="3"/>
      <c r="M3166" s="3"/>
      <c r="N3166" s="3"/>
      <c r="O3166" s="3"/>
      <c r="P3166" s="3"/>
      <c r="Q3166" s="3"/>
      <c r="R3166" s="3"/>
      <c r="S3166" s="3"/>
      <c r="T3166" s="3"/>
      <c r="U3166" s="3"/>
      <c r="V3166" s="3"/>
      <c r="W3166" s="3"/>
      <c r="X3166" s="3"/>
      <c r="Y3166" s="3"/>
      <c r="Z3166" s="3"/>
      <c r="AA3166" s="3"/>
    </row>
    <row r="3167" ht="105.75" customHeight="1">
      <c r="A3167" s="11"/>
      <c r="B3167" s="12"/>
      <c r="C3167" s="11"/>
      <c r="D3167" s="13"/>
      <c r="E3167" s="14"/>
      <c r="F3167" s="14"/>
      <c r="G3167" s="14"/>
      <c r="H3167" s="15"/>
      <c r="I3167" s="15"/>
      <c r="J3167" s="3"/>
      <c r="K3167" s="3"/>
      <c r="L3167" s="3"/>
      <c r="M3167" s="3"/>
      <c r="N3167" s="3"/>
      <c r="O3167" s="3"/>
      <c r="P3167" s="3"/>
      <c r="Q3167" s="3"/>
      <c r="R3167" s="3"/>
      <c r="S3167" s="3"/>
      <c r="T3167" s="3"/>
      <c r="U3167" s="3"/>
      <c r="V3167" s="3"/>
      <c r="W3167" s="3"/>
      <c r="X3167" s="3"/>
      <c r="Y3167" s="3"/>
      <c r="Z3167" s="3"/>
      <c r="AA3167" s="3"/>
    </row>
    <row r="3168" ht="105.75" customHeight="1">
      <c r="A3168" s="11"/>
      <c r="B3168" s="12"/>
      <c r="C3168" s="11"/>
      <c r="D3168" s="13"/>
      <c r="E3168" s="14"/>
      <c r="F3168" s="14"/>
      <c r="G3168" s="14"/>
      <c r="H3168" s="15"/>
      <c r="I3168" s="15"/>
      <c r="J3168" s="3"/>
      <c r="K3168" s="3"/>
      <c r="L3168" s="3"/>
      <c r="M3168" s="3"/>
      <c r="N3168" s="3"/>
      <c r="O3168" s="3"/>
      <c r="P3168" s="3"/>
      <c r="Q3168" s="3"/>
      <c r="R3168" s="3"/>
      <c r="S3168" s="3"/>
      <c r="T3168" s="3"/>
      <c r="U3168" s="3"/>
      <c r="V3168" s="3"/>
      <c r="W3168" s="3"/>
      <c r="X3168" s="3"/>
      <c r="Y3168" s="3"/>
      <c r="Z3168" s="3"/>
      <c r="AA3168" s="3"/>
    </row>
    <row r="3169" ht="105.75" customHeight="1">
      <c r="A3169" s="11"/>
      <c r="B3169" s="12"/>
      <c r="C3169" s="11"/>
      <c r="D3169" s="13"/>
      <c r="E3169" s="14"/>
      <c r="F3169" s="14"/>
      <c r="G3169" s="14"/>
      <c r="H3169" s="15"/>
      <c r="I3169" s="15"/>
      <c r="J3169" s="3"/>
      <c r="K3169" s="3"/>
      <c r="L3169" s="3"/>
      <c r="M3169" s="3"/>
      <c r="N3169" s="3"/>
      <c r="O3169" s="3"/>
      <c r="P3169" s="3"/>
      <c r="Q3169" s="3"/>
      <c r="R3169" s="3"/>
      <c r="S3169" s="3"/>
      <c r="T3169" s="3"/>
      <c r="U3169" s="3"/>
      <c r="V3169" s="3"/>
      <c r="W3169" s="3"/>
      <c r="X3169" s="3"/>
      <c r="Y3169" s="3"/>
      <c r="Z3169" s="3"/>
      <c r="AA3169" s="3"/>
    </row>
    <row r="3170" ht="105.75" customHeight="1">
      <c r="A3170" s="11"/>
      <c r="B3170" s="12"/>
      <c r="C3170" s="11"/>
      <c r="D3170" s="13"/>
      <c r="E3170" s="14"/>
      <c r="F3170" s="14"/>
      <c r="G3170" s="14"/>
      <c r="H3170" s="15"/>
      <c r="I3170" s="15"/>
      <c r="J3170" s="3"/>
      <c r="K3170" s="3"/>
      <c r="L3170" s="3"/>
      <c r="M3170" s="3"/>
      <c r="N3170" s="3"/>
      <c r="O3170" s="3"/>
      <c r="P3170" s="3"/>
      <c r="Q3170" s="3"/>
      <c r="R3170" s="3"/>
      <c r="S3170" s="3"/>
      <c r="T3170" s="3"/>
      <c r="U3170" s="3"/>
      <c r="V3170" s="3"/>
      <c r="W3170" s="3"/>
      <c r="X3170" s="3"/>
      <c r="Y3170" s="3"/>
      <c r="Z3170" s="3"/>
      <c r="AA3170" s="3"/>
    </row>
    <row r="3171" ht="105.75" customHeight="1">
      <c r="A3171" s="11"/>
      <c r="B3171" s="12"/>
      <c r="C3171" s="11"/>
      <c r="D3171" s="13"/>
      <c r="E3171" s="14"/>
      <c r="F3171" s="14"/>
      <c r="G3171" s="14"/>
      <c r="H3171" s="15"/>
      <c r="I3171" s="15"/>
      <c r="J3171" s="3"/>
      <c r="K3171" s="3"/>
      <c r="L3171" s="3"/>
      <c r="M3171" s="3"/>
      <c r="N3171" s="3"/>
      <c r="O3171" s="3"/>
      <c r="P3171" s="3"/>
      <c r="Q3171" s="3"/>
      <c r="R3171" s="3"/>
      <c r="S3171" s="3"/>
      <c r="T3171" s="3"/>
      <c r="U3171" s="3"/>
      <c r="V3171" s="3"/>
      <c r="W3171" s="3"/>
      <c r="X3171" s="3"/>
      <c r="Y3171" s="3"/>
      <c r="Z3171" s="3"/>
      <c r="AA3171" s="3"/>
    </row>
    <row r="3172" ht="105.75" customHeight="1">
      <c r="A3172" s="11"/>
      <c r="B3172" s="12"/>
      <c r="C3172" s="11"/>
      <c r="D3172" s="13"/>
      <c r="E3172" s="14"/>
      <c r="F3172" s="14"/>
      <c r="G3172" s="14"/>
      <c r="H3172" s="15"/>
      <c r="I3172" s="15"/>
      <c r="J3172" s="3"/>
      <c r="K3172" s="3"/>
      <c r="L3172" s="3"/>
      <c r="M3172" s="3"/>
      <c r="N3172" s="3"/>
      <c r="O3172" s="3"/>
      <c r="P3172" s="3"/>
      <c r="Q3172" s="3"/>
      <c r="R3172" s="3"/>
      <c r="S3172" s="3"/>
      <c r="T3172" s="3"/>
      <c r="U3172" s="3"/>
      <c r="V3172" s="3"/>
      <c r="W3172" s="3"/>
      <c r="X3172" s="3"/>
      <c r="Y3172" s="3"/>
      <c r="Z3172" s="3"/>
      <c r="AA3172" s="3"/>
    </row>
    <row r="3173" ht="105.75" customHeight="1">
      <c r="A3173" s="11"/>
      <c r="B3173" s="12"/>
      <c r="C3173" s="11"/>
      <c r="D3173" s="13"/>
      <c r="E3173" s="14"/>
      <c r="F3173" s="14"/>
      <c r="G3173" s="14"/>
      <c r="H3173" s="15"/>
      <c r="I3173" s="15"/>
      <c r="J3173" s="3"/>
      <c r="K3173" s="3"/>
      <c r="L3173" s="3"/>
      <c r="M3173" s="3"/>
      <c r="N3173" s="3"/>
      <c r="O3173" s="3"/>
      <c r="P3173" s="3"/>
      <c r="Q3173" s="3"/>
      <c r="R3173" s="3"/>
      <c r="S3173" s="3"/>
      <c r="T3173" s="3"/>
      <c r="U3173" s="3"/>
      <c r="V3173" s="3"/>
      <c r="W3173" s="3"/>
      <c r="X3173" s="3"/>
      <c r="Y3173" s="3"/>
      <c r="Z3173" s="3"/>
      <c r="AA3173" s="3"/>
    </row>
    <row r="3174" ht="105.75" customHeight="1">
      <c r="A3174" s="11"/>
      <c r="B3174" s="12"/>
      <c r="C3174" s="11"/>
      <c r="D3174" s="13"/>
      <c r="E3174" s="14"/>
      <c r="F3174" s="14"/>
      <c r="G3174" s="14"/>
      <c r="H3174" s="15"/>
      <c r="I3174" s="15"/>
      <c r="J3174" s="3"/>
      <c r="K3174" s="3"/>
      <c r="L3174" s="3"/>
      <c r="M3174" s="3"/>
      <c r="N3174" s="3"/>
      <c r="O3174" s="3"/>
      <c r="P3174" s="3"/>
      <c r="Q3174" s="3"/>
      <c r="R3174" s="3"/>
      <c r="S3174" s="3"/>
      <c r="T3174" s="3"/>
      <c r="U3174" s="3"/>
      <c r="V3174" s="3"/>
      <c r="W3174" s="3"/>
      <c r="X3174" s="3"/>
      <c r="Y3174" s="3"/>
      <c r="Z3174" s="3"/>
      <c r="AA3174" s="3"/>
    </row>
    <row r="3175" ht="105.75" customHeight="1">
      <c r="A3175" s="11"/>
      <c r="B3175" s="12"/>
      <c r="C3175" s="11"/>
      <c r="D3175" s="13"/>
      <c r="E3175" s="14"/>
      <c r="F3175" s="14"/>
      <c r="G3175" s="14"/>
      <c r="H3175" s="15"/>
      <c r="I3175" s="15"/>
      <c r="J3175" s="3"/>
      <c r="K3175" s="3"/>
      <c r="L3175" s="3"/>
      <c r="M3175" s="3"/>
      <c r="N3175" s="3"/>
      <c r="O3175" s="3"/>
      <c r="P3175" s="3"/>
      <c r="Q3175" s="3"/>
      <c r="R3175" s="3"/>
      <c r="S3175" s="3"/>
      <c r="T3175" s="3"/>
      <c r="U3175" s="3"/>
      <c r="V3175" s="3"/>
      <c r="W3175" s="3"/>
      <c r="X3175" s="3"/>
      <c r="Y3175" s="3"/>
      <c r="Z3175" s="3"/>
      <c r="AA3175" s="3"/>
    </row>
    <row r="3176" ht="105.75" customHeight="1">
      <c r="A3176" s="11"/>
      <c r="B3176" s="12"/>
      <c r="C3176" s="11"/>
      <c r="D3176" s="13"/>
      <c r="E3176" s="16"/>
      <c r="F3176" s="16"/>
      <c r="G3176" s="16"/>
      <c r="H3176" s="15"/>
      <c r="I3176" s="15"/>
      <c r="J3176" s="3"/>
      <c r="K3176" s="3"/>
      <c r="L3176" s="3"/>
      <c r="M3176" s="3"/>
      <c r="N3176" s="3"/>
      <c r="O3176" s="3"/>
      <c r="P3176" s="3"/>
      <c r="Q3176" s="3"/>
      <c r="R3176" s="3"/>
      <c r="S3176" s="3"/>
      <c r="T3176" s="3"/>
      <c r="U3176" s="3"/>
      <c r="V3176" s="3"/>
      <c r="W3176" s="3"/>
      <c r="X3176" s="3"/>
      <c r="Y3176" s="3"/>
      <c r="Z3176" s="3"/>
      <c r="AA3176" s="3"/>
    </row>
    <row r="3177" ht="105.75" customHeight="1">
      <c r="A3177" s="11"/>
      <c r="B3177" s="12"/>
      <c r="C3177" s="11"/>
      <c r="D3177" s="13"/>
      <c r="E3177" s="16"/>
      <c r="F3177" s="16"/>
      <c r="G3177" s="16"/>
      <c r="H3177" s="15"/>
      <c r="I3177" s="15"/>
      <c r="J3177" s="3"/>
      <c r="K3177" s="3"/>
      <c r="L3177" s="3"/>
      <c r="M3177" s="3"/>
      <c r="N3177" s="3"/>
      <c r="O3177" s="3"/>
      <c r="P3177" s="3"/>
      <c r="Q3177" s="3"/>
      <c r="R3177" s="3"/>
      <c r="S3177" s="3"/>
      <c r="T3177" s="3"/>
      <c r="U3177" s="3"/>
      <c r="V3177" s="3"/>
      <c r="W3177" s="3"/>
      <c r="X3177" s="3"/>
      <c r="Y3177" s="3"/>
      <c r="Z3177" s="3"/>
      <c r="AA3177" s="3"/>
    </row>
    <row r="3178" ht="105.75" customHeight="1">
      <c r="A3178" s="11"/>
      <c r="B3178" s="12"/>
      <c r="C3178" s="11"/>
      <c r="D3178" s="13"/>
      <c r="E3178" s="14"/>
      <c r="F3178" s="14"/>
      <c r="G3178" s="14"/>
      <c r="H3178" s="15"/>
      <c r="I3178" s="15"/>
      <c r="J3178" s="3"/>
      <c r="K3178" s="3"/>
      <c r="L3178" s="3"/>
      <c r="M3178" s="3"/>
      <c r="N3178" s="3"/>
      <c r="O3178" s="3"/>
      <c r="P3178" s="3"/>
      <c r="Q3178" s="3"/>
      <c r="R3178" s="3"/>
      <c r="S3178" s="3"/>
      <c r="T3178" s="3"/>
      <c r="U3178" s="3"/>
      <c r="V3178" s="3"/>
      <c r="W3178" s="3"/>
      <c r="X3178" s="3"/>
      <c r="Y3178" s="3"/>
      <c r="Z3178" s="3"/>
      <c r="AA3178" s="3"/>
    </row>
    <row r="3179" ht="105.75" customHeight="1">
      <c r="A3179" s="11"/>
      <c r="B3179" s="12"/>
      <c r="C3179" s="11"/>
      <c r="D3179" s="13"/>
      <c r="E3179" s="16"/>
      <c r="F3179" s="16"/>
      <c r="G3179" s="16"/>
      <c r="H3179" s="15"/>
      <c r="I3179" s="15"/>
      <c r="J3179" s="3"/>
      <c r="K3179" s="3"/>
      <c r="L3179" s="3"/>
      <c r="M3179" s="3"/>
      <c r="N3179" s="3"/>
      <c r="O3179" s="3"/>
      <c r="P3179" s="3"/>
      <c r="Q3179" s="3"/>
      <c r="R3179" s="3"/>
      <c r="S3179" s="3"/>
      <c r="T3179" s="3"/>
      <c r="U3179" s="3"/>
      <c r="V3179" s="3"/>
      <c r="W3179" s="3"/>
      <c r="X3179" s="3"/>
      <c r="Y3179" s="3"/>
      <c r="Z3179" s="3"/>
      <c r="AA3179" s="3"/>
    </row>
    <row r="3180" ht="105.75" customHeight="1">
      <c r="A3180" s="11"/>
      <c r="B3180" s="12"/>
      <c r="C3180" s="11"/>
      <c r="D3180" s="13"/>
      <c r="E3180" s="14"/>
      <c r="F3180" s="14"/>
      <c r="G3180" s="14"/>
      <c r="H3180" s="15"/>
      <c r="I3180" s="15"/>
      <c r="J3180" s="3"/>
      <c r="K3180" s="3"/>
      <c r="L3180" s="3"/>
      <c r="M3180" s="3"/>
      <c r="N3180" s="3"/>
      <c r="O3180" s="3"/>
      <c r="P3180" s="3"/>
      <c r="Q3180" s="3"/>
      <c r="R3180" s="3"/>
      <c r="S3180" s="3"/>
      <c r="T3180" s="3"/>
      <c r="U3180" s="3"/>
      <c r="V3180" s="3"/>
      <c r="W3180" s="3"/>
      <c r="X3180" s="3"/>
      <c r="Y3180" s="3"/>
      <c r="Z3180" s="3"/>
      <c r="AA3180" s="3"/>
    </row>
    <row r="3181" ht="105.75" customHeight="1">
      <c r="A3181" s="11"/>
      <c r="B3181" s="12"/>
      <c r="C3181" s="11"/>
      <c r="D3181" s="13"/>
      <c r="E3181" s="14"/>
      <c r="F3181" s="14"/>
      <c r="G3181" s="14"/>
      <c r="H3181" s="15"/>
      <c r="I3181" s="15"/>
      <c r="J3181" s="3"/>
      <c r="K3181" s="3"/>
      <c r="L3181" s="3"/>
      <c r="M3181" s="3"/>
      <c r="N3181" s="3"/>
      <c r="O3181" s="3"/>
      <c r="P3181" s="3"/>
      <c r="Q3181" s="3"/>
      <c r="R3181" s="3"/>
      <c r="S3181" s="3"/>
      <c r="T3181" s="3"/>
      <c r="U3181" s="3"/>
      <c r="V3181" s="3"/>
      <c r="W3181" s="3"/>
      <c r="X3181" s="3"/>
      <c r="Y3181" s="3"/>
      <c r="Z3181" s="3"/>
      <c r="AA3181" s="3"/>
    </row>
    <row r="3182" ht="105.75" customHeight="1">
      <c r="A3182" s="11"/>
      <c r="B3182" s="12"/>
      <c r="C3182" s="11"/>
      <c r="D3182" s="13"/>
      <c r="E3182" s="14"/>
      <c r="F3182" s="14"/>
      <c r="G3182" s="14"/>
      <c r="H3182" s="15"/>
      <c r="I3182" s="15"/>
      <c r="J3182" s="3"/>
      <c r="K3182" s="3"/>
      <c r="L3182" s="3"/>
      <c r="M3182" s="3"/>
      <c r="N3182" s="3"/>
      <c r="O3182" s="3"/>
      <c r="P3182" s="3"/>
      <c r="Q3182" s="3"/>
      <c r="R3182" s="3"/>
      <c r="S3182" s="3"/>
      <c r="T3182" s="3"/>
      <c r="U3182" s="3"/>
      <c r="V3182" s="3"/>
      <c r="W3182" s="3"/>
      <c r="X3182" s="3"/>
      <c r="Y3182" s="3"/>
      <c r="Z3182" s="3"/>
      <c r="AA3182" s="3"/>
    </row>
    <row r="3183" ht="105.75" customHeight="1">
      <c r="A3183" s="11"/>
      <c r="B3183" s="12"/>
      <c r="C3183" s="11"/>
      <c r="D3183" s="13"/>
      <c r="E3183" s="16"/>
      <c r="F3183" s="16"/>
      <c r="G3183" s="16"/>
      <c r="H3183" s="15"/>
      <c r="I3183" s="15"/>
      <c r="J3183" s="3"/>
      <c r="K3183" s="3"/>
      <c r="L3183" s="3"/>
      <c r="M3183" s="3"/>
      <c r="N3183" s="3"/>
      <c r="O3183" s="3"/>
      <c r="P3183" s="3"/>
      <c r="Q3183" s="3"/>
      <c r="R3183" s="3"/>
      <c r="S3183" s="3"/>
      <c r="T3183" s="3"/>
      <c r="U3183" s="3"/>
      <c r="V3183" s="3"/>
      <c r="W3183" s="3"/>
      <c r="X3183" s="3"/>
      <c r="Y3183" s="3"/>
      <c r="Z3183" s="3"/>
      <c r="AA3183" s="3"/>
    </row>
    <row r="3184" ht="105.75" customHeight="1">
      <c r="A3184" s="11"/>
      <c r="B3184" s="12"/>
      <c r="C3184" s="11"/>
      <c r="D3184" s="13"/>
      <c r="E3184" s="14"/>
      <c r="F3184" s="14"/>
      <c r="G3184" s="14"/>
      <c r="H3184" s="15"/>
      <c r="I3184" s="15"/>
      <c r="J3184" s="3"/>
      <c r="K3184" s="3"/>
      <c r="L3184" s="3"/>
      <c r="M3184" s="3"/>
      <c r="N3184" s="3"/>
      <c r="O3184" s="3"/>
      <c r="P3184" s="3"/>
      <c r="Q3184" s="3"/>
      <c r="R3184" s="3"/>
      <c r="S3184" s="3"/>
      <c r="T3184" s="3"/>
      <c r="U3184" s="3"/>
      <c r="V3184" s="3"/>
      <c r="W3184" s="3"/>
      <c r="X3184" s="3"/>
      <c r="Y3184" s="3"/>
      <c r="Z3184" s="3"/>
      <c r="AA3184" s="3"/>
    </row>
    <row r="3185" ht="105.75" customHeight="1">
      <c r="A3185" s="11"/>
      <c r="B3185" s="12"/>
      <c r="C3185" s="11"/>
      <c r="D3185" s="13"/>
      <c r="E3185" s="14"/>
      <c r="F3185" s="14"/>
      <c r="G3185" s="14"/>
      <c r="H3185" s="15"/>
      <c r="I3185" s="15"/>
      <c r="J3185" s="3"/>
      <c r="K3185" s="3"/>
      <c r="L3185" s="3"/>
      <c r="M3185" s="3"/>
      <c r="N3185" s="3"/>
      <c r="O3185" s="3"/>
      <c r="P3185" s="3"/>
      <c r="Q3185" s="3"/>
      <c r="R3185" s="3"/>
      <c r="S3185" s="3"/>
      <c r="T3185" s="3"/>
      <c r="U3185" s="3"/>
      <c r="V3185" s="3"/>
      <c r="W3185" s="3"/>
      <c r="X3185" s="3"/>
      <c r="Y3185" s="3"/>
      <c r="Z3185" s="3"/>
      <c r="AA3185" s="3"/>
    </row>
    <row r="3186" ht="105.75" customHeight="1">
      <c r="A3186" s="11"/>
      <c r="B3186" s="12"/>
      <c r="C3186" s="11"/>
      <c r="D3186" s="13"/>
      <c r="E3186" s="14"/>
      <c r="F3186" s="14"/>
      <c r="G3186" s="14"/>
      <c r="H3186" s="15"/>
      <c r="I3186" s="15"/>
      <c r="J3186" s="3"/>
      <c r="K3186" s="3"/>
      <c r="L3186" s="3"/>
      <c r="M3186" s="3"/>
      <c r="N3186" s="3"/>
      <c r="O3186" s="3"/>
      <c r="P3186" s="3"/>
      <c r="Q3186" s="3"/>
      <c r="R3186" s="3"/>
      <c r="S3186" s="3"/>
      <c r="T3186" s="3"/>
      <c r="U3186" s="3"/>
      <c r="V3186" s="3"/>
      <c r="W3186" s="3"/>
      <c r="X3186" s="3"/>
      <c r="Y3186" s="3"/>
      <c r="Z3186" s="3"/>
      <c r="AA3186" s="3"/>
    </row>
    <row r="3187" ht="105.75" customHeight="1">
      <c r="A3187" s="11"/>
      <c r="B3187" s="12"/>
      <c r="C3187" s="11"/>
      <c r="D3187" s="13"/>
      <c r="E3187" s="16"/>
      <c r="F3187" s="16"/>
      <c r="G3187" s="16"/>
      <c r="H3187" s="15"/>
      <c r="I3187" s="15"/>
      <c r="J3187" s="3"/>
      <c r="K3187" s="3"/>
      <c r="L3187" s="3"/>
      <c r="M3187" s="3"/>
      <c r="N3187" s="3"/>
      <c r="O3187" s="3"/>
      <c r="P3187" s="3"/>
      <c r="Q3187" s="3"/>
      <c r="R3187" s="3"/>
      <c r="S3187" s="3"/>
      <c r="T3187" s="3"/>
      <c r="U3187" s="3"/>
      <c r="V3187" s="3"/>
      <c r="W3187" s="3"/>
      <c r="X3187" s="3"/>
      <c r="Y3187" s="3"/>
      <c r="Z3187" s="3"/>
      <c r="AA3187" s="3"/>
    </row>
    <row r="3188" ht="105.75" customHeight="1">
      <c r="A3188" s="11"/>
      <c r="B3188" s="12"/>
      <c r="C3188" s="11"/>
      <c r="D3188" s="13"/>
      <c r="E3188" s="14"/>
      <c r="F3188" s="14"/>
      <c r="G3188" s="14"/>
      <c r="H3188" s="15"/>
      <c r="I3188" s="15"/>
      <c r="J3188" s="3"/>
      <c r="K3188" s="3"/>
      <c r="L3188" s="3"/>
      <c r="M3188" s="3"/>
      <c r="N3188" s="3"/>
      <c r="O3188" s="3"/>
      <c r="P3188" s="3"/>
      <c r="Q3188" s="3"/>
      <c r="R3188" s="3"/>
      <c r="S3188" s="3"/>
      <c r="T3188" s="3"/>
      <c r="U3188" s="3"/>
      <c r="V3188" s="3"/>
      <c r="W3188" s="3"/>
      <c r="X3188" s="3"/>
      <c r="Y3188" s="3"/>
      <c r="Z3188" s="3"/>
      <c r="AA3188" s="3"/>
    </row>
    <row r="3189" ht="105.75" customHeight="1">
      <c r="A3189" s="11"/>
      <c r="B3189" s="12"/>
      <c r="C3189" s="11"/>
      <c r="D3189" s="13"/>
      <c r="E3189" s="14"/>
      <c r="F3189" s="14"/>
      <c r="G3189" s="14"/>
      <c r="H3189" s="15"/>
      <c r="I3189" s="15"/>
      <c r="J3189" s="3"/>
      <c r="K3189" s="3"/>
      <c r="L3189" s="3"/>
      <c r="M3189" s="3"/>
      <c r="N3189" s="3"/>
      <c r="O3189" s="3"/>
      <c r="P3189" s="3"/>
      <c r="Q3189" s="3"/>
      <c r="R3189" s="3"/>
      <c r="S3189" s="3"/>
      <c r="T3189" s="3"/>
      <c r="U3189" s="3"/>
      <c r="V3189" s="3"/>
      <c r="W3189" s="3"/>
      <c r="X3189" s="3"/>
      <c r="Y3189" s="3"/>
      <c r="Z3189" s="3"/>
      <c r="AA3189" s="3"/>
    </row>
    <row r="3190" ht="105.75" customHeight="1">
      <c r="A3190" s="11"/>
      <c r="B3190" s="12"/>
      <c r="C3190" s="11"/>
      <c r="D3190" s="13"/>
      <c r="E3190" s="14"/>
      <c r="F3190" s="14"/>
      <c r="G3190" s="14"/>
      <c r="H3190" s="15"/>
      <c r="I3190" s="15"/>
      <c r="J3190" s="3"/>
      <c r="K3190" s="3"/>
      <c r="L3190" s="3"/>
      <c r="M3190" s="3"/>
      <c r="N3190" s="3"/>
      <c r="O3190" s="3"/>
      <c r="P3190" s="3"/>
      <c r="Q3190" s="3"/>
      <c r="R3190" s="3"/>
      <c r="S3190" s="3"/>
      <c r="T3190" s="3"/>
      <c r="U3190" s="3"/>
      <c r="V3190" s="3"/>
      <c r="W3190" s="3"/>
      <c r="X3190" s="3"/>
      <c r="Y3190" s="3"/>
      <c r="Z3190" s="3"/>
      <c r="AA3190" s="3"/>
    </row>
    <row r="3191" ht="105.75" customHeight="1">
      <c r="A3191" s="11"/>
      <c r="B3191" s="12"/>
      <c r="C3191" s="11"/>
      <c r="D3191" s="13"/>
      <c r="E3191" s="14"/>
      <c r="F3191" s="14"/>
      <c r="G3191" s="14"/>
      <c r="H3191" s="15"/>
      <c r="I3191" s="15"/>
      <c r="J3191" s="3"/>
      <c r="K3191" s="3"/>
      <c r="L3191" s="3"/>
      <c r="M3191" s="3"/>
      <c r="N3191" s="3"/>
      <c r="O3191" s="3"/>
      <c r="P3191" s="3"/>
      <c r="Q3191" s="3"/>
      <c r="R3191" s="3"/>
      <c r="S3191" s="3"/>
      <c r="T3191" s="3"/>
      <c r="U3191" s="3"/>
      <c r="V3191" s="3"/>
      <c r="W3191" s="3"/>
      <c r="X3191" s="3"/>
      <c r="Y3191" s="3"/>
      <c r="Z3191" s="3"/>
      <c r="AA3191" s="3"/>
    </row>
    <row r="3192" ht="105.75" customHeight="1">
      <c r="A3192" s="11"/>
      <c r="B3192" s="12"/>
      <c r="C3192" s="11"/>
      <c r="D3192" s="13"/>
      <c r="E3192" s="14"/>
      <c r="F3192" s="14"/>
      <c r="G3192" s="14"/>
      <c r="H3192" s="15"/>
      <c r="I3192" s="15"/>
      <c r="J3192" s="3"/>
      <c r="K3192" s="3"/>
      <c r="L3192" s="3"/>
      <c r="M3192" s="3"/>
      <c r="N3192" s="3"/>
      <c r="O3192" s="3"/>
      <c r="P3192" s="3"/>
      <c r="Q3192" s="3"/>
      <c r="R3192" s="3"/>
      <c r="S3192" s="3"/>
      <c r="T3192" s="3"/>
      <c r="U3192" s="3"/>
      <c r="V3192" s="3"/>
      <c r="W3192" s="3"/>
      <c r="X3192" s="3"/>
      <c r="Y3192" s="3"/>
      <c r="Z3192" s="3"/>
      <c r="AA3192" s="3"/>
    </row>
    <row r="3193" ht="105.75" customHeight="1">
      <c r="A3193" s="11"/>
      <c r="B3193" s="12"/>
      <c r="C3193" s="11"/>
      <c r="D3193" s="13"/>
      <c r="E3193" s="14"/>
      <c r="F3193" s="14"/>
      <c r="G3193" s="14"/>
      <c r="H3193" s="15"/>
      <c r="I3193" s="15"/>
      <c r="J3193" s="3"/>
      <c r="K3193" s="3"/>
      <c r="L3193" s="3"/>
      <c r="M3193" s="3"/>
      <c r="N3193" s="3"/>
      <c r="O3193" s="3"/>
      <c r="P3193" s="3"/>
      <c r="Q3193" s="3"/>
      <c r="R3193" s="3"/>
      <c r="S3193" s="3"/>
      <c r="T3193" s="3"/>
      <c r="U3193" s="3"/>
      <c r="V3193" s="3"/>
      <c r="W3193" s="3"/>
      <c r="X3193" s="3"/>
      <c r="Y3193" s="3"/>
      <c r="Z3193" s="3"/>
      <c r="AA3193" s="3"/>
    </row>
    <row r="3194" ht="105.75" customHeight="1">
      <c r="A3194" s="11"/>
      <c r="B3194" s="12"/>
      <c r="C3194" s="11"/>
      <c r="D3194" s="13"/>
      <c r="E3194" s="14"/>
      <c r="F3194" s="14"/>
      <c r="G3194" s="14"/>
      <c r="H3194" s="15"/>
      <c r="I3194" s="15"/>
      <c r="J3194" s="3"/>
      <c r="K3194" s="3"/>
      <c r="L3194" s="3"/>
      <c r="M3194" s="3"/>
      <c r="N3194" s="3"/>
      <c r="O3194" s="3"/>
      <c r="P3194" s="3"/>
      <c r="Q3194" s="3"/>
      <c r="R3194" s="3"/>
      <c r="S3194" s="3"/>
      <c r="T3194" s="3"/>
      <c r="U3194" s="3"/>
      <c r="V3194" s="3"/>
      <c r="W3194" s="3"/>
      <c r="X3194" s="3"/>
      <c r="Y3194" s="3"/>
      <c r="Z3194" s="3"/>
      <c r="AA3194" s="3"/>
    </row>
    <row r="3195" ht="105.75" customHeight="1">
      <c r="A3195" s="11"/>
      <c r="B3195" s="12"/>
      <c r="C3195" s="11"/>
      <c r="D3195" s="13"/>
      <c r="E3195" s="14"/>
      <c r="F3195" s="14"/>
      <c r="G3195" s="14"/>
      <c r="H3195" s="15"/>
      <c r="I3195" s="15"/>
      <c r="J3195" s="3"/>
      <c r="K3195" s="3"/>
      <c r="L3195" s="3"/>
      <c r="M3195" s="3"/>
      <c r="N3195" s="3"/>
      <c r="O3195" s="3"/>
      <c r="P3195" s="3"/>
      <c r="Q3195" s="3"/>
      <c r="R3195" s="3"/>
      <c r="S3195" s="3"/>
      <c r="T3195" s="3"/>
      <c r="U3195" s="3"/>
      <c r="V3195" s="3"/>
      <c r="W3195" s="3"/>
      <c r="X3195" s="3"/>
      <c r="Y3195" s="3"/>
      <c r="Z3195" s="3"/>
      <c r="AA3195" s="3"/>
    </row>
    <row r="3196" ht="105.75" customHeight="1">
      <c r="A3196" s="11"/>
      <c r="B3196" s="12"/>
      <c r="C3196" s="11"/>
      <c r="D3196" s="13"/>
      <c r="E3196" s="14"/>
      <c r="F3196" s="14"/>
      <c r="G3196" s="14"/>
      <c r="H3196" s="15"/>
      <c r="I3196" s="15"/>
      <c r="J3196" s="3"/>
      <c r="K3196" s="3"/>
      <c r="L3196" s="3"/>
      <c r="M3196" s="3"/>
      <c r="N3196" s="3"/>
      <c r="O3196" s="3"/>
      <c r="P3196" s="3"/>
      <c r="Q3196" s="3"/>
      <c r="R3196" s="3"/>
      <c r="S3196" s="3"/>
      <c r="T3196" s="3"/>
      <c r="U3196" s="3"/>
      <c r="V3196" s="3"/>
      <c r="W3196" s="3"/>
      <c r="X3196" s="3"/>
      <c r="Y3196" s="3"/>
      <c r="Z3196" s="3"/>
      <c r="AA3196" s="3"/>
    </row>
    <row r="3197" ht="105.75" customHeight="1">
      <c r="A3197" s="11"/>
      <c r="B3197" s="12"/>
      <c r="C3197" s="11"/>
      <c r="D3197" s="13"/>
      <c r="E3197" s="14"/>
      <c r="F3197" s="14"/>
      <c r="G3197" s="14"/>
      <c r="H3197" s="15"/>
      <c r="I3197" s="15"/>
      <c r="J3197" s="3"/>
      <c r="K3197" s="3"/>
      <c r="L3197" s="3"/>
      <c r="M3197" s="3"/>
      <c r="N3197" s="3"/>
      <c r="O3197" s="3"/>
      <c r="P3197" s="3"/>
      <c r="Q3197" s="3"/>
      <c r="R3197" s="3"/>
      <c r="S3197" s="3"/>
      <c r="T3197" s="3"/>
      <c r="U3197" s="3"/>
      <c r="V3197" s="3"/>
      <c r="W3197" s="3"/>
      <c r="X3197" s="3"/>
      <c r="Y3197" s="3"/>
      <c r="Z3197" s="3"/>
      <c r="AA3197" s="3"/>
    </row>
    <row r="3198" ht="105.75" customHeight="1">
      <c r="A3198" s="11"/>
      <c r="B3198" s="12"/>
      <c r="C3198" s="11"/>
      <c r="D3198" s="13"/>
      <c r="E3198" s="14"/>
      <c r="F3198" s="14"/>
      <c r="G3198" s="14"/>
      <c r="H3198" s="15"/>
      <c r="I3198" s="15"/>
      <c r="J3198" s="3"/>
      <c r="K3198" s="3"/>
      <c r="L3198" s="3"/>
      <c r="M3198" s="3"/>
      <c r="N3198" s="3"/>
      <c r="O3198" s="3"/>
      <c r="P3198" s="3"/>
      <c r="Q3198" s="3"/>
      <c r="R3198" s="3"/>
      <c r="S3198" s="3"/>
      <c r="T3198" s="3"/>
      <c r="U3198" s="3"/>
      <c r="V3198" s="3"/>
      <c r="W3198" s="3"/>
      <c r="X3198" s="3"/>
      <c r="Y3198" s="3"/>
      <c r="Z3198" s="3"/>
      <c r="AA3198" s="3"/>
    </row>
    <row r="3199" ht="105.75" customHeight="1">
      <c r="A3199" s="11"/>
      <c r="B3199" s="12"/>
      <c r="C3199" s="11"/>
      <c r="D3199" s="13"/>
      <c r="E3199" s="14"/>
      <c r="F3199" s="14"/>
      <c r="G3199" s="14"/>
      <c r="H3199" s="15"/>
      <c r="I3199" s="15"/>
      <c r="J3199" s="3"/>
      <c r="K3199" s="3"/>
      <c r="L3199" s="3"/>
      <c r="M3199" s="3"/>
      <c r="N3199" s="3"/>
      <c r="O3199" s="3"/>
      <c r="P3199" s="3"/>
      <c r="Q3199" s="3"/>
      <c r="R3199" s="3"/>
      <c r="S3199" s="3"/>
      <c r="T3199" s="3"/>
      <c r="U3199" s="3"/>
      <c r="V3199" s="3"/>
      <c r="W3199" s="3"/>
      <c r="X3199" s="3"/>
      <c r="Y3199" s="3"/>
      <c r="Z3199" s="3"/>
      <c r="AA3199" s="3"/>
    </row>
    <row r="3200" ht="105.75" customHeight="1">
      <c r="A3200" s="11"/>
      <c r="B3200" s="12"/>
      <c r="C3200" s="11"/>
      <c r="D3200" s="13"/>
      <c r="E3200" s="14"/>
      <c r="F3200" s="14"/>
      <c r="G3200" s="14"/>
      <c r="H3200" s="15"/>
      <c r="I3200" s="15"/>
      <c r="J3200" s="3"/>
      <c r="K3200" s="3"/>
      <c r="L3200" s="3"/>
      <c r="M3200" s="3"/>
      <c r="N3200" s="3"/>
      <c r="O3200" s="3"/>
      <c r="P3200" s="3"/>
      <c r="Q3200" s="3"/>
      <c r="R3200" s="3"/>
      <c r="S3200" s="3"/>
      <c r="T3200" s="3"/>
      <c r="U3200" s="3"/>
      <c r="V3200" s="3"/>
      <c r="W3200" s="3"/>
      <c r="X3200" s="3"/>
      <c r="Y3200" s="3"/>
      <c r="Z3200" s="3"/>
      <c r="AA3200" s="3"/>
    </row>
    <row r="3201" ht="105.75" customHeight="1">
      <c r="A3201" s="11"/>
      <c r="B3201" s="12"/>
      <c r="C3201" s="11"/>
      <c r="D3201" s="13"/>
      <c r="E3201" s="14"/>
      <c r="F3201" s="14"/>
      <c r="G3201" s="14"/>
      <c r="H3201" s="15"/>
      <c r="I3201" s="15"/>
      <c r="J3201" s="3"/>
      <c r="K3201" s="3"/>
      <c r="L3201" s="3"/>
      <c r="M3201" s="3"/>
      <c r="N3201" s="3"/>
      <c r="O3201" s="3"/>
      <c r="P3201" s="3"/>
      <c r="Q3201" s="3"/>
      <c r="R3201" s="3"/>
      <c r="S3201" s="3"/>
      <c r="T3201" s="3"/>
      <c r="U3201" s="3"/>
      <c r="V3201" s="3"/>
      <c r="W3201" s="3"/>
      <c r="X3201" s="3"/>
      <c r="Y3201" s="3"/>
      <c r="Z3201" s="3"/>
      <c r="AA3201" s="3"/>
    </row>
    <row r="3202" ht="105.75" customHeight="1">
      <c r="A3202" s="11"/>
      <c r="B3202" s="12"/>
      <c r="C3202" s="11"/>
      <c r="D3202" s="13"/>
      <c r="E3202" s="14"/>
      <c r="F3202" s="14"/>
      <c r="G3202" s="14"/>
      <c r="H3202" s="15"/>
      <c r="I3202" s="15"/>
      <c r="J3202" s="3"/>
      <c r="K3202" s="3"/>
      <c r="L3202" s="3"/>
      <c r="M3202" s="3"/>
      <c r="N3202" s="3"/>
      <c r="O3202" s="3"/>
      <c r="P3202" s="3"/>
      <c r="Q3202" s="3"/>
      <c r="R3202" s="3"/>
      <c r="S3202" s="3"/>
      <c r="T3202" s="3"/>
      <c r="U3202" s="3"/>
      <c r="V3202" s="3"/>
      <c r="W3202" s="3"/>
      <c r="X3202" s="3"/>
      <c r="Y3202" s="3"/>
      <c r="Z3202" s="3"/>
      <c r="AA3202" s="3"/>
    </row>
    <row r="3203" ht="105.75" customHeight="1">
      <c r="A3203" s="11"/>
      <c r="B3203" s="12"/>
      <c r="C3203" s="11"/>
      <c r="D3203" s="13"/>
      <c r="E3203" s="14"/>
      <c r="F3203" s="14"/>
      <c r="G3203" s="14"/>
      <c r="H3203" s="15"/>
      <c r="I3203" s="15"/>
      <c r="J3203" s="3"/>
      <c r="K3203" s="3"/>
      <c r="L3203" s="3"/>
      <c r="M3203" s="3"/>
      <c r="N3203" s="3"/>
      <c r="O3203" s="3"/>
      <c r="P3203" s="3"/>
      <c r="Q3203" s="3"/>
      <c r="R3203" s="3"/>
      <c r="S3203" s="3"/>
      <c r="T3203" s="3"/>
      <c r="U3203" s="3"/>
      <c r="V3203" s="3"/>
      <c r="W3203" s="3"/>
      <c r="X3203" s="3"/>
      <c r="Y3203" s="3"/>
      <c r="Z3203" s="3"/>
      <c r="AA3203" s="3"/>
    </row>
    <row r="3204" ht="105.75" customHeight="1">
      <c r="A3204" s="11"/>
      <c r="B3204" s="12"/>
      <c r="C3204" s="11"/>
      <c r="D3204" s="13"/>
      <c r="E3204" s="14"/>
      <c r="F3204" s="14"/>
      <c r="G3204" s="14"/>
      <c r="H3204" s="15"/>
      <c r="I3204" s="15"/>
      <c r="J3204" s="3"/>
      <c r="K3204" s="3"/>
      <c r="L3204" s="3"/>
      <c r="M3204" s="3"/>
      <c r="N3204" s="3"/>
      <c r="O3204" s="3"/>
      <c r="P3204" s="3"/>
      <c r="Q3204" s="3"/>
      <c r="R3204" s="3"/>
      <c r="S3204" s="3"/>
      <c r="T3204" s="3"/>
      <c r="U3204" s="3"/>
      <c r="V3204" s="3"/>
      <c r="W3204" s="3"/>
      <c r="X3204" s="3"/>
      <c r="Y3204" s="3"/>
      <c r="Z3204" s="3"/>
      <c r="AA3204" s="3"/>
    </row>
    <row r="3205" ht="105.75" customHeight="1">
      <c r="A3205" s="11"/>
      <c r="B3205" s="12"/>
      <c r="C3205" s="11"/>
      <c r="D3205" s="13"/>
      <c r="E3205" s="14"/>
      <c r="F3205" s="14"/>
      <c r="G3205" s="14"/>
      <c r="H3205" s="15"/>
      <c r="I3205" s="15"/>
      <c r="J3205" s="3"/>
      <c r="K3205" s="3"/>
      <c r="L3205" s="3"/>
      <c r="M3205" s="3"/>
      <c r="N3205" s="3"/>
      <c r="O3205" s="3"/>
      <c r="P3205" s="3"/>
      <c r="Q3205" s="3"/>
      <c r="R3205" s="3"/>
      <c r="S3205" s="3"/>
      <c r="T3205" s="3"/>
      <c r="U3205" s="3"/>
      <c r="V3205" s="3"/>
      <c r="W3205" s="3"/>
      <c r="X3205" s="3"/>
      <c r="Y3205" s="3"/>
      <c r="Z3205" s="3"/>
      <c r="AA3205" s="3"/>
    </row>
    <row r="3206" ht="105.75" customHeight="1">
      <c r="A3206" s="11"/>
      <c r="B3206" s="12"/>
      <c r="C3206" s="11"/>
      <c r="D3206" s="13"/>
      <c r="E3206" s="14"/>
      <c r="F3206" s="14"/>
      <c r="G3206" s="14"/>
      <c r="H3206" s="15"/>
      <c r="I3206" s="15"/>
      <c r="J3206" s="3"/>
      <c r="K3206" s="3"/>
      <c r="L3206" s="3"/>
      <c r="M3206" s="3"/>
      <c r="N3206" s="3"/>
      <c r="O3206" s="3"/>
      <c r="P3206" s="3"/>
      <c r="Q3206" s="3"/>
      <c r="R3206" s="3"/>
      <c r="S3206" s="3"/>
      <c r="T3206" s="3"/>
      <c r="U3206" s="3"/>
      <c r="V3206" s="3"/>
      <c r="W3206" s="3"/>
      <c r="X3206" s="3"/>
      <c r="Y3206" s="3"/>
      <c r="Z3206" s="3"/>
      <c r="AA3206" s="3"/>
    </row>
    <row r="3207" ht="105.75" customHeight="1">
      <c r="A3207" s="11"/>
      <c r="B3207" s="12"/>
      <c r="C3207" s="11"/>
      <c r="D3207" s="13"/>
      <c r="E3207" s="14"/>
      <c r="F3207" s="14"/>
      <c r="G3207" s="14"/>
      <c r="H3207" s="15"/>
      <c r="I3207" s="15"/>
      <c r="J3207" s="3"/>
      <c r="K3207" s="3"/>
      <c r="L3207" s="3"/>
      <c r="M3207" s="3"/>
      <c r="N3207" s="3"/>
      <c r="O3207" s="3"/>
      <c r="P3207" s="3"/>
      <c r="Q3207" s="3"/>
      <c r="R3207" s="3"/>
      <c r="S3207" s="3"/>
      <c r="T3207" s="3"/>
      <c r="U3207" s="3"/>
      <c r="V3207" s="3"/>
      <c r="W3207" s="3"/>
      <c r="X3207" s="3"/>
      <c r="Y3207" s="3"/>
      <c r="Z3207" s="3"/>
      <c r="AA3207" s="3"/>
    </row>
    <row r="3208" ht="105.75" customHeight="1">
      <c r="A3208" s="11"/>
      <c r="B3208" s="12"/>
      <c r="C3208" s="11"/>
      <c r="D3208" s="13"/>
      <c r="E3208" s="14"/>
      <c r="F3208" s="14"/>
      <c r="G3208" s="14"/>
      <c r="H3208" s="15"/>
      <c r="I3208" s="15"/>
      <c r="J3208" s="3"/>
      <c r="K3208" s="3"/>
      <c r="L3208" s="3"/>
      <c r="M3208" s="3"/>
      <c r="N3208" s="3"/>
      <c r="O3208" s="3"/>
      <c r="P3208" s="3"/>
      <c r="Q3208" s="3"/>
      <c r="R3208" s="3"/>
      <c r="S3208" s="3"/>
      <c r="T3208" s="3"/>
      <c r="U3208" s="3"/>
      <c r="V3208" s="3"/>
      <c r="W3208" s="3"/>
      <c r="X3208" s="3"/>
      <c r="Y3208" s="3"/>
      <c r="Z3208" s="3"/>
      <c r="AA3208" s="3"/>
    </row>
    <row r="3209" ht="105.75" customHeight="1">
      <c r="A3209" s="11"/>
      <c r="B3209" s="12"/>
      <c r="C3209" s="11"/>
      <c r="D3209" s="13"/>
      <c r="E3209" s="14"/>
      <c r="F3209" s="14"/>
      <c r="G3209" s="14"/>
      <c r="H3209" s="15"/>
      <c r="I3209" s="15"/>
      <c r="J3209" s="3"/>
      <c r="K3209" s="3"/>
      <c r="L3209" s="3"/>
      <c r="M3209" s="3"/>
      <c r="N3209" s="3"/>
      <c r="O3209" s="3"/>
      <c r="P3209" s="3"/>
      <c r="Q3209" s="3"/>
      <c r="R3209" s="3"/>
      <c r="S3209" s="3"/>
      <c r="T3209" s="3"/>
      <c r="U3209" s="3"/>
      <c r="V3209" s="3"/>
      <c r="W3209" s="3"/>
      <c r="X3209" s="3"/>
      <c r="Y3209" s="3"/>
      <c r="Z3209" s="3"/>
      <c r="AA3209" s="3"/>
    </row>
    <row r="3210" ht="105.75" customHeight="1">
      <c r="A3210" s="11"/>
      <c r="B3210" s="12"/>
      <c r="C3210" s="11"/>
      <c r="D3210" s="13"/>
      <c r="E3210" s="14"/>
      <c r="F3210" s="14"/>
      <c r="G3210" s="14"/>
      <c r="H3210" s="15"/>
      <c r="I3210" s="15"/>
      <c r="J3210" s="3"/>
      <c r="K3210" s="3"/>
      <c r="L3210" s="3"/>
      <c r="M3210" s="3"/>
      <c r="N3210" s="3"/>
      <c r="O3210" s="3"/>
      <c r="P3210" s="3"/>
      <c r="Q3210" s="3"/>
      <c r="R3210" s="3"/>
      <c r="S3210" s="3"/>
      <c r="T3210" s="3"/>
      <c r="U3210" s="3"/>
      <c r="V3210" s="3"/>
      <c r="W3210" s="3"/>
      <c r="X3210" s="3"/>
      <c r="Y3210" s="3"/>
      <c r="Z3210" s="3"/>
      <c r="AA3210" s="3"/>
    </row>
    <row r="3211" ht="105.75" customHeight="1">
      <c r="A3211" s="11"/>
      <c r="B3211" s="12"/>
      <c r="C3211" s="11"/>
      <c r="D3211" s="13"/>
      <c r="E3211" s="14"/>
      <c r="F3211" s="14"/>
      <c r="G3211" s="14"/>
      <c r="H3211" s="15"/>
      <c r="I3211" s="15"/>
      <c r="J3211" s="3"/>
      <c r="K3211" s="3"/>
      <c r="L3211" s="3"/>
      <c r="M3211" s="3"/>
      <c r="N3211" s="3"/>
      <c r="O3211" s="3"/>
      <c r="P3211" s="3"/>
      <c r="Q3211" s="3"/>
      <c r="R3211" s="3"/>
      <c r="S3211" s="3"/>
      <c r="T3211" s="3"/>
      <c r="U3211" s="3"/>
      <c r="V3211" s="3"/>
      <c r="W3211" s="3"/>
      <c r="X3211" s="3"/>
      <c r="Y3211" s="3"/>
      <c r="Z3211" s="3"/>
      <c r="AA3211" s="3"/>
    </row>
    <row r="3212" ht="105.75" customHeight="1">
      <c r="A3212" s="11"/>
      <c r="B3212" s="12"/>
      <c r="C3212" s="11"/>
      <c r="D3212" s="13"/>
      <c r="E3212" s="14"/>
      <c r="F3212" s="14"/>
      <c r="G3212" s="14"/>
      <c r="H3212" s="15"/>
      <c r="I3212" s="15"/>
      <c r="J3212" s="3"/>
      <c r="K3212" s="3"/>
      <c r="L3212" s="3"/>
      <c r="M3212" s="3"/>
      <c r="N3212" s="3"/>
      <c r="O3212" s="3"/>
      <c r="P3212" s="3"/>
      <c r="Q3212" s="3"/>
      <c r="R3212" s="3"/>
      <c r="S3212" s="3"/>
      <c r="T3212" s="3"/>
      <c r="U3212" s="3"/>
      <c r="V3212" s="3"/>
      <c r="W3212" s="3"/>
      <c r="X3212" s="3"/>
      <c r="Y3212" s="3"/>
      <c r="Z3212" s="3"/>
      <c r="AA3212" s="3"/>
    </row>
    <row r="3213" ht="105.75" customHeight="1">
      <c r="A3213" s="11"/>
      <c r="B3213" s="12"/>
      <c r="C3213" s="11"/>
      <c r="D3213" s="13"/>
      <c r="E3213" s="14"/>
      <c r="F3213" s="14"/>
      <c r="G3213" s="14"/>
      <c r="H3213" s="15"/>
      <c r="I3213" s="15"/>
      <c r="J3213" s="3"/>
      <c r="K3213" s="3"/>
      <c r="L3213" s="3"/>
      <c r="M3213" s="3"/>
      <c r="N3213" s="3"/>
      <c r="O3213" s="3"/>
      <c r="P3213" s="3"/>
      <c r="Q3213" s="3"/>
      <c r="R3213" s="3"/>
      <c r="S3213" s="3"/>
      <c r="T3213" s="3"/>
      <c r="U3213" s="3"/>
      <c r="V3213" s="3"/>
      <c r="W3213" s="3"/>
      <c r="X3213" s="3"/>
      <c r="Y3213" s="3"/>
      <c r="Z3213" s="3"/>
      <c r="AA3213" s="3"/>
    </row>
    <row r="3214" ht="105.75" customHeight="1">
      <c r="A3214" s="11"/>
      <c r="B3214" s="12"/>
      <c r="C3214" s="11"/>
      <c r="D3214" s="13"/>
      <c r="E3214" s="14"/>
      <c r="F3214" s="14"/>
      <c r="G3214" s="14"/>
      <c r="H3214" s="15"/>
      <c r="I3214" s="15"/>
      <c r="J3214" s="3"/>
      <c r="K3214" s="3"/>
      <c r="L3214" s="3"/>
      <c r="M3214" s="3"/>
      <c r="N3214" s="3"/>
      <c r="O3214" s="3"/>
      <c r="P3214" s="3"/>
      <c r="Q3214" s="3"/>
      <c r="R3214" s="3"/>
      <c r="S3214" s="3"/>
      <c r="T3214" s="3"/>
      <c r="U3214" s="3"/>
      <c r="V3214" s="3"/>
      <c r="W3214" s="3"/>
      <c r="X3214" s="3"/>
      <c r="Y3214" s="3"/>
      <c r="Z3214" s="3"/>
      <c r="AA3214" s="3"/>
    </row>
    <row r="3215" ht="105.75" customHeight="1">
      <c r="A3215" s="11"/>
      <c r="B3215" s="12"/>
      <c r="C3215" s="11"/>
      <c r="D3215" s="13"/>
      <c r="E3215" s="14"/>
      <c r="F3215" s="14"/>
      <c r="G3215" s="14"/>
      <c r="H3215" s="15"/>
      <c r="I3215" s="15"/>
      <c r="J3215" s="3"/>
      <c r="K3215" s="3"/>
      <c r="L3215" s="3"/>
      <c r="M3215" s="3"/>
      <c r="N3215" s="3"/>
      <c r="O3215" s="3"/>
      <c r="P3215" s="3"/>
      <c r="Q3215" s="3"/>
      <c r="R3215" s="3"/>
      <c r="S3215" s="3"/>
      <c r="T3215" s="3"/>
      <c r="U3215" s="3"/>
      <c r="V3215" s="3"/>
      <c r="W3215" s="3"/>
      <c r="X3215" s="3"/>
      <c r="Y3215" s="3"/>
      <c r="Z3215" s="3"/>
      <c r="AA3215" s="3"/>
    </row>
    <row r="3216" ht="105.75" customHeight="1">
      <c r="A3216" s="11"/>
      <c r="B3216" s="12"/>
      <c r="C3216" s="11"/>
      <c r="D3216" s="13"/>
      <c r="E3216" s="14"/>
      <c r="F3216" s="14"/>
      <c r="G3216" s="14"/>
      <c r="H3216" s="15"/>
      <c r="I3216" s="15"/>
      <c r="J3216" s="3"/>
      <c r="K3216" s="3"/>
      <c r="L3216" s="3"/>
      <c r="M3216" s="3"/>
      <c r="N3216" s="3"/>
      <c r="O3216" s="3"/>
      <c r="P3216" s="3"/>
      <c r="Q3216" s="3"/>
      <c r="R3216" s="3"/>
      <c r="S3216" s="3"/>
      <c r="T3216" s="3"/>
      <c r="U3216" s="3"/>
      <c r="V3216" s="3"/>
      <c r="W3216" s="3"/>
      <c r="X3216" s="3"/>
      <c r="Y3216" s="3"/>
      <c r="Z3216" s="3"/>
      <c r="AA3216" s="3"/>
    </row>
    <row r="3217" ht="105.75" customHeight="1">
      <c r="A3217" s="11"/>
      <c r="B3217" s="12"/>
      <c r="C3217" s="11"/>
      <c r="D3217" s="13"/>
      <c r="E3217" s="14"/>
      <c r="F3217" s="14"/>
      <c r="G3217" s="14"/>
      <c r="H3217" s="15"/>
      <c r="I3217" s="15"/>
      <c r="J3217" s="3"/>
      <c r="K3217" s="3"/>
      <c r="L3217" s="3"/>
      <c r="M3217" s="3"/>
      <c r="N3217" s="3"/>
      <c r="O3217" s="3"/>
      <c r="P3217" s="3"/>
      <c r="Q3217" s="3"/>
      <c r="R3217" s="3"/>
      <c r="S3217" s="3"/>
      <c r="T3217" s="3"/>
      <c r="U3217" s="3"/>
      <c r="V3217" s="3"/>
      <c r="W3217" s="3"/>
      <c r="X3217" s="3"/>
      <c r="Y3217" s="3"/>
      <c r="Z3217" s="3"/>
      <c r="AA3217" s="3"/>
    </row>
    <row r="3218" ht="105.75" customHeight="1">
      <c r="A3218" s="11"/>
      <c r="B3218" s="12"/>
      <c r="C3218" s="11"/>
      <c r="D3218" s="13"/>
      <c r="E3218" s="14"/>
      <c r="F3218" s="14"/>
      <c r="G3218" s="14"/>
      <c r="H3218" s="15"/>
      <c r="I3218" s="15"/>
      <c r="J3218" s="3"/>
      <c r="K3218" s="3"/>
      <c r="L3218" s="3"/>
      <c r="M3218" s="3"/>
      <c r="N3218" s="3"/>
      <c r="O3218" s="3"/>
      <c r="P3218" s="3"/>
      <c r="Q3218" s="3"/>
      <c r="R3218" s="3"/>
      <c r="S3218" s="3"/>
      <c r="T3218" s="3"/>
      <c r="U3218" s="3"/>
      <c r="V3218" s="3"/>
      <c r="W3218" s="3"/>
      <c r="X3218" s="3"/>
      <c r="Y3218" s="3"/>
      <c r="Z3218" s="3"/>
      <c r="AA3218" s="3"/>
    </row>
    <row r="3219" ht="105.75" customHeight="1">
      <c r="A3219" s="11"/>
      <c r="B3219" s="12"/>
      <c r="C3219" s="11"/>
      <c r="D3219" s="13"/>
      <c r="E3219" s="14"/>
      <c r="F3219" s="14"/>
      <c r="G3219" s="14"/>
      <c r="H3219" s="15"/>
      <c r="I3219" s="15"/>
      <c r="J3219" s="3"/>
      <c r="K3219" s="3"/>
      <c r="L3219" s="3"/>
      <c r="M3219" s="3"/>
      <c r="N3219" s="3"/>
      <c r="O3219" s="3"/>
      <c r="P3219" s="3"/>
      <c r="Q3219" s="3"/>
      <c r="R3219" s="3"/>
      <c r="S3219" s="3"/>
      <c r="T3219" s="3"/>
      <c r="U3219" s="3"/>
      <c r="V3219" s="3"/>
      <c r="W3219" s="3"/>
      <c r="X3219" s="3"/>
      <c r="Y3219" s="3"/>
      <c r="Z3219" s="3"/>
      <c r="AA3219" s="3"/>
    </row>
    <row r="3220" ht="105.75" customHeight="1">
      <c r="A3220" s="11"/>
      <c r="B3220" s="12"/>
      <c r="C3220" s="11"/>
      <c r="D3220" s="13"/>
      <c r="E3220" s="14"/>
      <c r="F3220" s="14"/>
      <c r="G3220" s="14"/>
      <c r="H3220" s="15"/>
      <c r="I3220" s="15"/>
      <c r="J3220" s="3"/>
      <c r="K3220" s="3"/>
      <c r="L3220" s="3"/>
      <c r="M3220" s="3"/>
      <c r="N3220" s="3"/>
      <c r="O3220" s="3"/>
      <c r="P3220" s="3"/>
      <c r="Q3220" s="3"/>
      <c r="R3220" s="3"/>
      <c r="S3220" s="3"/>
      <c r="T3220" s="3"/>
      <c r="U3220" s="3"/>
      <c r="V3220" s="3"/>
      <c r="W3220" s="3"/>
      <c r="X3220" s="3"/>
      <c r="Y3220" s="3"/>
      <c r="Z3220" s="3"/>
      <c r="AA3220" s="3"/>
    </row>
    <row r="3221" ht="105.75" customHeight="1">
      <c r="A3221" s="11"/>
      <c r="B3221" s="12"/>
      <c r="C3221" s="11"/>
      <c r="D3221" s="13"/>
      <c r="E3221" s="14"/>
      <c r="F3221" s="14"/>
      <c r="G3221" s="14"/>
      <c r="H3221" s="15"/>
      <c r="I3221" s="15"/>
      <c r="J3221" s="3"/>
      <c r="K3221" s="3"/>
      <c r="L3221" s="3"/>
      <c r="M3221" s="3"/>
      <c r="N3221" s="3"/>
      <c r="O3221" s="3"/>
      <c r="P3221" s="3"/>
      <c r="Q3221" s="3"/>
      <c r="R3221" s="3"/>
      <c r="S3221" s="3"/>
      <c r="T3221" s="3"/>
      <c r="U3221" s="3"/>
      <c r="V3221" s="3"/>
      <c r="W3221" s="3"/>
      <c r="X3221" s="3"/>
      <c r="Y3221" s="3"/>
      <c r="Z3221" s="3"/>
      <c r="AA3221" s="3"/>
    </row>
    <row r="3222" ht="105.75" customHeight="1">
      <c r="A3222" s="11"/>
      <c r="B3222" s="12"/>
      <c r="C3222" s="11"/>
      <c r="D3222" s="13"/>
      <c r="E3222" s="14"/>
      <c r="F3222" s="14"/>
      <c r="G3222" s="14"/>
      <c r="H3222" s="15"/>
      <c r="I3222" s="15"/>
      <c r="J3222" s="3"/>
      <c r="K3222" s="3"/>
      <c r="L3222" s="3"/>
      <c r="M3222" s="3"/>
      <c r="N3222" s="3"/>
      <c r="O3222" s="3"/>
      <c r="P3222" s="3"/>
      <c r="Q3222" s="3"/>
      <c r="R3222" s="3"/>
      <c r="S3222" s="3"/>
      <c r="T3222" s="3"/>
      <c r="U3222" s="3"/>
      <c r="V3222" s="3"/>
      <c r="W3222" s="3"/>
      <c r="X3222" s="3"/>
      <c r="Y3222" s="3"/>
      <c r="Z3222" s="3"/>
      <c r="AA3222" s="3"/>
    </row>
    <row r="3223" ht="105.75" customHeight="1">
      <c r="A3223" s="11"/>
      <c r="B3223" s="12"/>
      <c r="C3223" s="11"/>
      <c r="D3223" s="13"/>
      <c r="E3223" s="14"/>
      <c r="F3223" s="14"/>
      <c r="G3223" s="14"/>
      <c r="H3223" s="15"/>
      <c r="I3223" s="15"/>
      <c r="J3223" s="3"/>
      <c r="K3223" s="3"/>
      <c r="L3223" s="3"/>
      <c r="M3223" s="3"/>
      <c r="N3223" s="3"/>
      <c r="O3223" s="3"/>
      <c r="P3223" s="3"/>
      <c r="Q3223" s="3"/>
      <c r="R3223" s="3"/>
      <c r="S3223" s="3"/>
      <c r="T3223" s="3"/>
      <c r="U3223" s="3"/>
      <c r="V3223" s="3"/>
      <c r="W3223" s="3"/>
      <c r="X3223" s="3"/>
      <c r="Y3223" s="3"/>
      <c r="Z3223" s="3"/>
      <c r="AA3223" s="3"/>
    </row>
    <row r="3224" ht="105.75" customHeight="1">
      <c r="A3224" s="11"/>
      <c r="B3224" s="12"/>
      <c r="C3224" s="11"/>
      <c r="D3224" s="13"/>
      <c r="E3224" s="14"/>
      <c r="F3224" s="14"/>
      <c r="G3224" s="14"/>
      <c r="H3224" s="15"/>
      <c r="I3224" s="15"/>
      <c r="J3224" s="3"/>
      <c r="K3224" s="3"/>
      <c r="L3224" s="3"/>
      <c r="M3224" s="3"/>
      <c r="N3224" s="3"/>
      <c r="O3224" s="3"/>
      <c r="P3224" s="3"/>
      <c r="Q3224" s="3"/>
      <c r="R3224" s="3"/>
      <c r="S3224" s="3"/>
      <c r="T3224" s="3"/>
      <c r="U3224" s="3"/>
      <c r="V3224" s="3"/>
      <c r="W3224" s="3"/>
      <c r="X3224" s="3"/>
      <c r="Y3224" s="3"/>
      <c r="Z3224" s="3"/>
      <c r="AA3224" s="3"/>
    </row>
    <row r="3225" ht="105.75" customHeight="1">
      <c r="A3225" s="11"/>
      <c r="B3225" s="12"/>
      <c r="C3225" s="11"/>
      <c r="D3225" s="13"/>
      <c r="E3225" s="14"/>
      <c r="F3225" s="14"/>
      <c r="G3225" s="14"/>
      <c r="H3225" s="15"/>
      <c r="I3225" s="15"/>
      <c r="J3225" s="3"/>
      <c r="K3225" s="3"/>
      <c r="L3225" s="3"/>
      <c r="M3225" s="3"/>
      <c r="N3225" s="3"/>
      <c r="O3225" s="3"/>
      <c r="P3225" s="3"/>
      <c r="Q3225" s="3"/>
      <c r="R3225" s="3"/>
      <c r="S3225" s="3"/>
      <c r="T3225" s="3"/>
      <c r="U3225" s="3"/>
      <c r="V3225" s="3"/>
      <c r="W3225" s="3"/>
      <c r="X3225" s="3"/>
      <c r="Y3225" s="3"/>
      <c r="Z3225" s="3"/>
      <c r="AA3225" s="3"/>
    </row>
    <row r="3226" ht="105.75" customHeight="1">
      <c r="A3226" s="11"/>
      <c r="B3226" s="12"/>
      <c r="C3226" s="11"/>
      <c r="D3226" s="13"/>
      <c r="E3226" s="14"/>
      <c r="F3226" s="14"/>
      <c r="G3226" s="14"/>
      <c r="H3226" s="15"/>
      <c r="I3226" s="15"/>
      <c r="J3226" s="3"/>
      <c r="K3226" s="3"/>
      <c r="L3226" s="3"/>
      <c r="M3226" s="3"/>
      <c r="N3226" s="3"/>
      <c r="O3226" s="3"/>
      <c r="P3226" s="3"/>
      <c r="Q3226" s="3"/>
      <c r="R3226" s="3"/>
      <c r="S3226" s="3"/>
      <c r="T3226" s="3"/>
      <c r="U3226" s="3"/>
      <c r="V3226" s="3"/>
      <c r="W3226" s="3"/>
      <c r="X3226" s="3"/>
      <c r="Y3226" s="3"/>
      <c r="Z3226" s="3"/>
      <c r="AA3226" s="3"/>
    </row>
    <row r="3227" ht="105.75" customHeight="1">
      <c r="A3227" s="11"/>
      <c r="B3227" s="12"/>
      <c r="C3227" s="11"/>
      <c r="D3227" s="13"/>
      <c r="E3227" s="14"/>
      <c r="F3227" s="14"/>
      <c r="G3227" s="14"/>
      <c r="H3227" s="15"/>
      <c r="I3227" s="15"/>
      <c r="J3227" s="3"/>
      <c r="K3227" s="3"/>
      <c r="L3227" s="3"/>
      <c r="M3227" s="3"/>
      <c r="N3227" s="3"/>
      <c r="O3227" s="3"/>
      <c r="P3227" s="3"/>
      <c r="Q3227" s="3"/>
      <c r="R3227" s="3"/>
      <c r="S3227" s="3"/>
      <c r="T3227" s="3"/>
      <c r="U3227" s="3"/>
      <c r="V3227" s="3"/>
      <c r="W3227" s="3"/>
      <c r="X3227" s="3"/>
      <c r="Y3227" s="3"/>
      <c r="Z3227" s="3"/>
      <c r="AA3227" s="3"/>
    </row>
    <row r="3228" ht="105.75" customHeight="1">
      <c r="A3228" s="11"/>
      <c r="B3228" s="12"/>
      <c r="C3228" s="11"/>
      <c r="D3228" s="13"/>
      <c r="E3228" s="14"/>
      <c r="F3228" s="14"/>
      <c r="G3228" s="14"/>
      <c r="H3228" s="15"/>
      <c r="I3228" s="15"/>
      <c r="J3228" s="3"/>
      <c r="K3228" s="3"/>
      <c r="L3228" s="3"/>
      <c r="M3228" s="3"/>
      <c r="N3228" s="3"/>
      <c r="O3228" s="3"/>
      <c r="P3228" s="3"/>
      <c r="Q3228" s="3"/>
      <c r="R3228" s="3"/>
      <c r="S3228" s="3"/>
      <c r="T3228" s="3"/>
      <c r="U3228" s="3"/>
      <c r="V3228" s="3"/>
      <c r="W3228" s="3"/>
      <c r="X3228" s="3"/>
      <c r="Y3228" s="3"/>
      <c r="Z3228" s="3"/>
      <c r="AA3228" s="3"/>
    </row>
    <row r="3229" ht="105.75" customHeight="1">
      <c r="A3229" s="11"/>
      <c r="B3229" s="12"/>
      <c r="C3229" s="11"/>
      <c r="D3229" s="13"/>
      <c r="E3229" s="14"/>
      <c r="F3229" s="14"/>
      <c r="G3229" s="14"/>
      <c r="H3229" s="15"/>
      <c r="I3229" s="15"/>
      <c r="J3229" s="3"/>
      <c r="K3229" s="3"/>
      <c r="L3229" s="3"/>
      <c r="M3229" s="3"/>
      <c r="N3229" s="3"/>
      <c r="O3229" s="3"/>
      <c r="P3229" s="3"/>
      <c r="Q3229" s="3"/>
      <c r="R3229" s="3"/>
      <c r="S3229" s="3"/>
      <c r="T3229" s="3"/>
      <c r="U3229" s="3"/>
      <c r="V3229" s="3"/>
      <c r="W3229" s="3"/>
      <c r="X3229" s="3"/>
      <c r="Y3229" s="3"/>
      <c r="Z3229" s="3"/>
      <c r="AA3229" s="3"/>
    </row>
    <row r="3230" ht="105.75" customHeight="1">
      <c r="A3230" s="11"/>
      <c r="B3230" s="12"/>
      <c r="C3230" s="11"/>
      <c r="D3230" s="13"/>
      <c r="E3230" s="14"/>
      <c r="F3230" s="14"/>
      <c r="G3230" s="14"/>
      <c r="H3230" s="15"/>
      <c r="I3230" s="15"/>
      <c r="J3230" s="3"/>
      <c r="K3230" s="3"/>
      <c r="L3230" s="3"/>
      <c r="M3230" s="3"/>
      <c r="N3230" s="3"/>
      <c r="O3230" s="3"/>
      <c r="P3230" s="3"/>
      <c r="Q3230" s="3"/>
      <c r="R3230" s="3"/>
      <c r="S3230" s="3"/>
      <c r="T3230" s="3"/>
      <c r="U3230" s="3"/>
      <c r="V3230" s="3"/>
      <c r="W3230" s="3"/>
      <c r="X3230" s="3"/>
      <c r="Y3230" s="3"/>
      <c r="Z3230" s="3"/>
      <c r="AA3230" s="3"/>
    </row>
    <row r="3231" ht="105.75" customHeight="1">
      <c r="A3231" s="11"/>
      <c r="B3231" s="12"/>
      <c r="C3231" s="11"/>
      <c r="D3231" s="13"/>
      <c r="E3231" s="14"/>
      <c r="F3231" s="14"/>
      <c r="G3231" s="14"/>
      <c r="H3231" s="15"/>
      <c r="I3231" s="15"/>
      <c r="J3231" s="3"/>
      <c r="K3231" s="3"/>
      <c r="L3231" s="3"/>
      <c r="M3231" s="3"/>
      <c r="N3231" s="3"/>
      <c r="O3231" s="3"/>
      <c r="P3231" s="3"/>
      <c r="Q3231" s="3"/>
      <c r="R3231" s="3"/>
      <c r="S3231" s="3"/>
      <c r="T3231" s="3"/>
      <c r="U3231" s="3"/>
      <c r="V3231" s="3"/>
      <c r="W3231" s="3"/>
      <c r="X3231" s="3"/>
      <c r="Y3231" s="3"/>
      <c r="Z3231" s="3"/>
      <c r="AA3231" s="3"/>
    </row>
    <row r="3232" ht="105.75" customHeight="1">
      <c r="A3232" s="11"/>
      <c r="B3232" s="12"/>
      <c r="C3232" s="11"/>
      <c r="D3232" s="13"/>
      <c r="E3232" s="14"/>
      <c r="F3232" s="14"/>
      <c r="G3232" s="14"/>
      <c r="H3232" s="15"/>
      <c r="I3232" s="15"/>
      <c r="J3232" s="3"/>
      <c r="K3232" s="3"/>
      <c r="L3232" s="3"/>
      <c r="M3232" s="3"/>
      <c r="N3232" s="3"/>
      <c r="O3232" s="3"/>
      <c r="P3232" s="3"/>
      <c r="Q3232" s="3"/>
      <c r="R3232" s="3"/>
      <c r="S3232" s="3"/>
      <c r="T3232" s="3"/>
      <c r="U3232" s="3"/>
      <c r="V3232" s="3"/>
      <c r="W3232" s="3"/>
      <c r="X3232" s="3"/>
      <c r="Y3232" s="3"/>
      <c r="Z3232" s="3"/>
      <c r="AA3232" s="3"/>
    </row>
    <row r="3233" ht="105.75" customHeight="1">
      <c r="A3233" s="11"/>
      <c r="B3233" s="12"/>
      <c r="C3233" s="11"/>
      <c r="D3233" s="13"/>
      <c r="E3233" s="14"/>
      <c r="F3233" s="14"/>
      <c r="G3233" s="14"/>
      <c r="H3233" s="15"/>
      <c r="I3233" s="15"/>
      <c r="J3233" s="3"/>
      <c r="K3233" s="3"/>
      <c r="L3233" s="3"/>
      <c r="M3233" s="3"/>
      <c r="N3233" s="3"/>
      <c r="O3233" s="3"/>
      <c r="P3233" s="3"/>
      <c r="Q3233" s="3"/>
      <c r="R3233" s="3"/>
      <c r="S3233" s="3"/>
      <c r="T3233" s="3"/>
      <c r="U3233" s="3"/>
      <c r="V3233" s="3"/>
      <c r="W3233" s="3"/>
      <c r="X3233" s="3"/>
      <c r="Y3233" s="3"/>
      <c r="Z3233" s="3"/>
      <c r="AA3233" s="3"/>
    </row>
    <row r="3234" ht="105.75" customHeight="1">
      <c r="A3234" s="11"/>
      <c r="B3234" s="12"/>
      <c r="C3234" s="11"/>
      <c r="D3234" s="13"/>
      <c r="E3234" s="14"/>
      <c r="F3234" s="14"/>
      <c r="G3234" s="14"/>
      <c r="H3234" s="15"/>
      <c r="I3234" s="15"/>
      <c r="J3234" s="3"/>
      <c r="K3234" s="3"/>
      <c r="L3234" s="3"/>
      <c r="M3234" s="3"/>
      <c r="N3234" s="3"/>
      <c r="O3234" s="3"/>
      <c r="P3234" s="3"/>
      <c r="Q3234" s="3"/>
      <c r="R3234" s="3"/>
      <c r="S3234" s="3"/>
      <c r="T3234" s="3"/>
      <c r="U3234" s="3"/>
      <c r="V3234" s="3"/>
      <c r="W3234" s="3"/>
      <c r="X3234" s="3"/>
      <c r="Y3234" s="3"/>
      <c r="Z3234" s="3"/>
      <c r="AA3234" s="3"/>
    </row>
    <row r="3235" ht="105.75" customHeight="1">
      <c r="A3235" s="11"/>
      <c r="B3235" s="12"/>
      <c r="C3235" s="11"/>
      <c r="D3235" s="13"/>
      <c r="E3235" s="14"/>
      <c r="F3235" s="14"/>
      <c r="G3235" s="14"/>
      <c r="H3235" s="15"/>
      <c r="I3235" s="15"/>
      <c r="J3235" s="3"/>
      <c r="K3235" s="3"/>
      <c r="L3235" s="3"/>
      <c r="M3235" s="3"/>
      <c r="N3235" s="3"/>
      <c r="O3235" s="3"/>
      <c r="P3235" s="3"/>
      <c r="Q3235" s="3"/>
      <c r="R3235" s="3"/>
      <c r="S3235" s="3"/>
      <c r="T3235" s="3"/>
      <c r="U3235" s="3"/>
      <c r="V3235" s="3"/>
      <c r="W3235" s="3"/>
      <c r="X3235" s="3"/>
      <c r="Y3235" s="3"/>
      <c r="Z3235" s="3"/>
      <c r="AA3235" s="3"/>
    </row>
    <row r="3236" ht="105.75" customHeight="1">
      <c r="A3236" s="11"/>
      <c r="B3236" s="12"/>
      <c r="C3236" s="11"/>
      <c r="D3236" s="13"/>
      <c r="E3236" s="14"/>
      <c r="F3236" s="14"/>
      <c r="G3236" s="14"/>
      <c r="H3236" s="15"/>
      <c r="I3236" s="15"/>
      <c r="J3236" s="3"/>
      <c r="K3236" s="3"/>
      <c r="L3236" s="3"/>
      <c r="M3236" s="3"/>
      <c r="N3236" s="3"/>
      <c r="O3236" s="3"/>
      <c r="P3236" s="3"/>
      <c r="Q3236" s="3"/>
      <c r="R3236" s="3"/>
      <c r="S3236" s="3"/>
      <c r="T3236" s="3"/>
      <c r="U3236" s="3"/>
      <c r="V3236" s="3"/>
      <c r="W3236" s="3"/>
      <c r="X3236" s="3"/>
      <c r="Y3236" s="3"/>
      <c r="Z3236" s="3"/>
      <c r="AA3236" s="3"/>
    </row>
    <row r="3237" ht="105.75" customHeight="1">
      <c r="A3237" s="11"/>
      <c r="B3237" s="12"/>
      <c r="C3237" s="11"/>
      <c r="D3237" s="13"/>
      <c r="E3237" s="14"/>
      <c r="F3237" s="14"/>
      <c r="G3237" s="14"/>
      <c r="H3237" s="15"/>
      <c r="I3237" s="15"/>
      <c r="J3237" s="3"/>
      <c r="K3237" s="3"/>
      <c r="L3237" s="3"/>
      <c r="M3237" s="3"/>
      <c r="N3237" s="3"/>
      <c r="O3237" s="3"/>
      <c r="P3237" s="3"/>
      <c r="Q3237" s="3"/>
      <c r="R3237" s="3"/>
      <c r="S3237" s="3"/>
      <c r="T3237" s="3"/>
      <c r="U3237" s="3"/>
      <c r="V3237" s="3"/>
      <c r="W3237" s="3"/>
      <c r="X3237" s="3"/>
      <c r="Y3237" s="3"/>
      <c r="Z3237" s="3"/>
      <c r="AA3237" s="3"/>
    </row>
    <row r="3238" ht="105.75" customHeight="1">
      <c r="A3238" s="11"/>
      <c r="B3238" s="12"/>
      <c r="C3238" s="11"/>
      <c r="D3238" s="13"/>
      <c r="E3238" s="14"/>
      <c r="F3238" s="14"/>
      <c r="G3238" s="14"/>
      <c r="H3238" s="15"/>
      <c r="I3238" s="15"/>
      <c r="J3238" s="3"/>
      <c r="K3238" s="3"/>
      <c r="L3238" s="3"/>
      <c r="M3238" s="3"/>
      <c r="N3238" s="3"/>
      <c r="O3238" s="3"/>
      <c r="P3238" s="3"/>
      <c r="Q3238" s="3"/>
      <c r="R3238" s="3"/>
      <c r="S3238" s="3"/>
      <c r="T3238" s="3"/>
      <c r="U3238" s="3"/>
      <c r="V3238" s="3"/>
      <c r="W3238" s="3"/>
      <c r="X3238" s="3"/>
      <c r="Y3238" s="3"/>
      <c r="Z3238" s="3"/>
      <c r="AA3238" s="3"/>
    </row>
    <row r="3239" ht="105.75" customHeight="1">
      <c r="A3239" s="11"/>
      <c r="B3239" s="12"/>
      <c r="C3239" s="11"/>
      <c r="D3239" s="13"/>
      <c r="E3239" s="14"/>
      <c r="F3239" s="14"/>
      <c r="G3239" s="14"/>
      <c r="H3239" s="15"/>
      <c r="I3239" s="15"/>
      <c r="J3239" s="3"/>
      <c r="K3239" s="3"/>
      <c r="L3239" s="3"/>
      <c r="M3239" s="3"/>
      <c r="N3239" s="3"/>
      <c r="O3239" s="3"/>
      <c r="P3239" s="3"/>
      <c r="Q3239" s="3"/>
      <c r="R3239" s="3"/>
      <c r="S3239" s="3"/>
      <c r="T3239" s="3"/>
      <c r="U3239" s="3"/>
      <c r="V3239" s="3"/>
      <c r="W3239" s="3"/>
      <c r="X3239" s="3"/>
      <c r="Y3239" s="3"/>
      <c r="Z3239" s="3"/>
      <c r="AA3239" s="3"/>
    </row>
    <row r="3240" ht="105.75" customHeight="1">
      <c r="A3240" s="11"/>
      <c r="B3240" s="12"/>
      <c r="C3240" s="11"/>
      <c r="D3240" s="13"/>
      <c r="E3240" s="16"/>
      <c r="F3240" s="16"/>
      <c r="G3240" s="16"/>
      <c r="H3240" s="15"/>
      <c r="I3240" s="15"/>
      <c r="J3240" s="3"/>
      <c r="K3240" s="3"/>
      <c r="L3240" s="3"/>
      <c r="M3240" s="3"/>
      <c r="N3240" s="3"/>
      <c r="O3240" s="3"/>
      <c r="P3240" s="3"/>
      <c r="Q3240" s="3"/>
      <c r="R3240" s="3"/>
      <c r="S3240" s="3"/>
      <c r="T3240" s="3"/>
      <c r="U3240" s="3"/>
      <c r="V3240" s="3"/>
      <c r="W3240" s="3"/>
      <c r="X3240" s="3"/>
      <c r="Y3240" s="3"/>
      <c r="Z3240" s="3"/>
      <c r="AA3240" s="3"/>
    </row>
    <row r="3241" ht="105.75" customHeight="1">
      <c r="A3241" s="11"/>
      <c r="B3241" s="12"/>
      <c r="C3241" s="11"/>
      <c r="D3241" s="13"/>
      <c r="E3241" s="14"/>
      <c r="F3241" s="14"/>
      <c r="G3241" s="14"/>
      <c r="H3241" s="15"/>
      <c r="I3241" s="15"/>
      <c r="J3241" s="3"/>
      <c r="K3241" s="3"/>
      <c r="L3241" s="3"/>
      <c r="M3241" s="3"/>
      <c r="N3241" s="3"/>
      <c r="O3241" s="3"/>
      <c r="P3241" s="3"/>
      <c r="Q3241" s="3"/>
      <c r="R3241" s="3"/>
      <c r="S3241" s="3"/>
      <c r="T3241" s="3"/>
      <c r="U3241" s="3"/>
      <c r="V3241" s="3"/>
      <c r="W3241" s="3"/>
      <c r="X3241" s="3"/>
      <c r="Y3241" s="3"/>
      <c r="Z3241" s="3"/>
      <c r="AA3241" s="3"/>
    </row>
    <row r="3242" ht="105.75" customHeight="1">
      <c r="A3242" s="11"/>
      <c r="B3242" s="12"/>
      <c r="C3242" s="11"/>
      <c r="D3242" s="13"/>
      <c r="E3242" s="14"/>
      <c r="F3242" s="14"/>
      <c r="G3242" s="14"/>
      <c r="H3242" s="15"/>
      <c r="I3242" s="15"/>
      <c r="J3242" s="3"/>
      <c r="K3242" s="3"/>
      <c r="L3242" s="3"/>
      <c r="M3242" s="3"/>
      <c r="N3242" s="3"/>
      <c r="O3242" s="3"/>
      <c r="P3242" s="3"/>
      <c r="Q3242" s="3"/>
      <c r="R3242" s="3"/>
      <c r="S3242" s="3"/>
      <c r="T3242" s="3"/>
      <c r="U3242" s="3"/>
      <c r="V3242" s="3"/>
      <c r="W3242" s="3"/>
      <c r="X3242" s="3"/>
      <c r="Y3242" s="3"/>
      <c r="Z3242" s="3"/>
      <c r="AA3242" s="3"/>
    </row>
    <row r="3243" ht="105.75" customHeight="1">
      <c r="A3243" s="11"/>
      <c r="B3243" s="12"/>
      <c r="C3243" s="11"/>
      <c r="D3243" s="13"/>
      <c r="E3243" s="14"/>
      <c r="F3243" s="14"/>
      <c r="G3243" s="14"/>
      <c r="H3243" s="15"/>
      <c r="I3243" s="15"/>
      <c r="J3243" s="3"/>
      <c r="K3243" s="3"/>
      <c r="L3243" s="3"/>
      <c r="M3243" s="3"/>
      <c r="N3243" s="3"/>
      <c r="O3243" s="3"/>
      <c r="P3243" s="3"/>
      <c r="Q3243" s="3"/>
      <c r="R3243" s="3"/>
      <c r="S3243" s="3"/>
      <c r="T3243" s="3"/>
      <c r="U3243" s="3"/>
      <c r="V3243" s="3"/>
      <c r="W3243" s="3"/>
      <c r="X3243" s="3"/>
      <c r="Y3243" s="3"/>
      <c r="Z3243" s="3"/>
      <c r="AA3243" s="3"/>
    </row>
    <row r="3244" ht="105.75" customHeight="1">
      <c r="A3244" s="11"/>
      <c r="B3244" s="12"/>
      <c r="C3244" s="11"/>
      <c r="D3244" s="13"/>
      <c r="E3244" s="14"/>
      <c r="F3244" s="14"/>
      <c r="G3244" s="14"/>
      <c r="H3244" s="15"/>
      <c r="I3244" s="15"/>
      <c r="J3244" s="3"/>
      <c r="K3244" s="3"/>
      <c r="L3244" s="3"/>
      <c r="M3244" s="3"/>
      <c r="N3244" s="3"/>
      <c r="O3244" s="3"/>
      <c r="P3244" s="3"/>
      <c r="Q3244" s="3"/>
      <c r="R3244" s="3"/>
      <c r="S3244" s="3"/>
      <c r="T3244" s="3"/>
      <c r="U3244" s="3"/>
      <c r="V3244" s="3"/>
      <c r="W3244" s="3"/>
      <c r="X3244" s="3"/>
      <c r="Y3244" s="3"/>
      <c r="Z3244" s="3"/>
      <c r="AA3244" s="3"/>
    </row>
    <row r="3245" ht="105.75" customHeight="1">
      <c r="A3245" s="11"/>
      <c r="B3245" s="12"/>
      <c r="C3245" s="11"/>
      <c r="D3245" s="13"/>
      <c r="E3245" s="14"/>
      <c r="F3245" s="14"/>
      <c r="G3245" s="14"/>
      <c r="H3245" s="15"/>
      <c r="I3245" s="15"/>
      <c r="J3245" s="3"/>
      <c r="K3245" s="3"/>
      <c r="L3245" s="3"/>
      <c r="M3245" s="3"/>
      <c r="N3245" s="3"/>
      <c r="O3245" s="3"/>
      <c r="P3245" s="3"/>
      <c r="Q3245" s="3"/>
      <c r="R3245" s="3"/>
      <c r="S3245" s="3"/>
      <c r="T3245" s="3"/>
      <c r="U3245" s="3"/>
      <c r="V3245" s="3"/>
      <c r="W3245" s="3"/>
      <c r="X3245" s="3"/>
      <c r="Y3245" s="3"/>
      <c r="Z3245" s="3"/>
      <c r="AA3245" s="3"/>
    </row>
    <row r="3246" ht="105.75" customHeight="1">
      <c r="A3246" s="11"/>
      <c r="B3246" s="12"/>
      <c r="C3246" s="11"/>
      <c r="D3246" s="13"/>
      <c r="E3246" s="14"/>
      <c r="F3246" s="14"/>
      <c r="G3246" s="14"/>
      <c r="H3246" s="15"/>
      <c r="I3246" s="15"/>
      <c r="J3246" s="3"/>
      <c r="K3246" s="3"/>
      <c r="L3246" s="3"/>
      <c r="M3246" s="3"/>
      <c r="N3246" s="3"/>
      <c r="O3246" s="3"/>
      <c r="P3246" s="3"/>
      <c r="Q3246" s="3"/>
      <c r="R3246" s="3"/>
      <c r="S3246" s="3"/>
      <c r="T3246" s="3"/>
      <c r="U3246" s="3"/>
      <c r="V3246" s="3"/>
      <c r="W3246" s="3"/>
      <c r="X3246" s="3"/>
      <c r="Y3246" s="3"/>
      <c r="Z3246" s="3"/>
      <c r="AA3246" s="3"/>
    </row>
    <row r="3247" ht="105.75" customHeight="1">
      <c r="A3247" s="11"/>
      <c r="B3247" s="12"/>
      <c r="C3247" s="11"/>
      <c r="D3247" s="13"/>
      <c r="E3247" s="14"/>
      <c r="F3247" s="14"/>
      <c r="G3247" s="14"/>
      <c r="H3247" s="15"/>
      <c r="I3247" s="15"/>
      <c r="J3247" s="3"/>
      <c r="K3247" s="3"/>
      <c r="L3247" s="3"/>
      <c r="M3247" s="3"/>
      <c r="N3247" s="3"/>
      <c r="O3247" s="3"/>
      <c r="P3247" s="3"/>
      <c r="Q3247" s="3"/>
      <c r="R3247" s="3"/>
      <c r="S3247" s="3"/>
      <c r="T3247" s="3"/>
      <c r="U3247" s="3"/>
      <c r="V3247" s="3"/>
      <c r="W3247" s="3"/>
      <c r="X3247" s="3"/>
      <c r="Y3247" s="3"/>
      <c r="Z3247" s="3"/>
      <c r="AA3247" s="3"/>
    </row>
    <row r="3248" ht="105.75" customHeight="1">
      <c r="A3248" s="11"/>
      <c r="B3248" s="12"/>
      <c r="C3248" s="11"/>
      <c r="D3248" s="13"/>
      <c r="E3248" s="14"/>
      <c r="F3248" s="14"/>
      <c r="G3248" s="14"/>
      <c r="H3248" s="15"/>
      <c r="I3248" s="15"/>
      <c r="J3248" s="3"/>
      <c r="K3248" s="3"/>
      <c r="L3248" s="3"/>
      <c r="M3248" s="3"/>
      <c r="N3248" s="3"/>
      <c r="O3248" s="3"/>
      <c r="P3248" s="3"/>
      <c r="Q3248" s="3"/>
      <c r="R3248" s="3"/>
      <c r="S3248" s="3"/>
      <c r="T3248" s="3"/>
      <c r="U3248" s="3"/>
      <c r="V3248" s="3"/>
      <c r="W3248" s="3"/>
      <c r="X3248" s="3"/>
      <c r="Y3248" s="3"/>
      <c r="Z3248" s="3"/>
      <c r="AA3248" s="3"/>
    </row>
    <row r="3249" ht="105.75" customHeight="1">
      <c r="A3249" s="11"/>
      <c r="B3249" s="12"/>
      <c r="C3249" s="11"/>
      <c r="D3249" s="13"/>
      <c r="E3249" s="14"/>
      <c r="F3249" s="14"/>
      <c r="G3249" s="14"/>
      <c r="H3249" s="15"/>
      <c r="I3249" s="15"/>
      <c r="J3249" s="3"/>
      <c r="K3249" s="3"/>
      <c r="L3249" s="3"/>
      <c r="M3249" s="3"/>
      <c r="N3249" s="3"/>
      <c r="O3249" s="3"/>
      <c r="P3249" s="3"/>
      <c r="Q3249" s="3"/>
      <c r="R3249" s="3"/>
      <c r="S3249" s="3"/>
      <c r="T3249" s="3"/>
      <c r="U3249" s="3"/>
      <c r="V3249" s="3"/>
      <c r="W3249" s="3"/>
      <c r="X3249" s="3"/>
      <c r="Y3249" s="3"/>
      <c r="Z3249" s="3"/>
      <c r="AA3249" s="3"/>
    </row>
    <row r="3250" ht="105.75" customHeight="1">
      <c r="A3250" s="11"/>
      <c r="B3250" s="12"/>
      <c r="C3250" s="11"/>
      <c r="D3250" s="13"/>
      <c r="E3250" s="14"/>
      <c r="F3250" s="14"/>
      <c r="G3250" s="14"/>
      <c r="H3250" s="15"/>
      <c r="I3250" s="15"/>
      <c r="J3250" s="3"/>
      <c r="K3250" s="3"/>
      <c r="L3250" s="3"/>
      <c r="M3250" s="3"/>
      <c r="N3250" s="3"/>
      <c r="O3250" s="3"/>
      <c r="P3250" s="3"/>
      <c r="Q3250" s="3"/>
      <c r="R3250" s="3"/>
      <c r="S3250" s="3"/>
      <c r="T3250" s="3"/>
      <c r="U3250" s="3"/>
      <c r="V3250" s="3"/>
      <c r="W3250" s="3"/>
      <c r="X3250" s="3"/>
      <c r="Y3250" s="3"/>
      <c r="Z3250" s="3"/>
      <c r="AA3250" s="3"/>
    </row>
    <row r="3251" ht="105.75" customHeight="1">
      <c r="A3251" s="11"/>
      <c r="B3251" s="12"/>
      <c r="C3251" s="11"/>
      <c r="D3251" s="13"/>
      <c r="E3251" s="14"/>
      <c r="F3251" s="14"/>
      <c r="G3251" s="14"/>
      <c r="H3251" s="15"/>
      <c r="I3251" s="15"/>
      <c r="J3251" s="3"/>
      <c r="K3251" s="3"/>
      <c r="L3251" s="3"/>
      <c r="M3251" s="3"/>
      <c r="N3251" s="3"/>
      <c r="O3251" s="3"/>
      <c r="P3251" s="3"/>
      <c r="Q3251" s="3"/>
      <c r="R3251" s="3"/>
      <c r="S3251" s="3"/>
      <c r="T3251" s="3"/>
      <c r="U3251" s="3"/>
      <c r="V3251" s="3"/>
      <c r="W3251" s="3"/>
      <c r="X3251" s="3"/>
      <c r="Y3251" s="3"/>
      <c r="Z3251" s="3"/>
      <c r="AA3251" s="3"/>
    </row>
    <row r="3252" ht="105.75" customHeight="1">
      <c r="A3252" s="11"/>
      <c r="B3252" s="12"/>
      <c r="C3252" s="11"/>
      <c r="D3252" s="13"/>
      <c r="E3252" s="14"/>
      <c r="F3252" s="14"/>
      <c r="G3252" s="14"/>
      <c r="H3252" s="15"/>
      <c r="I3252" s="15"/>
      <c r="J3252" s="3"/>
      <c r="K3252" s="3"/>
      <c r="L3252" s="3"/>
      <c r="M3252" s="3"/>
      <c r="N3252" s="3"/>
      <c r="O3252" s="3"/>
      <c r="P3252" s="3"/>
      <c r="Q3252" s="3"/>
      <c r="R3252" s="3"/>
      <c r="S3252" s="3"/>
      <c r="T3252" s="3"/>
      <c r="U3252" s="3"/>
      <c r="V3252" s="3"/>
      <c r="W3252" s="3"/>
      <c r="X3252" s="3"/>
      <c r="Y3252" s="3"/>
      <c r="Z3252" s="3"/>
      <c r="AA3252" s="3"/>
    </row>
    <row r="3253" ht="105.75" customHeight="1">
      <c r="A3253" s="11"/>
      <c r="B3253" s="12"/>
      <c r="C3253" s="11"/>
      <c r="D3253" s="13"/>
      <c r="E3253" s="16"/>
      <c r="F3253" s="16"/>
      <c r="G3253" s="16"/>
      <c r="H3253" s="15"/>
      <c r="I3253" s="15"/>
      <c r="J3253" s="3"/>
      <c r="K3253" s="3"/>
      <c r="L3253" s="3"/>
      <c r="M3253" s="3"/>
      <c r="N3253" s="3"/>
      <c r="O3253" s="3"/>
      <c r="P3253" s="3"/>
      <c r="Q3253" s="3"/>
      <c r="R3253" s="3"/>
      <c r="S3253" s="3"/>
      <c r="T3253" s="3"/>
      <c r="U3253" s="3"/>
      <c r="V3253" s="3"/>
      <c r="W3253" s="3"/>
      <c r="X3253" s="3"/>
      <c r="Y3253" s="3"/>
      <c r="Z3253" s="3"/>
      <c r="AA3253" s="3"/>
    </row>
    <row r="3254" ht="105.75" customHeight="1">
      <c r="A3254" s="11"/>
      <c r="B3254" s="12"/>
      <c r="C3254" s="11"/>
      <c r="D3254" s="13"/>
      <c r="E3254" s="14"/>
      <c r="F3254" s="14"/>
      <c r="G3254" s="14"/>
      <c r="H3254" s="15"/>
      <c r="I3254" s="15"/>
      <c r="J3254" s="3"/>
      <c r="K3254" s="3"/>
      <c r="L3254" s="3"/>
      <c r="M3254" s="3"/>
      <c r="N3254" s="3"/>
      <c r="O3254" s="3"/>
      <c r="P3254" s="3"/>
      <c r="Q3254" s="3"/>
      <c r="R3254" s="3"/>
      <c r="S3254" s="3"/>
      <c r="T3254" s="3"/>
      <c r="U3254" s="3"/>
      <c r="V3254" s="3"/>
      <c r="W3254" s="3"/>
      <c r="X3254" s="3"/>
      <c r="Y3254" s="3"/>
      <c r="Z3254" s="3"/>
      <c r="AA3254" s="3"/>
    </row>
    <row r="3255" ht="105.75" customHeight="1">
      <c r="A3255" s="11"/>
      <c r="B3255" s="12"/>
      <c r="C3255" s="11"/>
      <c r="D3255" s="13"/>
      <c r="E3255" s="14"/>
      <c r="F3255" s="14"/>
      <c r="G3255" s="14"/>
      <c r="H3255" s="15"/>
      <c r="I3255" s="15"/>
      <c r="J3255" s="3"/>
      <c r="K3255" s="3"/>
      <c r="L3255" s="3"/>
      <c r="M3255" s="3"/>
      <c r="N3255" s="3"/>
      <c r="O3255" s="3"/>
      <c r="P3255" s="3"/>
      <c r="Q3255" s="3"/>
      <c r="R3255" s="3"/>
      <c r="S3255" s="3"/>
      <c r="T3255" s="3"/>
      <c r="U3255" s="3"/>
      <c r="V3255" s="3"/>
      <c r="W3255" s="3"/>
      <c r="X3255" s="3"/>
      <c r="Y3255" s="3"/>
      <c r="Z3255" s="3"/>
      <c r="AA3255" s="3"/>
    </row>
    <row r="3256" ht="105.75" customHeight="1">
      <c r="A3256" s="11"/>
      <c r="B3256" s="12"/>
      <c r="C3256" s="11"/>
      <c r="D3256" s="13"/>
      <c r="E3256" s="14"/>
      <c r="F3256" s="14"/>
      <c r="G3256" s="14"/>
      <c r="H3256" s="15"/>
      <c r="I3256" s="15"/>
      <c r="J3256" s="3"/>
      <c r="K3256" s="3"/>
      <c r="L3256" s="3"/>
      <c r="M3256" s="3"/>
      <c r="N3256" s="3"/>
      <c r="O3256" s="3"/>
      <c r="P3256" s="3"/>
      <c r="Q3256" s="3"/>
      <c r="R3256" s="3"/>
      <c r="S3256" s="3"/>
      <c r="T3256" s="3"/>
      <c r="U3256" s="3"/>
      <c r="V3256" s="3"/>
      <c r="W3256" s="3"/>
      <c r="X3256" s="3"/>
      <c r="Y3256" s="3"/>
      <c r="Z3256" s="3"/>
      <c r="AA3256" s="3"/>
    </row>
    <row r="3257" ht="105.75" customHeight="1">
      <c r="A3257" s="11"/>
      <c r="B3257" s="12"/>
      <c r="C3257" s="11"/>
      <c r="D3257" s="13"/>
      <c r="E3257" s="14"/>
      <c r="F3257" s="14"/>
      <c r="G3257" s="14"/>
      <c r="H3257" s="15"/>
      <c r="I3257" s="15"/>
      <c r="J3257" s="3"/>
      <c r="K3257" s="3"/>
      <c r="L3257" s="3"/>
      <c r="M3257" s="3"/>
      <c r="N3257" s="3"/>
      <c r="O3257" s="3"/>
      <c r="P3257" s="3"/>
      <c r="Q3257" s="3"/>
      <c r="R3257" s="3"/>
      <c r="S3257" s="3"/>
      <c r="T3257" s="3"/>
      <c r="U3257" s="3"/>
      <c r="V3257" s="3"/>
      <c r="W3257" s="3"/>
      <c r="X3257" s="3"/>
      <c r="Y3257" s="3"/>
      <c r="Z3257" s="3"/>
      <c r="AA3257" s="3"/>
    </row>
    <row r="3258" ht="105.75" customHeight="1">
      <c r="A3258" s="11"/>
      <c r="B3258" s="12"/>
      <c r="C3258" s="11"/>
      <c r="D3258" s="13"/>
      <c r="E3258" s="14"/>
      <c r="F3258" s="14"/>
      <c r="G3258" s="14"/>
      <c r="H3258" s="15"/>
      <c r="I3258" s="15"/>
      <c r="J3258" s="3"/>
      <c r="K3258" s="3"/>
      <c r="L3258" s="3"/>
      <c r="M3258" s="3"/>
      <c r="N3258" s="3"/>
      <c r="O3258" s="3"/>
      <c r="P3258" s="3"/>
      <c r="Q3258" s="3"/>
      <c r="R3258" s="3"/>
      <c r="S3258" s="3"/>
      <c r="T3258" s="3"/>
      <c r="U3258" s="3"/>
      <c r="V3258" s="3"/>
      <c r="W3258" s="3"/>
      <c r="X3258" s="3"/>
      <c r="Y3258" s="3"/>
      <c r="Z3258" s="3"/>
      <c r="AA3258" s="3"/>
    </row>
    <row r="3259" ht="105.75" customHeight="1">
      <c r="A3259" s="11"/>
      <c r="B3259" s="12"/>
      <c r="C3259" s="11"/>
      <c r="D3259" s="13"/>
      <c r="E3259" s="16"/>
      <c r="F3259" s="16"/>
      <c r="G3259" s="16"/>
      <c r="H3259" s="15"/>
      <c r="I3259" s="15"/>
      <c r="J3259" s="3"/>
      <c r="K3259" s="3"/>
      <c r="L3259" s="3"/>
      <c r="M3259" s="3"/>
      <c r="N3259" s="3"/>
      <c r="O3259" s="3"/>
      <c r="P3259" s="3"/>
      <c r="Q3259" s="3"/>
      <c r="R3259" s="3"/>
      <c r="S3259" s="3"/>
      <c r="T3259" s="3"/>
      <c r="U3259" s="3"/>
      <c r="V3259" s="3"/>
      <c r="W3259" s="3"/>
      <c r="X3259" s="3"/>
      <c r="Y3259" s="3"/>
      <c r="Z3259" s="3"/>
      <c r="AA3259" s="3"/>
    </row>
    <row r="3260" ht="105.75" customHeight="1">
      <c r="A3260" s="11"/>
      <c r="B3260" s="12"/>
      <c r="C3260" s="11"/>
      <c r="D3260" s="13"/>
      <c r="E3260" s="14"/>
      <c r="F3260" s="14"/>
      <c r="G3260" s="14"/>
      <c r="H3260" s="15"/>
      <c r="I3260" s="15"/>
      <c r="J3260" s="3"/>
      <c r="K3260" s="3"/>
      <c r="L3260" s="3"/>
      <c r="M3260" s="3"/>
      <c r="N3260" s="3"/>
      <c r="O3260" s="3"/>
      <c r="P3260" s="3"/>
      <c r="Q3260" s="3"/>
      <c r="R3260" s="3"/>
      <c r="S3260" s="3"/>
      <c r="T3260" s="3"/>
      <c r="U3260" s="3"/>
      <c r="V3260" s="3"/>
      <c r="W3260" s="3"/>
      <c r="X3260" s="3"/>
      <c r="Y3260" s="3"/>
      <c r="Z3260" s="3"/>
      <c r="AA3260" s="3"/>
    </row>
    <row r="3261" ht="105.75" customHeight="1">
      <c r="A3261" s="11"/>
      <c r="B3261" s="12"/>
      <c r="C3261" s="11"/>
      <c r="D3261" s="13"/>
      <c r="E3261" s="14"/>
      <c r="F3261" s="14"/>
      <c r="G3261" s="14"/>
      <c r="H3261" s="15"/>
      <c r="I3261" s="15"/>
      <c r="J3261" s="3"/>
      <c r="K3261" s="3"/>
      <c r="L3261" s="3"/>
      <c r="M3261" s="3"/>
      <c r="N3261" s="3"/>
      <c r="O3261" s="3"/>
      <c r="P3261" s="3"/>
      <c r="Q3261" s="3"/>
      <c r="R3261" s="3"/>
      <c r="S3261" s="3"/>
      <c r="T3261" s="3"/>
      <c r="U3261" s="3"/>
      <c r="V3261" s="3"/>
      <c r="W3261" s="3"/>
      <c r="X3261" s="3"/>
      <c r="Y3261" s="3"/>
      <c r="Z3261" s="3"/>
      <c r="AA3261" s="3"/>
    </row>
    <row r="3262" ht="105.75" customHeight="1">
      <c r="A3262" s="11"/>
      <c r="B3262" s="12"/>
      <c r="C3262" s="11"/>
      <c r="D3262" s="13"/>
      <c r="E3262" s="14"/>
      <c r="F3262" s="14"/>
      <c r="G3262" s="14"/>
      <c r="H3262" s="15"/>
      <c r="I3262" s="15"/>
      <c r="J3262" s="3"/>
      <c r="K3262" s="3"/>
      <c r="L3262" s="3"/>
      <c r="M3262" s="3"/>
      <c r="N3262" s="3"/>
      <c r="O3262" s="3"/>
      <c r="P3262" s="3"/>
      <c r="Q3262" s="3"/>
      <c r="R3262" s="3"/>
      <c r="S3262" s="3"/>
      <c r="T3262" s="3"/>
      <c r="U3262" s="3"/>
      <c r="V3262" s="3"/>
      <c r="W3262" s="3"/>
      <c r="X3262" s="3"/>
      <c r="Y3262" s="3"/>
      <c r="Z3262" s="3"/>
      <c r="AA3262" s="3"/>
    </row>
    <row r="3263" ht="105.75" customHeight="1">
      <c r="A3263" s="11"/>
      <c r="B3263" s="12"/>
      <c r="C3263" s="11"/>
      <c r="D3263" s="13"/>
      <c r="E3263" s="14"/>
      <c r="F3263" s="14"/>
      <c r="G3263" s="14"/>
      <c r="H3263" s="15"/>
      <c r="I3263" s="15"/>
      <c r="J3263" s="3"/>
      <c r="K3263" s="3"/>
      <c r="L3263" s="3"/>
      <c r="M3263" s="3"/>
      <c r="N3263" s="3"/>
      <c r="O3263" s="3"/>
      <c r="P3263" s="3"/>
      <c r="Q3263" s="3"/>
      <c r="R3263" s="3"/>
      <c r="S3263" s="3"/>
      <c r="T3263" s="3"/>
      <c r="U3263" s="3"/>
      <c r="V3263" s="3"/>
      <c r="W3263" s="3"/>
      <c r="X3263" s="3"/>
      <c r="Y3263" s="3"/>
      <c r="Z3263" s="3"/>
      <c r="AA3263" s="3"/>
    </row>
    <row r="3264" ht="105.75" customHeight="1">
      <c r="A3264" s="11"/>
      <c r="B3264" s="12"/>
      <c r="C3264" s="11"/>
      <c r="D3264" s="13"/>
      <c r="E3264" s="16"/>
      <c r="F3264" s="16"/>
      <c r="G3264" s="16"/>
      <c r="H3264" s="15"/>
      <c r="I3264" s="15"/>
      <c r="J3264" s="3"/>
      <c r="K3264" s="3"/>
      <c r="L3264" s="3"/>
      <c r="M3264" s="3"/>
      <c r="N3264" s="3"/>
      <c r="O3264" s="3"/>
      <c r="P3264" s="3"/>
      <c r="Q3264" s="3"/>
      <c r="R3264" s="3"/>
      <c r="S3264" s="3"/>
      <c r="T3264" s="3"/>
      <c r="U3264" s="3"/>
      <c r="V3264" s="3"/>
      <c r="W3264" s="3"/>
      <c r="X3264" s="3"/>
      <c r="Y3264" s="3"/>
      <c r="Z3264" s="3"/>
      <c r="AA3264" s="3"/>
    </row>
    <row r="3265" ht="105.75" customHeight="1">
      <c r="A3265" s="11"/>
      <c r="B3265" s="12"/>
      <c r="C3265" s="11"/>
      <c r="D3265" s="13"/>
      <c r="E3265" s="14"/>
      <c r="F3265" s="14"/>
      <c r="G3265" s="14"/>
      <c r="H3265" s="15"/>
      <c r="I3265" s="15"/>
      <c r="J3265" s="3"/>
      <c r="K3265" s="3"/>
      <c r="L3265" s="3"/>
      <c r="M3265" s="3"/>
      <c r="N3265" s="3"/>
      <c r="O3265" s="3"/>
      <c r="P3265" s="3"/>
      <c r="Q3265" s="3"/>
      <c r="R3265" s="3"/>
      <c r="S3265" s="3"/>
      <c r="T3265" s="3"/>
      <c r="U3265" s="3"/>
      <c r="V3265" s="3"/>
      <c r="W3265" s="3"/>
      <c r="X3265" s="3"/>
      <c r="Y3265" s="3"/>
      <c r="Z3265" s="3"/>
      <c r="AA3265" s="3"/>
    </row>
    <row r="3266" ht="105.75" customHeight="1">
      <c r="A3266" s="11"/>
      <c r="B3266" s="12"/>
      <c r="C3266" s="11"/>
      <c r="D3266" s="13"/>
      <c r="E3266" s="16"/>
      <c r="F3266" s="16"/>
      <c r="G3266" s="16"/>
      <c r="H3266" s="15"/>
      <c r="I3266" s="15"/>
      <c r="J3266" s="3"/>
      <c r="K3266" s="3"/>
      <c r="L3266" s="3"/>
      <c r="M3266" s="3"/>
      <c r="N3266" s="3"/>
      <c r="O3266" s="3"/>
      <c r="P3266" s="3"/>
      <c r="Q3266" s="3"/>
      <c r="R3266" s="3"/>
      <c r="S3266" s="3"/>
      <c r="T3266" s="3"/>
      <c r="U3266" s="3"/>
      <c r="V3266" s="3"/>
      <c r="W3266" s="3"/>
      <c r="X3266" s="3"/>
      <c r="Y3266" s="3"/>
      <c r="Z3266" s="3"/>
      <c r="AA3266" s="3"/>
    </row>
    <row r="3267" ht="105.75" customHeight="1">
      <c r="A3267" s="11"/>
      <c r="B3267" s="12"/>
      <c r="C3267" s="11"/>
      <c r="D3267" s="13"/>
      <c r="E3267" s="14"/>
      <c r="F3267" s="14"/>
      <c r="G3267" s="14"/>
      <c r="H3267" s="15"/>
      <c r="I3267" s="15"/>
      <c r="J3267" s="3"/>
      <c r="K3267" s="3"/>
      <c r="L3267" s="3"/>
      <c r="M3267" s="3"/>
      <c r="N3267" s="3"/>
      <c r="O3267" s="3"/>
      <c r="P3267" s="3"/>
      <c r="Q3267" s="3"/>
      <c r="R3267" s="3"/>
      <c r="S3267" s="3"/>
      <c r="T3267" s="3"/>
      <c r="U3267" s="3"/>
      <c r="V3267" s="3"/>
      <c r="W3267" s="3"/>
      <c r="X3267" s="3"/>
      <c r="Y3267" s="3"/>
      <c r="Z3267" s="3"/>
      <c r="AA3267" s="3"/>
    </row>
    <row r="3268" ht="105.75" customHeight="1">
      <c r="A3268" s="11"/>
      <c r="B3268" s="12"/>
      <c r="C3268" s="11"/>
      <c r="D3268" s="13"/>
      <c r="E3268" s="14"/>
      <c r="F3268" s="14"/>
      <c r="G3268" s="14"/>
      <c r="H3268" s="15"/>
      <c r="I3268" s="15"/>
      <c r="J3268" s="3"/>
      <c r="K3268" s="3"/>
      <c r="L3268" s="3"/>
      <c r="M3268" s="3"/>
      <c r="N3268" s="3"/>
      <c r="O3268" s="3"/>
      <c r="P3268" s="3"/>
      <c r="Q3268" s="3"/>
      <c r="R3268" s="3"/>
      <c r="S3268" s="3"/>
      <c r="T3268" s="3"/>
      <c r="U3268" s="3"/>
      <c r="V3268" s="3"/>
      <c r="W3268" s="3"/>
      <c r="X3268" s="3"/>
      <c r="Y3268" s="3"/>
      <c r="Z3268" s="3"/>
      <c r="AA3268" s="3"/>
    </row>
    <row r="3269" ht="105.75" customHeight="1">
      <c r="A3269" s="11"/>
      <c r="B3269" s="12"/>
      <c r="C3269" s="11"/>
      <c r="D3269" s="13"/>
      <c r="E3269" s="14"/>
      <c r="F3269" s="14"/>
      <c r="G3269" s="14"/>
      <c r="H3269" s="15"/>
      <c r="I3269" s="15"/>
      <c r="J3269" s="3"/>
      <c r="K3269" s="3"/>
      <c r="L3269" s="3"/>
      <c r="M3269" s="3"/>
      <c r="N3269" s="3"/>
      <c r="O3269" s="3"/>
      <c r="P3269" s="3"/>
      <c r="Q3269" s="3"/>
      <c r="R3269" s="3"/>
      <c r="S3269" s="3"/>
      <c r="T3269" s="3"/>
      <c r="U3269" s="3"/>
      <c r="V3269" s="3"/>
      <c r="W3269" s="3"/>
      <c r="X3269" s="3"/>
      <c r="Y3269" s="3"/>
      <c r="Z3269" s="3"/>
      <c r="AA3269" s="3"/>
    </row>
    <row r="3270" ht="105.75" customHeight="1">
      <c r="A3270" s="11"/>
      <c r="B3270" s="12"/>
      <c r="C3270" s="11"/>
      <c r="D3270" s="13"/>
      <c r="E3270" s="14"/>
      <c r="F3270" s="14"/>
      <c r="G3270" s="14"/>
      <c r="H3270" s="15"/>
      <c r="I3270" s="15"/>
      <c r="J3270" s="3"/>
      <c r="K3270" s="3"/>
      <c r="L3270" s="3"/>
      <c r="M3270" s="3"/>
      <c r="N3270" s="3"/>
      <c r="O3270" s="3"/>
      <c r="P3270" s="3"/>
      <c r="Q3270" s="3"/>
      <c r="R3270" s="3"/>
      <c r="S3270" s="3"/>
      <c r="T3270" s="3"/>
      <c r="U3270" s="3"/>
      <c r="V3270" s="3"/>
      <c r="W3270" s="3"/>
      <c r="X3270" s="3"/>
      <c r="Y3270" s="3"/>
      <c r="Z3270" s="3"/>
      <c r="AA3270" s="3"/>
    </row>
    <row r="3271" ht="105.75" customHeight="1">
      <c r="A3271" s="11"/>
      <c r="B3271" s="12"/>
      <c r="C3271" s="11"/>
      <c r="D3271" s="13"/>
      <c r="E3271" s="14"/>
      <c r="F3271" s="14"/>
      <c r="G3271" s="14"/>
      <c r="H3271" s="15"/>
      <c r="I3271" s="15"/>
      <c r="J3271" s="3"/>
      <c r="K3271" s="3"/>
      <c r="L3271" s="3"/>
      <c r="M3271" s="3"/>
      <c r="N3271" s="3"/>
      <c r="O3271" s="3"/>
      <c r="P3271" s="3"/>
      <c r="Q3271" s="3"/>
      <c r="R3271" s="3"/>
      <c r="S3271" s="3"/>
      <c r="T3271" s="3"/>
      <c r="U3271" s="3"/>
      <c r="V3271" s="3"/>
      <c r="W3271" s="3"/>
      <c r="X3271" s="3"/>
      <c r="Y3271" s="3"/>
      <c r="Z3271" s="3"/>
      <c r="AA3271" s="3"/>
    </row>
    <row r="3272" ht="105.75" customHeight="1">
      <c r="A3272" s="11"/>
      <c r="B3272" s="12"/>
      <c r="C3272" s="11"/>
      <c r="D3272" s="13"/>
      <c r="E3272" s="16"/>
      <c r="F3272" s="16"/>
      <c r="G3272" s="16"/>
      <c r="H3272" s="15"/>
      <c r="I3272" s="15"/>
      <c r="J3272" s="3"/>
      <c r="K3272" s="3"/>
      <c r="L3272" s="3"/>
      <c r="M3272" s="3"/>
      <c r="N3272" s="3"/>
      <c r="O3272" s="3"/>
      <c r="P3272" s="3"/>
      <c r="Q3272" s="3"/>
      <c r="R3272" s="3"/>
      <c r="S3272" s="3"/>
      <c r="T3272" s="3"/>
      <c r="U3272" s="3"/>
      <c r="V3272" s="3"/>
      <c r="W3272" s="3"/>
      <c r="X3272" s="3"/>
      <c r="Y3272" s="3"/>
      <c r="Z3272" s="3"/>
      <c r="AA3272" s="3"/>
    </row>
    <row r="3273" ht="105.75" customHeight="1">
      <c r="A3273" s="11"/>
      <c r="B3273" s="12"/>
      <c r="C3273" s="11"/>
      <c r="D3273" s="13"/>
      <c r="E3273" s="16"/>
      <c r="F3273" s="16"/>
      <c r="G3273" s="16"/>
      <c r="H3273" s="15"/>
      <c r="I3273" s="15"/>
      <c r="J3273" s="3"/>
      <c r="K3273" s="3"/>
      <c r="L3273" s="3"/>
      <c r="M3273" s="3"/>
      <c r="N3273" s="3"/>
      <c r="O3273" s="3"/>
      <c r="P3273" s="3"/>
      <c r="Q3273" s="3"/>
      <c r="R3273" s="3"/>
      <c r="S3273" s="3"/>
      <c r="T3273" s="3"/>
      <c r="U3273" s="3"/>
      <c r="V3273" s="3"/>
      <c r="W3273" s="3"/>
      <c r="X3273" s="3"/>
      <c r="Y3273" s="3"/>
      <c r="Z3273" s="3"/>
      <c r="AA3273" s="3"/>
    </row>
    <row r="3274" ht="105.75" customHeight="1">
      <c r="A3274" s="11"/>
      <c r="B3274" s="12"/>
      <c r="C3274" s="11"/>
      <c r="D3274" s="13"/>
      <c r="E3274" s="14"/>
      <c r="F3274" s="14"/>
      <c r="G3274" s="14"/>
      <c r="H3274" s="15"/>
      <c r="I3274" s="15"/>
      <c r="J3274" s="3"/>
      <c r="K3274" s="3"/>
      <c r="L3274" s="3"/>
      <c r="M3274" s="3"/>
      <c r="N3274" s="3"/>
      <c r="O3274" s="3"/>
      <c r="P3274" s="3"/>
      <c r="Q3274" s="3"/>
      <c r="R3274" s="3"/>
      <c r="S3274" s="3"/>
      <c r="T3274" s="3"/>
      <c r="U3274" s="3"/>
      <c r="V3274" s="3"/>
      <c r="W3274" s="3"/>
      <c r="X3274" s="3"/>
      <c r="Y3274" s="3"/>
      <c r="Z3274" s="3"/>
      <c r="AA3274" s="3"/>
    </row>
    <row r="3275" ht="105.75" customHeight="1">
      <c r="A3275" s="11"/>
      <c r="B3275" s="12"/>
      <c r="C3275" s="11"/>
      <c r="D3275" s="13"/>
      <c r="E3275" s="14"/>
      <c r="F3275" s="14"/>
      <c r="G3275" s="14"/>
      <c r="H3275" s="15"/>
      <c r="I3275" s="15"/>
      <c r="J3275" s="3"/>
      <c r="K3275" s="3"/>
      <c r="L3275" s="3"/>
      <c r="M3275" s="3"/>
      <c r="N3275" s="3"/>
      <c r="O3275" s="3"/>
      <c r="P3275" s="3"/>
      <c r="Q3275" s="3"/>
      <c r="R3275" s="3"/>
      <c r="S3275" s="3"/>
      <c r="T3275" s="3"/>
      <c r="U3275" s="3"/>
      <c r="V3275" s="3"/>
      <c r="W3275" s="3"/>
      <c r="X3275" s="3"/>
      <c r="Y3275" s="3"/>
      <c r="Z3275" s="3"/>
      <c r="AA3275" s="3"/>
    </row>
    <row r="3276" ht="105.75" customHeight="1">
      <c r="A3276" s="11"/>
      <c r="B3276" s="12"/>
      <c r="C3276" s="11"/>
      <c r="D3276" s="13"/>
      <c r="E3276" s="14"/>
      <c r="F3276" s="14"/>
      <c r="G3276" s="14"/>
      <c r="H3276" s="15"/>
      <c r="I3276" s="15"/>
      <c r="J3276" s="3"/>
      <c r="K3276" s="3"/>
      <c r="L3276" s="3"/>
      <c r="M3276" s="3"/>
      <c r="N3276" s="3"/>
      <c r="O3276" s="3"/>
      <c r="P3276" s="3"/>
      <c r="Q3276" s="3"/>
      <c r="R3276" s="3"/>
      <c r="S3276" s="3"/>
      <c r="T3276" s="3"/>
      <c r="U3276" s="3"/>
      <c r="V3276" s="3"/>
      <c r="W3276" s="3"/>
      <c r="X3276" s="3"/>
      <c r="Y3276" s="3"/>
      <c r="Z3276" s="3"/>
      <c r="AA3276" s="3"/>
    </row>
    <row r="3277" ht="105.75" customHeight="1">
      <c r="A3277" s="11"/>
      <c r="B3277" s="12"/>
      <c r="C3277" s="11"/>
      <c r="D3277" s="13"/>
      <c r="E3277" s="14"/>
      <c r="F3277" s="14"/>
      <c r="G3277" s="14"/>
      <c r="H3277" s="15"/>
      <c r="I3277" s="15"/>
      <c r="J3277" s="3"/>
      <c r="K3277" s="3"/>
      <c r="L3277" s="3"/>
      <c r="M3277" s="3"/>
      <c r="N3277" s="3"/>
      <c r="O3277" s="3"/>
      <c r="P3277" s="3"/>
      <c r="Q3277" s="3"/>
      <c r="R3277" s="3"/>
      <c r="S3277" s="3"/>
      <c r="T3277" s="3"/>
      <c r="U3277" s="3"/>
      <c r="V3277" s="3"/>
      <c r="W3277" s="3"/>
      <c r="X3277" s="3"/>
      <c r="Y3277" s="3"/>
      <c r="Z3277" s="3"/>
      <c r="AA3277" s="3"/>
    </row>
    <row r="3278" ht="105.75" customHeight="1">
      <c r="A3278" s="11"/>
      <c r="B3278" s="12"/>
      <c r="C3278" s="11"/>
      <c r="D3278" s="13"/>
      <c r="E3278" s="14"/>
      <c r="F3278" s="14"/>
      <c r="G3278" s="14"/>
      <c r="H3278" s="15"/>
      <c r="I3278" s="15"/>
      <c r="J3278" s="3"/>
      <c r="K3278" s="3"/>
      <c r="L3278" s="3"/>
      <c r="M3278" s="3"/>
      <c r="N3278" s="3"/>
      <c r="O3278" s="3"/>
      <c r="P3278" s="3"/>
      <c r="Q3278" s="3"/>
      <c r="R3278" s="3"/>
      <c r="S3278" s="3"/>
      <c r="T3278" s="3"/>
      <c r="U3278" s="3"/>
      <c r="V3278" s="3"/>
      <c r="W3278" s="3"/>
      <c r="X3278" s="3"/>
      <c r="Y3278" s="3"/>
      <c r="Z3278" s="3"/>
      <c r="AA3278" s="3"/>
    </row>
    <row r="3279" ht="105.75" customHeight="1">
      <c r="A3279" s="11"/>
      <c r="B3279" s="12"/>
      <c r="C3279" s="11"/>
      <c r="D3279" s="13"/>
      <c r="E3279" s="16"/>
      <c r="F3279" s="16"/>
      <c r="G3279" s="16"/>
      <c r="H3279" s="15"/>
      <c r="I3279" s="15"/>
      <c r="J3279" s="3"/>
      <c r="K3279" s="3"/>
      <c r="L3279" s="3"/>
      <c r="M3279" s="3"/>
      <c r="N3279" s="3"/>
      <c r="O3279" s="3"/>
      <c r="P3279" s="3"/>
      <c r="Q3279" s="3"/>
      <c r="R3279" s="3"/>
      <c r="S3279" s="3"/>
      <c r="T3279" s="3"/>
      <c r="U3279" s="3"/>
      <c r="V3279" s="3"/>
      <c r="W3279" s="3"/>
      <c r="X3279" s="3"/>
      <c r="Y3279" s="3"/>
      <c r="Z3279" s="3"/>
      <c r="AA3279" s="3"/>
    </row>
    <row r="3280" ht="105.75" customHeight="1">
      <c r="A3280" s="11"/>
      <c r="B3280" s="12"/>
      <c r="C3280" s="11"/>
      <c r="D3280" s="13"/>
      <c r="E3280" s="14"/>
      <c r="F3280" s="14"/>
      <c r="G3280" s="14"/>
      <c r="H3280" s="15"/>
      <c r="I3280" s="15"/>
      <c r="J3280" s="3"/>
      <c r="K3280" s="3"/>
      <c r="L3280" s="3"/>
      <c r="M3280" s="3"/>
      <c r="N3280" s="3"/>
      <c r="O3280" s="3"/>
      <c r="P3280" s="3"/>
      <c r="Q3280" s="3"/>
      <c r="R3280" s="3"/>
      <c r="S3280" s="3"/>
      <c r="T3280" s="3"/>
      <c r="U3280" s="3"/>
      <c r="V3280" s="3"/>
      <c r="W3280" s="3"/>
      <c r="X3280" s="3"/>
      <c r="Y3280" s="3"/>
      <c r="Z3280" s="3"/>
      <c r="AA3280" s="3"/>
    </row>
    <row r="3281" ht="105.75" customHeight="1">
      <c r="A3281" s="11"/>
      <c r="B3281" s="12"/>
      <c r="C3281" s="11"/>
      <c r="D3281" s="13"/>
      <c r="E3281" s="14"/>
      <c r="F3281" s="14"/>
      <c r="G3281" s="14"/>
      <c r="H3281" s="15"/>
      <c r="I3281" s="15"/>
      <c r="J3281" s="3"/>
      <c r="K3281" s="3"/>
      <c r="L3281" s="3"/>
      <c r="M3281" s="3"/>
      <c r="N3281" s="3"/>
      <c r="O3281" s="3"/>
      <c r="P3281" s="3"/>
      <c r="Q3281" s="3"/>
      <c r="R3281" s="3"/>
      <c r="S3281" s="3"/>
      <c r="T3281" s="3"/>
      <c r="U3281" s="3"/>
      <c r="V3281" s="3"/>
      <c r="W3281" s="3"/>
      <c r="X3281" s="3"/>
      <c r="Y3281" s="3"/>
      <c r="Z3281" s="3"/>
      <c r="AA3281" s="3"/>
    </row>
    <row r="3282" ht="105.75" customHeight="1">
      <c r="A3282" s="11"/>
      <c r="B3282" s="12"/>
      <c r="C3282" s="11"/>
      <c r="D3282" s="13"/>
      <c r="E3282" s="14"/>
      <c r="F3282" s="14"/>
      <c r="G3282" s="14"/>
      <c r="H3282" s="15"/>
      <c r="I3282" s="15"/>
      <c r="J3282" s="3"/>
      <c r="K3282" s="3"/>
      <c r="L3282" s="3"/>
      <c r="M3282" s="3"/>
      <c r="N3282" s="3"/>
      <c r="O3282" s="3"/>
      <c r="P3282" s="3"/>
      <c r="Q3282" s="3"/>
      <c r="R3282" s="3"/>
      <c r="S3282" s="3"/>
      <c r="T3282" s="3"/>
      <c r="U3282" s="3"/>
      <c r="V3282" s="3"/>
      <c r="W3282" s="3"/>
      <c r="X3282" s="3"/>
      <c r="Y3282" s="3"/>
      <c r="Z3282" s="3"/>
      <c r="AA3282" s="3"/>
    </row>
    <row r="3283" ht="105.75" customHeight="1">
      <c r="A3283" s="11"/>
      <c r="B3283" s="12"/>
      <c r="C3283" s="11"/>
      <c r="D3283" s="13"/>
      <c r="E3283" s="14"/>
      <c r="F3283" s="14"/>
      <c r="G3283" s="14"/>
      <c r="H3283" s="15"/>
      <c r="I3283" s="15"/>
      <c r="J3283" s="3"/>
      <c r="K3283" s="3"/>
      <c r="L3283" s="3"/>
      <c r="M3283" s="3"/>
      <c r="N3283" s="3"/>
      <c r="O3283" s="3"/>
      <c r="P3283" s="3"/>
      <c r="Q3283" s="3"/>
      <c r="R3283" s="3"/>
      <c r="S3283" s="3"/>
      <c r="T3283" s="3"/>
      <c r="U3283" s="3"/>
      <c r="V3283" s="3"/>
      <c r="W3283" s="3"/>
      <c r="X3283" s="3"/>
      <c r="Y3283" s="3"/>
      <c r="Z3283" s="3"/>
      <c r="AA3283" s="3"/>
    </row>
    <row r="3284" ht="105.75" customHeight="1">
      <c r="A3284" s="11"/>
      <c r="B3284" s="12"/>
      <c r="C3284" s="11"/>
      <c r="D3284" s="13"/>
      <c r="E3284" s="14"/>
      <c r="F3284" s="14"/>
      <c r="G3284" s="14"/>
      <c r="H3284" s="15"/>
      <c r="I3284" s="15"/>
      <c r="J3284" s="3"/>
      <c r="K3284" s="3"/>
      <c r="L3284" s="3"/>
      <c r="M3284" s="3"/>
      <c r="N3284" s="3"/>
      <c r="O3284" s="3"/>
      <c r="P3284" s="3"/>
      <c r="Q3284" s="3"/>
      <c r="R3284" s="3"/>
      <c r="S3284" s="3"/>
      <c r="T3284" s="3"/>
      <c r="U3284" s="3"/>
      <c r="V3284" s="3"/>
      <c r="W3284" s="3"/>
      <c r="X3284" s="3"/>
      <c r="Y3284" s="3"/>
      <c r="Z3284" s="3"/>
      <c r="AA3284" s="3"/>
    </row>
    <row r="3285" ht="105.75" customHeight="1">
      <c r="A3285" s="11"/>
      <c r="B3285" s="12"/>
      <c r="C3285" s="11"/>
      <c r="D3285" s="13"/>
      <c r="E3285" s="14"/>
      <c r="F3285" s="14"/>
      <c r="G3285" s="14"/>
      <c r="H3285" s="15"/>
      <c r="I3285" s="15"/>
      <c r="J3285" s="3"/>
      <c r="K3285" s="3"/>
      <c r="L3285" s="3"/>
      <c r="M3285" s="3"/>
      <c r="N3285" s="3"/>
      <c r="O3285" s="3"/>
      <c r="P3285" s="3"/>
      <c r="Q3285" s="3"/>
      <c r="R3285" s="3"/>
      <c r="S3285" s="3"/>
      <c r="T3285" s="3"/>
      <c r="U3285" s="3"/>
      <c r="V3285" s="3"/>
      <c r="W3285" s="3"/>
      <c r="X3285" s="3"/>
      <c r="Y3285" s="3"/>
      <c r="Z3285" s="3"/>
      <c r="AA3285" s="3"/>
    </row>
    <row r="3286" ht="105.75" customHeight="1">
      <c r="A3286" s="11"/>
      <c r="B3286" s="12"/>
      <c r="C3286" s="11"/>
      <c r="D3286" s="13"/>
      <c r="E3286" s="14"/>
      <c r="F3286" s="14"/>
      <c r="G3286" s="14"/>
      <c r="H3286" s="15"/>
      <c r="I3286" s="15"/>
      <c r="J3286" s="3"/>
      <c r="K3286" s="3"/>
      <c r="L3286" s="3"/>
      <c r="M3286" s="3"/>
      <c r="N3286" s="3"/>
      <c r="O3286" s="3"/>
      <c r="P3286" s="3"/>
      <c r="Q3286" s="3"/>
      <c r="R3286" s="3"/>
      <c r="S3286" s="3"/>
      <c r="T3286" s="3"/>
      <c r="U3286" s="3"/>
      <c r="V3286" s="3"/>
      <c r="W3286" s="3"/>
      <c r="X3286" s="3"/>
      <c r="Y3286" s="3"/>
      <c r="Z3286" s="3"/>
      <c r="AA3286" s="3"/>
    </row>
    <row r="3287" ht="105.75" customHeight="1">
      <c r="A3287" s="11"/>
      <c r="B3287" s="12"/>
      <c r="C3287" s="11"/>
      <c r="D3287" s="13"/>
      <c r="E3287" s="14"/>
      <c r="F3287" s="14"/>
      <c r="G3287" s="14"/>
      <c r="H3287" s="15"/>
      <c r="I3287" s="15"/>
      <c r="J3287" s="3"/>
      <c r="K3287" s="3"/>
      <c r="L3287" s="3"/>
      <c r="M3287" s="3"/>
      <c r="N3287" s="3"/>
      <c r="O3287" s="3"/>
      <c r="P3287" s="3"/>
      <c r="Q3287" s="3"/>
      <c r="R3287" s="3"/>
      <c r="S3287" s="3"/>
      <c r="T3287" s="3"/>
      <c r="U3287" s="3"/>
      <c r="V3287" s="3"/>
      <c r="W3287" s="3"/>
      <c r="X3287" s="3"/>
      <c r="Y3287" s="3"/>
      <c r="Z3287" s="3"/>
      <c r="AA3287" s="3"/>
    </row>
    <row r="3288" ht="105.75" customHeight="1">
      <c r="A3288" s="11"/>
      <c r="B3288" s="12"/>
      <c r="C3288" s="11"/>
      <c r="D3288" s="13"/>
      <c r="E3288" s="14"/>
      <c r="F3288" s="14"/>
      <c r="G3288" s="14"/>
      <c r="H3288" s="15"/>
      <c r="I3288" s="15"/>
      <c r="J3288" s="3"/>
      <c r="K3288" s="3"/>
      <c r="L3288" s="3"/>
      <c r="M3288" s="3"/>
      <c r="N3288" s="3"/>
      <c r="O3288" s="3"/>
      <c r="P3288" s="3"/>
      <c r="Q3288" s="3"/>
      <c r="R3288" s="3"/>
      <c r="S3288" s="3"/>
      <c r="T3288" s="3"/>
      <c r="U3288" s="3"/>
      <c r="V3288" s="3"/>
      <c r="W3288" s="3"/>
      <c r="X3288" s="3"/>
      <c r="Y3288" s="3"/>
      <c r="Z3288" s="3"/>
      <c r="AA3288" s="3"/>
    </row>
    <row r="3289" ht="105.75" customHeight="1">
      <c r="A3289" s="11"/>
      <c r="B3289" s="12"/>
      <c r="C3289" s="11"/>
      <c r="D3289" s="13"/>
      <c r="E3289" s="14"/>
      <c r="F3289" s="14"/>
      <c r="G3289" s="14"/>
      <c r="H3289" s="15"/>
      <c r="I3289" s="15"/>
      <c r="J3289" s="3"/>
      <c r="K3289" s="3"/>
      <c r="L3289" s="3"/>
      <c r="M3289" s="3"/>
      <c r="N3289" s="3"/>
      <c r="O3289" s="3"/>
      <c r="P3289" s="3"/>
      <c r="Q3289" s="3"/>
      <c r="R3289" s="3"/>
      <c r="S3289" s="3"/>
      <c r="T3289" s="3"/>
      <c r="U3289" s="3"/>
      <c r="V3289" s="3"/>
      <c r="W3289" s="3"/>
      <c r="X3289" s="3"/>
      <c r="Y3289" s="3"/>
      <c r="Z3289" s="3"/>
      <c r="AA3289" s="3"/>
    </row>
    <row r="3290" ht="105.75" customHeight="1">
      <c r="A3290" s="11"/>
      <c r="B3290" s="12"/>
      <c r="C3290" s="11"/>
      <c r="D3290" s="13"/>
      <c r="E3290" s="14"/>
      <c r="F3290" s="14"/>
      <c r="G3290" s="14"/>
      <c r="H3290" s="15"/>
      <c r="I3290" s="15"/>
      <c r="J3290" s="3"/>
      <c r="K3290" s="3"/>
      <c r="L3290" s="3"/>
      <c r="M3290" s="3"/>
      <c r="N3290" s="3"/>
      <c r="O3290" s="3"/>
      <c r="P3290" s="3"/>
      <c r="Q3290" s="3"/>
      <c r="R3290" s="3"/>
      <c r="S3290" s="3"/>
      <c r="T3290" s="3"/>
      <c r="U3290" s="3"/>
      <c r="V3290" s="3"/>
      <c r="W3290" s="3"/>
      <c r="X3290" s="3"/>
      <c r="Y3290" s="3"/>
      <c r="Z3290" s="3"/>
      <c r="AA3290" s="3"/>
    </row>
    <row r="3291" ht="105.75" customHeight="1">
      <c r="A3291" s="11"/>
      <c r="B3291" s="12"/>
      <c r="C3291" s="11"/>
      <c r="D3291" s="13"/>
      <c r="E3291" s="14"/>
      <c r="F3291" s="14"/>
      <c r="G3291" s="14"/>
      <c r="H3291" s="15"/>
      <c r="I3291" s="15"/>
      <c r="J3291" s="3"/>
      <c r="K3291" s="3"/>
      <c r="L3291" s="3"/>
      <c r="M3291" s="3"/>
      <c r="N3291" s="3"/>
      <c r="O3291" s="3"/>
      <c r="P3291" s="3"/>
      <c r="Q3291" s="3"/>
      <c r="R3291" s="3"/>
      <c r="S3291" s="3"/>
      <c r="T3291" s="3"/>
      <c r="U3291" s="3"/>
      <c r="V3291" s="3"/>
      <c r="W3291" s="3"/>
      <c r="X3291" s="3"/>
      <c r="Y3291" s="3"/>
      <c r="Z3291" s="3"/>
      <c r="AA3291" s="3"/>
    </row>
    <row r="3292" ht="105.75" customHeight="1">
      <c r="A3292" s="11"/>
      <c r="B3292" s="12"/>
      <c r="C3292" s="11"/>
      <c r="D3292" s="13"/>
      <c r="E3292" s="14"/>
      <c r="F3292" s="14"/>
      <c r="G3292" s="14"/>
      <c r="H3292" s="15"/>
      <c r="I3292" s="15"/>
      <c r="J3292" s="3"/>
      <c r="K3292" s="3"/>
      <c r="L3292" s="3"/>
      <c r="M3292" s="3"/>
      <c r="N3292" s="3"/>
      <c r="O3292" s="3"/>
      <c r="P3292" s="3"/>
      <c r="Q3292" s="3"/>
      <c r="R3292" s="3"/>
      <c r="S3292" s="3"/>
      <c r="T3292" s="3"/>
      <c r="U3292" s="3"/>
      <c r="V3292" s="3"/>
      <c r="W3292" s="3"/>
      <c r="X3292" s="3"/>
      <c r="Y3292" s="3"/>
      <c r="Z3292" s="3"/>
      <c r="AA3292" s="3"/>
    </row>
    <row r="3293" ht="105.75" customHeight="1">
      <c r="A3293" s="11"/>
      <c r="B3293" s="12"/>
      <c r="C3293" s="11"/>
      <c r="D3293" s="13"/>
      <c r="E3293" s="14"/>
      <c r="F3293" s="14"/>
      <c r="G3293" s="14"/>
      <c r="H3293" s="15"/>
      <c r="I3293" s="15"/>
      <c r="J3293" s="3"/>
      <c r="K3293" s="3"/>
      <c r="L3293" s="3"/>
      <c r="M3293" s="3"/>
      <c r="N3293" s="3"/>
      <c r="O3293" s="3"/>
      <c r="P3293" s="3"/>
      <c r="Q3293" s="3"/>
      <c r="R3293" s="3"/>
      <c r="S3293" s="3"/>
      <c r="T3293" s="3"/>
      <c r="U3293" s="3"/>
      <c r="V3293" s="3"/>
      <c r="W3293" s="3"/>
      <c r="X3293" s="3"/>
      <c r="Y3293" s="3"/>
      <c r="Z3293" s="3"/>
      <c r="AA3293" s="3"/>
    </row>
    <row r="3294" ht="105.75" customHeight="1">
      <c r="A3294" s="11"/>
      <c r="B3294" s="12"/>
      <c r="C3294" s="11"/>
      <c r="D3294" s="13"/>
      <c r="E3294" s="14"/>
      <c r="F3294" s="14"/>
      <c r="G3294" s="14"/>
      <c r="H3294" s="15"/>
      <c r="I3294" s="15"/>
      <c r="J3294" s="3"/>
      <c r="K3294" s="3"/>
      <c r="L3294" s="3"/>
      <c r="M3294" s="3"/>
      <c r="N3294" s="3"/>
      <c r="O3294" s="3"/>
      <c r="P3294" s="3"/>
      <c r="Q3294" s="3"/>
      <c r="R3294" s="3"/>
      <c r="S3294" s="3"/>
      <c r="T3294" s="3"/>
      <c r="U3294" s="3"/>
      <c r="V3294" s="3"/>
      <c r="W3294" s="3"/>
      <c r="X3294" s="3"/>
      <c r="Y3294" s="3"/>
      <c r="Z3294" s="3"/>
      <c r="AA3294" s="3"/>
    </row>
    <row r="3295" ht="105.75" customHeight="1">
      <c r="A3295" s="11"/>
      <c r="B3295" s="12"/>
      <c r="C3295" s="11"/>
      <c r="D3295" s="13"/>
      <c r="E3295" s="14"/>
      <c r="F3295" s="14"/>
      <c r="G3295" s="14"/>
      <c r="H3295" s="15"/>
      <c r="I3295" s="15"/>
      <c r="J3295" s="3"/>
      <c r="K3295" s="3"/>
      <c r="L3295" s="3"/>
      <c r="M3295" s="3"/>
      <c r="N3295" s="3"/>
      <c r="O3295" s="3"/>
      <c r="P3295" s="3"/>
      <c r="Q3295" s="3"/>
      <c r="R3295" s="3"/>
      <c r="S3295" s="3"/>
      <c r="T3295" s="3"/>
      <c r="U3295" s="3"/>
      <c r="V3295" s="3"/>
      <c r="W3295" s="3"/>
      <c r="X3295" s="3"/>
      <c r="Y3295" s="3"/>
      <c r="Z3295" s="3"/>
      <c r="AA3295" s="3"/>
    </row>
    <row r="3296" ht="105.75" customHeight="1">
      <c r="A3296" s="11"/>
      <c r="B3296" s="12"/>
      <c r="C3296" s="11"/>
      <c r="D3296" s="13"/>
      <c r="E3296" s="14"/>
      <c r="F3296" s="14"/>
      <c r="G3296" s="14"/>
      <c r="H3296" s="15"/>
      <c r="I3296" s="15"/>
      <c r="J3296" s="3"/>
      <c r="K3296" s="3"/>
      <c r="L3296" s="3"/>
      <c r="M3296" s="3"/>
      <c r="N3296" s="3"/>
      <c r="O3296" s="3"/>
      <c r="P3296" s="3"/>
      <c r="Q3296" s="3"/>
      <c r="R3296" s="3"/>
      <c r="S3296" s="3"/>
      <c r="T3296" s="3"/>
      <c r="U3296" s="3"/>
      <c r="V3296" s="3"/>
      <c r="W3296" s="3"/>
      <c r="X3296" s="3"/>
      <c r="Y3296" s="3"/>
      <c r="Z3296" s="3"/>
      <c r="AA3296" s="3"/>
    </row>
    <row r="3297" ht="105.75" customHeight="1">
      <c r="A3297" s="11"/>
      <c r="B3297" s="12"/>
      <c r="C3297" s="11"/>
      <c r="D3297" s="13"/>
      <c r="E3297" s="14"/>
      <c r="F3297" s="14"/>
      <c r="G3297" s="14"/>
      <c r="H3297" s="15"/>
      <c r="I3297" s="15"/>
      <c r="J3297" s="3"/>
      <c r="K3297" s="3"/>
      <c r="L3297" s="3"/>
      <c r="M3297" s="3"/>
      <c r="N3297" s="3"/>
      <c r="O3297" s="3"/>
      <c r="P3297" s="3"/>
      <c r="Q3297" s="3"/>
      <c r="R3297" s="3"/>
      <c r="S3297" s="3"/>
      <c r="T3297" s="3"/>
      <c r="U3297" s="3"/>
      <c r="V3297" s="3"/>
      <c r="W3297" s="3"/>
      <c r="X3297" s="3"/>
      <c r="Y3297" s="3"/>
      <c r="Z3297" s="3"/>
      <c r="AA3297" s="3"/>
    </row>
    <row r="3298" ht="105.75" customHeight="1">
      <c r="A3298" s="11"/>
      <c r="B3298" s="12"/>
      <c r="C3298" s="11"/>
      <c r="D3298" s="13"/>
      <c r="E3298" s="14"/>
      <c r="F3298" s="14"/>
      <c r="G3298" s="14"/>
      <c r="H3298" s="15"/>
      <c r="I3298" s="15"/>
      <c r="J3298" s="3"/>
      <c r="K3298" s="3"/>
      <c r="L3298" s="3"/>
      <c r="M3298" s="3"/>
      <c r="N3298" s="3"/>
      <c r="O3298" s="3"/>
      <c r="P3298" s="3"/>
      <c r="Q3298" s="3"/>
      <c r="R3298" s="3"/>
      <c r="S3298" s="3"/>
      <c r="T3298" s="3"/>
      <c r="U3298" s="3"/>
      <c r="V3298" s="3"/>
      <c r="W3298" s="3"/>
      <c r="X3298" s="3"/>
      <c r="Y3298" s="3"/>
      <c r="Z3298" s="3"/>
      <c r="AA3298" s="3"/>
    </row>
    <row r="3299" ht="105.75" customHeight="1">
      <c r="A3299" s="11"/>
      <c r="B3299" s="12"/>
      <c r="C3299" s="11"/>
      <c r="D3299" s="13"/>
      <c r="E3299" s="16"/>
      <c r="F3299" s="16"/>
      <c r="G3299" s="16"/>
      <c r="H3299" s="15"/>
      <c r="I3299" s="15"/>
      <c r="J3299" s="3"/>
      <c r="K3299" s="3"/>
      <c r="L3299" s="3"/>
      <c r="M3299" s="3"/>
      <c r="N3299" s="3"/>
      <c r="O3299" s="3"/>
      <c r="P3299" s="3"/>
      <c r="Q3299" s="3"/>
      <c r="R3299" s="3"/>
      <c r="S3299" s="3"/>
      <c r="T3299" s="3"/>
      <c r="U3299" s="3"/>
      <c r="V3299" s="3"/>
      <c r="W3299" s="3"/>
      <c r="X3299" s="3"/>
      <c r="Y3299" s="3"/>
      <c r="Z3299" s="3"/>
      <c r="AA3299" s="3"/>
    </row>
    <row r="3300" ht="105.75" customHeight="1">
      <c r="A3300" s="11"/>
      <c r="B3300" s="12"/>
      <c r="C3300" s="11"/>
      <c r="D3300" s="13"/>
      <c r="E3300" s="14"/>
      <c r="F3300" s="14"/>
      <c r="G3300" s="14"/>
      <c r="H3300" s="15"/>
      <c r="I3300" s="15"/>
      <c r="J3300" s="3"/>
      <c r="K3300" s="3"/>
      <c r="L3300" s="3"/>
      <c r="M3300" s="3"/>
      <c r="N3300" s="3"/>
      <c r="O3300" s="3"/>
      <c r="P3300" s="3"/>
      <c r="Q3300" s="3"/>
      <c r="R3300" s="3"/>
      <c r="S3300" s="3"/>
      <c r="T3300" s="3"/>
      <c r="U3300" s="3"/>
      <c r="V3300" s="3"/>
      <c r="W3300" s="3"/>
      <c r="X3300" s="3"/>
      <c r="Y3300" s="3"/>
      <c r="Z3300" s="3"/>
      <c r="AA3300" s="3"/>
    </row>
    <row r="3301" ht="105.75" customHeight="1">
      <c r="A3301" s="11"/>
      <c r="B3301" s="12"/>
      <c r="C3301" s="11"/>
      <c r="D3301" s="13"/>
      <c r="E3301" s="14"/>
      <c r="F3301" s="14"/>
      <c r="G3301" s="14"/>
      <c r="H3301" s="15"/>
      <c r="I3301" s="15"/>
      <c r="J3301" s="3"/>
      <c r="K3301" s="3"/>
      <c r="L3301" s="3"/>
      <c r="M3301" s="3"/>
      <c r="N3301" s="3"/>
      <c r="O3301" s="3"/>
      <c r="P3301" s="3"/>
      <c r="Q3301" s="3"/>
      <c r="R3301" s="3"/>
      <c r="S3301" s="3"/>
      <c r="T3301" s="3"/>
      <c r="U3301" s="3"/>
      <c r="V3301" s="3"/>
      <c r="W3301" s="3"/>
      <c r="X3301" s="3"/>
      <c r="Y3301" s="3"/>
      <c r="Z3301" s="3"/>
      <c r="AA3301" s="3"/>
    </row>
    <row r="3302" ht="105.75" customHeight="1">
      <c r="A3302" s="11"/>
      <c r="B3302" s="12"/>
      <c r="C3302" s="11"/>
      <c r="D3302" s="13"/>
      <c r="E3302" s="14"/>
      <c r="F3302" s="14"/>
      <c r="G3302" s="14"/>
      <c r="H3302" s="15"/>
      <c r="I3302" s="15"/>
      <c r="J3302" s="3"/>
      <c r="K3302" s="3"/>
      <c r="L3302" s="3"/>
      <c r="M3302" s="3"/>
      <c r="N3302" s="3"/>
      <c r="O3302" s="3"/>
      <c r="P3302" s="3"/>
      <c r="Q3302" s="3"/>
      <c r="R3302" s="3"/>
      <c r="S3302" s="3"/>
      <c r="T3302" s="3"/>
      <c r="U3302" s="3"/>
      <c r="V3302" s="3"/>
      <c r="W3302" s="3"/>
      <c r="X3302" s="3"/>
      <c r="Y3302" s="3"/>
      <c r="Z3302" s="3"/>
      <c r="AA3302" s="3"/>
    </row>
    <row r="3303" ht="105.75" customHeight="1">
      <c r="A3303" s="11"/>
      <c r="B3303" s="12"/>
      <c r="C3303" s="11"/>
      <c r="D3303" s="13"/>
      <c r="E3303" s="14"/>
      <c r="F3303" s="14"/>
      <c r="G3303" s="14"/>
      <c r="H3303" s="15"/>
      <c r="I3303" s="15"/>
      <c r="J3303" s="3"/>
      <c r="K3303" s="3"/>
      <c r="L3303" s="3"/>
      <c r="M3303" s="3"/>
      <c r="N3303" s="3"/>
      <c r="O3303" s="3"/>
      <c r="P3303" s="3"/>
      <c r="Q3303" s="3"/>
      <c r="R3303" s="3"/>
      <c r="S3303" s="3"/>
      <c r="T3303" s="3"/>
      <c r="U3303" s="3"/>
      <c r="V3303" s="3"/>
      <c r="W3303" s="3"/>
      <c r="X3303" s="3"/>
      <c r="Y3303" s="3"/>
      <c r="Z3303" s="3"/>
      <c r="AA3303" s="3"/>
    </row>
    <row r="3304" ht="105.75" customHeight="1">
      <c r="A3304" s="11"/>
      <c r="B3304" s="12"/>
      <c r="C3304" s="11"/>
      <c r="D3304" s="13"/>
      <c r="E3304" s="16"/>
      <c r="F3304" s="16"/>
      <c r="G3304" s="16"/>
      <c r="H3304" s="15"/>
      <c r="I3304" s="15"/>
      <c r="J3304" s="3"/>
      <c r="K3304" s="3"/>
      <c r="L3304" s="3"/>
      <c r="M3304" s="3"/>
      <c r="N3304" s="3"/>
      <c r="O3304" s="3"/>
      <c r="P3304" s="3"/>
      <c r="Q3304" s="3"/>
      <c r="R3304" s="3"/>
      <c r="S3304" s="3"/>
      <c r="T3304" s="3"/>
      <c r="U3304" s="3"/>
      <c r="V3304" s="3"/>
      <c r="W3304" s="3"/>
      <c r="X3304" s="3"/>
      <c r="Y3304" s="3"/>
      <c r="Z3304" s="3"/>
      <c r="AA3304" s="3"/>
    </row>
    <row r="3305" ht="105.75" customHeight="1">
      <c r="A3305" s="11"/>
      <c r="B3305" s="12"/>
      <c r="C3305" s="11"/>
      <c r="D3305" s="13"/>
      <c r="E3305" s="14"/>
      <c r="F3305" s="14"/>
      <c r="G3305" s="14"/>
      <c r="H3305" s="15"/>
      <c r="I3305" s="15"/>
      <c r="J3305" s="3"/>
      <c r="K3305" s="3"/>
      <c r="L3305" s="3"/>
      <c r="M3305" s="3"/>
      <c r="N3305" s="3"/>
      <c r="O3305" s="3"/>
      <c r="P3305" s="3"/>
      <c r="Q3305" s="3"/>
      <c r="R3305" s="3"/>
      <c r="S3305" s="3"/>
      <c r="T3305" s="3"/>
      <c r="U3305" s="3"/>
      <c r="V3305" s="3"/>
      <c r="W3305" s="3"/>
      <c r="X3305" s="3"/>
      <c r="Y3305" s="3"/>
      <c r="Z3305" s="3"/>
      <c r="AA3305" s="3"/>
    </row>
    <row r="3306" ht="105.75" customHeight="1">
      <c r="A3306" s="11"/>
      <c r="B3306" s="12"/>
      <c r="C3306" s="11"/>
      <c r="D3306" s="13"/>
      <c r="E3306" s="14"/>
      <c r="F3306" s="14"/>
      <c r="G3306" s="14"/>
      <c r="H3306" s="15"/>
      <c r="I3306" s="15"/>
      <c r="J3306" s="3"/>
      <c r="K3306" s="3"/>
      <c r="L3306" s="3"/>
      <c r="M3306" s="3"/>
      <c r="N3306" s="3"/>
      <c r="O3306" s="3"/>
      <c r="P3306" s="3"/>
      <c r="Q3306" s="3"/>
      <c r="R3306" s="3"/>
      <c r="S3306" s="3"/>
      <c r="T3306" s="3"/>
      <c r="U3306" s="3"/>
      <c r="V3306" s="3"/>
      <c r="W3306" s="3"/>
      <c r="X3306" s="3"/>
      <c r="Y3306" s="3"/>
      <c r="Z3306" s="3"/>
      <c r="AA3306" s="3"/>
    </row>
    <row r="3307" ht="105.75" customHeight="1">
      <c r="A3307" s="11"/>
      <c r="B3307" s="12"/>
      <c r="C3307" s="11"/>
      <c r="D3307" s="13"/>
      <c r="E3307" s="14"/>
      <c r="F3307" s="14"/>
      <c r="G3307" s="14"/>
      <c r="H3307" s="15"/>
      <c r="I3307" s="15"/>
      <c r="J3307" s="3"/>
      <c r="K3307" s="3"/>
      <c r="L3307" s="3"/>
      <c r="M3307" s="3"/>
      <c r="N3307" s="3"/>
      <c r="O3307" s="3"/>
      <c r="P3307" s="3"/>
      <c r="Q3307" s="3"/>
      <c r="R3307" s="3"/>
      <c r="S3307" s="3"/>
      <c r="T3307" s="3"/>
      <c r="U3307" s="3"/>
      <c r="V3307" s="3"/>
      <c r="W3307" s="3"/>
      <c r="X3307" s="3"/>
      <c r="Y3307" s="3"/>
      <c r="Z3307" s="3"/>
      <c r="AA3307" s="3"/>
    </row>
    <row r="3308" ht="105.75" customHeight="1">
      <c r="A3308" s="11"/>
      <c r="B3308" s="12"/>
      <c r="C3308" s="11"/>
      <c r="D3308" s="13"/>
      <c r="E3308" s="14"/>
      <c r="F3308" s="14"/>
      <c r="G3308" s="14"/>
      <c r="H3308" s="15"/>
      <c r="I3308" s="15"/>
      <c r="J3308" s="3"/>
      <c r="K3308" s="3"/>
      <c r="L3308" s="3"/>
      <c r="M3308" s="3"/>
      <c r="N3308" s="3"/>
      <c r="O3308" s="3"/>
      <c r="P3308" s="3"/>
      <c r="Q3308" s="3"/>
      <c r="R3308" s="3"/>
      <c r="S3308" s="3"/>
      <c r="T3308" s="3"/>
      <c r="U3308" s="3"/>
      <c r="V3308" s="3"/>
      <c r="W3308" s="3"/>
      <c r="X3308" s="3"/>
      <c r="Y3308" s="3"/>
      <c r="Z3308" s="3"/>
      <c r="AA3308" s="3"/>
    </row>
    <row r="3309" ht="105.75" customHeight="1">
      <c r="A3309" s="11"/>
      <c r="B3309" s="12"/>
      <c r="C3309" s="11"/>
      <c r="D3309" s="13"/>
      <c r="E3309" s="14"/>
      <c r="F3309" s="14"/>
      <c r="G3309" s="14"/>
      <c r="H3309" s="15"/>
      <c r="I3309" s="15"/>
      <c r="J3309" s="3"/>
      <c r="K3309" s="3"/>
      <c r="L3309" s="3"/>
      <c r="M3309" s="3"/>
      <c r="N3309" s="3"/>
      <c r="O3309" s="3"/>
      <c r="P3309" s="3"/>
      <c r="Q3309" s="3"/>
      <c r="R3309" s="3"/>
      <c r="S3309" s="3"/>
      <c r="T3309" s="3"/>
      <c r="U3309" s="3"/>
      <c r="V3309" s="3"/>
      <c r="W3309" s="3"/>
      <c r="X3309" s="3"/>
      <c r="Y3309" s="3"/>
      <c r="Z3309" s="3"/>
      <c r="AA3309" s="3"/>
    </row>
    <row r="3310" ht="105.75" customHeight="1">
      <c r="A3310" s="11"/>
      <c r="B3310" s="12"/>
      <c r="C3310" s="11"/>
      <c r="D3310" s="13"/>
      <c r="E3310" s="14"/>
      <c r="F3310" s="14"/>
      <c r="G3310" s="14"/>
      <c r="H3310" s="15"/>
      <c r="I3310" s="15"/>
      <c r="J3310" s="3"/>
      <c r="K3310" s="3"/>
      <c r="L3310" s="3"/>
      <c r="M3310" s="3"/>
      <c r="N3310" s="3"/>
      <c r="O3310" s="3"/>
      <c r="P3310" s="3"/>
      <c r="Q3310" s="3"/>
      <c r="R3310" s="3"/>
      <c r="S3310" s="3"/>
      <c r="T3310" s="3"/>
      <c r="U3310" s="3"/>
      <c r="V3310" s="3"/>
      <c r="W3310" s="3"/>
      <c r="X3310" s="3"/>
      <c r="Y3310" s="3"/>
      <c r="Z3310" s="3"/>
      <c r="AA3310" s="3"/>
    </row>
    <row r="3311" ht="105.75" customHeight="1">
      <c r="A3311" s="11"/>
      <c r="B3311" s="12"/>
      <c r="C3311" s="11"/>
      <c r="D3311" s="13"/>
      <c r="E3311" s="14"/>
      <c r="F3311" s="14"/>
      <c r="G3311" s="14"/>
      <c r="H3311" s="15"/>
      <c r="I3311" s="15"/>
      <c r="J3311" s="3"/>
      <c r="K3311" s="3"/>
      <c r="L3311" s="3"/>
      <c r="M3311" s="3"/>
      <c r="N3311" s="3"/>
      <c r="O3311" s="3"/>
      <c r="P3311" s="3"/>
      <c r="Q3311" s="3"/>
      <c r="R3311" s="3"/>
      <c r="S3311" s="3"/>
      <c r="T3311" s="3"/>
      <c r="U3311" s="3"/>
      <c r="V3311" s="3"/>
      <c r="W3311" s="3"/>
      <c r="X3311" s="3"/>
      <c r="Y3311" s="3"/>
      <c r="Z3311" s="3"/>
      <c r="AA3311" s="3"/>
    </row>
    <row r="3312" ht="105.75" customHeight="1">
      <c r="A3312" s="11"/>
      <c r="B3312" s="12"/>
      <c r="C3312" s="11"/>
      <c r="D3312" s="13"/>
      <c r="E3312" s="14"/>
      <c r="F3312" s="14"/>
      <c r="G3312" s="14"/>
      <c r="H3312" s="15"/>
      <c r="I3312" s="15"/>
      <c r="J3312" s="3"/>
      <c r="K3312" s="3"/>
      <c r="L3312" s="3"/>
      <c r="M3312" s="3"/>
      <c r="N3312" s="3"/>
      <c r="O3312" s="3"/>
      <c r="P3312" s="3"/>
      <c r="Q3312" s="3"/>
      <c r="R3312" s="3"/>
      <c r="S3312" s="3"/>
      <c r="T3312" s="3"/>
      <c r="U3312" s="3"/>
      <c r="V3312" s="3"/>
      <c r="W3312" s="3"/>
      <c r="X3312" s="3"/>
      <c r="Y3312" s="3"/>
      <c r="Z3312" s="3"/>
      <c r="AA3312" s="3"/>
    </row>
    <row r="3313" ht="105.75" customHeight="1">
      <c r="A3313" s="11"/>
      <c r="B3313" s="12"/>
      <c r="C3313" s="11"/>
      <c r="D3313" s="13"/>
      <c r="E3313" s="14"/>
      <c r="F3313" s="14"/>
      <c r="G3313" s="14"/>
      <c r="H3313" s="15"/>
      <c r="I3313" s="15"/>
      <c r="J3313" s="3"/>
      <c r="K3313" s="3"/>
      <c r="L3313" s="3"/>
      <c r="M3313" s="3"/>
      <c r="N3313" s="3"/>
      <c r="O3313" s="3"/>
      <c r="P3313" s="3"/>
      <c r="Q3313" s="3"/>
      <c r="R3313" s="3"/>
      <c r="S3313" s="3"/>
      <c r="T3313" s="3"/>
      <c r="U3313" s="3"/>
      <c r="V3313" s="3"/>
      <c r="W3313" s="3"/>
      <c r="X3313" s="3"/>
      <c r="Y3313" s="3"/>
      <c r="Z3313" s="3"/>
      <c r="AA3313" s="3"/>
    </row>
    <row r="3314" ht="105.75" customHeight="1">
      <c r="A3314" s="11"/>
      <c r="B3314" s="12"/>
      <c r="C3314" s="11"/>
      <c r="D3314" s="13"/>
      <c r="E3314" s="14"/>
      <c r="F3314" s="14"/>
      <c r="G3314" s="14"/>
      <c r="H3314" s="15"/>
      <c r="I3314" s="15"/>
      <c r="J3314" s="3"/>
      <c r="K3314" s="3"/>
      <c r="L3314" s="3"/>
      <c r="M3314" s="3"/>
      <c r="N3314" s="3"/>
      <c r="O3314" s="3"/>
      <c r="P3314" s="3"/>
      <c r="Q3314" s="3"/>
      <c r="R3314" s="3"/>
      <c r="S3314" s="3"/>
      <c r="T3314" s="3"/>
      <c r="U3314" s="3"/>
      <c r="V3314" s="3"/>
      <c r="W3314" s="3"/>
      <c r="X3314" s="3"/>
      <c r="Y3314" s="3"/>
      <c r="Z3314" s="3"/>
      <c r="AA3314" s="3"/>
    </row>
    <row r="3315" ht="105.75" customHeight="1">
      <c r="A3315" s="11"/>
      <c r="B3315" s="12"/>
      <c r="C3315" s="11"/>
      <c r="D3315" s="13"/>
      <c r="E3315" s="14"/>
      <c r="F3315" s="14"/>
      <c r="G3315" s="14"/>
      <c r="H3315" s="15"/>
      <c r="I3315" s="15"/>
      <c r="J3315" s="3"/>
      <c r="K3315" s="3"/>
      <c r="L3315" s="3"/>
      <c r="M3315" s="3"/>
      <c r="N3315" s="3"/>
      <c r="O3315" s="3"/>
      <c r="P3315" s="3"/>
      <c r="Q3315" s="3"/>
      <c r="R3315" s="3"/>
      <c r="S3315" s="3"/>
      <c r="T3315" s="3"/>
      <c r="U3315" s="3"/>
      <c r="V3315" s="3"/>
      <c r="W3315" s="3"/>
      <c r="X3315" s="3"/>
      <c r="Y3315" s="3"/>
      <c r="Z3315" s="3"/>
      <c r="AA3315" s="3"/>
    </row>
    <row r="3316" ht="105.75" customHeight="1">
      <c r="A3316" s="11"/>
      <c r="B3316" s="12"/>
      <c r="C3316" s="11"/>
      <c r="D3316" s="13"/>
      <c r="E3316" s="14"/>
      <c r="F3316" s="14"/>
      <c r="G3316" s="14"/>
      <c r="H3316" s="15"/>
      <c r="I3316" s="15"/>
      <c r="J3316" s="3"/>
      <c r="K3316" s="3"/>
      <c r="L3316" s="3"/>
      <c r="M3316" s="3"/>
      <c r="N3316" s="3"/>
      <c r="O3316" s="3"/>
      <c r="P3316" s="3"/>
      <c r="Q3316" s="3"/>
      <c r="R3316" s="3"/>
      <c r="S3316" s="3"/>
      <c r="T3316" s="3"/>
      <c r="U3316" s="3"/>
      <c r="V3316" s="3"/>
      <c r="W3316" s="3"/>
      <c r="X3316" s="3"/>
      <c r="Y3316" s="3"/>
      <c r="Z3316" s="3"/>
      <c r="AA3316" s="3"/>
    </row>
    <row r="3317" ht="105.75" customHeight="1">
      <c r="A3317" s="11"/>
      <c r="B3317" s="12"/>
      <c r="C3317" s="11"/>
      <c r="D3317" s="13"/>
      <c r="E3317" s="16"/>
      <c r="F3317" s="16"/>
      <c r="G3317" s="16"/>
      <c r="H3317" s="15"/>
      <c r="I3317" s="15"/>
      <c r="J3317" s="3"/>
      <c r="K3317" s="3"/>
      <c r="L3317" s="3"/>
      <c r="M3317" s="3"/>
      <c r="N3317" s="3"/>
      <c r="O3317" s="3"/>
      <c r="P3317" s="3"/>
      <c r="Q3317" s="3"/>
      <c r="R3317" s="3"/>
      <c r="S3317" s="3"/>
      <c r="T3317" s="3"/>
      <c r="U3317" s="3"/>
      <c r="V3317" s="3"/>
      <c r="W3317" s="3"/>
      <c r="X3317" s="3"/>
      <c r="Y3317" s="3"/>
      <c r="Z3317" s="3"/>
      <c r="AA3317" s="3"/>
    </row>
    <row r="3318" ht="105.75" customHeight="1">
      <c r="A3318" s="11"/>
      <c r="B3318" s="12"/>
      <c r="C3318" s="11"/>
      <c r="D3318" s="13"/>
      <c r="E3318" s="14"/>
      <c r="F3318" s="14"/>
      <c r="G3318" s="14"/>
      <c r="H3318" s="15"/>
      <c r="I3318" s="15"/>
      <c r="J3318" s="3"/>
      <c r="K3318" s="3"/>
      <c r="L3318" s="3"/>
      <c r="M3318" s="3"/>
      <c r="N3318" s="3"/>
      <c r="O3318" s="3"/>
      <c r="P3318" s="3"/>
      <c r="Q3318" s="3"/>
      <c r="R3318" s="3"/>
      <c r="S3318" s="3"/>
      <c r="T3318" s="3"/>
      <c r="U3318" s="3"/>
      <c r="V3318" s="3"/>
      <c r="W3318" s="3"/>
      <c r="X3318" s="3"/>
      <c r="Y3318" s="3"/>
      <c r="Z3318" s="3"/>
      <c r="AA3318" s="3"/>
    </row>
    <row r="3319" ht="105.75" customHeight="1">
      <c r="A3319" s="11"/>
      <c r="B3319" s="12"/>
      <c r="C3319" s="11"/>
      <c r="D3319" s="13"/>
      <c r="E3319" s="16"/>
      <c r="F3319" s="16"/>
      <c r="G3319" s="16"/>
      <c r="H3319" s="15"/>
      <c r="I3319" s="15"/>
      <c r="J3319" s="3"/>
      <c r="K3319" s="3"/>
      <c r="L3319" s="3"/>
      <c r="M3319" s="3"/>
      <c r="N3319" s="3"/>
      <c r="O3319" s="3"/>
      <c r="P3319" s="3"/>
      <c r="Q3319" s="3"/>
      <c r="R3319" s="3"/>
      <c r="S3319" s="3"/>
      <c r="T3319" s="3"/>
      <c r="U3319" s="3"/>
      <c r="V3319" s="3"/>
      <c r="W3319" s="3"/>
      <c r="X3319" s="3"/>
      <c r="Y3319" s="3"/>
      <c r="Z3319" s="3"/>
      <c r="AA3319" s="3"/>
    </row>
    <row r="3320" ht="105.75" customHeight="1">
      <c r="A3320" s="11"/>
      <c r="B3320" s="12"/>
      <c r="C3320" s="11"/>
      <c r="D3320" s="13"/>
      <c r="E3320" s="14"/>
      <c r="F3320" s="14"/>
      <c r="G3320" s="14"/>
      <c r="H3320" s="15"/>
      <c r="I3320" s="15"/>
      <c r="J3320" s="3"/>
      <c r="K3320" s="3"/>
      <c r="L3320" s="3"/>
      <c r="M3320" s="3"/>
      <c r="N3320" s="3"/>
      <c r="O3320" s="3"/>
      <c r="P3320" s="3"/>
      <c r="Q3320" s="3"/>
      <c r="R3320" s="3"/>
      <c r="S3320" s="3"/>
      <c r="T3320" s="3"/>
      <c r="U3320" s="3"/>
      <c r="V3320" s="3"/>
      <c r="W3320" s="3"/>
      <c r="X3320" s="3"/>
      <c r="Y3320" s="3"/>
      <c r="Z3320" s="3"/>
      <c r="AA3320" s="3"/>
    </row>
    <row r="3321" ht="105.75" customHeight="1">
      <c r="A3321" s="11"/>
      <c r="B3321" s="12"/>
      <c r="C3321" s="11"/>
      <c r="D3321" s="13"/>
      <c r="E3321" s="14"/>
      <c r="F3321" s="14"/>
      <c r="G3321" s="14"/>
      <c r="H3321" s="15"/>
      <c r="I3321" s="15"/>
      <c r="J3321" s="3"/>
      <c r="K3321" s="3"/>
      <c r="L3321" s="3"/>
      <c r="M3321" s="3"/>
      <c r="N3321" s="3"/>
      <c r="O3321" s="3"/>
      <c r="P3321" s="3"/>
      <c r="Q3321" s="3"/>
      <c r="R3321" s="3"/>
      <c r="S3321" s="3"/>
      <c r="T3321" s="3"/>
      <c r="U3321" s="3"/>
      <c r="V3321" s="3"/>
      <c r="W3321" s="3"/>
      <c r="X3321" s="3"/>
      <c r="Y3321" s="3"/>
      <c r="Z3321" s="3"/>
      <c r="AA3321" s="3"/>
    </row>
    <row r="3322" ht="105.75" customHeight="1">
      <c r="A3322" s="11"/>
      <c r="B3322" s="12"/>
      <c r="C3322" s="11"/>
      <c r="D3322" s="13"/>
      <c r="E3322" s="14"/>
      <c r="F3322" s="14"/>
      <c r="G3322" s="14"/>
      <c r="H3322" s="15"/>
      <c r="I3322" s="15"/>
      <c r="J3322" s="3"/>
      <c r="K3322" s="3"/>
      <c r="L3322" s="3"/>
      <c r="M3322" s="3"/>
      <c r="N3322" s="3"/>
      <c r="O3322" s="3"/>
      <c r="P3322" s="3"/>
      <c r="Q3322" s="3"/>
      <c r="R3322" s="3"/>
      <c r="S3322" s="3"/>
      <c r="T3322" s="3"/>
      <c r="U3322" s="3"/>
      <c r="V3322" s="3"/>
      <c r="W3322" s="3"/>
      <c r="X3322" s="3"/>
      <c r="Y3322" s="3"/>
      <c r="Z3322" s="3"/>
      <c r="AA3322" s="3"/>
    </row>
    <row r="3323" ht="105.75" customHeight="1">
      <c r="A3323" s="11"/>
      <c r="B3323" s="12"/>
      <c r="C3323" s="11"/>
      <c r="D3323" s="13"/>
      <c r="E3323" s="14"/>
      <c r="F3323" s="14"/>
      <c r="G3323" s="14"/>
      <c r="H3323" s="15"/>
      <c r="I3323" s="15"/>
      <c r="J3323" s="3"/>
      <c r="K3323" s="3"/>
      <c r="L3323" s="3"/>
      <c r="M3323" s="3"/>
      <c r="N3323" s="3"/>
      <c r="O3323" s="3"/>
      <c r="P3323" s="3"/>
      <c r="Q3323" s="3"/>
      <c r="R3323" s="3"/>
      <c r="S3323" s="3"/>
      <c r="T3323" s="3"/>
      <c r="U3323" s="3"/>
      <c r="V3323" s="3"/>
      <c r="W3323" s="3"/>
      <c r="X3323" s="3"/>
      <c r="Y3323" s="3"/>
      <c r="Z3323" s="3"/>
      <c r="AA3323" s="3"/>
    </row>
    <row r="3324" ht="105.75" customHeight="1">
      <c r="A3324" s="11"/>
      <c r="B3324" s="12"/>
      <c r="C3324" s="11"/>
      <c r="D3324" s="13"/>
      <c r="E3324" s="14"/>
      <c r="F3324" s="14"/>
      <c r="G3324" s="14"/>
      <c r="H3324" s="15"/>
      <c r="I3324" s="15"/>
      <c r="J3324" s="3"/>
      <c r="K3324" s="3"/>
      <c r="L3324" s="3"/>
      <c r="M3324" s="3"/>
      <c r="N3324" s="3"/>
      <c r="O3324" s="3"/>
      <c r="P3324" s="3"/>
      <c r="Q3324" s="3"/>
      <c r="R3324" s="3"/>
      <c r="S3324" s="3"/>
      <c r="T3324" s="3"/>
      <c r="U3324" s="3"/>
      <c r="V3324" s="3"/>
      <c r="W3324" s="3"/>
      <c r="X3324" s="3"/>
      <c r="Y3324" s="3"/>
      <c r="Z3324" s="3"/>
      <c r="AA3324" s="3"/>
    </row>
    <row r="3325" ht="105.75" customHeight="1">
      <c r="A3325" s="11"/>
      <c r="B3325" s="12"/>
      <c r="C3325" s="11"/>
      <c r="D3325" s="13"/>
      <c r="E3325" s="16"/>
      <c r="F3325" s="16"/>
      <c r="G3325" s="16"/>
      <c r="H3325" s="15"/>
      <c r="I3325" s="15"/>
      <c r="J3325" s="3"/>
      <c r="K3325" s="3"/>
      <c r="L3325" s="3"/>
      <c r="M3325" s="3"/>
      <c r="N3325" s="3"/>
      <c r="O3325" s="3"/>
      <c r="P3325" s="3"/>
      <c r="Q3325" s="3"/>
      <c r="R3325" s="3"/>
      <c r="S3325" s="3"/>
      <c r="T3325" s="3"/>
      <c r="U3325" s="3"/>
      <c r="V3325" s="3"/>
      <c r="W3325" s="3"/>
      <c r="X3325" s="3"/>
      <c r="Y3325" s="3"/>
      <c r="Z3325" s="3"/>
      <c r="AA3325" s="3"/>
    </row>
    <row r="3326" ht="105.75" customHeight="1">
      <c r="A3326" s="11"/>
      <c r="B3326" s="12"/>
      <c r="C3326" s="11"/>
      <c r="D3326" s="13"/>
      <c r="E3326" s="14"/>
      <c r="F3326" s="14"/>
      <c r="G3326" s="14"/>
      <c r="H3326" s="15"/>
      <c r="I3326" s="15"/>
      <c r="J3326" s="3"/>
      <c r="K3326" s="3"/>
      <c r="L3326" s="3"/>
      <c r="M3326" s="3"/>
      <c r="N3326" s="3"/>
      <c r="O3326" s="3"/>
      <c r="P3326" s="3"/>
      <c r="Q3326" s="3"/>
      <c r="R3326" s="3"/>
      <c r="S3326" s="3"/>
      <c r="T3326" s="3"/>
      <c r="U3326" s="3"/>
      <c r="V3326" s="3"/>
      <c r="W3326" s="3"/>
      <c r="X3326" s="3"/>
      <c r="Y3326" s="3"/>
      <c r="Z3326" s="3"/>
      <c r="AA3326" s="3"/>
    </row>
    <row r="3327" ht="105.75" customHeight="1">
      <c r="A3327" s="11"/>
      <c r="B3327" s="12"/>
      <c r="C3327" s="11"/>
      <c r="D3327" s="13"/>
      <c r="E3327" s="14"/>
      <c r="F3327" s="14"/>
      <c r="G3327" s="14"/>
      <c r="H3327" s="15"/>
      <c r="I3327" s="15"/>
      <c r="J3327" s="3"/>
      <c r="K3327" s="3"/>
      <c r="L3327" s="3"/>
      <c r="M3327" s="3"/>
      <c r="N3327" s="3"/>
      <c r="O3327" s="3"/>
      <c r="P3327" s="3"/>
      <c r="Q3327" s="3"/>
      <c r="R3327" s="3"/>
      <c r="S3327" s="3"/>
      <c r="T3327" s="3"/>
      <c r="U3327" s="3"/>
      <c r="V3327" s="3"/>
      <c r="W3327" s="3"/>
      <c r="X3327" s="3"/>
      <c r="Y3327" s="3"/>
      <c r="Z3327" s="3"/>
      <c r="AA3327" s="3"/>
    </row>
    <row r="3328" ht="105.75" customHeight="1">
      <c r="A3328" s="11"/>
      <c r="B3328" s="12"/>
      <c r="C3328" s="11"/>
      <c r="D3328" s="13"/>
      <c r="E3328" s="14"/>
      <c r="F3328" s="14"/>
      <c r="G3328" s="14"/>
      <c r="H3328" s="15"/>
      <c r="I3328" s="15"/>
      <c r="J3328" s="3"/>
      <c r="K3328" s="3"/>
      <c r="L3328" s="3"/>
      <c r="M3328" s="3"/>
      <c r="N3328" s="3"/>
      <c r="O3328" s="3"/>
      <c r="P3328" s="3"/>
      <c r="Q3328" s="3"/>
      <c r="R3328" s="3"/>
      <c r="S3328" s="3"/>
      <c r="T3328" s="3"/>
      <c r="U3328" s="3"/>
      <c r="V3328" s="3"/>
      <c r="W3328" s="3"/>
      <c r="X3328" s="3"/>
      <c r="Y3328" s="3"/>
      <c r="Z3328" s="3"/>
      <c r="AA3328" s="3"/>
    </row>
    <row r="3329" ht="105.75" customHeight="1">
      <c r="A3329" s="11"/>
      <c r="B3329" s="12"/>
      <c r="C3329" s="11"/>
      <c r="D3329" s="13"/>
      <c r="E3329" s="14"/>
      <c r="F3329" s="14"/>
      <c r="G3329" s="14"/>
      <c r="H3329" s="15"/>
      <c r="I3329" s="15"/>
      <c r="J3329" s="3"/>
      <c r="K3329" s="3"/>
      <c r="L3329" s="3"/>
      <c r="M3329" s="3"/>
      <c r="N3329" s="3"/>
      <c r="O3329" s="3"/>
      <c r="P3329" s="3"/>
      <c r="Q3329" s="3"/>
      <c r="R3329" s="3"/>
      <c r="S3329" s="3"/>
      <c r="T3329" s="3"/>
      <c r="U3329" s="3"/>
      <c r="V3329" s="3"/>
      <c r="W3329" s="3"/>
      <c r="X3329" s="3"/>
      <c r="Y3329" s="3"/>
      <c r="Z3329" s="3"/>
      <c r="AA3329" s="3"/>
    </row>
    <row r="3330" ht="105.75" customHeight="1">
      <c r="A3330" s="11"/>
      <c r="B3330" s="12"/>
      <c r="C3330" s="11"/>
      <c r="D3330" s="13"/>
      <c r="E3330" s="14"/>
      <c r="F3330" s="14"/>
      <c r="G3330" s="14"/>
      <c r="H3330" s="15"/>
      <c r="I3330" s="15"/>
      <c r="J3330" s="3"/>
      <c r="K3330" s="3"/>
      <c r="L3330" s="3"/>
      <c r="M3330" s="3"/>
      <c r="N3330" s="3"/>
      <c r="O3330" s="3"/>
      <c r="P3330" s="3"/>
      <c r="Q3330" s="3"/>
      <c r="R3330" s="3"/>
      <c r="S3330" s="3"/>
      <c r="T3330" s="3"/>
      <c r="U3330" s="3"/>
      <c r="V3330" s="3"/>
      <c r="W3330" s="3"/>
      <c r="X3330" s="3"/>
      <c r="Y3330" s="3"/>
      <c r="Z3330" s="3"/>
      <c r="AA3330" s="3"/>
    </row>
    <row r="3331" ht="105.75" customHeight="1">
      <c r="A3331" s="11"/>
      <c r="B3331" s="12"/>
      <c r="C3331" s="11"/>
      <c r="D3331" s="13"/>
      <c r="E3331" s="14"/>
      <c r="F3331" s="14"/>
      <c r="G3331" s="14"/>
      <c r="H3331" s="15"/>
      <c r="I3331" s="15"/>
      <c r="J3331" s="3"/>
      <c r="K3331" s="3"/>
      <c r="L3331" s="3"/>
      <c r="M3331" s="3"/>
      <c r="N3331" s="3"/>
      <c r="O3331" s="3"/>
      <c r="P3331" s="3"/>
      <c r="Q3331" s="3"/>
      <c r="R3331" s="3"/>
      <c r="S3331" s="3"/>
      <c r="T3331" s="3"/>
      <c r="U3331" s="3"/>
      <c r="V3331" s="3"/>
      <c r="W3331" s="3"/>
      <c r="X3331" s="3"/>
      <c r="Y3331" s="3"/>
      <c r="Z3331" s="3"/>
      <c r="AA3331" s="3"/>
    </row>
    <row r="3332" ht="105.75" customHeight="1">
      <c r="A3332" s="11"/>
      <c r="B3332" s="12"/>
      <c r="C3332" s="11"/>
      <c r="D3332" s="13"/>
      <c r="E3332" s="14"/>
      <c r="F3332" s="14"/>
      <c r="G3332" s="14"/>
      <c r="H3332" s="15"/>
      <c r="I3332" s="15"/>
      <c r="J3332" s="3"/>
      <c r="K3332" s="3"/>
      <c r="L3332" s="3"/>
      <c r="M3332" s="3"/>
      <c r="N3332" s="3"/>
      <c r="O3332" s="3"/>
      <c r="P3332" s="3"/>
      <c r="Q3332" s="3"/>
      <c r="R3332" s="3"/>
      <c r="S3332" s="3"/>
      <c r="T3332" s="3"/>
      <c r="U3332" s="3"/>
      <c r="V3332" s="3"/>
      <c r="W3332" s="3"/>
      <c r="X3332" s="3"/>
      <c r="Y3332" s="3"/>
      <c r="Z3332" s="3"/>
      <c r="AA3332" s="3"/>
    </row>
    <row r="3333" ht="105.75" customHeight="1">
      <c r="A3333" s="11"/>
      <c r="B3333" s="12"/>
      <c r="C3333" s="11"/>
      <c r="D3333" s="13"/>
      <c r="E3333" s="16"/>
      <c r="F3333" s="16"/>
      <c r="G3333" s="16"/>
      <c r="H3333" s="15"/>
      <c r="I3333" s="15"/>
      <c r="J3333" s="3"/>
      <c r="K3333" s="3"/>
      <c r="L3333" s="3"/>
      <c r="M3333" s="3"/>
      <c r="N3333" s="3"/>
      <c r="O3333" s="3"/>
      <c r="P3333" s="3"/>
      <c r="Q3333" s="3"/>
      <c r="R3333" s="3"/>
      <c r="S3333" s="3"/>
      <c r="T3333" s="3"/>
      <c r="U3333" s="3"/>
      <c r="V3333" s="3"/>
      <c r="W3333" s="3"/>
      <c r="X3333" s="3"/>
      <c r="Y3333" s="3"/>
      <c r="Z3333" s="3"/>
      <c r="AA3333" s="3"/>
    </row>
    <row r="3334" ht="105.75" customHeight="1">
      <c r="A3334" s="11"/>
      <c r="B3334" s="12"/>
      <c r="C3334" s="11"/>
      <c r="D3334" s="13"/>
      <c r="E3334" s="14"/>
      <c r="F3334" s="14"/>
      <c r="G3334" s="14"/>
      <c r="H3334" s="15"/>
      <c r="I3334" s="15"/>
      <c r="J3334" s="3"/>
      <c r="K3334" s="3"/>
      <c r="L3334" s="3"/>
      <c r="M3334" s="3"/>
      <c r="N3334" s="3"/>
      <c r="O3334" s="3"/>
      <c r="P3334" s="3"/>
      <c r="Q3334" s="3"/>
      <c r="R3334" s="3"/>
      <c r="S3334" s="3"/>
      <c r="T3334" s="3"/>
      <c r="U3334" s="3"/>
      <c r="V3334" s="3"/>
      <c r="W3334" s="3"/>
      <c r="X3334" s="3"/>
      <c r="Y3334" s="3"/>
      <c r="Z3334" s="3"/>
      <c r="AA3334" s="3"/>
    </row>
    <row r="3335" ht="105.75" customHeight="1">
      <c r="A3335" s="11"/>
      <c r="B3335" s="12"/>
      <c r="C3335" s="11"/>
      <c r="D3335" s="13"/>
      <c r="E3335" s="14"/>
      <c r="F3335" s="14"/>
      <c r="G3335" s="14"/>
      <c r="H3335" s="15"/>
      <c r="I3335" s="15"/>
      <c r="J3335" s="3"/>
      <c r="K3335" s="3"/>
      <c r="L3335" s="3"/>
      <c r="M3335" s="3"/>
      <c r="N3335" s="3"/>
      <c r="O3335" s="3"/>
      <c r="P3335" s="3"/>
      <c r="Q3335" s="3"/>
      <c r="R3335" s="3"/>
      <c r="S3335" s="3"/>
      <c r="T3335" s="3"/>
      <c r="U3335" s="3"/>
      <c r="V3335" s="3"/>
      <c r="W3335" s="3"/>
      <c r="X3335" s="3"/>
      <c r="Y3335" s="3"/>
      <c r="Z3335" s="3"/>
      <c r="AA3335" s="3"/>
    </row>
    <row r="3336" ht="105.75" customHeight="1">
      <c r="A3336" s="11"/>
      <c r="B3336" s="12"/>
      <c r="C3336" s="11"/>
      <c r="D3336" s="13"/>
      <c r="E3336" s="14"/>
      <c r="F3336" s="14"/>
      <c r="G3336" s="14"/>
      <c r="H3336" s="15"/>
      <c r="I3336" s="15"/>
      <c r="J3336" s="3"/>
      <c r="K3336" s="3"/>
      <c r="L3336" s="3"/>
      <c r="M3336" s="3"/>
      <c r="N3336" s="3"/>
      <c r="O3336" s="3"/>
      <c r="P3336" s="3"/>
      <c r="Q3336" s="3"/>
      <c r="R3336" s="3"/>
      <c r="S3336" s="3"/>
      <c r="T3336" s="3"/>
      <c r="U3336" s="3"/>
      <c r="V3336" s="3"/>
      <c r="W3336" s="3"/>
      <c r="X3336" s="3"/>
      <c r="Y3336" s="3"/>
      <c r="Z3336" s="3"/>
      <c r="AA3336" s="3"/>
    </row>
    <row r="3337" ht="105.75" customHeight="1">
      <c r="A3337" s="11"/>
      <c r="B3337" s="12"/>
      <c r="C3337" s="11"/>
      <c r="D3337" s="13"/>
      <c r="E3337" s="14"/>
      <c r="F3337" s="14"/>
      <c r="G3337" s="14"/>
      <c r="H3337" s="15"/>
      <c r="I3337" s="15"/>
      <c r="J3337" s="3"/>
      <c r="K3337" s="3"/>
      <c r="L3337" s="3"/>
      <c r="M3337" s="3"/>
      <c r="N3337" s="3"/>
      <c r="O3337" s="3"/>
      <c r="P3337" s="3"/>
      <c r="Q3337" s="3"/>
      <c r="R3337" s="3"/>
      <c r="S3337" s="3"/>
      <c r="T3337" s="3"/>
      <c r="U3337" s="3"/>
      <c r="V3337" s="3"/>
      <c r="W3337" s="3"/>
      <c r="X3337" s="3"/>
      <c r="Y3337" s="3"/>
      <c r="Z3337" s="3"/>
      <c r="AA3337" s="3"/>
    </row>
    <row r="3338" ht="105.75" customHeight="1">
      <c r="A3338" s="11"/>
      <c r="B3338" s="12"/>
      <c r="C3338" s="11"/>
      <c r="D3338" s="13"/>
      <c r="E3338" s="16"/>
      <c r="F3338" s="16"/>
      <c r="G3338" s="16"/>
      <c r="H3338" s="15"/>
      <c r="I3338" s="15"/>
      <c r="J3338" s="3"/>
      <c r="K3338" s="3"/>
      <c r="L3338" s="3"/>
      <c r="M3338" s="3"/>
      <c r="N3338" s="3"/>
      <c r="O3338" s="3"/>
      <c r="P3338" s="3"/>
      <c r="Q3338" s="3"/>
      <c r="R3338" s="3"/>
      <c r="S3338" s="3"/>
      <c r="T3338" s="3"/>
      <c r="U3338" s="3"/>
      <c r="V3338" s="3"/>
      <c r="W3338" s="3"/>
      <c r="X3338" s="3"/>
      <c r="Y3338" s="3"/>
      <c r="Z3338" s="3"/>
      <c r="AA3338" s="3"/>
    </row>
    <row r="3339" ht="105.75" customHeight="1">
      <c r="A3339" s="11"/>
      <c r="B3339" s="12"/>
      <c r="C3339" s="11"/>
      <c r="D3339" s="13"/>
      <c r="E3339" s="14"/>
      <c r="F3339" s="14"/>
      <c r="G3339" s="14"/>
      <c r="H3339" s="15"/>
      <c r="I3339" s="15"/>
      <c r="J3339" s="3"/>
      <c r="K3339" s="3"/>
      <c r="L3339" s="3"/>
      <c r="M3339" s="3"/>
      <c r="N3339" s="3"/>
      <c r="O3339" s="3"/>
      <c r="P3339" s="3"/>
      <c r="Q3339" s="3"/>
      <c r="R3339" s="3"/>
      <c r="S3339" s="3"/>
      <c r="T3339" s="3"/>
      <c r="U3339" s="3"/>
      <c r="V3339" s="3"/>
      <c r="W3339" s="3"/>
      <c r="X3339" s="3"/>
      <c r="Y3339" s="3"/>
      <c r="Z3339" s="3"/>
      <c r="AA3339" s="3"/>
    </row>
    <row r="3340" ht="105.75" customHeight="1">
      <c r="A3340" s="11"/>
      <c r="B3340" s="12"/>
      <c r="C3340" s="11"/>
      <c r="D3340" s="13"/>
      <c r="E3340" s="16"/>
      <c r="F3340" s="16"/>
      <c r="G3340" s="16"/>
      <c r="H3340" s="15"/>
      <c r="I3340" s="15"/>
      <c r="J3340" s="3"/>
      <c r="K3340" s="3"/>
      <c r="L3340" s="3"/>
      <c r="M3340" s="3"/>
      <c r="N3340" s="3"/>
      <c r="O3340" s="3"/>
      <c r="P3340" s="3"/>
      <c r="Q3340" s="3"/>
      <c r="R3340" s="3"/>
      <c r="S3340" s="3"/>
      <c r="T3340" s="3"/>
      <c r="U3340" s="3"/>
      <c r="V3340" s="3"/>
      <c r="W3340" s="3"/>
      <c r="X3340" s="3"/>
      <c r="Y3340" s="3"/>
      <c r="Z3340" s="3"/>
      <c r="AA3340" s="3"/>
    </row>
    <row r="3341" ht="105.75" customHeight="1">
      <c r="A3341" s="11"/>
      <c r="B3341" s="12"/>
      <c r="C3341" s="11"/>
      <c r="D3341" s="13"/>
      <c r="E3341" s="14"/>
      <c r="F3341" s="14"/>
      <c r="G3341" s="14"/>
      <c r="H3341" s="15"/>
      <c r="I3341" s="15"/>
      <c r="J3341" s="3"/>
      <c r="K3341" s="3"/>
      <c r="L3341" s="3"/>
      <c r="M3341" s="3"/>
      <c r="N3341" s="3"/>
      <c r="O3341" s="3"/>
      <c r="P3341" s="3"/>
      <c r="Q3341" s="3"/>
      <c r="R3341" s="3"/>
      <c r="S3341" s="3"/>
      <c r="T3341" s="3"/>
      <c r="U3341" s="3"/>
      <c r="V3341" s="3"/>
      <c r="W3341" s="3"/>
      <c r="X3341" s="3"/>
      <c r="Y3341" s="3"/>
      <c r="Z3341" s="3"/>
      <c r="AA3341" s="3"/>
    </row>
    <row r="3342" ht="105.75" customHeight="1">
      <c r="A3342" s="11"/>
      <c r="B3342" s="12"/>
      <c r="C3342" s="11"/>
      <c r="D3342" s="13"/>
      <c r="E3342" s="14"/>
      <c r="F3342" s="14"/>
      <c r="G3342" s="14"/>
      <c r="H3342" s="15"/>
      <c r="I3342" s="15"/>
      <c r="J3342" s="3"/>
      <c r="K3342" s="3"/>
      <c r="L3342" s="3"/>
      <c r="M3342" s="3"/>
      <c r="N3342" s="3"/>
      <c r="O3342" s="3"/>
      <c r="P3342" s="3"/>
      <c r="Q3342" s="3"/>
      <c r="R3342" s="3"/>
      <c r="S3342" s="3"/>
      <c r="T3342" s="3"/>
      <c r="U3342" s="3"/>
      <c r="V3342" s="3"/>
      <c r="W3342" s="3"/>
      <c r="X3342" s="3"/>
      <c r="Y3342" s="3"/>
      <c r="Z3342" s="3"/>
      <c r="AA3342" s="3"/>
    </row>
    <row r="3343" ht="105.75" customHeight="1">
      <c r="A3343" s="11"/>
      <c r="B3343" s="12"/>
      <c r="C3343" s="11"/>
      <c r="D3343" s="13"/>
      <c r="E3343" s="14"/>
      <c r="F3343" s="14"/>
      <c r="G3343" s="14"/>
      <c r="H3343" s="15"/>
      <c r="I3343" s="15"/>
      <c r="J3343" s="3"/>
      <c r="K3343" s="3"/>
      <c r="L3343" s="3"/>
      <c r="M3343" s="3"/>
      <c r="N3343" s="3"/>
      <c r="O3343" s="3"/>
      <c r="P3343" s="3"/>
      <c r="Q3343" s="3"/>
      <c r="R3343" s="3"/>
      <c r="S3343" s="3"/>
      <c r="T3343" s="3"/>
      <c r="U3343" s="3"/>
      <c r="V3343" s="3"/>
      <c r="W3343" s="3"/>
      <c r="X3343" s="3"/>
      <c r="Y3343" s="3"/>
      <c r="Z3343" s="3"/>
      <c r="AA3343" s="3"/>
    </row>
    <row r="3344" ht="105.75" customHeight="1">
      <c r="A3344" s="11"/>
      <c r="B3344" s="12"/>
      <c r="C3344" s="11"/>
      <c r="D3344" s="13"/>
      <c r="E3344" s="14"/>
      <c r="F3344" s="14"/>
      <c r="G3344" s="14"/>
      <c r="H3344" s="15"/>
      <c r="I3344" s="15"/>
      <c r="J3344" s="3"/>
      <c r="K3344" s="3"/>
      <c r="L3344" s="3"/>
      <c r="M3344" s="3"/>
      <c r="N3344" s="3"/>
      <c r="O3344" s="3"/>
      <c r="P3344" s="3"/>
      <c r="Q3344" s="3"/>
      <c r="R3344" s="3"/>
      <c r="S3344" s="3"/>
      <c r="T3344" s="3"/>
      <c r="U3344" s="3"/>
      <c r="V3344" s="3"/>
      <c r="W3344" s="3"/>
      <c r="X3344" s="3"/>
      <c r="Y3344" s="3"/>
      <c r="Z3344" s="3"/>
      <c r="AA3344" s="3"/>
    </row>
    <row r="3345" ht="105.75" customHeight="1">
      <c r="A3345" s="11"/>
      <c r="B3345" s="12"/>
      <c r="C3345" s="11"/>
      <c r="D3345" s="13"/>
      <c r="E3345" s="14"/>
      <c r="F3345" s="14"/>
      <c r="G3345" s="14"/>
      <c r="H3345" s="15"/>
      <c r="I3345" s="15"/>
      <c r="J3345" s="3"/>
      <c r="K3345" s="3"/>
      <c r="L3345" s="3"/>
      <c r="M3345" s="3"/>
      <c r="N3345" s="3"/>
      <c r="O3345" s="3"/>
      <c r="P3345" s="3"/>
      <c r="Q3345" s="3"/>
      <c r="R3345" s="3"/>
      <c r="S3345" s="3"/>
      <c r="T3345" s="3"/>
      <c r="U3345" s="3"/>
      <c r="V3345" s="3"/>
      <c r="W3345" s="3"/>
      <c r="X3345" s="3"/>
      <c r="Y3345" s="3"/>
      <c r="Z3345" s="3"/>
      <c r="AA3345" s="3"/>
    </row>
    <row r="3346" ht="105.75" customHeight="1">
      <c r="A3346" s="11"/>
      <c r="B3346" s="12"/>
      <c r="C3346" s="11"/>
      <c r="D3346" s="13"/>
      <c r="E3346" s="14"/>
      <c r="F3346" s="14"/>
      <c r="G3346" s="14"/>
      <c r="H3346" s="15"/>
      <c r="I3346" s="15"/>
      <c r="J3346" s="3"/>
      <c r="K3346" s="3"/>
      <c r="L3346" s="3"/>
      <c r="M3346" s="3"/>
      <c r="N3346" s="3"/>
      <c r="O3346" s="3"/>
      <c r="P3346" s="3"/>
      <c r="Q3346" s="3"/>
      <c r="R3346" s="3"/>
      <c r="S3346" s="3"/>
      <c r="T3346" s="3"/>
      <c r="U3346" s="3"/>
      <c r="V3346" s="3"/>
      <c r="W3346" s="3"/>
      <c r="X3346" s="3"/>
      <c r="Y3346" s="3"/>
      <c r="Z3346" s="3"/>
      <c r="AA3346" s="3"/>
    </row>
    <row r="3347" ht="105.75" customHeight="1">
      <c r="A3347" s="11"/>
      <c r="B3347" s="12"/>
      <c r="C3347" s="11"/>
      <c r="D3347" s="13"/>
      <c r="E3347" s="16"/>
      <c r="F3347" s="16"/>
      <c r="G3347" s="16"/>
      <c r="H3347" s="15"/>
      <c r="I3347" s="15"/>
      <c r="J3347" s="3"/>
      <c r="K3347" s="3"/>
      <c r="L3347" s="3"/>
      <c r="M3347" s="3"/>
      <c r="N3347" s="3"/>
      <c r="O3347" s="3"/>
      <c r="P3347" s="3"/>
      <c r="Q3347" s="3"/>
      <c r="R3347" s="3"/>
      <c r="S3347" s="3"/>
      <c r="T3347" s="3"/>
      <c r="U3347" s="3"/>
      <c r="V3347" s="3"/>
      <c r="W3347" s="3"/>
      <c r="X3347" s="3"/>
      <c r="Y3347" s="3"/>
      <c r="Z3347" s="3"/>
      <c r="AA3347" s="3"/>
    </row>
    <row r="3348" ht="105.75" customHeight="1">
      <c r="A3348" s="11"/>
      <c r="B3348" s="12"/>
      <c r="C3348" s="11"/>
      <c r="D3348" s="13"/>
      <c r="E3348" s="14"/>
      <c r="F3348" s="14"/>
      <c r="G3348" s="14"/>
      <c r="H3348" s="15"/>
      <c r="I3348" s="15"/>
      <c r="J3348" s="3"/>
      <c r="K3348" s="3"/>
      <c r="L3348" s="3"/>
      <c r="M3348" s="3"/>
      <c r="N3348" s="3"/>
      <c r="O3348" s="3"/>
      <c r="P3348" s="3"/>
      <c r="Q3348" s="3"/>
      <c r="R3348" s="3"/>
      <c r="S3348" s="3"/>
      <c r="T3348" s="3"/>
      <c r="U3348" s="3"/>
      <c r="V3348" s="3"/>
      <c r="W3348" s="3"/>
      <c r="X3348" s="3"/>
      <c r="Y3348" s="3"/>
      <c r="Z3348" s="3"/>
      <c r="AA3348" s="3"/>
    </row>
    <row r="3349" ht="105.75" customHeight="1">
      <c r="A3349" s="11"/>
      <c r="B3349" s="12"/>
      <c r="C3349" s="11"/>
      <c r="D3349" s="13"/>
      <c r="E3349" s="16"/>
      <c r="F3349" s="16"/>
      <c r="G3349" s="16"/>
      <c r="H3349" s="15"/>
      <c r="I3349" s="15"/>
      <c r="J3349" s="3"/>
      <c r="K3349" s="3"/>
      <c r="L3349" s="3"/>
      <c r="M3349" s="3"/>
      <c r="N3349" s="3"/>
      <c r="O3349" s="3"/>
      <c r="P3349" s="3"/>
      <c r="Q3349" s="3"/>
      <c r="R3349" s="3"/>
      <c r="S3349" s="3"/>
      <c r="T3349" s="3"/>
      <c r="U3349" s="3"/>
      <c r="V3349" s="3"/>
      <c r="W3349" s="3"/>
      <c r="X3349" s="3"/>
      <c r="Y3349" s="3"/>
      <c r="Z3349" s="3"/>
      <c r="AA3349" s="3"/>
    </row>
    <row r="3350" ht="105.75" customHeight="1">
      <c r="A3350" s="11"/>
      <c r="B3350" s="12"/>
      <c r="C3350" s="11"/>
      <c r="D3350" s="13"/>
      <c r="E3350" s="14"/>
      <c r="F3350" s="14"/>
      <c r="G3350" s="14"/>
      <c r="H3350" s="15"/>
      <c r="I3350" s="15"/>
      <c r="J3350" s="3"/>
      <c r="K3350" s="3"/>
      <c r="L3350" s="3"/>
      <c r="M3350" s="3"/>
      <c r="N3350" s="3"/>
      <c r="O3350" s="3"/>
      <c r="P3350" s="3"/>
      <c r="Q3350" s="3"/>
      <c r="R3350" s="3"/>
      <c r="S3350" s="3"/>
      <c r="T3350" s="3"/>
      <c r="U3350" s="3"/>
      <c r="V3350" s="3"/>
      <c r="W3350" s="3"/>
      <c r="X3350" s="3"/>
      <c r="Y3350" s="3"/>
      <c r="Z3350" s="3"/>
      <c r="AA3350" s="3"/>
    </row>
    <row r="3351" ht="105.75" customHeight="1">
      <c r="A3351" s="11"/>
      <c r="B3351" s="12"/>
      <c r="C3351" s="11"/>
      <c r="D3351" s="13"/>
      <c r="E3351" s="14"/>
      <c r="F3351" s="14"/>
      <c r="G3351" s="14"/>
      <c r="H3351" s="15"/>
      <c r="I3351" s="15"/>
      <c r="J3351" s="3"/>
      <c r="K3351" s="3"/>
      <c r="L3351" s="3"/>
      <c r="M3351" s="3"/>
      <c r="N3351" s="3"/>
      <c r="O3351" s="3"/>
      <c r="P3351" s="3"/>
      <c r="Q3351" s="3"/>
      <c r="R3351" s="3"/>
      <c r="S3351" s="3"/>
      <c r="T3351" s="3"/>
      <c r="U3351" s="3"/>
      <c r="V3351" s="3"/>
      <c r="W3351" s="3"/>
      <c r="X3351" s="3"/>
      <c r="Y3351" s="3"/>
      <c r="Z3351" s="3"/>
      <c r="AA3351" s="3"/>
    </row>
    <row r="3352" ht="105.75" customHeight="1">
      <c r="A3352" s="11"/>
      <c r="B3352" s="12"/>
      <c r="C3352" s="11"/>
      <c r="D3352" s="13"/>
      <c r="E3352" s="14"/>
      <c r="F3352" s="14"/>
      <c r="G3352" s="14"/>
      <c r="H3352" s="15"/>
      <c r="I3352" s="15"/>
      <c r="J3352" s="3"/>
      <c r="K3352" s="3"/>
      <c r="L3352" s="3"/>
      <c r="M3352" s="3"/>
      <c r="N3352" s="3"/>
      <c r="O3352" s="3"/>
      <c r="P3352" s="3"/>
      <c r="Q3352" s="3"/>
      <c r="R3352" s="3"/>
      <c r="S3352" s="3"/>
      <c r="T3352" s="3"/>
      <c r="U3352" s="3"/>
      <c r="V3352" s="3"/>
      <c r="W3352" s="3"/>
      <c r="X3352" s="3"/>
      <c r="Y3352" s="3"/>
      <c r="Z3352" s="3"/>
      <c r="AA3352" s="3"/>
    </row>
    <row r="3353" ht="105.75" customHeight="1">
      <c r="A3353" s="11"/>
      <c r="B3353" s="12"/>
      <c r="C3353" s="11"/>
      <c r="D3353" s="13"/>
      <c r="E3353" s="14"/>
      <c r="F3353" s="14"/>
      <c r="G3353" s="14"/>
      <c r="H3353" s="15"/>
      <c r="I3353" s="15"/>
      <c r="J3353" s="3"/>
      <c r="K3353" s="3"/>
      <c r="L3353" s="3"/>
      <c r="M3353" s="3"/>
      <c r="N3353" s="3"/>
      <c r="O3353" s="3"/>
      <c r="P3353" s="3"/>
      <c r="Q3353" s="3"/>
      <c r="R3353" s="3"/>
      <c r="S3353" s="3"/>
      <c r="T3353" s="3"/>
      <c r="U3353" s="3"/>
      <c r="V3353" s="3"/>
      <c r="W3353" s="3"/>
      <c r="X3353" s="3"/>
      <c r="Y3353" s="3"/>
      <c r="Z3353" s="3"/>
      <c r="AA3353" s="3"/>
    </row>
    <row r="3354" ht="105.75" customHeight="1">
      <c r="A3354" s="11"/>
      <c r="B3354" s="12"/>
      <c r="C3354" s="11"/>
      <c r="D3354" s="13"/>
      <c r="E3354" s="14"/>
      <c r="F3354" s="14"/>
      <c r="G3354" s="14"/>
      <c r="H3354" s="15"/>
      <c r="I3354" s="15"/>
      <c r="J3354" s="3"/>
      <c r="K3354" s="3"/>
      <c r="L3354" s="3"/>
      <c r="M3354" s="3"/>
      <c r="N3354" s="3"/>
      <c r="O3354" s="3"/>
      <c r="P3354" s="3"/>
      <c r="Q3354" s="3"/>
      <c r="R3354" s="3"/>
      <c r="S3354" s="3"/>
      <c r="T3354" s="3"/>
      <c r="U3354" s="3"/>
      <c r="V3354" s="3"/>
      <c r="W3354" s="3"/>
      <c r="X3354" s="3"/>
      <c r="Y3354" s="3"/>
      <c r="Z3354" s="3"/>
      <c r="AA3354" s="3"/>
    </row>
    <row r="3355" ht="105.75" customHeight="1">
      <c r="A3355" s="11"/>
      <c r="B3355" s="12"/>
      <c r="C3355" s="11"/>
      <c r="D3355" s="13"/>
      <c r="E3355" s="14"/>
      <c r="F3355" s="14"/>
      <c r="G3355" s="14"/>
      <c r="H3355" s="15"/>
      <c r="I3355" s="15"/>
      <c r="J3355" s="3"/>
      <c r="K3355" s="3"/>
      <c r="L3355" s="3"/>
      <c r="M3355" s="3"/>
      <c r="N3355" s="3"/>
      <c r="O3355" s="3"/>
      <c r="P3355" s="3"/>
      <c r="Q3355" s="3"/>
      <c r="R3355" s="3"/>
      <c r="S3355" s="3"/>
      <c r="T3355" s="3"/>
      <c r="U3355" s="3"/>
      <c r="V3355" s="3"/>
      <c r="W3355" s="3"/>
      <c r="X3355" s="3"/>
      <c r="Y3355" s="3"/>
      <c r="Z3355" s="3"/>
      <c r="AA3355" s="3"/>
    </row>
    <row r="3356" ht="105.75" customHeight="1">
      <c r="A3356" s="11"/>
      <c r="B3356" s="12"/>
      <c r="C3356" s="11"/>
      <c r="D3356" s="13"/>
      <c r="E3356" s="14"/>
      <c r="F3356" s="14"/>
      <c r="G3356" s="14"/>
      <c r="H3356" s="15"/>
      <c r="I3356" s="15"/>
      <c r="J3356" s="3"/>
      <c r="K3356" s="3"/>
      <c r="L3356" s="3"/>
      <c r="M3356" s="3"/>
      <c r="N3356" s="3"/>
      <c r="O3356" s="3"/>
      <c r="P3356" s="3"/>
      <c r="Q3356" s="3"/>
      <c r="R3356" s="3"/>
      <c r="S3356" s="3"/>
      <c r="T3356" s="3"/>
      <c r="U3356" s="3"/>
      <c r="V3356" s="3"/>
      <c r="W3356" s="3"/>
      <c r="X3356" s="3"/>
      <c r="Y3356" s="3"/>
      <c r="Z3356" s="3"/>
      <c r="AA3356" s="3"/>
    </row>
    <row r="3357" ht="105.75" customHeight="1">
      <c r="A3357" s="11"/>
      <c r="B3357" s="12"/>
      <c r="C3357" s="11"/>
      <c r="D3357" s="13"/>
      <c r="E3357" s="14"/>
      <c r="F3357" s="14"/>
      <c r="G3357" s="14"/>
      <c r="H3357" s="15"/>
      <c r="I3357" s="15"/>
      <c r="J3357" s="3"/>
      <c r="K3357" s="3"/>
      <c r="L3357" s="3"/>
      <c r="M3357" s="3"/>
      <c r="N3357" s="3"/>
      <c r="O3357" s="3"/>
      <c r="P3357" s="3"/>
      <c r="Q3357" s="3"/>
      <c r="R3357" s="3"/>
      <c r="S3357" s="3"/>
      <c r="T3357" s="3"/>
      <c r="U3357" s="3"/>
      <c r="V3357" s="3"/>
      <c r="W3357" s="3"/>
      <c r="X3357" s="3"/>
      <c r="Y3357" s="3"/>
      <c r="Z3357" s="3"/>
      <c r="AA3357" s="3"/>
    </row>
    <row r="3358" ht="105.75" customHeight="1">
      <c r="A3358" s="11"/>
      <c r="B3358" s="12"/>
      <c r="C3358" s="11"/>
      <c r="D3358" s="13"/>
      <c r="E3358" s="14"/>
      <c r="F3358" s="14"/>
      <c r="G3358" s="14"/>
      <c r="H3358" s="15"/>
      <c r="I3358" s="15"/>
      <c r="J3358" s="3"/>
      <c r="K3358" s="3"/>
      <c r="L3358" s="3"/>
      <c r="M3358" s="3"/>
      <c r="N3358" s="3"/>
      <c r="O3358" s="3"/>
      <c r="P3358" s="3"/>
      <c r="Q3358" s="3"/>
      <c r="R3358" s="3"/>
      <c r="S3358" s="3"/>
      <c r="T3358" s="3"/>
      <c r="U3358" s="3"/>
      <c r="V3358" s="3"/>
      <c r="W3358" s="3"/>
      <c r="X3358" s="3"/>
      <c r="Y3358" s="3"/>
      <c r="Z3358" s="3"/>
      <c r="AA3358" s="3"/>
    </row>
    <row r="3359" ht="105.75" customHeight="1">
      <c r="A3359" s="11"/>
      <c r="B3359" s="12"/>
      <c r="C3359" s="11"/>
      <c r="D3359" s="13"/>
      <c r="E3359" s="14"/>
      <c r="F3359" s="14"/>
      <c r="G3359" s="14"/>
      <c r="H3359" s="15"/>
      <c r="I3359" s="15"/>
      <c r="J3359" s="3"/>
      <c r="K3359" s="3"/>
      <c r="L3359" s="3"/>
      <c r="M3359" s="3"/>
      <c r="N3359" s="3"/>
      <c r="O3359" s="3"/>
      <c r="P3359" s="3"/>
      <c r="Q3359" s="3"/>
      <c r="R3359" s="3"/>
      <c r="S3359" s="3"/>
      <c r="T3359" s="3"/>
      <c r="U3359" s="3"/>
      <c r="V3359" s="3"/>
      <c r="W3359" s="3"/>
      <c r="X3359" s="3"/>
      <c r="Y3359" s="3"/>
      <c r="Z3359" s="3"/>
      <c r="AA3359" s="3"/>
    </row>
    <row r="3360" ht="105.75" customHeight="1">
      <c r="A3360" s="11"/>
      <c r="B3360" s="12"/>
      <c r="C3360" s="11"/>
      <c r="D3360" s="13"/>
      <c r="E3360" s="14"/>
      <c r="F3360" s="14"/>
      <c r="G3360" s="14"/>
      <c r="H3360" s="15"/>
      <c r="I3360" s="15"/>
      <c r="J3360" s="3"/>
      <c r="K3360" s="3"/>
      <c r="L3360" s="3"/>
      <c r="M3360" s="3"/>
      <c r="N3360" s="3"/>
      <c r="O3360" s="3"/>
      <c r="P3360" s="3"/>
      <c r="Q3360" s="3"/>
      <c r="R3360" s="3"/>
      <c r="S3360" s="3"/>
      <c r="T3360" s="3"/>
      <c r="U3360" s="3"/>
      <c r="V3360" s="3"/>
      <c r="W3360" s="3"/>
      <c r="X3360" s="3"/>
      <c r="Y3360" s="3"/>
      <c r="Z3360" s="3"/>
      <c r="AA3360" s="3"/>
    </row>
    <row r="3361" ht="105.75" customHeight="1">
      <c r="A3361" s="11"/>
      <c r="B3361" s="12"/>
      <c r="C3361" s="11"/>
      <c r="D3361" s="13"/>
      <c r="E3361" s="14"/>
      <c r="F3361" s="14"/>
      <c r="G3361" s="14"/>
      <c r="H3361" s="15"/>
      <c r="I3361" s="15"/>
      <c r="J3361" s="3"/>
      <c r="K3361" s="3"/>
      <c r="L3361" s="3"/>
      <c r="M3361" s="3"/>
      <c r="N3361" s="3"/>
      <c r="O3361" s="3"/>
      <c r="P3361" s="3"/>
      <c r="Q3361" s="3"/>
      <c r="R3361" s="3"/>
      <c r="S3361" s="3"/>
      <c r="T3361" s="3"/>
      <c r="U3361" s="3"/>
      <c r="V3361" s="3"/>
      <c r="W3361" s="3"/>
      <c r="X3361" s="3"/>
      <c r="Y3361" s="3"/>
      <c r="Z3361" s="3"/>
      <c r="AA3361" s="3"/>
    </row>
    <row r="3362" ht="105.75" customHeight="1">
      <c r="A3362" s="11"/>
      <c r="B3362" s="12"/>
      <c r="C3362" s="11"/>
      <c r="D3362" s="13"/>
      <c r="E3362" s="16"/>
      <c r="F3362" s="16"/>
      <c r="G3362" s="16"/>
      <c r="H3362" s="15"/>
      <c r="I3362" s="15"/>
      <c r="J3362" s="3"/>
      <c r="K3362" s="3"/>
      <c r="L3362" s="3"/>
      <c r="M3362" s="3"/>
      <c r="N3362" s="3"/>
      <c r="O3362" s="3"/>
      <c r="P3362" s="3"/>
      <c r="Q3362" s="3"/>
      <c r="R3362" s="3"/>
      <c r="S3362" s="3"/>
      <c r="T3362" s="3"/>
      <c r="U3362" s="3"/>
      <c r="V3362" s="3"/>
      <c r="W3362" s="3"/>
      <c r="X3362" s="3"/>
      <c r="Y3362" s="3"/>
      <c r="Z3362" s="3"/>
      <c r="AA3362" s="3"/>
    </row>
    <row r="3363" ht="105.75" customHeight="1">
      <c r="A3363" s="11"/>
      <c r="B3363" s="12"/>
      <c r="C3363" s="11"/>
      <c r="D3363" s="13"/>
      <c r="E3363" s="14"/>
      <c r="F3363" s="14"/>
      <c r="G3363" s="14"/>
      <c r="H3363" s="15"/>
      <c r="I3363" s="15"/>
      <c r="J3363" s="3"/>
      <c r="K3363" s="3"/>
      <c r="L3363" s="3"/>
      <c r="M3363" s="3"/>
      <c r="N3363" s="3"/>
      <c r="O3363" s="3"/>
      <c r="P3363" s="3"/>
      <c r="Q3363" s="3"/>
      <c r="R3363" s="3"/>
      <c r="S3363" s="3"/>
      <c r="T3363" s="3"/>
      <c r="U3363" s="3"/>
      <c r="V3363" s="3"/>
      <c r="W3363" s="3"/>
      <c r="X3363" s="3"/>
      <c r="Y3363" s="3"/>
      <c r="Z3363" s="3"/>
      <c r="AA3363" s="3"/>
    </row>
    <row r="3364" ht="105.75" customHeight="1">
      <c r="A3364" s="11"/>
      <c r="B3364" s="12"/>
      <c r="C3364" s="11"/>
      <c r="D3364" s="13"/>
      <c r="E3364" s="14"/>
      <c r="F3364" s="14"/>
      <c r="G3364" s="14"/>
      <c r="H3364" s="15"/>
      <c r="I3364" s="15"/>
      <c r="J3364" s="3"/>
      <c r="K3364" s="3"/>
      <c r="L3364" s="3"/>
      <c r="M3364" s="3"/>
      <c r="N3364" s="3"/>
      <c r="O3364" s="3"/>
      <c r="P3364" s="3"/>
      <c r="Q3364" s="3"/>
      <c r="R3364" s="3"/>
      <c r="S3364" s="3"/>
      <c r="T3364" s="3"/>
      <c r="U3364" s="3"/>
      <c r="V3364" s="3"/>
      <c r="W3364" s="3"/>
      <c r="X3364" s="3"/>
      <c r="Y3364" s="3"/>
      <c r="Z3364" s="3"/>
      <c r="AA3364" s="3"/>
    </row>
    <row r="3365" ht="105.75" customHeight="1">
      <c r="A3365" s="11"/>
      <c r="B3365" s="12"/>
      <c r="C3365" s="11"/>
      <c r="D3365" s="13"/>
      <c r="E3365" s="14"/>
      <c r="F3365" s="14"/>
      <c r="G3365" s="14"/>
      <c r="H3365" s="15"/>
      <c r="I3365" s="15"/>
      <c r="J3365" s="3"/>
      <c r="K3365" s="3"/>
      <c r="L3365" s="3"/>
      <c r="M3365" s="3"/>
      <c r="N3365" s="3"/>
      <c r="O3365" s="3"/>
      <c r="P3365" s="3"/>
      <c r="Q3365" s="3"/>
      <c r="R3365" s="3"/>
      <c r="S3365" s="3"/>
      <c r="T3365" s="3"/>
      <c r="U3365" s="3"/>
      <c r="V3365" s="3"/>
      <c r="W3365" s="3"/>
      <c r="X3365" s="3"/>
      <c r="Y3365" s="3"/>
      <c r="Z3365" s="3"/>
      <c r="AA3365" s="3"/>
    </row>
    <row r="3366" ht="105.75" customHeight="1">
      <c r="A3366" s="11"/>
      <c r="B3366" s="12"/>
      <c r="C3366" s="11"/>
      <c r="D3366" s="13"/>
      <c r="E3366" s="14"/>
      <c r="F3366" s="14"/>
      <c r="G3366" s="14"/>
      <c r="H3366" s="15"/>
      <c r="I3366" s="15"/>
      <c r="J3366" s="3"/>
      <c r="K3366" s="3"/>
      <c r="L3366" s="3"/>
      <c r="M3366" s="3"/>
      <c r="N3366" s="3"/>
      <c r="O3366" s="3"/>
      <c r="P3366" s="3"/>
      <c r="Q3366" s="3"/>
      <c r="R3366" s="3"/>
      <c r="S3366" s="3"/>
      <c r="T3366" s="3"/>
      <c r="U3366" s="3"/>
      <c r="V3366" s="3"/>
      <c r="W3366" s="3"/>
      <c r="X3366" s="3"/>
      <c r="Y3366" s="3"/>
      <c r="Z3366" s="3"/>
      <c r="AA3366" s="3"/>
    </row>
    <row r="3367" ht="105.75" customHeight="1">
      <c r="A3367" s="11"/>
      <c r="B3367" s="12"/>
      <c r="C3367" s="11"/>
      <c r="D3367" s="13"/>
      <c r="E3367" s="14"/>
      <c r="F3367" s="14"/>
      <c r="G3367" s="14"/>
      <c r="H3367" s="15"/>
      <c r="I3367" s="15"/>
      <c r="J3367" s="3"/>
      <c r="K3367" s="3"/>
      <c r="L3367" s="3"/>
      <c r="M3367" s="3"/>
      <c r="N3367" s="3"/>
      <c r="O3367" s="3"/>
      <c r="P3367" s="3"/>
      <c r="Q3367" s="3"/>
      <c r="R3367" s="3"/>
      <c r="S3367" s="3"/>
      <c r="T3367" s="3"/>
      <c r="U3367" s="3"/>
      <c r="V3367" s="3"/>
      <c r="W3367" s="3"/>
      <c r="X3367" s="3"/>
      <c r="Y3367" s="3"/>
      <c r="Z3367" s="3"/>
      <c r="AA3367" s="3"/>
    </row>
    <row r="3368" ht="105.75" customHeight="1">
      <c r="A3368" s="11"/>
      <c r="B3368" s="12"/>
      <c r="C3368" s="11"/>
      <c r="D3368" s="13"/>
      <c r="E3368" s="14"/>
      <c r="F3368" s="14"/>
      <c r="G3368" s="14"/>
      <c r="H3368" s="15"/>
      <c r="I3368" s="15"/>
      <c r="J3368" s="3"/>
      <c r="K3368" s="3"/>
      <c r="L3368" s="3"/>
      <c r="M3368" s="3"/>
      <c r="N3368" s="3"/>
      <c r="O3368" s="3"/>
      <c r="P3368" s="3"/>
      <c r="Q3368" s="3"/>
      <c r="R3368" s="3"/>
      <c r="S3368" s="3"/>
      <c r="T3368" s="3"/>
      <c r="U3368" s="3"/>
      <c r="V3368" s="3"/>
      <c r="W3368" s="3"/>
      <c r="X3368" s="3"/>
      <c r="Y3368" s="3"/>
      <c r="Z3368" s="3"/>
      <c r="AA3368" s="3"/>
    </row>
    <row r="3369" ht="105.75" customHeight="1">
      <c r="A3369" s="11"/>
      <c r="B3369" s="12"/>
      <c r="C3369" s="11"/>
      <c r="D3369" s="13"/>
      <c r="E3369" s="14"/>
      <c r="F3369" s="14"/>
      <c r="G3369" s="14"/>
      <c r="H3369" s="15"/>
      <c r="I3369" s="15"/>
      <c r="J3369" s="3"/>
      <c r="K3369" s="3"/>
      <c r="L3369" s="3"/>
      <c r="M3369" s="3"/>
      <c r="N3369" s="3"/>
      <c r="O3369" s="3"/>
      <c r="P3369" s="3"/>
      <c r="Q3369" s="3"/>
      <c r="R3369" s="3"/>
      <c r="S3369" s="3"/>
      <c r="T3369" s="3"/>
      <c r="U3369" s="3"/>
      <c r="V3369" s="3"/>
      <c r="W3369" s="3"/>
      <c r="X3369" s="3"/>
      <c r="Y3369" s="3"/>
      <c r="Z3369" s="3"/>
      <c r="AA3369" s="3"/>
    </row>
    <row r="3370" ht="105.75" customHeight="1">
      <c r="A3370" s="11"/>
      <c r="B3370" s="12"/>
      <c r="C3370" s="11"/>
      <c r="D3370" s="13"/>
      <c r="E3370" s="14"/>
      <c r="F3370" s="14"/>
      <c r="G3370" s="14"/>
      <c r="H3370" s="15"/>
      <c r="I3370" s="15"/>
      <c r="J3370" s="3"/>
      <c r="K3370" s="3"/>
      <c r="L3370" s="3"/>
      <c r="M3370" s="3"/>
      <c r="N3370" s="3"/>
      <c r="O3370" s="3"/>
      <c r="P3370" s="3"/>
      <c r="Q3370" s="3"/>
      <c r="R3370" s="3"/>
      <c r="S3370" s="3"/>
      <c r="T3370" s="3"/>
      <c r="U3370" s="3"/>
      <c r="V3370" s="3"/>
      <c r="W3370" s="3"/>
      <c r="X3370" s="3"/>
      <c r="Y3370" s="3"/>
      <c r="Z3370" s="3"/>
      <c r="AA3370" s="3"/>
    </row>
    <row r="3371" ht="105.75" customHeight="1">
      <c r="A3371" s="11"/>
      <c r="B3371" s="12"/>
      <c r="C3371" s="11"/>
      <c r="D3371" s="13"/>
      <c r="E3371" s="14"/>
      <c r="F3371" s="14"/>
      <c r="G3371" s="14"/>
      <c r="H3371" s="15"/>
      <c r="I3371" s="15"/>
      <c r="J3371" s="3"/>
      <c r="K3371" s="3"/>
      <c r="L3371" s="3"/>
      <c r="M3371" s="3"/>
      <c r="N3371" s="3"/>
      <c r="O3371" s="3"/>
      <c r="P3371" s="3"/>
      <c r="Q3371" s="3"/>
      <c r="R3371" s="3"/>
      <c r="S3371" s="3"/>
      <c r="T3371" s="3"/>
      <c r="U3371" s="3"/>
      <c r="V3371" s="3"/>
      <c r="W3371" s="3"/>
      <c r="X3371" s="3"/>
      <c r="Y3371" s="3"/>
      <c r="Z3371" s="3"/>
      <c r="AA3371" s="3"/>
    </row>
    <row r="3372" ht="105.75" customHeight="1">
      <c r="A3372" s="11"/>
      <c r="B3372" s="12"/>
      <c r="C3372" s="11"/>
      <c r="D3372" s="13"/>
      <c r="E3372" s="14"/>
      <c r="F3372" s="14"/>
      <c r="G3372" s="14"/>
      <c r="H3372" s="15"/>
      <c r="I3372" s="15"/>
      <c r="J3372" s="3"/>
      <c r="K3372" s="3"/>
      <c r="L3372" s="3"/>
      <c r="M3372" s="3"/>
      <c r="N3372" s="3"/>
      <c r="O3372" s="3"/>
      <c r="P3372" s="3"/>
      <c r="Q3372" s="3"/>
      <c r="R3372" s="3"/>
      <c r="S3372" s="3"/>
      <c r="T3372" s="3"/>
      <c r="U3372" s="3"/>
      <c r="V3372" s="3"/>
      <c r="W3372" s="3"/>
      <c r="X3372" s="3"/>
      <c r="Y3372" s="3"/>
      <c r="Z3372" s="3"/>
      <c r="AA3372" s="3"/>
    </row>
    <row r="3373" ht="105.75" customHeight="1">
      <c r="A3373" s="11"/>
      <c r="B3373" s="12"/>
      <c r="C3373" s="11"/>
      <c r="D3373" s="13"/>
      <c r="E3373" s="14"/>
      <c r="F3373" s="14"/>
      <c r="G3373" s="14"/>
      <c r="H3373" s="15"/>
      <c r="I3373" s="15"/>
      <c r="J3373" s="3"/>
      <c r="K3373" s="3"/>
      <c r="L3373" s="3"/>
      <c r="M3373" s="3"/>
      <c r="N3373" s="3"/>
      <c r="O3373" s="3"/>
      <c r="P3373" s="3"/>
      <c r="Q3373" s="3"/>
      <c r="R3373" s="3"/>
      <c r="S3373" s="3"/>
      <c r="T3373" s="3"/>
      <c r="U3373" s="3"/>
      <c r="V3373" s="3"/>
      <c r="W3373" s="3"/>
      <c r="X3373" s="3"/>
      <c r="Y3373" s="3"/>
      <c r="Z3373" s="3"/>
      <c r="AA3373" s="3"/>
    </row>
    <row r="3374" ht="105.75" customHeight="1">
      <c r="A3374" s="11"/>
      <c r="B3374" s="12"/>
      <c r="C3374" s="11"/>
      <c r="D3374" s="13"/>
      <c r="E3374" s="14"/>
      <c r="F3374" s="14"/>
      <c r="G3374" s="14"/>
      <c r="H3374" s="15"/>
      <c r="I3374" s="15"/>
      <c r="J3374" s="3"/>
      <c r="K3374" s="3"/>
      <c r="L3374" s="3"/>
      <c r="M3374" s="3"/>
      <c r="N3374" s="3"/>
      <c r="O3374" s="3"/>
      <c r="P3374" s="3"/>
      <c r="Q3374" s="3"/>
      <c r="R3374" s="3"/>
      <c r="S3374" s="3"/>
      <c r="T3374" s="3"/>
      <c r="U3374" s="3"/>
      <c r="V3374" s="3"/>
      <c r="W3374" s="3"/>
      <c r="X3374" s="3"/>
      <c r="Y3374" s="3"/>
      <c r="Z3374" s="3"/>
      <c r="AA3374" s="3"/>
    </row>
    <row r="3375" ht="105.75" customHeight="1">
      <c r="A3375" s="11"/>
      <c r="B3375" s="12"/>
      <c r="C3375" s="11"/>
      <c r="D3375" s="13"/>
      <c r="E3375" s="14"/>
      <c r="F3375" s="14"/>
      <c r="G3375" s="14"/>
      <c r="H3375" s="15"/>
      <c r="I3375" s="15"/>
      <c r="J3375" s="3"/>
      <c r="K3375" s="3"/>
      <c r="L3375" s="3"/>
      <c r="M3375" s="3"/>
      <c r="N3375" s="3"/>
      <c r="O3375" s="3"/>
      <c r="P3375" s="3"/>
      <c r="Q3375" s="3"/>
      <c r="R3375" s="3"/>
      <c r="S3375" s="3"/>
      <c r="T3375" s="3"/>
      <c r="U3375" s="3"/>
      <c r="V3375" s="3"/>
      <c r="W3375" s="3"/>
      <c r="X3375" s="3"/>
      <c r="Y3375" s="3"/>
      <c r="Z3375" s="3"/>
      <c r="AA3375" s="3"/>
    </row>
    <row r="3376" ht="105.75" customHeight="1">
      <c r="A3376" s="11"/>
      <c r="B3376" s="12"/>
      <c r="C3376" s="11"/>
      <c r="D3376" s="13"/>
      <c r="E3376" s="14"/>
      <c r="F3376" s="14"/>
      <c r="G3376" s="14"/>
      <c r="H3376" s="15"/>
      <c r="I3376" s="15"/>
      <c r="J3376" s="3"/>
      <c r="K3376" s="3"/>
      <c r="L3376" s="3"/>
      <c r="M3376" s="3"/>
      <c r="N3376" s="3"/>
      <c r="O3376" s="3"/>
      <c r="P3376" s="3"/>
      <c r="Q3376" s="3"/>
      <c r="R3376" s="3"/>
      <c r="S3376" s="3"/>
      <c r="T3376" s="3"/>
      <c r="U3376" s="3"/>
      <c r="V3376" s="3"/>
      <c r="W3376" s="3"/>
      <c r="X3376" s="3"/>
      <c r="Y3376" s="3"/>
      <c r="Z3376" s="3"/>
      <c r="AA3376" s="3"/>
    </row>
    <row r="3377" ht="105.75" customHeight="1">
      <c r="A3377" s="11"/>
      <c r="B3377" s="12"/>
      <c r="C3377" s="11"/>
      <c r="D3377" s="13"/>
      <c r="E3377" s="14"/>
      <c r="F3377" s="14"/>
      <c r="G3377" s="14"/>
      <c r="H3377" s="15"/>
      <c r="I3377" s="15"/>
      <c r="J3377" s="3"/>
      <c r="K3377" s="3"/>
      <c r="L3377" s="3"/>
      <c r="M3377" s="3"/>
      <c r="N3377" s="3"/>
      <c r="O3377" s="3"/>
      <c r="P3377" s="3"/>
      <c r="Q3377" s="3"/>
      <c r="R3377" s="3"/>
      <c r="S3377" s="3"/>
      <c r="T3377" s="3"/>
      <c r="U3377" s="3"/>
      <c r="V3377" s="3"/>
      <c r="W3377" s="3"/>
      <c r="X3377" s="3"/>
      <c r="Y3377" s="3"/>
      <c r="Z3377" s="3"/>
      <c r="AA3377" s="3"/>
    </row>
    <row r="3378" ht="105.75" customHeight="1">
      <c r="A3378" s="11"/>
      <c r="B3378" s="12"/>
      <c r="C3378" s="11"/>
      <c r="D3378" s="13"/>
      <c r="E3378" s="14"/>
      <c r="F3378" s="14"/>
      <c r="G3378" s="14"/>
      <c r="H3378" s="15"/>
      <c r="I3378" s="15"/>
      <c r="J3378" s="3"/>
      <c r="K3378" s="3"/>
      <c r="L3378" s="3"/>
      <c r="M3378" s="3"/>
      <c r="N3378" s="3"/>
      <c r="O3378" s="3"/>
      <c r="P3378" s="3"/>
      <c r="Q3378" s="3"/>
      <c r="R3378" s="3"/>
      <c r="S3378" s="3"/>
      <c r="T3378" s="3"/>
      <c r="U3378" s="3"/>
      <c r="V3378" s="3"/>
      <c r="W3378" s="3"/>
      <c r="X3378" s="3"/>
      <c r="Y3378" s="3"/>
      <c r="Z3378" s="3"/>
      <c r="AA3378" s="3"/>
    </row>
    <row r="3379" ht="105.75" customHeight="1">
      <c r="A3379" s="11"/>
      <c r="B3379" s="12"/>
      <c r="C3379" s="11"/>
      <c r="D3379" s="13"/>
      <c r="E3379" s="14"/>
      <c r="F3379" s="14"/>
      <c r="G3379" s="14"/>
      <c r="H3379" s="15"/>
      <c r="I3379" s="15"/>
      <c r="J3379" s="3"/>
      <c r="K3379" s="3"/>
      <c r="L3379" s="3"/>
      <c r="M3379" s="3"/>
      <c r="N3379" s="3"/>
      <c r="O3379" s="3"/>
      <c r="P3379" s="3"/>
      <c r="Q3379" s="3"/>
      <c r="R3379" s="3"/>
      <c r="S3379" s="3"/>
      <c r="T3379" s="3"/>
      <c r="U3379" s="3"/>
      <c r="V3379" s="3"/>
      <c r="W3379" s="3"/>
      <c r="X3379" s="3"/>
      <c r="Y3379" s="3"/>
      <c r="Z3379" s="3"/>
      <c r="AA3379" s="3"/>
    </row>
    <row r="3380" ht="105.75" customHeight="1">
      <c r="A3380" s="11"/>
      <c r="B3380" s="12"/>
      <c r="C3380" s="11"/>
      <c r="D3380" s="13"/>
      <c r="E3380" s="14"/>
      <c r="F3380" s="14"/>
      <c r="G3380" s="14"/>
      <c r="H3380" s="15"/>
      <c r="I3380" s="15"/>
      <c r="J3380" s="3"/>
      <c r="K3380" s="3"/>
      <c r="L3380" s="3"/>
      <c r="M3380" s="3"/>
      <c r="N3380" s="3"/>
      <c r="O3380" s="3"/>
      <c r="P3380" s="3"/>
      <c r="Q3380" s="3"/>
      <c r="R3380" s="3"/>
      <c r="S3380" s="3"/>
      <c r="T3380" s="3"/>
      <c r="U3380" s="3"/>
      <c r="V3380" s="3"/>
      <c r="W3380" s="3"/>
      <c r="X3380" s="3"/>
      <c r="Y3380" s="3"/>
      <c r="Z3380" s="3"/>
      <c r="AA3380" s="3"/>
    </row>
    <row r="3381" ht="105.75" customHeight="1">
      <c r="A3381" s="11"/>
      <c r="B3381" s="12"/>
      <c r="C3381" s="11"/>
      <c r="D3381" s="13"/>
      <c r="E3381" s="14"/>
      <c r="F3381" s="14"/>
      <c r="G3381" s="14"/>
      <c r="H3381" s="15"/>
      <c r="I3381" s="15"/>
      <c r="J3381" s="3"/>
      <c r="K3381" s="3"/>
      <c r="L3381" s="3"/>
      <c r="M3381" s="3"/>
      <c r="N3381" s="3"/>
      <c r="O3381" s="3"/>
      <c r="P3381" s="3"/>
      <c r="Q3381" s="3"/>
      <c r="R3381" s="3"/>
      <c r="S3381" s="3"/>
      <c r="T3381" s="3"/>
      <c r="U3381" s="3"/>
      <c r="V3381" s="3"/>
      <c r="W3381" s="3"/>
      <c r="X3381" s="3"/>
      <c r="Y3381" s="3"/>
      <c r="Z3381" s="3"/>
      <c r="AA3381" s="3"/>
    </row>
    <row r="3382" ht="105.75" customHeight="1">
      <c r="A3382" s="11"/>
      <c r="B3382" s="12"/>
      <c r="C3382" s="11"/>
      <c r="D3382" s="13"/>
      <c r="E3382" s="14"/>
      <c r="F3382" s="14"/>
      <c r="G3382" s="14"/>
      <c r="H3382" s="15"/>
      <c r="I3382" s="15"/>
      <c r="J3382" s="3"/>
      <c r="K3382" s="3"/>
      <c r="L3382" s="3"/>
      <c r="M3382" s="3"/>
      <c r="N3382" s="3"/>
      <c r="O3382" s="3"/>
      <c r="P3382" s="3"/>
      <c r="Q3382" s="3"/>
      <c r="R3382" s="3"/>
      <c r="S3382" s="3"/>
      <c r="T3382" s="3"/>
      <c r="U3382" s="3"/>
      <c r="V3382" s="3"/>
      <c r="W3382" s="3"/>
      <c r="X3382" s="3"/>
      <c r="Y3382" s="3"/>
      <c r="Z3382" s="3"/>
      <c r="AA3382" s="3"/>
    </row>
    <row r="3383" ht="105.75" customHeight="1">
      <c r="A3383" s="11"/>
      <c r="B3383" s="12"/>
      <c r="C3383" s="11"/>
      <c r="D3383" s="13"/>
      <c r="E3383" s="14"/>
      <c r="F3383" s="14"/>
      <c r="G3383" s="14"/>
      <c r="H3383" s="15"/>
      <c r="I3383" s="15"/>
      <c r="J3383" s="3"/>
      <c r="K3383" s="3"/>
      <c r="L3383" s="3"/>
      <c r="M3383" s="3"/>
      <c r="N3383" s="3"/>
      <c r="O3383" s="3"/>
      <c r="P3383" s="3"/>
      <c r="Q3383" s="3"/>
      <c r="R3383" s="3"/>
      <c r="S3383" s="3"/>
      <c r="T3383" s="3"/>
      <c r="U3383" s="3"/>
      <c r="V3383" s="3"/>
      <c r="W3383" s="3"/>
      <c r="X3383" s="3"/>
      <c r="Y3383" s="3"/>
      <c r="Z3383" s="3"/>
      <c r="AA3383" s="3"/>
    </row>
    <row r="3384" ht="105.75" customHeight="1">
      <c r="A3384" s="11"/>
      <c r="B3384" s="12"/>
      <c r="C3384" s="11"/>
      <c r="D3384" s="13"/>
      <c r="E3384" s="14"/>
      <c r="F3384" s="14"/>
      <c r="G3384" s="14"/>
      <c r="H3384" s="15"/>
      <c r="I3384" s="15"/>
      <c r="J3384" s="3"/>
      <c r="K3384" s="3"/>
      <c r="L3384" s="3"/>
      <c r="M3384" s="3"/>
      <c r="N3384" s="3"/>
      <c r="O3384" s="3"/>
      <c r="P3384" s="3"/>
      <c r="Q3384" s="3"/>
      <c r="R3384" s="3"/>
      <c r="S3384" s="3"/>
      <c r="T3384" s="3"/>
      <c r="U3384" s="3"/>
      <c r="V3384" s="3"/>
      <c r="W3384" s="3"/>
      <c r="X3384" s="3"/>
      <c r="Y3384" s="3"/>
      <c r="Z3384" s="3"/>
      <c r="AA3384" s="3"/>
    </row>
    <row r="3385" ht="105.75" customHeight="1">
      <c r="A3385" s="11"/>
      <c r="B3385" s="12"/>
      <c r="C3385" s="11"/>
      <c r="D3385" s="13"/>
      <c r="E3385" s="14"/>
      <c r="F3385" s="14"/>
      <c r="G3385" s="14"/>
      <c r="H3385" s="15"/>
      <c r="I3385" s="15"/>
      <c r="J3385" s="3"/>
      <c r="K3385" s="3"/>
      <c r="L3385" s="3"/>
      <c r="M3385" s="3"/>
      <c r="N3385" s="3"/>
      <c r="O3385" s="3"/>
      <c r="P3385" s="3"/>
      <c r="Q3385" s="3"/>
      <c r="R3385" s="3"/>
      <c r="S3385" s="3"/>
      <c r="T3385" s="3"/>
      <c r="U3385" s="3"/>
      <c r="V3385" s="3"/>
      <c r="W3385" s="3"/>
      <c r="X3385" s="3"/>
      <c r="Y3385" s="3"/>
      <c r="Z3385" s="3"/>
      <c r="AA3385" s="3"/>
    </row>
    <row r="3386" ht="105.75" customHeight="1">
      <c r="A3386" s="11"/>
      <c r="B3386" s="12"/>
      <c r="C3386" s="11"/>
      <c r="D3386" s="13"/>
      <c r="E3386" s="14"/>
      <c r="F3386" s="14"/>
      <c r="G3386" s="14"/>
      <c r="H3386" s="15"/>
      <c r="I3386" s="15"/>
      <c r="J3386" s="3"/>
      <c r="K3386" s="3"/>
      <c r="L3386" s="3"/>
      <c r="M3386" s="3"/>
      <c r="N3386" s="3"/>
      <c r="O3386" s="3"/>
      <c r="P3386" s="3"/>
      <c r="Q3386" s="3"/>
      <c r="R3386" s="3"/>
      <c r="S3386" s="3"/>
      <c r="T3386" s="3"/>
      <c r="U3386" s="3"/>
      <c r="V3386" s="3"/>
      <c r="W3386" s="3"/>
      <c r="X3386" s="3"/>
      <c r="Y3386" s="3"/>
      <c r="Z3386" s="3"/>
      <c r="AA3386" s="3"/>
    </row>
    <row r="3387" ht="105.75" customHeight="1">
      <c r="A3387" s="11"/>
      <c r="B3387" s="12"/>
      <c r="C3387" s="11"/>
      <c r="D3387" s="13"/>
      <c r="E3387" s="14"/>
      <c r="F3387" s="14"/>
      <c r="G3387" s="14"/>
      <c r="H3387" s="15"/>
      <c r="I3387" s="15"/>
      <c r="J3387" s="3"/>
      <c r="K3387" s="3"/>
      <c r="L3387" s="3"/>
      <c r="M3387" s="3"/>
      <c r="N3387" s="3"/>
      <c r="O3387" s="3"/>
      <c r="P3387" s="3"/>
      <c r="Q3387" s="3"/>
      <c r="R3387" s="3"/>
      <c r="S3387" s="3"/>
      <c r="T3387" s="3"/>
      <c r="U3387" s="3"/>
      <c r="V3387" s="3"/>
      <c r="W3387" s="3"/>
      <c r="X3387" s="3"/>
      <c r="Y3387" s="3"/>
      <c r="Z3387" s="3"/>
      <c r="AA3387" s="3"/>
    </row>
    <row r="3388" ht="105.75" customHeight="1">
      <c r="A3388" s="11"/>
      <c r="B3388" s="12"/>
      <c r="C3388" s="11"/>
      <c r="D3388" s="13"/>
      <c r="E3388" s="14"/>
      <c r="F3388" s="14"/>
      <c r="G3388" s="14"/>
      <c r="H3388" s="15"/>
      <c r="I3388" s="15"/>
      <c r="J3388" s="3"/>
      <c r="K3388" s="3"/>
      <c r="L3388" s="3"/>
      <c r="M3388" s="3"/>
      <c r="N3388" s="3"/>
      <c r="O3388" s="3"/>
      <c r="P3388" s="3"/>
      <c r="Q3388" s="3"/>
      <c r="R3388" s="3"/>
      <c r="S3388" s="3"/>
      <c r="T3388" s="3"/>
      <c r="U3388" s="3"/>
      <c r="V3388" s="3"/>
      <c r="W3388" s="3"/>
      <c r="X3388" s="3"/>
      <c r="Y3388" s="3"/>
      <c r="Z3388" s="3"/>
      <c r="AA3388" s="3"/>
    </row>
    <row r="3389" ht="105.75" customHeight="1">
      <c r="A3389" s="11"/>
      <c r="B3389" s="12"/>
      <c r="C3389" s="11"/>
      <c r="D3389" s="13"/>
      <c r="E3389" s="14"/>
      <c r="F3389" s="14"/>
      <c r="G3389" s="14"/>
      <c r="H3389" s="15"/>
      <c r="I3389" s="15"/>
      <c r="J3389" s="3"/>
      <c r="K3389" s="3"/>
      <c r="L3389" s="3"/>
      <c r="M3389" s="3"/>
      <c r="N3389" s="3"/>
      <c r="O3389" s="3"/>
      <c r="P3389" s="3"/>
      <c r="Q3389" s="3"/>
      <c r="R3389" s="3"/>
      <c r="S3389" s="3"/>
      <c r="T3389" s="3"/>
      <c r="U3389" s="3"/>
      <c r="V3389" s="3"/>
      <c r="W3389" s="3"/>
      <c r="X3389" s="3"/>
      <c r="Y3389" s="3"/>
      <c r="Z3389" s="3"/>
      <c r="AA3389" s="3"/>
    </row>
    <row r="3390" ht="105.75" customHeight="1">
      <c r="A3390" s="11"/>
      <c r="B3390" s="12"/>
      <c r="C3390" s="11"/>
      <c r="D3390" s="13"/>
      <c r="E3390" s="14"/>
      <c r="F3390" s="14"/>
      <c r="G3390" s="14"/>
      <c r="H3390" s="15"/>
      <c r="I3390" s="15"/>
      <c r="J3390" s="3"/>
      <c r="K3390" s="3"/>
      <c r="L3390" s="3"/>
      <c r="M3390" s="3"/>
      <c r="N3390" s="3"/>
      <c r="O3390" s="3"/>
      <c r="P3390" s="3"/>
      <c r="Q3390" s="3"/>
      <c r="R3390" s="3"/>
      <c r="S3390" s="3"/>
      <c r="T3390" s="3"/>
      <c r="U3390" s="3"/>
      <c r="V3390" s="3"/>
      <c r="W3390" s="3"/>
      <c r="X3390" s="3"/>
      <c r="Y3390" s="3"/>
      <c r="Z3390" s="3"/>
      <c r="AA3390" s="3"/>
    </row>
    <row r="3391" ht="105.75" customHeight="1">
      <c r="A3391" s="11"/>
      <c r="B3391" s="12"/>
      <c r="C3391" s="11"/>
      <c r="D3391" s="13"/>
      <c r="E3391" s="14"/>
      <c r="F3391" s="14"/>
      <c r="G3391" s="14"/>
      <c r="H3391" s="15"/>
      <c r="I3391" s="15"/>
      <c r="J3391" s="3"/>
      <c r="K3391" s="3"/>
      <c r="L3391" s="3"/>
      <c r="M3391" s="3"/>
      <c r="N3391" s="3"/>
      <c r="O3391" s="3"/>
      <c r="P3391" s="3"/>
      <c r="Q3391" s="3"/>
      <c r="R3391" s="3"/>
      <c r="S3391" s="3"/>
      <c r="T3391" s="3"/>
      <c r="U3391" s="3"/>
      <c r="V3391" s="3"/>
      <c r="W3391" s="3"/>
      <c r="X3391" s="3"/>
      <c r="Y3391" s="3"/>
      <c r="Z3391" s="3"/>
      <c r="AA3391" s="3"/>
    </row>
    <row r="3392" ht="105.75" customHeight="1">
      <c r="A3392" s="11"/>
      <c r="B3392" s="12"/>
      <c r="C3392" s="11"/>
      <c r="D3392" s="13"/>
      <c r="E3392" s="14"/>
      <c r="F3392" s="14"/>
      <c r="G3392" s="14"/>
      <c r="H3392" s="15"/>
      <c r="I3392" s="15"/>
      <c r="J3392" s="3"/>
      <c r="K3392" s="3"/>
      <c r="L3392" s="3"/>
      <c r="M3392" s="3"/>
      <c r="N3392" s="3"/>
      <c r="O3392" s="3"/>
      <c r="P3392" s="3"/>
      <c r="Q3392" s="3"/>
      <c r="R3392" s="3"/>
      <c r="S3392" s="3"/>
      <c r="T3392" s="3"/>
      <c r="U3392" s="3"/>
      <c r="V3392" s="3"/>
      <c r="W3392" s="3"/>
      <c r="X3392" s="3"/>
      <c r="Y3392" s="3"/>
      <c r="Z3392" s="3"/>
      <c r="AA3392" s="3"/>
    </row>
    <row r="3393" ht="105.75" customHeight="1">
      <c r="A3393" s="11"/>
      <c r="B3393" s="12"/>
      <c r="C3393" s="11"/>
      <c r="D3393" s="13"/>
      <c r="E3393" s="14"/>
      <c r="F3393" s="14"/>
      <c r="G3393" s="14"/>
      <c r="H3393" s="15"/>
      <c r="I3393" s="15"/>
      <c r="J3393" s="3"/>
      <c r="K3393" s="3"/>
      <c r="L3393" s="3"/>
      <c r="M3393" s="3"/>
      <c r="N3393" s="3"/>
      <c r="O3393" s="3"/>
      <c r="P3393" s="3"/>
      <c r="Q3393" s="3"/>
      <c r="R3393" s="3"/>
      <c r="S3393" s="3"/>
      <c r="T3393" s="3"/>
      <c r="U3393" s="3"/>
      <c r="V3393" s="3"/>
      <c r="W3393" s="3"/>
      <c r="X3393" s="3"/>
      <c r="Y3393" s="3"/>
      <c r="Z3393" s="3"/>
      <c r="AA3393" s="3"/>
    </row>
    <row r="3394" ht="105.75" customHeight="1">
      <c r="A3394" s="11"/>
      <c r="B3394" s="12"/>
      <c r="C3394" s="11"/>
      <c r="D3394" s="13"/>
      <c r="E3394" s="14"/>
      <c r="F3394" s="14"/>
      <c r="G3394" s="14"/>
      <c r="H3394" s="15"/>
      <c r="I3394" s="15"/>
      <c r="J3394" s="3"/>
      <c r="K3394" s="3"/>
      <c r="L3394" s="3"/>
      <c r="M3394" s="3"/>
      <c r="N3394" s="3"/>
      <c r="O3394" s="3"/>
      <c r="P3394" s="3"/>
      <c r="Q3394" s="3"/>
      <c r="R3394" s="3"/>
      <c r="S3394" s="3"/>
      <c r="T3394" s="3"/>
      <c r="U3394" s="3"/>
      <c r="V3394" s="3"/>
      <c r="W3394" s="3"/>
      <c r="X3394" s="3"/>
      <c r="Y3394" s="3"/>
      <c r="Z3394" s="3"/>
      <c r="AA3394" s="3"/>
    </row>
    <row r="3395" ht="105.75" customHeight="1">
      <c r="A3395" s="11"/>
      <c r="B3395" s="12"/>
      <c r="C3395" s="11"/>
      <c r="D3395" s="13"/>
      <c r="E3395" s="14"/>
      <c r="F3395" s="14"/>
      <c r="G3395" s="14"/>
      <c r="H3395" s="15"/>
      <c r="I3395" s="15"/>
      <c r="J3395" s="3"/>
      <c r="K3395" s="3"/>
      <c r="L3395" s="3"/>
      <c r="M3395" s="3"/>
      <c r="N3395" s="3"/>
      <c r="O3395" s="3"/>
      <c r="P3395" s="3"/>
      <c r="Q3395" s="3"/>
      <c r="R3395" s="3"/>
      <c r="S3395" s="3"/>
      <c r="T3395" s="3"/>
      <c r="U3395" s="3"/>
      <c r="V3395" s="3"/>
      <c r="W3395" s="3"/>
      <c r="X3395" s="3"/>
      <c r="Y3395" s="3"/>
      <c r="Z3395" s="3"/>
      <c r="AA3395" s="3"/>
    </row>
    <row r="3396" ht="105.75" customHeight="1">
      <c r="A3396" s="11"/>
      <c r="B3396" s="12"/>
      <c r="C3396" s="11"/>
      <c r="D3396" s="13"/>
      <c r="E3396" s="16"/>
      <c r="F3396" s="16"/>
      <c r="G3396" s="16"/>
      <c r="H3396" s="15"/>
      <c r="I3396" s="15"/>
      <c r="J3396" s="3"/>
      <c r="K3396" s="3"/>
      <c r="L3396" s="3"/>
      <c r="M3396" s="3"/>
      <c r="N3396" s="3"/>
      <c r="O3396" s="3"/>
      <c r="P3396" s="3"/>
      <c r="Q3396" s="3"/>
      <c r="R3396" s="3"/>
      <c r="S3396" s="3"/>
      <c r="T3396" s="3"/>
      <c r="U3396" s="3"/>
      <c r="V3396" s="3"/>
      <c r="W3396" s="3"/>
      <c r="X3396" s="3"/>
      <c r="Y3396" s="3"/>
      <c r="Z3396" s="3"/>
      <c r="AA3396" s="3"/>
    </row>
    <row r="3397" ht="105.75" customHeight="1">
      <c r="A3397" s="11"/>
      <c r="B3397" s="12"/>
      <c r="C3397" s="11"/>
      <c r="D3397" s="13"/>
      <c r="E3397" s="14"/>
      <c r="F3397" s="14"/>
      <c r="G3397" s="14"/>
      <c r="H3397" s="15"/>
      <c r="I3397" s="15"/>
      <c r="J3397" s="3"/>
      <c r="K3397" s="3"/>
      <c r="L3397" s="3"/>
      <c r="M3397" s="3"/>
      <c r="N3397" s="3"/>
      <c r="O3397" s="3"/>
      <c r="P3397" s="3"/>
      <c r="Q3397" s="3"/>
      <c r="R3397" s="3"/>
      <c r="S3397" s="3"/>
      <c r="T3397" s="3"/>
      <c r="U3397" s="3"/>
      <c r="V3397" s="3"/>
      <c r="W3397" s="3"/>
      <c r="X3397" s="3"/>
      <c r="Y3397" s="3"/>
      <c r="Z3397" s="3"/>
      <c r="AA3397" s="3"/>
    </row>
    <row r="3398" ht="105.75" customHeight="1">
      <c r="A3398" s="11"/>
      <c r="B3398" s="12"/>
      <c r="C3398" s="11"/>
      <c r="D3398" s="13"/>
      <c r="E3398" s="16"/>
      <c r="F3398" s="16"/>
      <c r="G3398" s="16"/>
      <c r="H3398" s="15"/>
      <c r="I3398" s="15"/>
      <c r="J3398" s="3"/>
      <c r="K3398" s="3"/>
      <c r="L3398" s="3"/>
      <c r="M3398" s="3"/>
      <c r="N3398" s="3"/>
      <c r="O3398" s="3"/>
      <c r="P3398" s="3"/>
      <c r="Q3398" s="3"/>
      <c r="R3398" s="3"/>
      <c r="S3398" s="3"/>
      <c r="T3398" s="3"/>
      <c r="U3398" s="3"/>
      <c r="V3398" s="3"/>
      <c r="W3398" s="3"/>
      <c r="X3398" s="3"/>
      <c r="Y3398" s="3"/>
      <c r="Z3398" s="3"/>
      <c r="AA3398" s="3"/>
    </row>
    <row r="3399" ht="105.75" customHeight="1">
      <c r="A3399" s="11"/>
      <c r="B3399" s="12"/>
      <c r="C3399" s="11"/>
      <c r="D3399" s="13"/>
      <c r="E3399" s="14"/>
      <c r="F3399" s="14"/>
      <c r="G3399" s="14"/>
      <c r="H3399" s="15"/>
      <c r="I3399" s="15"/>
      <c r="J3399" s="3"/>
      <c r="K3399" s="3"/>
      <c r="L3399" s="3"/>
      <c r="M3399" s="3"/>
      <c r="N3399" s="3"/>
      <c r="O3399" s="3"/>
      <c r="P3399" s="3"/>
      <c r="Q3399" s="3"/>
      <c r="R3399" s="3"/>
      <c r="S3399" s="3"/>
      <c r="T3399" s="3"/>
      <c r="U3399" s="3"/>
      <c r="V3399" s="3"/>
      <c r="W3399" s="3"/>
      <c r="X3399" s="3"/>
      <c r="Y3399" s="3"/>
      <c r="Z3399" s="3"/>
      <c r="AA3399" s="3"/>
    </row>
    <row r="3400" ht="105.75" customHeight="1">
      <c r="A3400" s="11"/>
      <c r="B3400" s="12"/>
      <c r="C3400" s="11"/>
      <c r="D3400" s="13"/>
      <c r="E3400" s="16"/>
      <c r="F3400" s="16"/>
      <c r="G3400" s="16"/>
      <c r="H3400" s="15"/>
      <c r="I3400" s="15"/>
      <c r="J3400" s="3"/>
      <c r="K3400" s="3"/>
      <c r="L3400" s="3"/>
      <c r="M3400" s="3"/>
      <c r="N3400" s="3"/>
      <c r="O3400" s="3"/>
      <c r="P3400" s="3"/>
      <c r="Q3400" s="3"/>
      <c r="R3400" s="3"/>
      <c r="S3400" s="3"/>
      <c r="T3400" s="3"/>
      <c r="U3400" s="3"/>
      <c r="V3400" s="3"/>
      <c r="W3400" s="3"/>
      <c r="X3400" s="3"/>
      <c r="Y3400" s="3"/>
      <c r="Z3400" s="3"/>
      <c r="AA3400" s="3"/>
    </row>
    <row r="3401" ht="105.75" customHeight="1">
      <c r="A3401" s="11"/>
      <c r="B3401" s="12"/>
      <c r="C3401" s="11"/>
      <c r="D3401" s="13"/>
      <c r="E3401" s="14"/>
      <c r="F3401" s="14"/>
      <c r="G3401" s="14"/>
      <c r="H3401" s="15"/>
      <c r="I3401" s="15"/>
      <c r="J3401" s="3"/>
      <c r="K3401" s="3"/>
      <c r="L3401" s="3"/>
      <c r="M3401" s="3"/>
      <c r="N3401" s="3"/>
      <c r="O3401" s="3"/>
      <c r="P3401" s="3"/>
      <c r="Q3401" s="3"/>
      <c r="R3401" s="3"/>
      <c r="S3401" s="3"/>
      <c r="T3401" s="3"/>
      <c r="U3401" s="3"/>
      <c r="V3401" s="3"/>
      <c r="W3401" s="3"/>
      <c r="X3401" s="3"/>
      <c r="Y3401" s="3"/>
      <c r="Z3401" s="3"/>
      <c r="AA3401" s="3"/>
    </row>
    <row r="3402" ht="105.75" customHeight="1">
      <c r="A3402" s="11"/>
      <c r="B3402" s="12"/>
      <c r="C3402" s="11"/>
      <c r="D3402" s="13"/>
      <c r="E3402" s="14"/>
      <c r="F3402" s="14"/>
      <c r="G3402" s="14"/>
      <c r="H3402" s="15"/>
      <c r="I3402" s="15"/>
      <c r="J3402" s="3"/>
      <c r="K3402" s="3"/>
      <c r="L3402" s="3"/>
      <c r="M3402" s="3"/>
      <c r="N3402" s="3"/>
      <c r="O3402" s="3"/>
      <c r="P3402" s="3"/>
      <c r="Q3402" s="3"/>
      <c r="R3402" s="3"/>
      <c r="S3402" s="3"/>
      <c r="T3402" s="3"/>
      <c r="U3402" s="3"/>
      <c r="V3402" s="3"/>
      <c r="W3402" s="3"/>
      <c r="X3402" s="3"/>
      <c r="Y3402" s="3"/>
      <c r="Z3402" s="3"/>
      <c r="AA3402" s="3"/>
    </row>
    <row r="3403" ht="105.75" customHeight="1">
      <c r="A3403" s="11"/>
      <c r="B3403" s="12"/>
      <c r="C3403" s="11"/>
      <c r="D3403" s="13"/>
      <c r="E3403" s="14"/>
      <c r="F3403" s="14"/>
      <c r="G3403" s="14"/>
      <c r="H3403" s="15"/>
      <c r="I3403" s="15"/>
      <c r="J3403" s="3"/>
      <c r="K3403" s="3"/>
      <c r="L3403" s="3"/>
      <c r="M3403" s="3"/>
      <c r="N3403" s="3"/>
      <c r="O3403" s="3"/>
      <c r="P3403" s="3"/>
      <c r="Q3403" s="3"/>
      <c r="R3403" s="3"/>
      <c r="S3403" s="3"/>
      <c r="T3403" s="3"/>
      <c r="U3403" s="3"/>
      <c r="V3403" s="3"/>
      <c r="W3403" s="3"/>
      <c r="X3403" s="3"/>
      <c r="Y3403" s="3"/>
      <c r="Z3403" s="3"/>
      <c r="AA3403" s="3"/>
    </row>
    <row r="3404" ht="105.75" customHeight="1">
      <c r="A3404" s="11"/>
      <c r="B3404" s="12"/>
      <c r="C3404" s="11"/>
      <c r="D3404" s="13"/>
      <c r="E3404" s="14"/>
      <c r="F3404" s="14"/>
      <c r="G3404" s="14"/>
      <c r="H3404" s="15"/>
      <c r="I3404" s="15"/>
      <c r="J3404" s="3"/>
      <c r="K3404" s="3"/>
      <c r="L3404" s="3"/>
      <c r="M3404" s="3"/>
      <c r="N3404" s="3"/>
      <c r="O3404" s="3"/>
      <c r="P3404" s="3"/>
      <c r="Q3404" s="3"/>
      <c r="R3404" s="3"/>
      <c r="S3404" s="3"/>
      <c r="T3404" s="3"/>
      <c r="U3404" s="3"/>
      <c r="V3404" s="3"/>
      <c r="W3404" s="3"/>
      <c r="X3404" s="3"/>
      <c r="Y3404" s="3"/>
      <c r="Z3404" s="3"/>
      <c r="AA3404" s="3"/>
    </row>
    <row r="3405" ht="105.75" customHeight="1">
      <c r="A3405" s="11"/>
      <c r="B3405" s="12"/>
      <c r="C3405" s="11"/>
      <c r="D3405" s="13"/>
      <c r="E3405" s="16"/>
      <c r="F3405" s="16"/>
      <c r="G3405" s="16"/>
      <c r="H3405" s="15"/>
      <c r="I3405" s="15"/>
      <c r="J3405" s="3"/>
      <c r="K3405" s="3"/>
      <c r="L3405" s="3"/>
      <c r="M3405" s="3"/>
      <c r="N3405" s="3"/>
      <c r="O3405" s="3"/>
      <c r="P3405" s="3"/>
      <c r="Q3405" s="3"/>
      <c r="R3405" s="3"/>
      <c r="S3405" s="3"/>
      <c r="T3405" s="3"/>
      <c r="U3405" s="3"/>
      <c r="V3405" s="3"/>
      <c r="W3405" s="3"/>
      <c r="X3405" s="3"/>
      <c r="Y3405" s="3"/>
      <c r="Z3405" s="3"/>
      <c r="AA3405" s="3"/>
    </row>
    <row r="3406" ht="105.75" customHeight="1">
      <c r="A3406" s="11"/>
      <c r="B3406" s="12"/>
      <c r="C3406" s="11"/>
      <c r="D3406" s="13"/>
      <c r="E3406" s="14"/>
      <c r="F3406" s="14"/>
      <c r="G3406" s="14"/>
      <c r="H3406" s="15"/>
      <c r="I3406" s="15"/>
      <c r="J3406" s="3"/>
      <c r="K3406" s="3"/>
      <c r="L3406" s="3"/>
      <c r="M3406" s="3"/>
      <c r="N3406" s="3"/>
      <c r="O3406" s="3"/>
      <c r="P3406" s="3"/>
      <c r="Q3406" s="3"/>
      <c r="R3406" s="3"/>
      <c r="S3406" s="3"/>
      <c r="T3406" s="3"/>
      <c r="U3406" s="3"/>
      <c r="V3406" s="3"/>
      <c r="W3406" s="3"/>
      <c r="X3406" s="3"/>
      <c r="Y3406" s="3"/>
      <c r="Z3406" s="3"/>
      <c r="AA3406" s="3"/>
    </row>
    <row r="3407" ht="105.75" customHeight="1">
      <c r="A3407" s="11"/>
      <c r="B3407" s="12"/>
      <c r="C3407" s="11"/>
      <c r="D3407" s="13"/>
      <c r="E3407" s="14"/>
      <c r="F3407" s="14"/>
      <c r="G3407" s="14"/>
      <c r="H3407" s="15"/>
      <c r="I3407" s="15"/>
      <c r="J3407" s="3"/>
      <c r="K3407" s="3"/>
      <c r="L3407" s="3"/>
      <c r="M3407" s="3"/>
      <c r="N3407" s="3"/>
      <c r="O3407" s="3"/>
      <c r="P3407" s="3"/>
      <c r="Q3407" s="3"/>
      <c r="R3407" s="3"/>
      <c r="S3407" s="3"/>
      <c r="T3407" s="3"/>
      <c r="U3407" s="3"/>
      <c r="V3407" s="3"/>
      <c r="W3407" s="3"/>
      <c r="X3407" s="3"/>
      <c r="Y3407" s="3"/>
      <c r="Z3407" s="3"/>
      <c r="AA3407" s="3"/>
    </row>
    <row r="3408" ht="105.75" customHeight="1">
      <c r="A3408" s="11"/>
      <c r="B3408" s="12"/>
      <c r="C3408" s="11"/>
      <c r="D3408" s="13"/>
      <c r="E3408" s="14"/>
      <c r="F3408" s="14"/>
      <c r="G3408" s="14"/>
      <c r="H3408" s="15"/>
      <c r="I3408" s="15"/>
      <c r="J3408" s="3"/>
      <c r="K3408" s="3"/>
      <c r="L3408" s="3"/>
      <c r="M3408" s="3"/>
      <c r="N3408" s="3"/>
      <c r="O3408" s="3"/>
      <c r="P3408" s="3"/>
      <c r="Q3408" s="3"/>
      <c r="R3408" s="3"/>
      <c r="S3408" s="3"/>
      <c r="T3408" s="3"/>
      <c r="U3408" s="3"/>
      <c r="V3408" s="3"/>
      <c r="W3408" s="3"/>
      <c r="X3408" s="3"/>
      <c r="Y3408" s="3"/>
      <c r="Z3408" s="3"/>
      <c r="AA3408" s="3"/>
    </row>
    <row r="3409" ht="105.75" customHeight="1">
      <c r="A3409" s="11"/>
      <c r="B3409" s="12"/>
      <c r="C3409" s="11"/>
      <c r="D3409" s="13"/>
      <c r="E3409" s="14"/>
      <c r="F3409" s="14"/>
      <c r="G3409" s="14"/>
      <c r="H3409" s="15"/>
      <c r="I3409" s="15"/>
      <c r="J3409" s="3"/>
      <c r="K3409" s="3"/>
      <c r="L3409" s="3"/>
      <c r="M3409" s="3"/>
      <c r="N3409" s="3"/>
      <c r="O3409" s="3"/>
      <c r="P3409" s="3"/>
      <c r="Q3409" s="3"/>
      <c r="R3409" s="3"/>
      <c r="S3409" s="3"/>
      <c r="T3409" s="3"/>
      <c r="U3409" s="3"/>
      <c r="V3409" s="3"/>
      <c r="W3409" s="3"/>
      <c r="X3409" s="3"/>
      <c r="Y3409" s="3"/>
      <c r="Z3409" s="3"/>
      <c r="AA3409" s="3"/>
    </row>
    <row r="3410" ht="105.75" customHeight="1">
      <c r="A3410" s="11"/>
      <c r="B3410" s="12"/>
      <c r="C3410" s="11"/>
      <c r="D3410" s="13"/>
      <c r="E3410" s="14"/>
      <c r="F3410" s="14"/>
      <c r="G3410" s="14"/>
      <c r="H3410" s="15"/>
      <c r="I3410" s="15"/>
      <c r="J3410" s="3"/>
      <c r="K3410" s="3"/>
      <c r="L3410" s="3"/>
      <c r="M3410" s="3"/>
      <c r="N3410" s="3"/>
      <c r="O3410" s="3"/>
      <c r="P3410" s="3"/>
      <c r="Q3410" s="3"/>
      <c r="R3410" s="3"/>
      <c r="S3410" s="3"/>
      <c r="T3410" s="3"/>
      <c r="U3410" s="3"/>
      <c r="V3410" s="3"/>
      <c r="W3410" s="3"/>
      <c r="X3410" s="3"/>
      <c r="Y3410" s="3"/>
      <c r="Z3410" s="3"/>
      <c r="AA3410" s="3"/>
    </row>
    <row r="3411" ht="105.75" customHeight="1">
      <c r="A3411" s="11"/>
      <c r="B3411" s="12"/>
      <c r="C3411" s="11"/>
      <c r="D3411" s="13"/>
      <c r="E3411" s="14"/>
      <c r="F3411" s="14"/>
      <c r="G3411" s="14"/>
      <c r="H3411" s="15"/>
      <c r="I3411" s="15"/>
      <c r="J3411" s="3"/>
      <c r="K3411" s="3"/>
      <c r="L3411" s="3"/>
      <c r="M3411" s="3"/>
      <c r="N3411" s="3"/>
      <c r="O3411" s="3"/>
      <c r="P3411" s="3"/>
      <c r="Q3411" s="3"/>
      <c r="R3411" s="3"/>
      <c r="S3411" s="3"/>
      <c r="T3411" s="3"/>
      <c r="U3411" s="3"/>
      <c r="V3411" s="3"/>
      <c r="W3411" s="3"/>
      <c r="X3411" s="3"/>
      <c r="Y3411" s="3"/>
      <c r="Z3411" s="3"/>
      <c r="AA3411" s="3"/>
    </row>
    <row r="3412" ht="105.75" customHeight="1">
      <c r="A3412" s="11"/>
      <c r="B3412" s="12"/>
      <c r="C3412" s="11"/>
      <c r="D3412" s="13"/>
      <c r="E3412" s="14"/>
      <c r="F3412" s="14"/>
      <c r="G3412" s="14"/>
      <c r="H3412" s="15"/>
      <c r="I3412" s="15"/>
      <c r="J3412" s="3"/>
      <c r="K3412" s="3"/>
      <c r="L3412" s="3"/>
      <c r="M3412" s="3"/>
      <c r="N3412" s="3"/>
      <c r="O3412" s="3"/>
      <c r="P3412" s="3"/>
      <c r="Q3412" s="3"/>
      <c r="R3412" s="3"/>
      <c r="S3412" s="3"/>
      <c r="T3412" s="3"/>
      <c r="U3412" s="3"/>
      <c r="V3412" s="3"/>
      <c r="W3412" s="3"/>
      <c r="X3412" s="3"/>
      <c r="Y3412" s="3"/>
      <c r="Z3412" s="3"/>
      <c r="AA3412" s="3"/>
    </row>
    <row r="3413" ht="105.75" customHeight="1">
      <c r="A3413" s="11"/>
      <c r="B3413" s="12"/>
      <c r="C3413" s="11"/>
      <c r="D3413" s="13"/>
      <c r="E3413" s="14"/>
      <c r="F3413" s="14"/>
      <c r="G3413" s="14"/>
      <c r="H3413" s="15"/>
      <c r="I3413" s="15"/>
      <c r="J3413" s="3"/>
      <c r="K3413" s="3"/>
      <c r="L3413" s="3"/>
      <c r="M3413" s="3"/>
      <c r="N3413" s="3"/>
      <c r="O3413" s="3"/>
      <c r="P3413" s="3"/>
      <c r="Q3413" s="3"/>
      <c r="R3413" s="3"/>
      <c r="S3413" s="3"/>
      <c r="T3413" s="3"/>
      <c r="U3413" s="3"/>
      <c r="V3413" s="3"/>
      <c r="W3413" s="3"/>
      <c r="X3413" s="3"/>
      <c r="Y3413" s="3"/>
      <c r="Z3413" s="3"/>
      <c r="AA3413" s="3"/>
    </row>
    <row r="3414" ht="105.75" customHeight="1">
      <c r="A3414" s="11"/>
      <c r="B3414" s="12"/>
      <c r="C3414" s="11"/>
      <c r="D3414" s="13"/>
      <c r="E3414" s="14"/>
      <c r="F3414" s="14"/>
      <c r="G3414" s="14"/>
      <c r="H3414" s="15"/>
      <c r="I3414" s="15"/>
      <c r="J3414" s="3"/>
      <c r="K3414" s="3"/>
      <c r="L3414" s="3"/>
      <c r="M3414" s="3"/>
      <c r="N3414" s="3"/>
      <c r="O3414" s="3"/>
      <c r="P3414" s="3"/>
      <c r="Q3414" s="3"/>
      <c r="R3414" s="3"/>
      <c r="S3414" s="3"/>
      <c r="T3414" s="3"/>
      <c r="U3414" s="3"/>
      <c r="V3414" s="3"/>
      <c r="W3414" s="3"/>
      <c r="X3414" s="3"/>
      <c r="Y3414" s="3"/>
      <c r="Z3414" s="3"/>
      <c r="AA3414" s="3"/>
    </row>
    <row r="3415" ht="105.75" customHeight="1">
      <c r="A3415" s="11"/>
      <c r="B3415" s="12"/>
      <c r="C3415" s="11"/>
      <c r="D3415" s="13"/>
      <c r="E3415" s="16"/>
      <c r="F3415" s="16"/>
      <c r="G3415" s="16"/>
      <c r="H3415" s="15"/>
      <c r="I3415" s="15"/>
      <c r="J3415" s="3"/>
      <c r="K3415" s="3"/>
      <c r="L3415" s="3"/>
      <c r="M3415" s="3"/>
      <c r="N3415" s="3"/>
      <c r="O3415" s="3"/>
      <c r="P3415" s="3"/>
      <c r="Q3415" s="3"/>
      <c r="R3415" s="3"/>
      <c r="S3415" s="3"/>
      <c r="T3415" s="3"/>
      <c r="U3415" s="3"/>
      <c r="V3415" s="3"/>
      <c r="W3415" s="3"/>
      <c r="X3415" s="3"/>
      <c r="Y3415" s="3"/>
      <c r="Z3415" s="3"/>
      <c r="AA3415" s="3"/>
    </row>
    <row r="3416" ht="105.75" customHeight="1">
      <c r="A3416" s="11"/>
      <c r="B3416" s="12"/>
      <c r="C3416" s="11"/>
      <c r="D3416" s="13"/>
      <c r="E3416" s="14"/>
      <c r="F3416" s="14"/>
      <c r="G3416" s="14"/>
      <c r="H3416" s="15"/>
      <c r="I3416" s="15"/>
      <c r="J3416" s="3"/>
      <c r="K3416" s="3"/>
      <c r="L3416" s="3"/>
      <c r="M3416" s="3"/>
      <c r="N3416" s="3"/>
      <c r="O3416" s="3"/>
      <c r="P3416" s="3"/>
      <c r="Q3416" s="3"/>
      <c r="R3416" s="3"/>
      <c r="S3416" s="3"/>
      <c r="T3416" s="3"/>
      <c r="U3416" s="3"/>
      <c r="V3416" s="3"/>
      <c r="W3416" s="3"/>
      <c r="X3416" s="3"/>
      <c r="Y3416" s="3"/>
      <c r="Z3416" s="3"/>
      <c r="AA3416" s="3"/>
    </row>
    <row r="3417" ht="105.75" customHeight="1">
      <c r="A3417" s="11"/>
      <c r="B3417" s="12"/>
      <c r="C3417" s="11"/>
      <c r="D3417" s="13"/>
      <c r="E3417" s="14"/>
      <c r="F3417" s="14"/>
      <c r="G3417" s="14"/>
      <c r="H3417" s="15"/>
      <c r="I3417" s="15"/>
      <c r="J3417" s="3"/>
      <c r="K3417" s="3"/>
      <c r="L3417" s="3"/>
      <c r="M3417" s="3"/>
      <c r="N3417" s="3"/>
      <c r="O3417" s="3"/>
      <c r="P3417" s="3"/>
      <c r="Q3417" s="3"/>
      <c r="R3417" s="3"/>
      <c r="S3417" s="3"/>
      <c r="T3417" s="3"/>
      <c r="U3417" s="3"/>
      <c r="V3417" s="3"/>
      <c r="W3417" s="3"/>
      <c r="X3417" s="3"/>
      <c r="Y3417" s="3"/>
      <c r="Z3417" s="3"/>
      <c r="AA3417" s="3"/>
    </row>
    <row r="3418" ht="105.75" customHeight="1">
      <c r="A3418" s="11"/>
      <c r="B3418" s="12"/>
      <c r="C3418" s="11"/>
      <c r="D3418" s="13"/>
      <c r="E3418" s="14"/>
      <c r="F3418" s="14"/>
      <c r="G3418" s="14"/>
      <c r="H3418" s="15"/>
      <c r="I3418" s="15"/>
      <c r="J3418" s="3"/>
      <c r="K3418" s="3"/>
      <c r="L3418" s="3"/>
      <c r="M3418" s="3"/>
      <c r="N3418" s="3"/>
      <c r="O3418" s="3"/>
      <c r="P3418" s="3"/>
      <c r="Q3418" s="3"/>
      <c r="R3418" s="3"/>
      <c r="S3418" s="3"/>
      <c r="T3418" s="3"/>
      <c r="U3418" s="3"/>
      <c r="V3418" s="3"/>
      <c r="W3418" s="3"/>
      <c r="X3418" s="3"/>
      <c r="Y3418" s="3"/>
      <c r="Z3418" s="3"/>
      <c r="AA3418" s="3"/>
    </row>
    <row r="3419" ht="105.75" customHeight="1">
      <c r="A3419" s="11"/>
      <c r="B3419" s="12"/>
      <c r="C3419" s="11"/>
      <c r="D3419" s="13"/>
      <c r="E3419" s="14"/>
      <c r="F3419" s="14"/>
      <c r="G3419" s="14"/>
      <c r="H3419" s="15"/>
      <c r="I3419" s="15"/>
      <c r="J3419" s="3"/>
      <c r="K3419" s="3"/>
      <c r="L3419" s="3"/>
      <c r="M3419" s="3"/>
      <c r="N3419" s="3"/>
      <c r="O3419" s="3"/>
      <c r="P3419" s="3"/>
      <c r="Q3419" s="3"/>
      <c r="R3419" s="3"/>
      <c r="S3419" s="3"/>
      <c r="T3419" s="3"/>
      <c r="U3419" s="3"/>
      <c r="V3419" s="3"/>
      <c r="W3419" s="3"/>
      <c r="X3419" s="3"/>
      <c r="Y3419" s="3"/>
      <c r="Z3419" s="3"/>
      <c r="AA3419" s="3"/>
    </row>
    <row r="3420" ht="105.75" customHeight="1">
      <c r="A3420" s="11"/>
      <c r="B3420" s="12"/>
      <c r="C3420" s="11"/>
      <c r="D3420" s="13"/>
      <c r="E3420" s="14"/>
      <c r="F3420" s="14"/>
      <c r="G3420" s="14"/>
      <c r="H3420" s="15"/>
      <c r="I3420" s="15"/>
      <c r="J3420" s="3"/>
      <c r="K3420" s="3"/>
      <c r="L3420" s="3"/>
      <c r="M3420" s="3"/>
      <c r="N3420" s="3"/>
      <c r="O3420" s="3"/>
      <c r="P3420" s="3"/>
      <c r="Q3420" s="3"/>
      <c r="R3420" s="3"/>
      <c r="S3420" s="3"/>
      <c r="T3420" s="3"/>
      <c r="U3420" s="3"/>
      <c r="V3420" s="3"/>
      <c r="W3420" s="3"/>
      <c r="X3420" s="3"/>
      <c r="Y3420" s="3"/>
      <c r="Z3420" s="3"/>
      <c r="AA3420" s="3"/>
    </row>
    <row r="3421" ht="105.75" customHeight="1">
      <c r="A3421" s="11"/>
      <c r="B3421" s="12"/>
      <c r="C3421" s="11"/>
      <c r="D3421" s="13"/>
      <c r="E3421" s="14"/>
      <c r="F3421" s="14"/>
      <c r="G3421" s="14"/>
      <c r="H3421" s="15"/>
      <c r="I3421" s="15"/>
      <c r="J3421" s="3"/>
      <c r="K3421" s="3"/>
      <c r="L3421" s="3"/>
      <c r="M3421" s="3"/>
      <c r="N3421" s="3"/>
      <c r="O3421" s="3"/>
      <c r="P3421" s="3"/>
      <c r="Q3421" s="3"/>
      <c r="R3421" s="3"/>
      <c r="S3421" s="3"/>
      <c r="T3421" s="3"/>
      <c r="U3421" s="3"/>
      <c r="V3421" s="3"/>
      <c r="W3421" s="3"/>
      <c r="X3421" s="3"/>
      <c r="Y3421" s="3"/>
      <c r="Z3421" s="3"/>
      <c r="AA3421" s="3"/>
    </row>
    <row r="3422" ht="105.75" customHeight="1">
      <c r="A3422" s="11"/>
      <c r="B3422" s="12"/>
      <c r="C3422" s="11"/>
      <c r="D3422" s="13"/>
      <c r="E3422" s="14"/>
      <c r="F3422" s="14"/>
      <c r="G3422" s="14"/>
      <c r="H3422" s="15"/>
      <c r="I3422" s="15"/>
      <c r="J3422" s="3"/>
      <c r="K3422" s="3"/>
      <c r="L3422" s="3"/>
      <c r="M3422" s="3"/>
      <c r="N3422" s="3"/>
      <c r="O3422" s="3"/>
      <c r="P3422" s="3"/>
      <c r="Q3422" s="3"/>
      <c r="R3422" s="3"/>
      <c r="S3422" s="3"/>
      <c r="T3422" s="3"/>
      <c r="U3422" s="3"/>
      <c r="V3422" s="3"/>
      <c r="W3422" s="3"/>
      <c r="X3422" s="3"/>
      <c r="Y3422" s="3"/>
      <c r="Z3422" s="3"/>
      <c r="AA3422" s="3"/>
    </row>
    <row r="3423" ht="105.75" customHeight="1">
      <c r="A3423" s="11"/>
      <c r="B3423" s="12"/>
      <c r="C3423" s="11"/>
      <c r="D3423" s="13"/>
      <c r="E3423" s="14"/>
      <c r="F3423" s="14"/>
      <c r="G3423" s="14"/>
      <c r="H3423" s="15"/>
      <c r="I3423" s="15"/>
      <c r="J3423" s="3"/>
      <c r="K3423" s="3"/>
      <c r="L3423" s="3"/>
      <c r="M3423" s="3"/>
      <c r="N3423" s="3"/>
      <c r="O3423" s="3"/>
      <c r="P3423" s="3"/>
      <c r="Q3423" s="3"/>
      <c r="R3423" s="3"/>
      <c r="S3423" s="3"/>
      <c r="T3423" s="3"/>
      <c r="U3423" s="3"/>
      <c r="V3423" s="3"/>
      <c r="W3423" s="3"/>
      <c r="X3423" s="3"/>
      <c r="Y3423" s="3"/>
      <c r="Z3423" s="3"/>
      <c r="AA3423" s="3"/>
    </row>
    <row r="3424" ht="105.75" customHeight="1">
      <c r="A3424" s="11"/>
      <c r="B3424" s="12"/>
      <c r="C3424" s="11"/>
      <c r="D3424" s="13"/>
      <c r="E3424" s="14"/>
      <c r="F3424" s="14"/>
      <c r="G3424" s="14"/>
      <c r="H3424" s="15"/>
      <c r="I3424" s="15"/>
      <c r="J3424" s="3"/>
      <c r="K3424" s="3"/>
      <c r="L3424" s="3"/>
      <c r="M3424" s="3"/>
      <c r="N3424" s="3"/>
      <c r="O3424" s="3"/>
      <c r="P3424" s="3"/>
      <c r="Q3424" s="3"/>
      <c r="R3424" s="3"/>
      <c r="S3424" s="3"/>
      <c r="T3424" s="3"/>
      <c r="U3424" s="3"/>
      <c r="V3424" s="3"/>
      <c r="W3424" s="3"/>
      <c r="X3424" s="3"/>
      <c r="Y3424" s="3"/>
      <c r="Z3424" s="3"/>
      <c r="AA3424" s="3"/>
    </row>
    <row r="3425" ht="105.75" customHeight="1">
      <c r="A3425" s="11"/>
      <c r="B3425" s="12"/>
      <c r="C3425" s="11"/>
      <c r="D3425" s="13"/>
      <c r="E3425" s="14"/>
      <c r="F3425" s="14"/>
      <c r="G3425" s="14"/>
      <c r="H3425" s="15"/>
      <c r="I3425" s="15"/>
      <c r="J3425" s="3"/>
      <c r="K3425" s="3"/>
      <c r="L3425" s="3"/>
      <c r="M3425" s="3"/>
      <c r="N3425" s="3"/>
      <c r="O3425" s="3"/>
      <c r="P3425" s="3"/>
      <c r="Q3425" s="3"/>
      <c r="R3425" s="3"/>
      <c r="S3425" s="3"/>
      <c r="T3425" s="3"/>
      <c r="U3425" s="3"/>
      <c r="V3425" s="3"/>
      <c r="W3425" s="3"/>
      <c r="X3425" s="3"/>
      <c r="Y3425" s="3"/>
      <c r="Z3425" s="3"/>
      <c r="AA3425" s="3"/>
    </row>
    <row r="3426" ht="105.75" customHeight="1">
      <c r="A3426" s="11"/>
      <c r="B3426" s="12"/>
      <c r="C3426" s="11"/>
      <c r="D3426" s="13"/>
      <c r="E3426" s="14"/>
      <c r="F3426" s="14"/>
      <c r="G3426" s="14"/>
      <c r="H3426" s="15"/>
      <c r="I3426" s="15"/>
      <c r="J3426" s="3"/>
      <c r="K3426" s="3"/>
      <c r="L3426" s="3"/>
      <c r="M3426" s="3"/>
      <c r="N3426" s="3"/>
      <c r="O3426" s="3"/>
      <c r="P3426" s="3"/>
      <c r="Q3426" s="3"/>
      <c r="R3426" s="3"/>
      <c r="S3426" s="3"/>
      <c r="T3426" s="3"/>
      <c r="U3426" s="3"/>
      <c r="V3426" s="3"/>
      <c r="W3426" s="3"/>
      <c r="X3426" s="3"/>
      <c r="Y3426" s="3"/>
      <c r="Z3426" s="3"/>
      <c r="AA3426" s="3"/>
    </row>
    <row r="3427" ht="105.75" customHeight="1">
      <c r="A3427" s="11"/>
      <c r="B3427" s="12"/>
      <c r="C3427" s="11"/>
      <c r="D3427" s="13"/>
      <c r="E3427" s="14"/>
      <c r="F3427" s="14"/>
      <c r="G3427" s="14"/>
      <c r="H3427" s="15"/>
      <c r="I3427" s="15"/>
      <c r="J3427" s="3"/>
      <c r="K3427" s="3"/>
      <c r="L3427" s="3"/>
      <c r="M3427" s="3"/>
      <c r="N3427" s="3"/>
      <c r="O3427" s="3"/>
      <c r="P3427" s="3"/>
      <c r="Q3427" s="3"/>
      <c r="R3427" s="3"/>
      <c r="S3427" s="3"/>
      <c r="T3427" s="3"/>
      <c r="U3427" s="3"/>
      <c r="V3427" s="3"/>
      <c r="W3427" s="3"/>
      <c r="X3427" s="3"/>
      <c r="Y3427" s="3"/>
      <c r="Z3427" s="3"/>
      <c r="AA3427" s="3"/>
    </row>
    <row r="3428" ht="105.75" customHeight="1">
      <c r="A3428" s="11"/>
      <c r="B3428" s="12"/>
      <c r="C3428" s="11"/>
      <c r="D3428" s="13"/>
      <c r="E3428" s="14"/>
      <c r="F3428" s="14"/>
      <c r="G3428" s="14"/>
      <c r="H3428" s="15"/>
      <c r="I3428" s="15"/>
      <c r="J3428" s="3"/>
      <c r="K3428" s="3"/>
      <c r="L3428" s="3"/>
      <c r="M3428" s="3"/>
      <c r="N3428" s="3"/>
      <c r="O3428" s="3"/>
      <c r="P3428" s="3"/>
      <c r="Q3428" s="3"/>
      <c r="R3428" s="3"/>
      <c r="S3428" s="3"/>
      <c r="T3428" s="3"/>
      <c r="U3428" s="3"/>
      <c r="V3428" s="3"/>
      <c r="W3428" s="3"/>
      <c r="X3428" s="3"/>
      <c r="Y3428" s="3"/>
      <c r="Z3428" s="3"/>
      <c r="AA3428" s="3"/>
    </row>
    <row r="3429" ht="105.75" customHeight="1">
      <c r="A3429" s="11"/>
      <c r="B3429" s="12"/>
      <c r="C3429" s="11"/>
      <c r="D3429" s="13"/>
      <c r="E3429" s="14"/>
      <c r="F3429" s="14"/>
      <c r="G3429" s="14"/>
      <c r="H3429" s="15"/>
      <c r="I3429" s="15"/>
      <c r="J3429" s="3"/>
      <c r="K3429" s="3"/>
      <c r="L3429" s="3"/>
      <c r="M3429" s="3"/>
      <c r="N3429" s="3"/>
      <c r="O3429" s="3"/>
      <c r="P3429" s="3"/>
      <c r="Q3429" s="3"/>
      <c r="R3429" s="3"/>
      <c r="S3429" s="3"/>
      <c r="T3429" s="3"/>
      <c r="U3429" s="3"/>
      <c r="V3429" s="3"/>
      <c r="W3429" s="3"/>
      <c r="X3429" s="3"/>
      <c r="Y3429" s="3"/>
      <c r="Z3429" s="3"/>
      <c r="AA3429" s="3"/>
    </row>
    <row r="3430" ht="105.75" customHeight="1">
      <c r="A3430" s="11"/>
      <c r="B3430" s="12"/>
      <c r="C3430" s="11"/>
      <c r="D3430" s="13"/>
      <c r="E3430" s="14"/>
      <c r="F3430" s="14"/>
      <c r="G3430" s="14"/>
      <c r="H3430" s="15"/>
      <c r="I3430" s="15"/>
      <c r="J3430" s="3"/>
      <c r="K3430" s="3"/>
      <c r="L3430" s="3"/>
      <c r="M3430" s="3"/>
      <c r="N3430" s="3"/>
      <c r="O3430" s="3"/>
      <c r="P3430" s="3"/>
      <c r="Q3430" s="3"/>
      <c r="R3430" s="3"/>
      <c r="S3430" s="3"/>
      <c r="T3430" s="3"/>
      <c r="U3430" s="3"/>
      <c r="V3430" s="3"/>
      <c r="W3430" s="3"/>
      <c r="X3430" s="3"/>
      <c r="Y3430" s="3"/>
      <c r="Z3430" s="3"/>
      <c r="AA3430" s="3"/>
    </row>
    <row r="3431" ht="105.75" customHeight="1">
      <c r="A3431" s="11"/>
      <c r="B3431" s="12"/>
      <c r="C3431" s="11"/>
      <c r="D3431" s="13"/>
      <c r="E3431" s="14"/>
      <c r="F3431" s="14"/>
      <c r="G3431" s="14"/>
      <c r="H3431" s="15"/>
      <c r="I3431" s="15"/>
      <c r="J3431" s="3"/>
      <c r="K3431" s="3"/>
      <c r="L3431" s="3"/>
      <c r="M3431" s="3"/>
      <c r="N3431" s="3"/>
      <c r="O3431" s="3"/>
      <c r="P3431" s="3"/>
      <c r="Q3431" s="3"/>
      <c r="R3431" s="3"/>
      <c r="S3431" s="3"/>
      <c r="T3431" s="3"/>
      <c r="U3431" s="3"/>
      <c r="V3431" s="3"/>
      <c r="W3431" s="3"/>
      <c r="X3431" s="3"/>
      <c r="Y3431" s="3"/>
      <c r="Z3431" s="3"/>
      <c r="AA3431" s="3"/>
    </row>
    <row r="3432" ht="105.75" customHeight="1">
      <c r="A3432" s="11"/>
      <c r="B3432" s="12"/>
      <c r="C3432" s="11"/>
      <c r="D3432" s="13"/>
      <c r="E3432" s="14"/>
      <c r="F3432" s="14"/>
      <c r="G3432" s="14"/>
      <c r="H3432" s="15"/>
      <c r="I3432" s="15"/>
      <c r="J3432" s="3"/>
      <c r="K3432" s="3"/>
      <c r="L3432" s="3"/>
      <c r="M3432" s="3"/>
      <c r="N3432" s="3"/>
      <c r="O3432" s="3"/>
      <c r="P3432" s="3"/>
      <c r="Q3432" s="3"/>
      <c r="R3432" s="3"/>
      <c r="S3432" s="3"/>
      <c r="T3432" s="3"/>
      <c r="U3432" s="3"/>
      <c r="V3432" s="3"/>
      <c r="W3432" s="3"/>
      <c r="X3432" s="3"/>
      <c r="Y3432" s="3"/>
      <c r="Z3432" s="3"/>
      <c r="AA3432" s="3"/>
    </row>
    <row r="3433" ht="105.75" customHeight="1">
      <c r="A3433" s="11"/>
      <c r="B3433" s="12"/>
      <c r="C3433" s="11"/>
      <c r="D3433" s="13"/>
      <c r="E3433" s="14"/>
      <c r="F3433" s="14"/>
      <c r="G3433" s="14"/>
      <c r="H3433" s="15"/>
      <c r="I3433" s="15"/>
      <c r="J3433" s="3"/>
      <c r="K3433" s="3"/>
      <c r="L3433" s="3"/>
      <c r="M3433" s="3"/>
      <c r="N3433" s="3"/>
      <c r="O3433" s="3"/>
      <c r="P3433" s="3"/>
      <c r="Q3433" s="3"/>
      <c r="R3433" s="3"/>
      <c r="S3433" s="3"/>
      <c r="T3433" s="3"/>
      <c r="U3433" s="3"/>
      <c r="V3433" s="3"/>
      <c r="W3433" s="3"/>
      <c r="X3433" s="3"/>
      <c r="Y3433" s="3"/>
      <c r="Z3433" s="3"/>
      <c r="AA3433" s="3"/>
    </row>
    <row r="3434" ht="105.75" customHeight="1">
      <c r="A3434" s="11"/>
      <c r="B3434" s="12"/>
      <c r="C3434" s="11"/>
      <c r="D3434" s="13"/>
      <c r="E3434" s="14"/>
      <c r="F3434" s="14"/>
      <c r="G3434" s="14"/>
      <c r="H3434" s="15"/>
      <c r="I3434" s="15"/>
      <c r="J3434" s="3"/>
      <c r="K3434" s="3"/>
      <c r="L3434" s="3"/>
      <c r="M3434" s="3"/>
      <c r="N3434" s="3"/>
      <c r="O3434" s="3"/>
      <c r="P3434" s="3"/>
      <c r="Q3434" s="3"/>
      <c r="R3434" s="3"/>
      <c r="S3434" s="3"/>
      <c r="T3434" s="3"/>
      <c r="U3434" s="3"/>
      <c r="V3434" s="3"/>
      <c r="W3434" s="3"/>
      <c r="X3434" s="3"/>
      <c r="Y3434" s="3"/>
      <c r="Z3434" s="3"/>
      <c r="AA3434" s="3"/>
    </row>
    <row r="3435" ht="105.75" customHeight="1">
      <c r="A3435" s="11"/>
      <c r="B3435" s="12"/>
      <c r="C3435" s="11"/>
      <c r="D3435" s="13"/>
      <c r="E3435" s="14"/>
      <c r="F3435" s="14"/>
      <c r="G3435" s="14"/>
      <c r="H3435" s="15"/>
      <c r="I3435" s="15"/>
      <c r="J3435" s="3"/>
      <c r="K3435" s="3"/>
      <c r="L3435" s="3"/>
      <c r="M3435" s="3"/>
      <c r="N3435" s="3"/>
      <c r="O3435" s="3"/>
      <c r="P3435" s="3"/>
      <c r="Q3435" s="3"/>
      <c r="R3435" s="3"/>
      <c r="S3435" s="3"/>
      <c r="T3435" s="3"/>
      <c r="U3435" s="3"/>
      <c r="V3435" s="3"/>
      <c r="W3435" s="3"/>
      <c r="X3435" s="3"/>
      <c r="Y3435" s="3"/>
      <c r="Z3435" s="3"/>
      <c r="AA3435" s="3"/>
    </row>
    <row r="3436" ht="105.75" customHeight="1">
      <c r="A3436" s="11"/>
      <c r="B3436" s="12"/>
      <c r="C3436" s="11"/>
      <c r="D3436" s="13"/>
      <c r="E3436" s="14"/>
      <c r="F3436" s="14"/>
      <c r="G3436" s="14"/>
      <c r="H3436" s="15"/>
      <c r="I3436" s="15"/>
      <c r="J3436" s="3"/>
      <c r="K3436" s="3"/>
      <c r="L3436" s="3"/>
      <c r="M3436" s="3"/>
      <c r="N3436" s="3"/>
      <c r="O3436" s="3"/>
      <c r="P3436" s="3"/>
      <c r="Q3436" s="3"/>
      <c r="R3436" s="3"/>
      <c r="S3436" s="3"/>
      <c r="T3436" s="3"/>
      <c r="U3436" s="3"/>
      <c r="V3436" s="3"/>
      <c r="W3436" s="3"/>
      <c r="X3436" s="3"/>
      <c r="Y3436" s="3"/>
      <c r="Z3436" s="3"/>
      <c r="AA3436" s="3"/>
    </row>
    <row r="3437" ht="105.75" customHeight="1">
      <c r="A3437" s="11"/>
      <c r="B3437" s="12"/>
      <c r="C3437" s="11"/>
      <c r="D3437" s="13"/>
      <c r="E3437" s="14"/>
      <c r="F3437" s="14"/>
      <c r="G3437" s="14"/>
      <c r="H3437" s="15"/>
      <c r="I3437" s="15"/>
      <c r="J3437" s="3"/>
      <c r="K3437" s="3"/>
      <c r="L3437" s="3"/>
      <c r="M3437" s="3"/>
      <c r="N3437" s="3"/>
      <c r="O3437" s="3"/>
      <c r="P3437" s="3"/>
      <c r="Q3437" s="3"/>
      <c r="R3437" s="3"/>
      <c r="S3437" s="3"/>
      <c r="T3437" s="3"/>
      <c r="U3437" s="3"/>
      <c r="V3437" s="3"/>
      <c r="W3437" s="3"/>
      <c r="X3437" s="3"/>
      <c r="Y3437" s="3"/>
      <c r="Z3437" s="3"/>
      <c r="AA3437" s="3"/>
    </row>
    <row r="3438" ht="105.75" customHeight="1">
      <c r="A3438" s="11"/>
      <c r="B3438" s="12"/>
      <c r="C3438" s="11"/>
      <c r="D3438" s="13"/>
      <c r="E3438" s="14"/>
      <c r="F3438" s="14"/>
      <c r="G3438" s="14"/>
      <c r="H3438" s="15"/>
      <c r="I3438" s="15"/>
      <c r="J3438" s="3"/>
      <c r="K3438" s="3"/>
      <c r="L3438" s="3"/>
      <c r="M3438" s="3"/>
      <c r="N3438" s="3"/>
      <c r="O3438" s="3"/>
      <c r="P3438" s="3"/>
      <c r="Q3438" s="3"/>
      <c r="R3438" s="3"/>
      <c r="S3438" s="3"/>
      <c r="T3438" s="3"/>
      <c r="U3438" s="3"/>
      <c r="V3438" s="3"/>
      <c r="W3438" s="3"/>
      <c r="X3438" s="3"/>
      <c r="Y3438" s="3"/>
      <c r="Z3438" s="3"/>
      <c r="AA3438" s="3"/>
    </row>
    <row r="3439" ht="105.75" customHeight="1">
      <c r="A3439" s="11"/>
      <c r="B3439" s="12"/>
      <c r="C3439" s="11"/>
      <c r="D3439" s="13"/>
      <c r="E3439" s="14"/>
      <c r="F3439" s="14"/>
      <c r="G3439" s="14"/>
      <c r="H3439" s="15"/>
      <c r="I3439" s="15"/>
      <c r="J3439" s="3"/>
      <c r="K3439" s="3"/>
      <c r="L3439" s="3"/>
      <c r="M3439" s="3"/>
      <c r="N3439" s="3"/>
      <c r="O3439" s="3"/>
      <c r="P3439" s="3"/>
      <c r="Q3439" s="3"/>
      <c r="R3439" s="3"/>
      <c r="S3439" s="3"/>
      <c r="T3439" s="3"/>
      <c r="U3439" s="3"/>
      <c r="V3439" s="3"/>
      <c r="W3439" s="3"/>
      <c r="X3439" s="3"/>
      <c r="Y3439" s="3"/>
      <c r="Z3439" s="3"/>
      <c r="AA3439" s="3"/>
    </row>
    <row r="3440" ht="105.75" customHeight="1">
      <c r="A3440" s="11"/>
      <c r="B3440" s="12"/>
      <c r="C3440" s="11"/>
      <c r="D3440" s="13"/>
      <c r="E3440" s="14"/>
      <c r="F3440" s="14"/>
      <c r="G3440" s="14"/>
      <c r="H3440" s="15"/>
      <c r="I3440" s="15"/>
      <c r="J3440" s="3"/>
      <c r="K3440" s="3"/>
      <c r="L3440" s="3"/>
      <c r="M3440" s="3"/>
      <c r="N3440" s="3"/>
      <c r="O3440" s="3"/>
      <c r="P3440" s="3"/>
      <c r="Q3440" s="3"/>
      <c r="R3440" s="3"/>
      <c r="S3440" s="3"/>
      <c r="T3440" s="3"/>
      <c r="U3440" s="3"/>
      <c r="V3440" s="3"/>
      <c r="W3440" s="3"/>
      <c r="X3440" s="3"/>
      <c r="Y3440" s="3"/>
      <c r="Z3440" s="3"/>
      <c r="AA3440" s="3"/>
    </row>
    <row r="3441" ht="105.75" customHeight="1">
      <c r="A3441" s="11"/>
      <c r="B3441" s="12"/>
      <c r="C3441" s="11"/>
      <c r="D3441" s="13"/>
      <c r="E3441" s="14"/>
      <c r="F3441" s="14"/>
      <c r="G3441" s="14"/>
      <c r="H3441" s="15"/>
      <c r="I3441" s="15"/>
      <c r="J3441" s="3"/>
      <c r="K3441" s="3"/>
      <c r="L3441" s="3"/>
      <c r="M3441" s="3"/>
      <c r="N3441" s="3"/>
      <c r="O3441" s="3"/>
      <c r="P3441" s="3"/>
      <c r="Q3441" s="3"/>
      <c r="R3441" s="3"/>
      <c r="S3441" s="3"/>
      <c r="T3441" s="3"/>
      <c r="U3441" s="3"/>
      <c r="V3441" s="3"/>
      <c r="W3441" s="3"/>
      <c r="X3441" s="3"/>
      <c r="Y3441" s="3"/>
      <c r="Z3441" s="3"/>
      <c r="AA3441" s="3"/>
    </row>
    <row r="3442" ht="105.75" customHeight="1">
      <c r="A3442" s="11"/>
      <c r="B3442" s="12"/>
      <c r="C3442" s="11"/>
      <c r="D3442" s="13"/>
      <c r="E3442" s="14"/>
      <c r="F3442" s="14"/>
      <c r="G3442" s="14"/>
      <c r="H3442" s="15"/>
      <c r="I3442" s="15"/>
      <c r="J3442" s="3"/>
      <c r="K3442" s="3"/>
      <c r="L3442" s="3"/>
      <c r="M3442" s="3"/>
      <c r="N3442" s="3"/>
      <c r="O3442" s="3"/>
      <c r="P3442" s="3"/>
      <c r="Q3442" s="3"/>
      <c r="R3442" s="3"/>
      <c r="S3442" s="3"/>
      <c r="T3442" s="3"/>
      <c r="U3442" s="3"/>
      <c r="V3442" s="3"/>
      <c r="W3442" s="3"/>
      <c r="X3442" s="3"/>
      <c r="Y3442" s="3"/>
      <c r="Z3442" s="3"/>
      <c r="AA3442" s="3"/>
    </row>
    <row r="3443" ht="105.75" customHeight="1">
      <c r="A3443" s="11"/>
      <c r="B3443" s="12"/>
      <c r="C3443" s="11"/>
      <c r="D3443" s="13"/>
      <c r="E3443" s="14"/>
      <c r="F3443" s="14"/>
      <c r="G3443" s="14"/>
      <c r="H3443" s="15"/>
      <c r="I3443" s="15"/>
      <c r="J3443" s="3"/>
      <c r="K3443" s="3"/>
      <c r="L3443" s="3"/>
      <c r="M3443" s="3"/>
      <c r="N3443" s="3"/>
      <c r="O3443" s="3"/>
      <c r="P3443" s="3"/>
      <c r="Q3443" s="3"/>
      <c r="R3443" s="3"/>
      <c r="S3443" s="3"/>
      <c r="T3443" s="3"/>
      <c r="U3443" s="3"/>
      <c r="V3443" s="3"/>
      <c r="W3443" s="3"/>
      <c r="X3443" s="3"/>
      <c r="Y3443" s="3"/>
      <c r="Z3443" s="3"/>
      <c r="AA3443" s="3"/>
    </row>
    <row r="3444" ht="105.75" customHeight="1">
      <c r="A3444" s="11"/>
      <c r="B3444" s="12"/>
      <c r="C3444" s="11"/>
      <c r="D3444" s="13"/>
      <c r="E3444" s="16"/>
      <c r="F3444" s="16"/>
      <c r="G3444" s="16"/>
      <c r="H3444" s="15"/>
      <c r="I3444" s="15"/>
      <c r="J3444" s="3"/>
      <c r="K3444" s="3"/>
      <c r="L3444" s="3"/>
      <c r="M3444" s="3"/>
      <c r="N3444" s="3"/>
      <c r="O3444" s="3"/>
      <c r="P3444" s="3"/>
      <c r="Q3444" s="3"/>
      <c r="R3444" s="3"/>
      <c r="S3444" s="3"/>
      <c r="T3444" s="3"/>
      <c r="U3444" s="3"/>
      <c r="V3444" s="3"/>
      <c r="W3444" s="3"/>
      <c r="X3444" s="3"/>
      <c r="Y3444" s="3"/>
      <c r="Z3444" s="3"/>
      <c r="AA3444" s="3"/>
    </row>
    <row r="3445" ht="105.75" customHeight="1">
      <c r="A3445" s="11"/>
      <c r="B3445" s="12"/>
      <c r="C3445" s="11"/>
      <c r="D3445" s="13"/>
      <c r="E3445" s="14"/>
      <c r="F3445" s="14"/>
      <c r="G3445" s="14"/>
      <c r="H3445" s="15"/>
      <c r="I3445" s="15"/>
      <c r="J3445" s="3"/>
      <c r="K3445" s="3"/>
      <c r="L3445" s="3"/>
      <c r="M3445" s="3"/>
      <c r="N3445" s="3"/>
      <c r="O3445" s="3"/>
      <c r="P3445" s="3"/>
      <c r="Q3445" s="3"/>
      <c r="R3445" s="3"/>
      <c r="S3445" s="3"/>
      <c r="T3445" s="3"/>
      <c r="U3445" s="3"/>
      <c r="V3445" s="3"/>
      <c r="W3445" s="3"/>
      <c r="X3445" s="3"/>
      <c r="Y3445" s="3"/>
      <c r="Z3445" s="3"/>
      <c r="AA3445" s="3"/>
    </row>
    <row r="3446" ht="105.75" customHeight="1">
      <c r="A3446" s="11"/>
      <c r="B3446" s="12"/>
      <c r="C3446" s="11"/>
      <c r="D3446" s="13"/>
      <c r="E3446" s="14"/>
      <c r="F3446" s="14"/>
      <c r="G3446" s="14"/>
      <c r="H3446" s="15"/>
      <c r="I3446" s="15"/>
      <c r="J3446" s="3"/>
      <c r="K3446" s="3"/>
      <c r="L3446" s="3"/>
      <c r="M3446" s="3"/>
      <c r="N3446" s="3"/>
      <c r="O3446" s="3"/>
      <c r="P3446" s="3"/>
      <c r="Q3446" s="3"/>
      <c r="R3446" s="3"/>
      <c r="S3446" s="3"/>
      <c r="T3446" s="3"/>
      <c r="U3446" s="3"/>
      <c r="V3446" s="3"/>
      <c r="W3446" s="3"/>
      <c r="X3446" s="3"/>
      <c r="Y3446" s="3"/>
      <c r="Z3446" s="3"/>
      <c r="AA3446" s="3"/>
    </row>
    <row r="3447" ht="105.75" customHeight="1">
      <c r="A3447" s="11"/>
      <c r="B3447" s="12"/>
      <c r="C3447" s="11"/>
      <c r="D3447" s="13"/>
      <c r="E3447" s="14"/>
      <c r="F3447" s="14"/>
      <c r="G3447" s="14"/>
      <c r="H3447" s="15"/>
      <c r="I3447" s="15"/>
      <c r="J3447" s="3"/>
      <c r="K3447" s="3"/>
      <c r="L3447" s="3"/>
      <c r="M3447" s="3"/>
      <c r="N3447" s="3"/>
      <c r="O3447" s="3"/>
      <c r="P3447" s="3"/>
      <c r="Q3447" s="3"/>
      <c r="R3447" s="3"/>
      <c r="S3447" s="3"/>
      <c r="T3447" s="3"/>
      <c r="U3447" s="3"/>
      <c r="V3447" s="3"/>
      <c r="W3447" s="3"/>
      <c r="X3447" s="3"/>
      <c r="Y3447" s="3"/>
      <c r="Z3447" s="3"/>
      <c r="AA3447" s="3"/>
    </row>
    <row r="3448" ht="105.75" customHeight="1">
      <c r="A3448" s="11"/>
      <c r="B3448" s="12"/>
      <c r="C3448" s="11"/>
      <c r="D3448" s="13"/>
      <c r="E3448" s="16"/>
      <c r="F3448" s="16"/>
      <c r="G3448" s="16"/>
      <c r="H3448" s="15"/>
      <c r="I3448" s="15"/>
      <c r="J3448" s="3"/>
      <c r="K3448" s="3"/>
      <c r="L3448" s="3"/>
      <c r="M3448" s="3"/>
      <c r="N3448" s="3"/>
      <c r="O3448" s="3"/>
      <c r="P3448" s="3"/>
      <c r="Q3448" s="3"/>
      <c r="R3448" s="3"/>
      <c r="S3448" s="3"/>
      <c r="T3448" s="3"/>
      <c r="U3448" s="3"/>
      <c r="V3448" s="3"/>
      <c r="W3448" s="3"/>
      <c r="X3448" s="3"/>
      <c r="Y3448" s="3"/>
      <c r="Z3448" s="3"/>
      <c r="AA3448" s="3"/>
    </row>
    <row r="3449" ht="105.75" customHeight="1">
      <c r="A3449" s="11"/>
      <c r="B3449" s="12"/>
      <c r="C3449" s="11"/>
      <c r="D3449" s="13"/>
      <c r="E3449" s="14"/>
      <c r="F3449" s="14"/>
      <c r="G3449" s="14"/>
      <c r="H3449" s="15"/>
      <c r="I3449" s="15"/>
      <c r="J3449" s="3"/>
      <c r="K3449" s="3"/>
      <c r="L3449" s="3"/>
      <c r="M3449" s="3"/>
      <c r="N3449" s="3"/>
      <c r="O3449" s="3"/>
      <c r="P3449" s="3"/>
      <c r="Q3449" s="3"/>
      <c r="R3449" s="3"/>
      <c r="S3449" s="3"/>
      <c r="T3449" s="3"/>
      <c r="U3449" s="3"/>
      <c r="V3449" s="3"/>
      <c r="W3449" s="3"/>
      <c r="X3449" s="3"/>
      <c r="Y3449" s="3"/>
      <c r="Z3449" s="3"/>
      <c r="AA3449" s="3"/>
    </row>
    <row r="3450" ht="105.75" customHeight="1">
      <c r="A3450" s="11"/>
      <c r="B3450" s="12"/>
      <c r="C3450" s="11"/>
      <c r="D3450" s="13"/>
      <c r="E3450" s="16"/>
      <c r="F3450" s="16"/>
      <c r="G3450" s="16"/>
      <c r="H3450" s="15"/>
      <c r="I3450" s="15"/>
      <c r="J3450" s="3"/>
      <c r="K3450" s="3"/>
      <c r="L3450" s="3"/>
      <c r="M3450" s="3"/>
      <c r="N3450" s="3"/>
      <c r="O3450" s="3"/>
      <c r="P3450" s="3"/>
      <c r="Q3450" s="3"/>
      <c r="R3450" s="3"/>
      <c r="S3450" s="3"/>
      <c r="T3450" s="3"/>
      <c r="U3450" s="3"/>
      <c r="V3450" s="3"/>
      <c r="W3450" s="3"/>
      <c r="X3450" s="3"/>
      <c r="Y3450" s="3"/>
      <c r="Z3450" s="3"/>
      <c r="AA3450" s="3"/>
    </row>
    <row r="3451" ht="105.75" customHeight="1">
      <c r="A3451" s="11"/>
      <c r="B3451" s="12"/>
      <c r="C3451" s="11"/>
      <c r="D3451" s="13"/>
      <c r="E3451" s="14"/>
      <c r="F3451" s="14"/>
      <c r="G3451" s="14"/>
      <c r="H3451" s="15"/>
      <c r="I3451" s="15"/>
      <c r="J3451" s="3"/>
      <c r="K3451" s="3"/>
      <c r="L3451" s="3"/>
      <c r="M3451" s="3"/>
      <c r="N3451" s="3"/>
      <c r="O3451" s="3"/>
      <c r="P3451" s="3"/>
      <c r="Q3451" s="3"/>
      <c r="R3451" s="3"/>
      <c r="S3451" s="3"/>
      <c r="T3451" s="3"/>
      <c r="U3451" s="3"/>
      <c r="V3451" s="3"/>
      <c r="W3451" s="3"/>
      <c r="X3451" s="3"/>
      <c r="Y3451" s="3"/>
      <c r="Z3451" s="3"/>
      <c r="AA3451" s="3"/>
    </row>
    <row r="3452" ht="105.75" customHeight="1">
      <c r="A3452" s="11"/>
      <c r="B3452" s="12"/>
      <c r="C3452" s="11"/>
      <c r="D3452" s="13"/>
      <c r="E3452" s="14"/>
      <c r="F3452" s="14"/>
      <c r="G3452" s="14"/>
      <c r="H3452" s="15"/>
      <c r="I3452" s="15"/>
      <c r="J3452" s="3"/>
      <c r="K3452" s="3"/>
      <c r="L3452" s="3"/>
      <c r="M3452" s="3"/>
      <c r="N3452" s="3"/>
      <c r="O3452" s="3"/>
      <c r="P3452" s="3"/>
      <c r="Q3452" s="3"/>
      <c r="R3452" s="3"/>
      <c r="S3452" s="3"/>
      <c r="T3452" s="3"/>
      <c r="U3452" s="3"/>
      <c r="V3452" s="3"/>
      <c r="W3452" s="3"/>
      <c r="X3452" s="3"/>
      <c r="Y3452" s="3"/>
      <c r="Z3452" s="3"/>
      <c r="AA3452" s="3"/>
    </row>
    <row r="3453" ht="105.75" customHeight="1">
      <c r="A3453" s="11"/>
      <c r="B3453" s="12"/>
      <c r="C3453" s="11"/>
      <c r="D3453" s="13"/>
      <c r="E3453" s="14"/>
      <c r="F3453" s="14"/>
      <c r="G3453" s="14"/>
      <c r="H3453" s="15"/>
      <c r="I3453" s="15"/>
      <c r="J3453" s="3"/>
      <c r="K3453" s="3"/>
      <c r="L3453" s="3"/>
      <c r="M3453" s="3"/>
      <c r="N3453" s="3"/>
      <c r="O3453" s="3"/>
      <c r="P3453" s="3"/>
      <c r="Q3453" s="3"/>
      <c r="R3453" s="3"/>
      <c r="S3453" s="3"/>
      <c r="T3453" s="3"/>
      <c r="U3453" s="3"/>
      <c r="V3453" s="3"/>
      <c r="W3453" s="3"/>
      <c r="X3453" s="3"/>
      <c r="Y3453" s="3"/>
      <c r="Z3453" s="3"/>
      <c r="AA3453" s="3"/>
    </row>
    <row r="3454" ht="105.75" customHeight="1">
      <c r="A3454" s="11"/>
      <c r="B3454" s="12"/>
      <c r="C3454" s="11"/>
      <c r="D3454" s="13"/>
      <c r="E3454" s="14"/>
      <c r="F3454" s="14"/>
      <c r="G3454" s="14"/>
      <c r="H3454" s="15"/>
      <c r="I3454" s="15"/>
      <c r="J3454" s="3"/>
      <c r="K3454" s="3"/>
      <c r="L3454" s="3"/>
      <c r="M3454" s="3"/>
      <c r="N3454" s="3"/>
      <c r="O3454" s="3"/>
      <c r="P3454" s="3"/>
      <c r="Q3454" s="3"/>
      <c r="R3454" s="3"/>
      <c r="S3454" s="3"/>
      <c r="T3454" s="3"/>
      <c r="U3454" s="3"/>
      <c r="V3454" s="3"/>
      <c r="W3454" s="3"/>
      <c r="X3454" s="3"/>
      <c r="Y3454" s="3"/>
      <c r="Z3454" s="3"/>
      <c r="AA3454" s="3"/>
    </row>
    <row r="3455" ht="105.75" customHeight="1">
      <c r="A3455" s="11"/>
      <c r="B3455" s="12"/>
      <c r="C3455" s="11"/>
      <c r="D3455" s="13"/>
      <c r="E3455" s="14"/>
      <c r="F3455" s="14"/>
      <c r="G3455" s="14"/>
      <c r="H3455" s="15"/>
      <c r="I3455" s="15"/>
      <c r="J3455" s="3"/>
      <c r="K3455" s="3"/>
      <c r="L3455" s="3"/>
      <c r="M3455" s="3"/>
      <c r="N3455" s="3"/>
      <c r="O3455" s="3"/>
      <c r="P3455" s="3"/>
      <c r="Q3455" s="3"/>
      <c r="R3455" s="3"/>
      <c r="S3455" s="3"/>
      <c r="T3455" s="3"/>
      <c r="U3455" s="3"/>
      <c r="V3455" s="3"/>
      <c r="W3455" s="3"/>
      <c r="X3455" s="3"/>
      <c r="Y3455" s="3"/>
      <c r="Z3455" s="3"/>
      <c r="AA3455" s="3"/>
    </row>
    <row r="3456" ht="105.75" customHeight="1">
      <c r="A3456" s="11"/>
      <c r="B3456" s="12"/>
      <c r="C3456" s="11"/>
      <c r="D3456" s="13"/>
      <c r="E3456" s="14"/>
      <c r="F3456" s="14"/>
      <c r="G3456" s="14"/>
      <c r="H3456" s="15"/>
      <c r="I3456" s="15"/>
      <c r="J3456" s="3"/>
      <c r="K3456" s="3"/>
      <c r="L3456" s="3"/>
      <c r="M3456" s="3"/>
      <c r="N3456" s="3"/>
      <c r="O3456" s="3"/>
      <c r="P3456" s="3"/>
      <c r="Q3456" s="3"/>
      <c r="R3456" s="3"/>
      <c r="S3456" s="3"/>
      <c r="T3456" s="3"/>
      <c r="U3456" s="3"/>
      <c r="V3456" s="3"/>
      <c r="W3456" s="3"/>
      <c r="X3456" s="3"/>
      <c r="Y3456" s="3"/>
      <c r="Z3456" s="3"/>
      <c r="AA3456" s="3"/>
    </row>
    <row r="3457" ht="105.75" customHeight="1">
      <c r="A3457" s="11"/>
      <c r="B3457" s="12"/>
      <c r="C3457" s="11"/>
      <c r="D3457" s="13"/>
      <c r="E3457" s="14"/>
      <c r="F3457" s="14"/>
      <c r="G3457" s="14"/>
      <c r="H3457" s="15"/>
      <c r="I3457" s="15"/>
      <c r="J3457" s="3"/>
      <c r="K3457" s="3"/>
      <c r="L3457" s="3"/>
      <c r="M3457" s="3"/>
      <c r="N3457" s="3"/>
      <c r="O3457" s="3"/>
      <c r="P3457" s="3"/>
      <c r="Q3457" s="3"/>
      <c r="R3457" s="3"/>
      <c r="S3457" s="3"/>
      <c r="T3457" s="3"/>
      <c r="U3457" s="3"/>
      <c r="V3457" s="3"/>
      <c r="W3457" s="3"/>
      <c r="X3457" s="3"/>
      <c r="Y3457" s="3"/>
      <c r="Z3457" s="3"/>
      <c r="AA3457" s="3"/>
    </row>
    <row r="3458" ht="105.75" customHeight="1">
      <c r="A3458" s="11"/>
      <c r="B3458" s="12"/>
      <c r="C3458" s="11"/>
      <c r="D3458" s="13"/>
      <c r="E3458" s="14"/>
      <c r="F3458" s="14"/>
      <c r="G3458" s="14"/>
      <c r="H3458" s="15"/>
      <c r="I3458" s="15"/>
      <c r="J3458" s="3"/>
      <c r="K3458" s="3"/>
      <c r="L3458" s="3"/>
      <c r="M3458" s="3"/>
      <c r="N3458" s="3"/>
      <c r="O3458" s="3"/>
      <c r="P3458" s="3"/>
      <c r="Q3458" s="3"/>
      <c r="R3458" s="3"/>
      <c r="S3458" s="3"/>
      <c r="T3458" s="3"/>
      <c r="U3458" s="3"/>
      <c r="V3458" s="3"/>
      <c r="W3458" s="3"/>
      <c r="X3458" s="3"/>
      <c r="Y3458" s="3"/>
      <c r="Z3458" s="3"/>
      <c r="AA3458" s="3"/>
    </row>
    <row r="3459" ht="105.75" customHeight="1">
      <c r="A3459" s="11"/>
      <c r="B3459" s="12"/>
      <c r="C3459" s="11"/>
      <c r="D3459" s="13"/>
      <c r="E3459" s="16"/>
      <c r="F3459" s="16"/>
      <c r="G3459" s="16"/>
      <c r="H3459" s="15"/>
      <c r="I3459" s="15"/>
      <c r="J3459" s="3"/>
      <c r="K3459" s="3"/>
      <c r="L3459" s="3"/>
      <c r="M3459" s="3"/>
      <c r="N3459" s="3"/>
      <c r="O3459" s="3"/>
      <c r="P3459" s="3"/>
      <c r="Q3459" s="3"/>
      <c r="R3459" s="3"/>
      <c r="S3459" s="3"/>
      <c r="T3459" s="3"/>
      <c r="U3459" s="3"/>
      <c r="V3459" s="3"/>
      <c r="W3459" s="3"/>
      <c r="X3459" s="3"/>
      <c r="Y3459" s="3"/>
      <c r="Z3459" s="3"/>
      <c r="AA3459" s="3"/>
    </row>
    <row r="3460" ht="105.75" customHeight="1">
      <c r="A3460" s="11"/>
      <c r="B3460" s="12"/>
      <c r="C3460" s="11"/>
      <c r="D3460" s="13"/>
      <c r="E3460" s="14"/>
      <c r="F3460" s="14"/>
      <c r="G3460" s="14"/>
      <c r="H3460" s="15"/>
      <c r="I3460" s="15"/>
      <c r="J3460" s="3"/>
      <c r="K3460" s="3"/>
      <c r="L3460" s="3"/>
      <c r="M3460" s="3"/>
      <c r="N3460" s="3"/>
      <c r="O3460" s="3"/>
      <c r="P3460" s="3"/>
      <c r="Q3460" s="3"/>
      <c r="R3460" s="3"/>
      <c r="S3460" s="3"/>
      <c r="T3460" s="3"/>
      <c r="U3460" s="3"/>
      <c r="V3460" s="3"/>
      <c r="W3460" s="3"/>
      <c r="X3460" s="3"/>
      <c r="Y3460" s="3"/>
      <c r="Z3460" s="3"/>
      <c r="AA3460" s="3"/>
    </row>
    <row r="3461" ht="105.75" customHeight="1">
      <c r="A3461" s="11"/>
      <c r="B3461" s="12"/>
      <c r="C3461" s="11"/>
      <c r="D3461" s="13"/>
      <c r="E3461" s="16"/>
      <c r="F3461" s="16"/>
      <c r="G3461" s="16"/>
      <c r="H3461" s="15"/>
      <c r="I3461" s="15"/>
      <c r="J3461" s="3"/>
      <c r="K3461" s="3"/>
      <c r="L3461" s="3"/>
      <c r="M3461" s="3"/>
      <c r="N3461" s="3"/>
      <c r="O3461" s="3"/>
      <c r="P3461" s="3"/>
      <c r="Q3461" s="3"/>
      <c r="R3461" s="3"/>
      <c r="S3461" s="3"/>
      <c r="T3461" s="3"/>
      <c r="U3461" s="3"/>
      <c r="V3461" s="3"/>
      <c r="W3461" s="3"/>
      <c r="X3461" s="3"/>
      <c r="Y3461" s="3"/>
      <c r="Z3461" s="3"/>
      <c r="AA3461" s="3"/>
    </row>
    <row r="3462" ht="105.75" customHeight="1">
      <c r="A3462" s="11"/>
      <c r="B3462" s="12"/>
      <c r="C3462" s="11"/>
      <c r="D3462" s="13"/>
      <c r="E3462" s="16"/>
      <c r="F3462" s="16"/>
      <c r="G3462" s="16"/>
      <c r="H3462" s="15"/>
      <c r="I3462" s="15"/>
      <c r="J3462" s="3"/>
      <c r="K3462" s="3"/>
      <c r="L3462" s="3"/>
      <c r="M3462" s="3"/>
      <c r="N3462" s="3"/>
      <c r="O3462" s="3"/>
      <c r="P3462" s="3"/>
      <c r="Q3462" s="3"/>
      <c r="R3462" s="3"/>
      <c r="S3462" s="3"/>
      <c r="T3462" s="3"/>
      <c r="U3462" s="3"/>
      <c r="V3462" s="3"/>
      <c r="W3462" s="3"/>
      <c r="X3462" s="3"/>
      <c r="Y3462" s="3"/>
      <c r="Z3462" s="3"/>
      <c r="AA3462" s="3"/>
    </row>
    <row r="3463" ht="105.75" customHeight="1">
      <c r="A3463" s="11"/>
      <c r="B3463" s="12"/>
      <c r="C3463" s="11"/>
      <c r="D3463" s="13"/>
      <c r="E3463" s="14"/>
      <c r="F3463" s="14"/>
      <c r="G3463" s="14"/>
      <c r="H3463" s="15"/>
      <c r="I3463" s="15"/>
      <c r="J3463" s="3"/>
      <c r="K3463" s="3"/>
      <c r="L3463" s="3"/>
      <c r="M3463" s="3"/>
      <c r="N3463" s="3"/>
      <c r="O3463" s="3"/>
      <c r="P3463" s="3"/>
      <c r="Q3463" s="3"/>
      <c r="R3463" s="3"/>
      <c r="S3463" s="3"/>
      <c r="T3463" s="3"/>
      <c r="U3463" s="3"/>
      <c r="V3463" s="3"/>
      <c r="W3463" s="3"/>
      <c r="X3463" s="3"/>
      <c r="Y3463" s="3"/>
      <c r="Z3463" s="3"/>
      <c r="AA3463" s="3"/>
    </row>
    <row r="3464" ht="105.75" customHeight="1">
      <c r="A3464" s="11"/>
      <c r="B3464" s="12"/>
      <c r="C3464" s="11"/>
      <c r="D3464" s="13"/>
      <c r="E3464" s="14"/>
      <c r="F3464" s="14"/>
      <c r="G3464" s="14"/>
      <c r="H3464" s="15"/>
      <c r="I3464" s="15"/>
      <c r="J3464" s="3"/>
      <c r="K3464" s="3"/>
      <c r="L3464" s="3"/>
      <c r="M3464" s="3"/>
      <c r="N3464" s="3"/>
      <c r="O3464" s="3"/>
      <c r="P3464" s="3"/>
      <c r="Q3464" s="3"/>
      <c r="R3464" s="3"/>
      <c r="S3464" s="3"/>
      <c r="T3464" s="3"/>
      <c r="U3464" s="3"/>
      <c r="V3464" s="3"/>
      <c r="W3464" s="3"/>
      <c r="X3464" s="3"/>
      <c r="Y3464" s="3"/>
      <c r="Z3464" s="3"/>
      <c r="AA3464" s="3"/>
    </row>
    <row r="3465" ht="105.75" customHeight="1">
      <c r="A3465" s="11"/>
      <c r="B3465" s="12"/>
      <c r="C3465" s="11"/>
      <c r="D3465" s="13"/>
      <c r="E3465" s="16"/>
      <c r="F3465" s="16"/>
      <c r="G3465" s="16"/>
      <c r="H3465" s="15"/>
      <c r="I3465" s="15"/>
      <c r="J3465" s="3"/>
      <c r="K3465" s="3"/>
      <c r="L3465" s="3"/>
      <c r="M3465" s="3"/>
      <c r="N3465" s="3"/>
      <c r="O3465" s="3"/>
      <c r="P3465" s="3"/>
      <c r="Q3465" s="3"/>
      <c r="R3465" s="3"/>
      <c r="S3465" s="3"/>
      <c r="T3465" s="3"/>
      <c r="U3465" s="3"/>
      <c r="V3465" s="3"/>
      <c r="W3465" s="3"/>
      <c r="X3465" s="3"/>
      <c r="Y3465" s="3"/>
      <c r="Z3465" s="3"/>
      <c r="AA3465" s="3"/>
    </row>
    <row r="3466" ht="105.75" customHeight="1">
      <c r="A3466" s="11"/>
      <c r="B3466" s="12"/>
      <c r="C3466" s="11"/>
      <c r="D3466" s="13"/>
      <c r="E3466" s="16"/>
      <c r="F3466" s="16"/>
      <c r="G3466" s="16"/>
      <c r="H3466" s="15"/>
      <c r="I3466" s="15"/>
      <c r="J3466" s="3"/>
      <c r="K3466" s="3"/>
      <c r="L3466" s="3"/>
      <c r="M3466" s="3"/>
      <c r="N3466" s="3"/>
      <c r="O3466" s="3"/>
      <c r="P3466" s="3"/>
      <c r="Q3466" s="3"/>
      <c r="R3466" s="3"/>
      <c r="S3466" s="3"/>
      <c r="T3466" s="3"/>
      <c r="U3466" s="3"/>
      <c r="V3466" s="3"/>
      <c r="W3466" s="3"/>
      <c r="X3466" s="3"/>
      <c r="Y3466" s="3"/>
      <c r="Z3466" s="3"/>
      <c r="AA3466" s="3"/>
    </row>
    <row r="3467" ht="105.75" customHeight="1">
      <c r="A3467" s="11"/>
      <c r="B3467" s="12"/>
      <c r="C3467" s="11"/>
      <c r="D3467" s="13"/>
      <c r="E3467" s="14"/>
      <c r="F3467" s="14"/>
      <c r="G3467" s="14"/>
      <c r="H3467" s="15"/>
      <c r="I3467" s="15"/>
      <c r="J3467" s="3"/>
      <c r="K3467" s="3"/>
      <c r="L3467" s="3"/>
      <c r="M3467" s="3"/>
      <c r="N3467" s="3"/>
      <c r="O3467" s="3"/>
      <c r="P3467" s="3"/>
      <c r="Q3467" s="3"/>
      <c r="R3467" s="3"/>
      <c r="S3467" s="3"/>
      <c r="T3467" s="3"/>
      <c r="U3467" s="3"/>
      <c r="V3467" s="3"/>
      <c r="W3467" s="3"/>
      <c r="X3467" s="3"/>
      <c r="Y3467" s="3"/>
      <c r="Z3467" s="3"/>
      <c r="AA3467" s="3"/>
    </row>
    <row r="3468" ht="105.75" customHeight="1">
      <c r="A3468" s="11"/>
      <c r="B3468" s="12"/>
      <c r="C3468" s="11"/>
      <c r="D3468" s="13"/>
      <c r="E3468" s="14"/>
      <c r="F3468" s="14"/>
      <c r="G3468" s="14"/>
      <c r="H3468" s="15"/>
      <c r="I3468" s="15"/>
      <c r="J3468" s="3"/>
      <c r="K3468" s="3"/>
      <c r="L3468" s="3"/>
      <c r="M3468" s="3"/>
      <c r="N3468" s="3"/>
      <c r="O3468" s="3"/>
      <c r="P3468" s="3"/>
      <c r="Q3468" s="3"/>
      <c r="R3468" s="3"/>
      <c r="S3468" s="3"/>
      <c r="T3468" s="3"/>
      <c r="U3468" s="3"/>
      <c r="V3468" s="3"/>
      <c r="W3468" s="3"/>
      <c r="X3468" s="3"/>
      <c r="Y3468" s="3"/>
      <c r="Z3468" s="3"/>
      <c r="AA3468" s="3"/>
    </row>
    <row r="3469" ht="105.75" customHeight="1">
      <c r="A3469" s="11"/>
      <c r="B3469" s="12"/>
      <c r="C3469" s="11"/>
      <c r="D3469" s="13"/>
      <c r="E3469" s="14"/>
      <c r="F3469" s="14"/>
      <c r="G3469" s="14"/>
      <c r="H3469" s="15"/>
      <c r="I3469" s="15"/>
      <c r="J3469" s="3"/>
      <c r="K3469" s="3"/>
      <c r="L3469" s="3"/>
      <c r="M3469" s="3"/>
      <c r="N3469" s="3"/>
      <c r="O3469" s="3"/>
      <c r="P3469" s="3"/>
      <c r="Q3469" s="3"/>
      <c r="R3469" s="3"/>
      <c r="S3469" s="3"/>
      <c r="T3469" s="3"/>
      <c r="U3469" s="3"/>
      <c r="V3469" s="3"/>
      <c r="W3469" s="3"/>
      <c r="X3469" s="3"/>
      <c r="Y3469" s="3"/>
      <c r="Z3469" s="3"/>
      <c r="AA3469" s="3"/>
    </row>
    <row r="3470" ht="105.75" customHeight="1">
      <c r="A3470" s="11"/>
      <c r="B3470" s="12"/>
      <c r="C3470" s="11"/>
      <c r="D3470" s="13"/>
      <c r="E3470" s="14"/>
      <c r="F3470" s="14"/>
      <c r="G3470" s="14"/>
      <c r="H3470" s="15"/>
      <c r="I3470" s="15"/>
      <c r="J3470" s="3"/>
      <c r="K3470" s="3"/>
      <c r="L3470" s="3"/>
      <c r="M3470" s="3"/>
      <c r="N3470" s="3"/>
      <c r="O3470" s="3"/>
      <c r="P3470" s="3"/>
      <c r="Q3470" s="3"/>
      <c r="R3470" s="3"/>
      <c r="S3470" s="3"/>
      <c r="T3470" s="3"/>
      <c r="U3470" s="3"/>
      <c r="V3470" s="3"/>
      <c r="W3470" s="3"/>
      <c r="X3470" s="3"/>
      <c r="Y3470" s="3"/>
      <c r="Z3470" s="3"/>
      <c r="AA3470" s="3"/>
    </row>
    <row r="3471" ht="105.75" customHeight="1">
      <c r="A3471" s="11"/>
      <c r="B3471" s="12"/>
      <c r="C3471" s="11"/>
      <c r="D3471" s="13"/>
      <c r="E3471" s="14"/>
      <c r="F3471" s="14"/>
      <c r="G3471" s="14"/>
      <c r="H3471" s="15"/>
      <c r="I3471" s="15"/>
      <c r="J3471" s="3"/>
      <c r="K3471" s="3"/>
      <c r="L3471" s="3"/>
      <c r="M3471" s="3"/>
      <c r="N3471" s="3"/>
      <c r="O3471" s="3"/>
      <c r="P3471" s="3"/>
      <c r="Q3471" s="3"/>
      <c r="R3471" s="3"/>
      <c r="S3471" s="3"/>
      <c r="T3471" s="3"/>
      <c r="U3471" s="3"/>
      <c r="V3471" s="3"/>
      <c r="W3471" s="3"/>
      <c r="X3471" s="3"/>
      <c r="Y3471" s="3"/>
      <c r="Z3471" s="3"/>
      <c r="AA3471" s="3"/>
    </row>
    <row r="3472" ht="105.75" customHeight="1">
      <c r="A3472" s="11"/>
      <c r="B3472" s="12"/>
      <c r="C3472" s="11"/>
      <c r="D3472" s="13"/>
      <c r="E3472" s="14"/>
      <c r="F3472" s="14"/>
      <c r="G3472" s="14"/>
      <c r="H3472" s="15"/>
      <c r="I3472" s="15"/>
      <c r="J3472" s="3"/>
      <c r="K3472" s="3"/>
      <c r="L3472" s="3"/>
      <c r="M3472" s="3"/>
      <c r="N3472" s="3"/>
      <c r="O3472" s="3"/>
      <c r="P3472" s="3"/>
      <c r="Q3472" s="3"/>
      <c r="R3472" s="3"/>
      <c r="S3472" s="3"/>
      <c r="T3472" s="3"/>
      <c r="U3472" s="3"/>
      <c r="V3472" s="3"/>
      <c r="W3472" s="3"/>
      <c r="X3472" s="3"/>
      <c r="Y3472" s="3"/>
      <c r="Z3472" s="3"/>
      <c r="AA3472" s="3"/>
    </row>
    <row r="3473" ht="105.75" customHeight="1">
      <c r="A3473" s="11"/>
      <c r="B3473" s="12"/>
      <c r="C3473" s="11"/>
      <c r="D3473" s="13"/>
      <c r="E3473" s="14"/>
      <c r="F3473" s="14"/>
      <c r="G3473" s="14"/>
      <c r="H3473" s="15"/>
      <c r="I3473" s="15"/>
      <c r="J3473" s="3"/>
      <c r="K3473" s="3"/>
      <c r="L3473" s="3"/>
      <c r="M3473" s="3"/>
      <c r="N3473" s="3"/>
      <c r="O3473" s="3"/>
      <c r="P3473" s="3"/>
      <c r="Q3473" s="3"/>
      <c r="R3473" s="3"/>
      <c r="S3473" s="3"/>
      <c r="T3473" s="3"/>
      <c r="U3473" s="3"/>
      <c r="V3473" s="3"/>
      <c r="W3473" s="3"/>
      <c r="X3473" s="3"/>
      <c r="Y3473" s="3"/>
      <c r="Z3473" s="3"/>
      <c r="AA3473" s="3"/>
    </row>
    <row r="3474" ht="105.75" customHeight="1">
      <c r="A3474" s="11"/>
      <c r="B3474" s="12"/>
      <c r="C3474" s="11"/>
      <c r="D3474" s="13"/>
      <c r="E3474" s="14"/>
      <c r="F3474" s="14"/>
      <c r="G3474" s="14"/>
      <c r="H3474" s="15"/>
      <c r="I3474" s="15"/>
      <c r="J3474" s="3"/>
      <c r="K3474" s="3"/>
      <c r="L3474" s="3"/>
      <c r="M3474" s="3"/>
      <c r="N3474" s="3"/>
      <c r="O3474" s="3"/>
      <c r="P3474" s="3"/>
      <c r="Q3474" s="3"/>
      <c r="R3474" s="3"/>
      <c r="S3474" s="3"/>
      <c r="T3474" s="3"/>
      <c r="U3474" s="3"/>
      <c r="V3474" s="3"/>
      <c r="W3474" s="3"/>
      <c r="X3474" s="3"/>
      <c r="Y3474" s="3"/>
      <c r="Z3474" s="3"/>
      <c r="AA3474" s="3"/>
    </row>
    <row r="3475" ht="105.75" customHeight="1">
      <c r="A3475" s="11"/>
      <c r="B3475" s="12"/>
      <c r="C3475" s="11"/>
      <c r="D3475" s="13"/>
      <c r="E3475" s="14"/>
      <c r="F3475" s="14"/>
      <c r="G3475" s="14"/>
      <c r="H3475" s="15"/>
      <c r="I3475" s="15"/>
      <c r="J3475" s="3"/>
      <c r="K3475" s="3"/>
      <c r="L3475" s="3"/>
      <c r="M3475" s="3"/>
      <c r="N3475" s="3"/>
      <c r="O3475" s="3"/>
      <c r="P3475" s="3"/>
      <c r="Q3475" s="3"/>
      <c r="R3475" s="3"/>
      <c r="S3475" s="3"/>
      <c r="T3475" s="3"/>
      <c r="U3475" s="3"/>
      <c r="V3475" s="3"/>
      <c r="W3475" s="3"/>
      <c r="X3475" s="3"/>
      <c r="Y3475" s="3"/>
      <c r="Z3475" s="3"/>
      <c r="AA3475" s="3"/>
    </row>
    <row r="3476" ht="105.75" customHeight="1">
      <c r="A3476" s="11"/>
      <c r="B3476" s="12"/>
      <c r="C3476" s="11"/>
      <c r="D3476" s="13"/>
      <c r="E3476" s="14"/>
      <c r="F3476" s="14"/>
      <c r="G3476" s="14"/>
      <c r="H3476" s="15"/>
      <c r="I3476" s="15"/>
      <c r="J3476" s="3"/>
      <c r="K3476" s="3"/>
      <c r="L3476" s="3"/>
      <c r="M3476" s="3"/>
      <c r="N3476" s="3"/>
      <c r="O3476" s="3"/>
      <c r="P3476" s="3"/>
      <c r="Q3476" s="3"/>
      <c r="R3476" s="3"/>
      <c r="S3476" s="3"/>
      <c r="T3476" s="3"/>
      <c r="U3476" s="3"/>
      <c r="V3476" s="3"/>
      <c r="W3476" s="3"/>
      <c r="X3476" s="3"/>
      <c r="Y3476" s="3"/>
      <c r="Z3476" s="3"/>
      <c r="AA3476" s="3"/>
    </row>
    <row r="3477" ht="105.75" customHeight="1">
      <c r="A3477" s="11"/>
      <c r="B3477" s="12"/>
      <c r="C3477" s="11"/>
      <c r="D3477" s="13"/>
      <c r="E3477" s="14"/>
      <c r="F3477" s="14"/>
      <c r="G3477" s="14"/>
      <c r="H3477" s="15"/>
      <c r="I3477" s="15"/>
      <c r="J3477" s="3"/>
      <c r="K3477" s="3"/>
      <c r="L3477" s="3"/>
      <c r="M3477" s="3"/>
      <c r="N3477" s="3"/>
      <c r="O3477" s="3"/>
      <c r="P3477" s="3"/>
      <c r="Q3477" s="3"/>
      <c r="R3477" s="3"/>
      <c r="S3477" s="3"/>
      <c r="T3477" s="3"/>
      <c r="U3477" s="3"/>
      <c r="V3477" s="3"/>
      <c r="W3477" s="3"/>
      <c r="X3477" s="3"/>
      <c r="Y3477" s="3"/>
      <c r="Z3477" s="3"/>
      <c r="AA3477" s="3"/>
    </row>
    <row r="3478" ht="105.75" customHeight="1">
      <c r="A3478" s="11"/>
      <c r="B3478" s="12"/>
      <c r="C3478" s="11"/>
      <c r="D3478" s="13"/>
      <c r="E3478" s="16"/>
      <c r="F3478" s="16"/>
      <c r="G3478" s="16"/>
      <c r="H3478" s="15"/>
      <c r="I3478" s="15"/>
      <c r="J3478" s="3"/>
      <c r="K3478" s="3"/>
      <c r="L3478" s="3"/>
      <c r="M3478" s="3"/>
      <c r="N3478" s="3"/>
      <c r="O3478" s="3"/>
      <c r="P3478" s="3"/>
      <c r="Q3478" s="3"/>
      <c r="R3478" s="3"/>
      <c r="S3478" s="3"/>
      <c r="T3478" s="3"/>
      <c r="U3478" s="3"/>
      <c r="V3478" s="3"/>
      <c r="W3478" s="3"/>
      <c r="X3478" s="3"/>
      <c r="Y3478" s="3"/>
      <c r="Z3478" s="3"/>
      <c r="AA3478" s="3"/>
    </row>
    <row r="3479" ht="105.75" customHeight="1">
      <c r="A3479" s="11"/>
      <c r="B3479" s="12"/>
      <c r="C3479" s="11"/>
      <c r="D3479" s="13"/>
      <c r="E3479" s="14"/>
      <c r="F3479" s="14"/>
      <c r="G3479" s="14"/>
      <c r="H3479" s="15"/>
      <c r="I3479" s="15"/>
      <c r="J3479" s="3"/>
      <c r="K3479" s="3"/>
      <c r="L3479" s="3"/>
      <c r="M3479" s="3"/>
      <c r="N3479" s="3"/>
      <c r="O3479" s="3"/>
      <c r="P3479" s="3"/>
      <c r="Q3479" s="3"/>
      <c r="R3479" s="3"/>
      <c r="S3479" s="3"/>
      <c r="T3479" s="3"/>
      <c r="U3479" s="3"/>
      <c r="V3479" s="3"/>
      <c r="W3479" s="3"/>
      <c r="X3479" s="3"/>
      <c r="Y3479" s="3"/>
      <c r="Z3479" s="3"/>
      <c r="AA3479" s="3"/>
    </row>
    <row r="3480" ht="105.75" customHeight="1">
      <c r="A3480" s="11"/>
      <c r="B3480" s="12"/>
      <c r="C3480" s="11"/>
      <c r="D3480" s="13"/>
      <c r="E3480" s="14"/>
      <c r="F3480" s="14"/>
      <c r="G3480" s="14"/>
      <c r="H3480" s="15"/>
      <c r="I3480" s="15"/>
      <c r="J3480" s="3"/>
      <c r="K3480" s="3"/>
      <c r="L3480" s="3"/>
      <c r="M3480" s="3"/>
      <c r="N3480" s="3"/>
      <c r="O3480" s="3"/>
      <c r="P3480" s="3"/>
      <c r="Q3480" s="3"/>
      <c r="R3480" s="3"/>
      <c r="S3480" s="3"/>
      <c r="T3480" s="3"/>
      <c r="U3480" s="3"/>
      <c r="V3480" s="3"/>
      <c r="W3480" s="3"/>
      <c r="X3480" s="3"/>
      <c r="Y3480" s="3"/>
      <c r="Z3480" s="3"/>
      <c r="AA3480" s="3"/>
    </row>
    <row r="3481" ht="105.75" customHeight="1">
      <c r="A3481" s="11"/>
      <c r="B3481" s="12"/>
      <c r="C3481" s="11"/>
      <c r="D3481" s="13"/>
      <c r="E3481" s="14"/>
      <c r="F3481" s="14"/>
      <c r="G3481" s="14"/>
      <c r="H3481" s="15"/>
      <c r="I3481" s="15"/>
      <c r="J3481" s="3"/>
      <c r="K3481" s="3"/>
      <c r="L3481" s="3"/>
      <c r="M3481" s="3"/>
      <c r="N3481" s="3"/>
      <c r="O3481" s="3"/>
      <c r="P3481" s="3"/>
      <c r="Q3481" s="3"/>
      <c r="R3481" s="3"/>
      <c r="S3481" s="3"/>
      <c r="T3481" s="3"/>
      <c r="U3481" s="3"/>
      <c r="V3481" s="3"/>
      <c r="W3481" s="3"/>
      <c r="X3481" s="3"/>
      <c r="Y3481" s="3"/>
      <c r="Z3481" s="3"/>
      <c r="AA3481" s="3"/>
    </row>
    <row r="3482" ht="105.75" customHeight="1">
      <c r="A3482" s="11"/>
      <c r="B3482" s="12"/>
      <c r="C3482" s="11"/>
      <c r="D3482" s="13"/>
      <c r="E3482" s="14"/>
      <c r="F3482" s="14"/>
      <c r="G3482" s="14"/>
      <c r="H3482" s="15"/>
      <c r="I3482" s="15"/>
      <c r="J3482" s="3"/>
      <c r="K3482" s="3"/>
      <c r="L3482" s="3"/>
      <c r="M3482" s="3"/>
      <c r="N3482" s="3"/>
      <c r="O3482" s="3"/>
      <c r="P3482" s="3"/>
      <c r="Q3482" s="3"/>
      <c r="R3482" s="3"/>
      <c r="S3482" s="3"/>
      <c r="T3482" s="3"/>
      <c r="U3482" s="3"/>
      <c r="V3482" s="3"/>
      <c r="W3482" s="3"/>
      <c r="X3482" s="3"/>
      <c r="Y3482" s="3"/>
      <c r="Z3482" s="3"/>
      <c r="AA3482" s="3"/>
    </row>
    <row r="3483" ht="105.75" customHeight="1">
      <c r="A3483" s="11"/>
      <c r="B3483" s="12"/>
      <c r="C3483" s="11"/>
      <c r="D3483" s="13"/>
      <c r="E3483" s="16"/>
      <c r="F3483" s="16"/>
      <c r="G3483" s="16"/>
      <c r="H3483" s="15"/>
      <c r="I3483" s="15"/>
      <c r="J3483" s="3"/>
      <c r="K3483" s="3"/>
      <c r="L3483" s="3"/>
      <c r="M3483" s="3"/>
      <c r="N3483" s="3"/>
      <c r="O3483" s="3"/>
      <c r="P3483" s="3"/>
      <c r="Q3483" s="3"/>
      <c r="R3483" s="3"/>
      <c r="S3483" s="3"/>
      <c r="T3483" s="3"/>
      <c r="U3483" s="3"/>
      <c r="V3483" s="3"/>
      <c r="W3483" s="3"/>
      <c r="X3483" s="3"/>
      <c r="Y3483" s="3"/>
      <c r="Z3483" s="3"/>
      <c r="AA3483" s="3"/>
    </row>
    <row r="3484" ht="105.75" customHeight="1">
      <c r="A3484" s="11"/>
      <c r="B3484" s="12"/>
      <c r="C3484" s="11"/>
      <c r="D3484" s="13"/>
      <c r="E3484" s="14"/>
      <c r="F3484" s="14"/>
      <c r="G3484" s="14"/>
      <c r="H3484" s="15"/>
      <c r="I3484" s="15"/>
      <c r="J3484" s="3"/>
      <c r="K3484" s="3"/>
      <c r="L3484" s="3"/>
      <c r="M3484" s="3"/>
      <c r="N3484" s="3"/>
      <c r="O3484" s="3"/>
      <c r="P3484" s="3"/>
      <c r="Q3484" s="3"/>
      <c r="R3484" s="3"/>
      <c r="S3484" s="3"/>
      <c r="T3484" s="3"/>
      <c r="U3484" s="3"/>
      <c r="V3484" s="3"/>
      <c r="W3484" s="3"/>
      <c r="X3484" s="3"/>
      <c r="Y3484" s="3"/>
      <c r="Z3484" s="3"/>
      <c r="AA3484" s="3"/>
    </row>
    <row r="3485" ht="105.75" customHeight="1">
      <c r="A3485" s="11"/>
      <c r="B3485" s="12"/>
      <c r="C3485" s="11"/>
      <c r="D3485" s="13"/>
      <c r="E3485" s="16"/>
      <c r="F3485" s="16"/>
      <c r="G3485" s="16"/>
      <c r="H3485" s="15"/>
      <c r="I3485" s="15"/>
      <c r="J3485" s="3"/>
      <c r="K3485" s="3"/>
      <c r="L3485" s="3"/>
      <c r="M3485" s="3"/>
      <c r="N3485" s="3"/>
      <c r="O3485" s="3"/>
      <c r="P3485" s="3"/>
      <c r="Q3485" s="3"/>
      <c r="R3485" s="3"/>
      <c r="S3485" s="3"/>
      <c r="T3485" s="3"/>
      <c r="U3485" s="3"/>
      <c r="V3485" s="3"/>
      <c r="W3485" s="3"/>
      <c r="X3485" s="3"/>
      <c r="Y3485" s="3"/>
      <c r="Z3485" s="3"/>
      <c r="AA3485" s="3"/>
    </row>
    <row r="3486" ht="105.75" customHeight="1">
      <c r="A3486" s="11"/>
      <c r="B3486" s="12"/>
      <c r="C3486" s="11"/>
      <c r="D3486" s="13"/>
      <c r="E3486" s="14"/>
      <c r="F3486" s="14"/>
      <c r="G3486" s="14"/>
      <c r="H3486" s="15"/>
      <c r="I3486" s="15"/>
      <c r="J3486" s="3"/>
      <c r="K3486" s="3"/>
      <c r="L3486" s="3"/>
      <c r="M3486" s="3"/>
      <c r="N3486" s="3"/>
      <c r="O3486" s="3"/>
      <c r="P3486" s="3"/>
      <c r="Q3486" s="3"/>
      <c r="R3486" s="3"/>
      <c r="S3486" s="3"/>
      <c r="T3486" s="3"/>
      <c r="U3486" s="3"/>
      <c r="V3486" s="3"/>
      <c r="W3486" s="3"/>
      <c r="X3486" s="3"/>
      <c r="Y3486" s="3"/>
      <c r="Z3486" s="3"/>
      <c r="AA3486" s="3"/>
    </row>
    <row r="3487" ht="105.75" customHeight="1">
      <c r="A3487" s="11"/>
      <c r="B3487" s="12"/>
      <c r="C3487" s="11"/>
      <c r="D3487" s="13"/>
      <c r="E3487" s="14"/>
      <c r="F3487" s="14"/>
      <c r="G3487" s="14"/>
      <c r="H3487" s="15"/>
      <c r="I3487" s="15"/>
      <c r="J3487" s="3"/>
      <c r="K3487" s="3"/>
      <c r="L3487" s="3"/>
      <c r="M3487" s="3"/>
      <c r="N3487" s="3"/>
      <c r="O3487" s="3"/>
      <c r="P3487" s="3"/>
      <c r="Q3487" s="3"/>
      <c r="R3487" s="3"/>
      <c r="S3487" s="3"/>
      <c r="T3487" s="3"/>
      <c r="U3487" s="3"/>
      <c r="V3487" s="3"/>
      <c r="W3487" s="3"/>
      <c r="X3487" s="3"/>
      <c r="Y3487" s="3"/>
      <c r="Z3487" s="3"/>
      <c r="AA3487" s="3"/>
    </row>
    <row r="3488" ht="105.75" customHeight="1">
      <c r="A3488" s="11"/>
      <c r="B3488" s="12"/>
      <c r="C3488" s="11"/>
      <c r="D3488" s="13"/>
      <c r="E3488" s="16"/>
      <c r="F3488" s="16"/>
      <c r="G3488" s="16"/>
      <c r="H3488" s="15"/>
      <c r="I3488" s="15"/>
      <c r="J3488" s="3"/>
      <c r="K3488" s="3"/>
      <c r="L3488" s="3"/>
      <c r="M3488" s="3"/>
      <c r="N3488" s="3"/>
      <c r="O3488" s="3"/>
      <c r="P3488" s="3"/>
      <c r="Q3488" s="3"/>
      <c r="R3488" s="3"/>
      <c r="S3488" s="3"/>
      <c r="T3488" s="3"/>
      <c r="U3488" s="3"/>
      <c r="V3488" s="3"/>
      <c r="W3488" s="3"/>
      <c r="X3488" s="3"/>
      <c r="Y3488" s="3"/>
      <c r="Z3488" s="3"/>
      <c r="AA3488" s="3"/>
    </row>
    <row r="3489" ht="105.75" customHeight="1">
      <c r="A3489" s="11"/>
      <c r="B3489" s="12"/>
      <c r="C3489" s="11"/>
      <c r="D3489" s="13"/>
      <c r="E3489" s="14"/>
      <c r="F3489" s="14"/>
      <c r="G3489" s="14"/>
      <c r="H3489" s="15"/>
      <c r="I3489" s="15"/>
      <c r="J3489" s="3"/>
      <c r="K3489" s="3"/>
      <c r="L3489" s="3"/>
      <c r="M3489" s="3"/>
      <c r="N3489" s="3"/>
      <c r="O3489" s="3"/>
      <c r="P3489" s="3"/>
      <c r="Q3489" s="3"/>
      <c r="R3489" s="3"/>
      <c r="S3489" s="3"/>
      <c r="T3489" s="3"/>
      <c r="U3489" s="3"/>
      <c r="V3489" s="3"/>
      <c r="W3489" s="3"/>
      <c r="X3489" s="3"/>
      <c r="Y3489" s="3"/>
      <c r="Z3489" s="3"/>
      <c r="AA3489" s="3"/>
    </row>
    <row r="3490" ht="105.75" customHeight="1">
      <c r="A3490" s="11"/>
      <c r="B3490" s="12"/>
      <c r="C3490" s="11"/>
      <c r="D3490" s="13"/>
      <c r="E3490" s="16"/>
      <c r="F3490" s="16"/>
      <c r="G3490" s="16"/>
      <c r="H3490" s="15"/>
      <c r="I3490" s="15"/>
      <c r="J3490" s="3"/>
      <c r="K3490" s="3"/>
      <c r="L3490" s="3"/>
      <c r="M3490" s="3"/>
      <c r="N3490" s="3"/>
      <c r="O3490" s="3"/>
      <c r="P3490" s="3"/>
      <c r="Q3490" s="3"/>
      <c r="R3490" s="3"/>
      <c r="S3490" s="3"/>
      <c r="T3490" s="3"/>
      <c r="U3490" s="3"/>
      <c r="V3490" s="3"/>
      <c r="W3490" s="3"/>
      <c r="X3490" s="3"/>
      <c r="Y3490" s="3"/>
      <c r="Z3490" s="3"/>
      <c r="AA3490" s="3"/>
    </row>
    <row r="3491" ht="105.75" customHeight="1">
      <c r="A3491" s="11"/>
      <c r="B3491" s="12"/>
      <c r="C3491" s="11"/>
      <c r="D3491" s="13"/>
      <c r="E3491" s="14"/>
      <c r="F3491" s="14"/>
      <c r="G3491" s="14"/>
      <c r="H3491" s="15"/>
      <c r="I3491" s="15"/>
      <c r="J3491" s="3"/>
      <c r="K3491" s="3"/>
      <c r="L3491" s="3"/>
      <c r="M3491" s="3"/>
      <c r="N3491" s="3"/>
      <c r="O3491" s="3"/>
      <c r="P3491" s="3"/>
      <c r="Q3491" s="3"/>
      <c r="R3491" s="3"/>
      <c r="S3491" s="3"/>
      <c r="T3491" s="3"/>
      <c r="U3491" s="3"/>
      <c r="V3491" s="3"/>
      <c r="W3491" s="3"/>
      <c r="X3491" s="3"/>
      <c r="Y3491" s="3"/>
      <c r="Z3491" s="3"/>
      <c r="AA3491" s="3"/>
    </row>
    <row r="3492" ht="105.75" customHeight="1">
      <c r="A3492" s="11"/>
      <c r="B3492" s="12"/>
      <c r="C3492" s="11"/>
      <c r="D3492" s="13"/>
      <c r="E3492" s="14"/>
      <c r="F3492" s="14"/>
      <c r="G3492" s="14"/>
      <c r="H3492" s="15"/>
      <c r="I3492" s="15"/>
      <c r="J3492" s="3"/>
      <c r="K3492" s="3"/>
      <c r="L3492" s="3"/>
      <c r="M3492" s="3"/>
      <c r="N3492" s="3"/>
      <c r="O3492" s="3"/>
      <c r="P3492" s="3"/>
      <c r="Q3492" s="3"/>
      <c r="R3492" s="3"/>
      <c r="S3492" s="3"/>
      <c r="T3492" s="3"/>
      <c r="U3492" s="3"/>
      <c r="V3492" s="3"/>
      <c r="W3492" s="3"/>
      <c r="X3492" s="3"/>
      <c r="Y3492" s="3"/>
      <c r="Z3492" s="3"/>
      <c r="AA3492" s="3"/>
    </row>
    <row r="3493" ht="105.75" customHeight="1">
      <c r="A3493" s="11"/>
      <c r="B3493" s="12"/>
      <c r="C3493" s="11"/>
      <c r="D3493" s="13"/>
      <c r="E3493" s="14"/>
      <c r="F3493" s="14"/>
      <c r="G3493" s="14"/>
      <c r="H3493" s="15"/>
      <c r="I3493" s="15"/>
      <c r="J3493" s="3"/>
      <c r="K3493" s="3"/>
      <c r="L3493" s="3"/>
      <c r="M3493" s="3"/>
      <c r="N3493" s="3"/>
      <c r="O3493" s="3"/>
      <c r="P3493" s="3"/>
      <c r="Q3493" s="3"/>
      <c r="R3493" s="3"/>
      <c r="S3493" s="3"/>
      <c r="T3493" s="3"/>
      <c r="U3493" s="3"/>
      <c r="V3493" s="3"/>
      <c r="W3493" s="3"/>
      <c r="X3493" s="3"/>
      <c r="Y3493" s="3"/>
      <c r="Z3493" s="3"/>
      <c r="AA3493" s="3"/>
    </row>
    <row r="3494" ht="105.75" customHeight="1">
      <c r="A3494" s="11"/>
      <c r="B3494" s="12"/>
      <c r="C3494" s="11"/>
      <c r="D3494" s="13"/>
      <c r="E3494" s="14"/>
      <c r="F3494" s="14"/>
      <c r="G3494" s="14"/>
      <c r="H3494" s="15"/>
      <c r="I3494" s="15"/>
      <c r="J3494" s="3"/>
      <c r="K3494" s="3"/>
      <c r="L3494" s="3"/>
      <c r="M3494" s="3"/>
      <c r="N3494" s="3"/>
      <c r="O3494" s="3"/>
      <c r="P3494" s="3"/>
      <c r="Q3494" s="3"/>
      <c r="R3494" s="3"/>
      <c r="S3494" s="3"/>
      <c r="T3494" s="3"/>
      <c r="U3494" s="3"/>
      <c r="V3494" s="3"/>
      <c r="W3494" s="3"/>
      <c r="X3494" s="3"/>
      <c r="Y3494" s="3"/>
      <c r="Z3494" s="3"/>
      <c r="AA3494" s="3"/>
    </row>
    <row r="3495" ht="105.75" customHeight="1">
      <c r="A3495" s="11"/>
      <c r="B3495" s="12"/>
      <c r="C3495" s="11"/>
      <c r="D3495" s="13"/>
      <c r="E3495" s="14"/>
      <c r="F3495" s="14"/>
      <c r="G3495" s="14"/>
      <c r="H3495" s="15"/>
      <c r="I3495" s="15"/>
      <c r="J3495" s="3"/>
      <c r="K3495" s="3"/>
      <c r="L3495" s="3"/>
      <c r="M3495" s="3"/>
      <c r="N3495" s="3"/>
      <c r="O3495" s="3"/>
      <c r="P3495" s="3"/>
      <c r="Q3495" s="3"/>
      <c r="R3495" s="3"/>
      <c r="S3495" s="3"/>
      <c r="T3495" s="3"/>
      <c r="U3495" s="3"/>
      <c r="V3495" s="3"/>
      <c r="W3495" s="3"/>
      <c r="X3495" s="3"/>
      <c r="Y3495" s="3"/>
      <c r="Z3495" s="3"/>
      <c r="AA3495" s="3"/>
    </row>
    <row r="3496" ht="105.75" customHeight="1">
      <c r="A3496" s="11"/>
      <c r="B3496" s="12"/>
      <c r="C3496" s="11"/>
      <c r="D3496" s="13"/>
      <c r="E3496" s="14"/>
      <c r="F3496" s="14"/>
      <c r="G3496" s="14"/>
      <c r="H3496" s="15"/>
      <c r="I3496" s="15"/>
      <c r="J3496" s="3"/>
      <c r="K3496" s="3"/>
      <c r="L3496" s="3"/>
      <c r="M3496" s="3"/>
      <c r="N3496" s="3"/>
      <c r="O3496" s="3"/>
      <c r="P3496" s="3"/>
      <c r="Q3496" s="3"/>
      <c r="R3496" s="3"/>
      <c r="S3496" s="3"/>
      <c r="T3496" s="3"/>
      <c r="U3496" s="3"/>
      <c r="V3496" s="3"/>
      <c r="W3496" s="3"/>
      <c r="X3496" s="3"/>
      <c r="Y3496" s="3"/>
      <c r="Z3496" s="3"/>
      <c r="AA3496" s="3"/>
    </row>
    <row r="3497" ht="105.75" customHeight="1">
      <c r="A3497" s="11"/>
      <c r="B3497" s="12"/>
      <c r="C3497" s="11"/>
      <c r="D3497" s="13"/>
      <c r="E3497" s="14"/>
      <c r="F3497" s="14"/>
      <c r="G3497" s="14"/>
      <c r="H3497" s="15"/>
      <c r="I3497" s="15"/>
      <c r="J3497" s="3"/>
      <c r="K3497" s="3"/>
      <c r="L3497" s="3"/>
      <c r="M3497" s="3"/>
      <c r="N3497" s="3"/>
      <c r="O3497" s="3"/>
      <c r="P3497" s="3"/>
      <c r="Q3497" s="3"/>
      <c r="R3497" s="3"/>
      <c r="S3497" s="3"/>
      <c r="T3497" s="3"/>
      <c r="U3497" s="3"/>
      <c r="V3497" s="3"/>
      <c r="W3497" s="3"/>
      <c r="X3497" s="3"/>
      <c r="Y3497" s="3"/>
      <c r="Z3497" s="3"/>
      <c r="AA3497" s="3"/>
    </row>
    <row r="3498" ht="105.75" customHeight="1">
      <c r="A3498" s="11"/>
      <c r="B3498" s="12"/>
      <c r="C3498" s="11"/>
      <c r="D3498" s="13"/>
      <c r="E3498" s="14"/>
      <c r="F3498" s="14"/>
      <c r="G3498" s="14"/>
      <c r="H3498" s="15"/>
      <c r="I3498" s="15"/>
      <c r="J3498" s="3"/>
      <c r="K3498" s="3"/>
      <c r="L3498" s="3"/>
      <c r="M3498" s="3"/>
      <c r="N3498" s="3"/>
      <c r="O3498" s="3"/>
      <c r="P3498" s="3"/>
      <c r="Q3498" s="3"/>
      <c r="R3498" s="3"/>
      <c r="S3498" s="3"/>
      <c r="T3498" s="3"/>
      <c r="U3498" s="3"/>
      <c r="V3498" s="3"/>
      <c r="W3498" s="3"/>
      <c r="X3498" s="3"/>
      <c r="Y3498" s="3"/>
      <c r="Z3498" s="3"/>
      <c r="AA3498" s="3"/>
    </row>
    <row r="3499" ht="105.75" customHeight="1">
      <c r="A3499" s="11"/>
      <c r="B3499" s="12"/>
      <c r="C3499" s="11"/>
      <c r="D3499" s="13"/>
      <c r="E3499" s="14"/>
      <c r="F3499" s="14"/>
      <c r="G3499" s="14"/>
      <c r="H3499" s="15"/>
      <c r="I3499" s="15"/>
      <c r="J3499" s="3"/>
      <c r="K3499" s="3"/>
      <c r="L3499" s="3"/>
      <c r="M3499" s="3"/>
      <c r="N3499" s="3"/>
      <c r="O3499" s="3"/>
      <c r="P3499" s="3"/>
      <c r="Q3499" s="3"/>
      <c r="R3499" s="3"/>
      <c r="S3499" s="3"/>
      <c r="T3499" s="3"/>
      <c r="U3499" s="3"/>
      <c r="V3499" s="3"/>
      <c r="W3499" s="3"/>
      <c r="X3499" s="3"/>
      <c r="Y3499" s="3"/>
      <c r="Z3499" s="3"/>
      <c r="AA3499" s="3"/>
    </row>
    <row r="3500" ht="105.75" customHeight="1">
      <c r="A3500" s="11"/>
      <c r="B3500" s="12"/>
      <c r="C3500" s="11"/>
      <c r="D3500" s="13"/>
      <c r="E3500" s="14"/>
      <c r="F3500" s="14"/>
      <c r="G3500" s="14"/>
      <c r="H3500" s="15"/>
      <c r="I3500" s="15"/>
      <c r="J3500" s="3"/>
      <c r="K3500" s="3"/>
      <c r="L3500" s="3"/>
      <c r="M3500" s="3"/>
      <c r="N3500" s="3"/>
      <c r="O3500" s="3"/>
      <c r="P3500" s="3"/>
      <c r="Q3500" s="3"/>
      <c r="R3500" s="3"/>
      <c r="S3500" s="3"/>
      <c r="T3500" s="3"/>
      <c r="U3500" s="3"/>
      <c r="V3500" s="3"/>
      <c r="W3500" s="3"/>
      <c r="X3500" s="3"/>
      <c r="Y3500" s="3"/>
      <c r="Z3500" s="3"/>
      <c r="AA3500" s="3"/>
    </row>
    <row r="3501" ht="105.75" customHeight="1">
      <c r="A3501" s="11"/>
      <c r="B3501" s="12"/>
      <c r="C3501" s="11"/>
      <c r="D3501" s="13"/>
      <c r="E3501" s="16"/>
      <c r="F3501" s="16"/>
      <c r="G3501" s="16"/>
      <c r="H3501" s="15"/>
      <c r="I3501" s="15"/>
      <c r="J3501" s="3"/>
      <c r="K3501" s="3"/>
      <c r="L3501" s="3"/>
      <c r="M3501" s="3"/>
      <c r="N3501" s="3"/>
      <c r="O3501" s="3"/>
      <c r="P3501" s="3"/>
      <c r="Q3501" s="3"/>
      <c r="R3501" s="3"/>
      <c r="S3501" s="3"/>
      <c r="T3501" s="3"/>
      <c r="U3501" s="3"/>
      <c r="V3501" s="3"/>
      <c r="W3501" s="3"/>
      <c r="X3501" s="3"/>
      <c r="Y3501" s="3"/>
      <c r="Z3501" s="3"/>
      <c r="AA3501" s="3"/>
    </row>
    <row r="3502" ht="105.75" customHeight="1">
      <c r="A3502" s="11"/>
      <c r="B3502" s="12"/>
      <c r="C3502" s="11"/>
      <c r="D3502" s="13"/>
      <c r="E3502" s="14"/>
      <c r="F3502" s="14"/>
      <c r="G3502" s="14"/>
      <c r="H3502" s="15"/>
      <c r="I3502" s="15"/>
      <c r="J3502" s="3"/>
      <c r="K3502" s="3"/>
      <c r="L3502" s="3"/>
      <c r="M3502" s="3"/>
      <c r="N3502" s="3"/>
      <c r="O3502" s="3"/>
      <c r="P3502" s="3"/>
      <c r="Q3502" s="3"/>
      <c r="R3502" s="3"/>
      <c r="S3502" s="3"/>
      <c r="T3502" s="3"/>
      <c r="U3502" s="3"/>
      <c r="V3502" s="3"/>
      <c r="W3502" s="3"/>
      <c r="X3502" s="3"/>
      <c r="Y3502" s="3"/>
      <c r="Z3502" s="3"/>
      <c r="AA3502" s="3"/>
    </row>
    <row r="3503" ht="105.75" customHeight="1">
      <c r="A3503" s="11"/>
      <c r="B3503" s="12"/>
      <c r="C3503" s="11"/>
      <c r="D3503" s="13"/>
      <c r="E3503" s="16"/>
      <c r="F3503" s="16"/>
      <c r="G3503" s="16"/>
      <c r="H3503" s="15"/>
      <c r="I3503" s="15"/>
      <c r="J3503" s="3"/>
      <c r="K3503" s="3"/>
      <c r="L3503" s="3"/>
      <c r="M3503" s="3"/>
      <c r="N3503" s="3"/>
      <c r="O3503" s="3"/>
      <c r="P3503" s="3"/>
      <c r="Q3503" s="3"/>
      <c r="R3503" s="3"/>
      <c r="S3503" s="3"/>
      <c r="T3503" s="3"/>
      <c r="U3503" s="3"/>
      <c r="V3503" s="3"/>
      <c r="W3503" s="3"/>
      <c r="X3503" s="3"/>
      <c r="Y3503" s="3"/>
      <c r="Z3503" s="3"/>
      <c r="AA3503" s="3"/>
    </row>
    <row r="3504" ht="105.75" customHeight="1">
      <c r="A3504" s="11"/>
      <c r="B3504" s="12"/>
      <c r="C3504" s="11"/>
      <c r="D3504" s="13"/>
      <c r="E3504" s="14"/>
      <c r="F3504" s="14"/>
      <c r="G3504" s="14"/>
      <c r="H3504" s="15"/>
      <c r="I3504" s="15"/>
      <c r="J3504" s="3"/>
      <c r="K3504" s="3"/>
      <c r="L3504" s="3"/>
      <c r="M3504" s="3"/>
      <c r="N3504" s="3"/>
      <c r="O3504" s="3"/>
      <c r="P3504" s="3"/>
      <c r="Q3504" s="3"/>
      <c r="R3504" s="3"/>
      <c r="S3504" s="3"/>
      <c r="T3504" s="3"/>
      <c r="U3504" s="3"/>
      <c r="V3504" s="3"/>
      <c r="W3504" s="3"/>
      <c r="X3504" s="3"/>
      <c r="Y3504" s="3"/>
      <c r="Z3504" s="3"/>
      <c r="AA3504" s="3"/>
    </row>
    <row r="3505" ht="105.75" customHeight="1">
      <c r="A3505" s="11"/>
      <c r="B3505" s="12"/>
      <c r="C3505" s="11"/>
      <c r="D3505" s="13"/>
      <c r="E3505" s="14"/>
      <c r="F3505" s="14"/>
      <c r="G3505" s="14"/>
      <c r="H3505" s="15"/>
      <c r="I3505" s="15"/>
      <c r="J3505" s="3"/>
      <c r="K3505" s="3"/>
      <c r="L3505" s="3"/>
      <c r="M3505" s="3"/>
      <c r="N3505" s="3"/>
      <c r="O3505" s="3"/>
      <c r="P3505" s="3"/>
      <c r="Q3505" s="3"/>
      <c r="R3505" s="3"/>
      <c r="S3505" s="3"/>
      <c r="T3505" s="3"/>
      <c r="U3505" s="3"/>
      <c r="V3505" s="3"/>
      <c r="W3505" s="3"/>
      <c r="X3505" s="3"/>
      <c r="Y3505" s="3"/>
      <c r="Z3505" s="3"/>
      <c r="AA3505" s="3"/>
    </row>
    <row r="3506" ht="105.75" customHeight="1">
      <c r="A3506" s="11"/>
      <c r="B3506" s="12"/>
      <c r="C3506" s="11"/>
      <c r="D3506" s="13"/>
      <c r="E3506" s="14"/>
      <c r="F3506" s="14"/>
      <c r="G3506" s="14"/>
      <c r="H3506" s="15"/>
      <c r="I3506" s="15"/>
      <c r="J3506" s="3"/>
      <c r="K3506" s="3"/>
      <c r="L3506" s="3"/>
      <c r="M3506" s="3"/>
      <c r="N3506" s="3"/>
      <c r="O3506" s="3"/>
      <c r="P3506" s="3"/>
      <c r="Q3506" s="3"/>
      <c r="R3506" s="3"/>
      <c r="S3506" s="3"/>
      <c r="T3506" s="3"/>
      <c r="U3506" s="3"/>
      <c r="V3506" s="3"/>
      <c r="W3506" s="3"/>
      <c r="X3506" s="3"/>
      <c r="Y3506" s="3"/>
      <c r="Z3506" s="3"/>
      <c r="AA3506" s="3"/>
    </row>
    <row r="3507" ht="105.75" customHeight="1">
      <c r="A3507" s="11"/>
      <c r="B3507" s="12"/>
      <c r="C3507" s="11"/>
      <c r="D3507" s="13"/>
      <c r="E3507" s="14"/>
      <c r="F3507" s="14"/>
      <c r="G3507" s="14"/>
      <c r="H3507" s="15"/>
      <c r="I3507" s="15"/>
      <c r="J3507" s="3"/>
      <c r="K3507" s="3"/>
      <c r="L3507" s="3"/>
      <c r="M3507" s="3"/>
      <c r="N3507" s="3"/>
      <c r="O3507" s="3"/>
      <c r="P3507" s="3"/>
      <c r="Q3507" s="3"/>
      <c r="R3507" s="3"/>
      <c r="S3507" s="3"/>
      <c r="T3507" s="3"/>
      <c r="U3507" s="3"/>
      <c r="V3507" s="3"/>
      <c r="W3507" s="3"/>
      <c r="X3507" s="3"/>
      <c r="Y3507" s="3"/>
      <c r="Z3507" s="3"/>
      <c r="AA3507" s="3"/>
    </row>
    <row r="3508" ht="105.75" customHeight="1">
      <c r="A3508" s="11"/>
      <c r="B3508" s="12"/>
      <c r="C3508" s="11"/>
      <c r="D3508" s="13"/>
      <c r="E3508" s="14"/>
      <c r="F3508" s="14"/>
      <c r="G3508" s="14"/>
      <c r="H3508" s="15"/>
      <c r="I3508" s="15"/>
      <c r="J3508" s="3"/>
      <c r="K3508" s="3"/>
      <c r="L3508" s="3"/>
      <c r="M3508" s="3"/>
      <c r="N3508" s="3"/>
      <c r="O3508" s="3"/>
      <c r="P3508" s="3"/>
      <c r="Q3508" s="3"/>
      <c r="R3508" s="3"/>
      <c r="S3508" s="3"/>
      <c r="T3508" s="3"/>
      <c r="U3508" s="3"/>
      <c r="V3508" s="3"/>
      <c r="W3508" s="3"/>
      <c r="X3508" s="3"/>
      <c r="Y3508" s="3"/>
      <c r="Z3508" s="3"/>
      <c r="AA3508" s="3"/>
    </row>
    <row r="3509" ht="105.75" customHeight="1">
      <c r="A3509" s="11"/>
      <c r="B3509" s="12"/>
      <c r="C3509" s="11"/>
      <c r="D3509" s="13"/>
      <c r="E3509" s="14"/>
      <c r="F3509" s="14"/>
      <c r="G3509" s="14"/>
      <c r="H3509" s="15"/>
      <c r="I3509" s="15"/>
      <c r="J3509" s="3"/>
      <c r="K3509" s="3"/>
      <c r="L3509" s="3"/>
      <c r="M3509" s="3"/>
      <c r="N3509" s="3"/>
      <c r="O3509" s="3"/>
      <c r="P3509" s="3"/>
      <c r="Q3509" s="3"/>
      <c r="R3509" s="3"/>
      <c r="S3509" s="3"/>
      <c r="T3509" s="3"/>
      <c r="U3509" s="3"/>
      <c r="V3509" s="3"/>
      <c r="W3509" s="3"/>
      <c r="X3509" s="3"/>
      <c r="Y3509" s="3"/>
      <c r="Z3509" s="3"/>
      <c r="AA3509" s="3"/>
    </row>
    <row r="3510" ht="105.75" customHeight="1">
      <c r="A3510" s="11"/>
      <c r="B3510" s="12"/>
      <c r="C3510" s="11"/>
      <c r="D3510" s="13"/>
      <c r="E3510" s="16"/>
      <c r="F3510" s="16"/>
      <c r="G3510" s="16"/>
      <c r="H3510" s="15"/>
      <c r="I3510" s="15"/>
      <c r="J3510" s="3"/>
      <c r="K3510" s="3"/>
      <c r="L3510" s="3"/>
      <c r="M3510" s="3"/>
      <c r="N3510" s="3"/>
      <c r="O3510" s="3"/>
      <c r="P3510" s="3"/>
      <c r="Q3510" s="3"/>
      <c r="R3510" s="3"/>
      <c r="S3510" s="3"/>
      <c r="T3510" s="3"/>
      <c r="U3510" s="3"/>
      <c r="V3510" s="3"/>
      <c r="W3510" s="3"/>
      <c r="X3510" s="3"/>
      <c r="Y3510" s="3"/>
      <c r="Z3510" s="3"/>
      <c r="AA3510" s="3"/>
    </row>
    <row r="3511" ht="105.75" customHeight="1">
      <c r="A3511" s="11"/>
      <c r="B3511" s="12"/>
      <c r="C3511" s="11"/>
      <c r="D3511" s="13"/>
      <c r="E3511" s="16"/>
      <c r="F3511" s="16"/>
      <c r="G3511" s="16"/>
      <c r="H3511" s="15"/>
      <c r="I3511" s="15"/>
      <c r="J3511" s="3"/>
      <c r="K3511" s="3"/>
      <c r="L3511" s="3"/>
      <c r="M3511" s="3"/>
      <c r="N3511" s="3"/>
      <c r="O3511" s="3"/>
      <c r="P3511" s="3"/>
      <c r="Q3511" s="3"/>
      <c r="R3511" s="3"/>
      <c r="S3511" s="3"/>
      <c r="T3511" s="3"/>
      <c r="U3511" s="3"/>
      <c r="V3511" s="3"/>
      <c r="W3511" s="3"/>
      <c r="X3511" s="3"/>
      <c r="Y3511" s="3"/>
      <c r="Z3511" s="3"/>
      <c r="AA3511" s="3"/>
    </row>
    <row r="3512" ht="105.75" customHeight="1">
      <c r="A3512" s="11"/>
      <c r="B3512" s="12"/>
      <c r="C3512" s="11"/>
      <c r="D3512" s="13"/>
      <c r="E3512" s="14"/>
      <c r="F3512" s="14"/>
      <c r="G3512" s="14"/>
      <c r="H3512" s="15"/>
      <c r="I3512" s="15"/>
      <c r="J3512" s="3"/>
      <c r="K3512" s="3"/>
      <c r="L3512" s="3"/>
      <c r="M3512" s="3"/>
      <c r="N3512" s="3"/>
      <c r="O3512" s="3"/>
      <c r="P3512" s="3"/>
      <c r="Q3512" s="3"/>
      <c r="R3512" s="3"/>
      <c r="S3512" s="3"/>
      <c r="T3512" s="3"/>
      <c r="U3512" s="3"/>
      <c r="V3512" s="3"/>
      <c r="W3512" s="3"/>
      <c r="X3512" s="3"/>
      <c r="Y3512" s="3"/>
      <c r="Z3512" s="3"/>
      <c r="AA3512" s="3"/>
    </row>
    <row r="3513" ht="105.75" customHeight="1">
      <c r="A3513" s="11"/>
      <c r="B3513" s="12"/>
      <c r="C3513" s="11"/>
      <c r="D3513" s="13"/>
      <c r="E3513" s="14"/>
      <c r="F3513" s="14"/>
      <c r="G3513" s="14"/>
      <c r="H3513" s="15"/>
      <c r="I3513" s="15"/>
      <c r="J3513" s="3"/>
      <c r="K3513" s="3"/>
      <c r="L3513" s="3"/>
      <c r="M3513" s="3"/>
      <c r="N3513" s="3"/>
      <c r="O3513" s="3"/>
      <c r="P3513" s="3"/>
      <c r="Q3513" s="3"/>
      <c r="R3513" s="3"/>
      <c r="S3513" s="3"/>
      <c r="T3513" s="3"/>
      <c r="U3513" s="3"/>
      <c r="V3513" s="3"/>
      <c r="W3513" s="3"/>
      <c r="X3513" s="3"/>
      <c r="Y3513" s="3"/>
      <c r="Z3513" s="3"/>
      <c r="AA3513" s="3"/>
    </row>
    <row r="3514" ht="105.75" customHeight="1">
      <c r="A3514" s="11"/>
      <c r="B3514" s="12"/>
      <c r="C3514" s="11"/>
      <c r="D3514" s="13"/>
      <c r="E3514" s="14"/>
      <c r="F3514" s="14"/>
      <c r="G3514" s="14"/>
      <c r="H3514" s="15"/>
      <c r="I3514" s="15"/>
      <c r="J3514" s="3"/>
      <c r="K3514" s="3"/>
      <c r="L3514" s="3"/>
      <c r="M3514" s="3"/>
      <c r="N3514" s="3"/>
      <c r="O3514" s="3"/>
      <c r="P3514" s="3"/>
      <c r="Q3514" s="3"/>
      <c r="R3514" s="3"/>
      <c r="S3514" s="3"/>
      <c r="T3514" s="3"/>
      <c r="U3514" s="3"/>
      <c r="V3514" s="3"/>
      <c r="W3514" s="3"/>
      <c r="X3514" s="3"/>
      <c r="Y3514" s="3"/>
      <c r="Z3514" s="3"/>
      <c r="AA3514" s="3"/>
    </row>
    <row r="3515" ht="105.75" customHeight="1">
      <c r="A3515" s="11"/>
      <c r="B3515" s="12"/>
      <c r="C3515" s="11"/>
      <c r="D3515" s="13"/>
      <c r="E3515" s="14"/>
      <c r="F3515" s="14"/>
      <c r="G3515" s="14"/>
      <c r="H3515" s="15"/>
      <c r="I3515" s="15"/>
      <c r="J3515" s="3"/>
      <c r="K3515" s="3"/>
      <c r="L3515" s="3"/>
      <c r="M3515" s="3"/>
      <c r="N3515" s="3"/>
      <c r="O3515" s="3"/>
      <c r="P3515" s="3"/>
      <c r="Q3515" s="3"/>
      <c r="R3515" s="3"/>
      <c r="S3515" s="3"/>
      <c r="T3515" s="3"/>
      <c r="U3515" s="3"/>
      <c r="V3515" s="3"/>
      <c r="W3515" s="3"/>
      <c r="X3515" s="3"/>
      <c r="Y3515" s="3"/>
      <c r="Z3515" s="3"/>
      <c r="AA3515" s="3"/>
    </row>
    <row r="3516" ht="105.75" customHeight="1">
      <c r="A3516" s="11"/>
      <c r="B3516" s="12"/>
      <c r="C3516" s="11"/>
      <c r="D3516" s="13"/>
      <c r="E3516" s="14"/>
      <c r="F3516" s="14"/>
      <c r="G3516" s="14"/>
      <c r="H3516" s="15"/>
      <c r="I3516" s="15"/>
      <c r="J3516" s="3"/>
      <c r="K3516" s="3"/>
      <c r="L3516" s="3"/>
      <c r="M3516" s="3"/>
      <c r="N3516" s="3"/>
      <c r="O3516" s="3"/>
      <c r="P3516" s="3"/>
      <c r="Q3516" s="3"/>
      <c r="R3516" s="3"/>
      <c r="S3516" s="3"/>
      <c r="T3516" s="3"/>
      <c r="U3516" s="3"/>
      <c r="V3516" s="3"/>
      <c r="W3516" s="3"/>
      <c r="X3516" s="3"/>
      <c r="Y3516" s="3"/>
      <c r="Z3516" s="3"/>
      <c r="AA3516" s="3"/>
    </row>
    <row r="3517" ht="105.75" customHeight="1">
      <c r="A3517" s="11"/>
      <c r="B3517" s="12"/>
      <c r="C3517" s="11"/>
      <c r="D3517" s="13"/>
      <c r="E3517" s="14"/>
      <c r="F3517" s="14"/>
      <c r="G3517" s="14"/>
      <c r="H3517" s="15"/>
      <c r="I3517" s="15"/>
      <c r="J3517" s="3"/>
      <c r="K3517" s="3"/>
      <c r="L3517" s="3"/>
      <c r="M3517" s="3"/>
      <c r="N3517" s="3"/>
      <c r="O3517" s="3"/>
      <c r="P3517" s="3"/>
      <c r="Q3517" s="3"/>
      <c r="R3517" s="3"/>
      <c r="S3517" s="3"/>
      <c r="T3517" s="3"/>
      <c r="U3517" s="3"/>
      <c r="V3517" s="3"/>
      <c r="W3517" s="3"/>
      <c r="X3517" s="3"/>
      <c r="Y3517" s="3"/>
      <c r="Z3517" s="3"/>
      <c r="AA3517" s="3"/>
    </row>
    <row r="3518" ht="105.75" customHeight="1">
      <c r="A3518" s="11"/>
      <c r="B3518" s="12"/>
      <c r="C3518" s="11"/>
      <c r="D3518" s="13"/>
      <c r="E3518" s="14"/>
      <c r="F3518" s="14"/>
      <c r="G3518" s="14"/>
      <c r="H3518" s="15"/>
      <c r="I3518" s="15"/>
      <c r="J3518" s="3"/>
      <c r="K3518" s="3"/>
      <c r="L3518" s="3"/>
      <c r="M3518" s="3"/>
      <c r="N3518" s="3"/>
      <c r="O3518" s="3"/>
      <c r="P3518" s="3"/>
      <c r="Q3518" s="3"/>
      <c r="R3518" s="3"/>
      <c r="S3518" s="3"/>
      <c r="T3518" s="3"/>
      <c r="U3518" s="3"/>
      <c r="V3518" s="3"/>
      <c r="W3518" s="3"/>
      <c r="X3518" s="3"/>
      <c r="Y3518" s="3"/>
      <c r="Z3518" s="3"/>
      <c r="AA3518" s="3"/>
    </row>
    <row r="3519" ht="105.75" customHeight="1">
      <c r="A3519" s="11"/>
      <c r="B3519" s="12"/>
      <c r="C3519" s="11"/>
      <c r="D3519" s="13"/>
      <c r="E3519" s="14"/>
      <c r="F3519" s="14"/>
      <c r="G3519" s="14"/>
      <c r="H3519" s="15"/>
      <c r="I3519" s="15"/>
      <c r="J3519" s="3"/>
      <c r="K3519" s="3"/>
      <c r="L3519" s="3"/>
      <c r="M3519" s="3"/>
      <c r="N3519" s="3"/>
      <c r="O3519" s="3"/>
      <c r="P3519" s="3"/>
      <c r="Q3519" s="3"/>
      <c r="R3519" s="3"/>
      <c r="S3519" s="3"/>
      <c r="T3519" s="3"/>
      <c r="U3519" s="3"/>
      <c r="V3519" s="3"/>
      <c r="W3519" s="3"/>
      <c r="X3519" s="3"/>
      <c r="Y3519" s="3"/>
      <c r="Z3519" s="3"/>
      <c r="AA3519" s="3"/>
    </row>
    <row r="3520" ht="105.75" customHeight="1">
      <c r="A3520" s="11"/>
      <c r="B3520" s="12"/>
      <c r="C3520" s="11"/>
      <c r="D3520" s="13"/>
      <c r="E3520" s="14"/>
      <c r="F3520" s="14"/>
      <c r="G3520" s="14"/>
      <c r="H3520" s="15"/>
      <c r="I3520" s="15"/>
      <c r="J3520" s="3"/>
      <c r="K3520" s="3"/>
      <c r="L3520" s="3"/>
      <c r="M3520" s="3"/>
      <c r="N3520" s="3"/>
      <c r="O3520" s="3"/>
      <c r="P3520" s="3"/>
      <c r="Q3520" s="3"/>
      <c r="R3520" s="3"/>
      <c r="S3520" s="3"/>
      <c r="T3520" s="3"/>
      <c r="U3520" s="3"/>
      <c r="V3520" s="3"/>
      <c r="W3520" s="3"/>
      <c r="X3520" s="3"/>
      <c r="Y3520" s="3"/>
      <c r="Z3520" s="3"/>
      <c r="AA3520" s="3"/>
    </row>
    <row r="3521" ht="105.75" customHeight="1">
      <c r="A3521" s="11"/>
      <c r="B3521" s="12"/>
      <c r="C3521" s="11"/>
      <c r="D3521" s="13"/>
      <c r="E3521" s="14"/>
      <c r="F3521" s="14"/>
      <c r="G3521" s="14"/>
      <c r="H3521" s="15"/>
      <c r="I3521" s="15"/>
      <c r="J3521" s="3"/>
      <c r="K3521" s="3"/>
      <c r="L3521" s="3"/>
      <c r="M3521" s="3"/>
      <c r="N3521" s="3"/>
      <c r="O3521" s="3"/>
      <c r="P3521" s="3"/>
      <c r="Q3521" s="3"/>
      <c r="R3521" s="3"/>
      <c r="S3521" s="3"/>
      <c r="T3521" s="3"/>
      <c r="U3521" s="3"/>
      <c r="V3521" s="3"/>
      <c r="W3521" s="3"/>
      <c r="X3521" s="3"/>
      <c r="Y3521" s="3"/>
      <c r="Z3521" s="3"/>
      <c r="AA3521" s="3"/>
    </row>
    <row r="3522" ht="105.75" customHeight="1">
      <c r="A3522" s="11"/>
      <c r="B3522" s="12"/>
      <c r="C3522" s="11"/>
      <c r="D3522" s="13"/>
      <c r="E3522" s="14"/>
      <c r="F3522" s="14"/>
      <c r="G3522" s="14"/>
      <c r="H3522" s="15"/>
      <c r="I3522" s="15"/>
      <c r="J3522" s="3"/>
      <c r="K3522" s="3"/>
      <c r="L3522" s="3"/>
      <c r="M3522" s="3"/>
      <c r="N3522" s="3"/>
      <c r="O3522" s="3"/>
      <c r="P3522" s="3"/>
      <c r="Q3522" s="3"/>
      <c r="R3522" s="3"/>
      <c r="S3522" s="3"/>
      <c r="T3522" s="3"/>
      <c r="U3522" s="3"/>
      <c r="V3522" s="3"/>
      <c r="W3522" s="3"/>
      <c r="X3522" s="3"/>
      <c r="Y3522" s="3"/>
      <c r="Z3522" s="3"/>
      <c r="AA3522" s="3"/>
    </row>
    <row r="3523" ht="105.75" customHeight="1">
      <c r="A3523" s="11"/>
      <c r="B3523" s="12"/>
      <c r="C3523" s="11"/>
      <c r="D3523" s="13"/>
      <c r="E3523" s="14"/>
      <c r="F3523" s="14"/>
      <c r="G3523" s="14"/>
      <c r="H3523" s="15"/>
      <c r="I3523" s="15"/>
      <c r="J3523" s="3"/>
      <c r="K3523" s="3"/>
      <c r="L3523" s="3"/>
      <c r="M3523" s="3"/>
      <c r="N3523" s="3"/>
      <c r="O3523" s="3"/>
      <c r="P3523" s="3"/>
      <c r="Q3523" s="3"/>
      <c r="R3523" s="3"/>
      <c r="S3523" s="3"/>
      <c r="T3523" s="3"/>
      <c r="U3523" s="3"/>
      <c r="V3523" s="3"/>
      <c r="W3523" s="3"/>
      <c r="X3523" s="3"/>
      <c r="Y3523" s="3"/>
      <c r="Z3523" s="3"/>
      <c r="AA3523" s="3"/>
    </row>
    <row r="3524" ht="105.75" customHeight="1">
      <c r="A3524" s="11"/>
      <c r="B3524" s="12"/>
      <c r="C3524" s="11"/>
      <c r="D3524" s="13"/>
      <c r="E3524" s="14"/>
      <c r="F3524" s="14"/>
      <c r="G3524" s="14"/>
      <c r="H3524" s="15"/>
      <c r="I3524" s="15"/>
      <c r="J3524" s="3"/>
      <c r="K3524" s="3"/>
      <c r="L3524" s="3"/>
      <c r="M3524" s="3"/>
      <c r="N3524" s="3"/>
      <c r="O3524" s="3"/>
      <c r="P3524" s="3"/>
      <c r="Q3524" s="3"/>
      <c r="R3524" s="3"/>
      <c r="S3524" s="3"/>
      <c r="T3524" s="3"/>
      <c r="U3524" s="3"/>
      <c r="V3524" s="3"/>
      <c r="W3524" s="3"/>
      <c r="X3524" s="3"/>
      <c r="Y3524" s="3"/>
      <c r="Z3524" s="3"/>
      <c r="AA3524" s="3"/>
    </row>
    <row r="3525" ht="105.75" customHeight="1">
      <c r="A3525" s="11"/>
      <c r="B3525" s="12"/>
      <c r="C3525" s="11"/>
      <c r="D3525" s="13"/>
      <c r="E3525" s="14"/>
      <c r="F3525" s="14"/>
      <c r="G3525" s="14"/>
      <c r="H3525" s="15"/>
      <c r="I3525" s="15"/>
      <c r="J3525" s="3"/>
      <c r="K3525" s="3"/>
      <c r="L3525" s="3"/>
      <c r="M3525" s="3"/>
      <c r="N3525" s="3"/>
      <c r="O3525" s="3"/>
      <c r="P3525" s="3"/>
      <c r="Q3525" s="3"/>
      <c r="R3525" s="3"/>
      <c r="S3525" s="3"/>
      <c r="T3525" s="3"/>
      <c r="U3525" s="3"/>
      <c r="V3525" s="3"/>
      <c r="W3525" s="3"/>
      <c r="X3525" s="3"/>
      <c r="Y3525" s="3"/>
      <c r="Z3525" s="3"/>
      <c r="AA3525" s="3"/>
    </row>
    <row r="3526" ht="105.75" customHeight="1">
      <c r="A3526" s="11"/>
      <c r="B3526" s="12"/>
      <c r="C3526" s="11"/>
      <c r="D3526" s="13"/>
      <c r="E3526" s="14"/>
      <c r="F3526" s="14"/>
      <c r="G3526" s="14"/>
      <c r="H3526" s="15"/>
      <c r="I3526" s="15"/>
      <c r="J3526" s="3"/>
      <c r="K3526" s="3"/>
      <c r="L3526" s="3"/>
      <c r="M3526" s="3"/>
      <c r="N3526" s="3"/>
      <c r="O3526" s="3"/>
      <c r="P3526" s="3"/>
      <c r="Q3526" s="3"/>
      <c r="R3526" s="3"/>
      <c r="S3526" s="3"/>
      <c r="T3526" s="3"/>
      <c r="U3526" s="3"/>
      <c r="V3526" s="3"/>
      <c r="W3526" s="3"/>
      <c r="X3526" s="3"/>
      <c r="Y3526" s="3"/>
      <c r="Z3526" s="3"/>
      <c r="AA3526" s="3"/>
    </row>
    <row r="3527" ht="105.75" customHeight="1">
      <c r="A3527" s="11"/>
      <c r="B3527" s="12"/>
      <c r="C3527" s="11"/>
      <c r="D3527" s="13"/>
      <c r="E3527" s="14"/>
      <c r="F3527" s="14"/>
      <c r="G3527" s="14"/>
      <c r="H3527" s="15"/>
      <c r="I3527" s="15"/>
      <c r="J3527" s="3"/>
      <c r="K3527" s="3"/>
      <c r="L3527" s="3"/>
      <c r="M3527" s="3"/>
      <c r="N3527" s="3"/>
      <c r="O3527" s="3"/>
      <c r="P3527" s="3"/>
      <c r="Q3527" s="3"/>
      <c r="R3527" s="3"/>
      <c r="S3527" s="3"/>
      <c r="T3527" s="3"/>
      <c r="U3527" s="3"/>
      <c r="V3527" s="3"/>
      <c r="W3527" s="3"/>
      <c r="X3527" s="3"/>
      <c r="Y3527" s="3"/>
      <c r="Z3527" s="3"/>
      <c r="AA3527" s="3"/>
    </row>
    <row r="3528" ht="105.75" customHeight="1">
      <c r="A3528" s="11"/>
      <c r="B3528" s="12"/>
      <c r="C3528" s="11"/>
      <c r="D3528" s="13"/>
      <c r="E3528" s="14"/>
      <c r="F3528" s="14"/>
      <c r="G3528" s="14"/>
      <c r="H3528" s="15"/>
      <c r="I3528" s="15"/>
      <c r="J3528" s="3"/>
      <c r="K3528" s="3"/>
      <c r="L3528" s="3"/>
      <c r="M3528" s="3"/>
      <c r="N3528" s="3"/>
      <c r="O3528" s="3"/>
      <c r="P3528" s="3"/>
      <c r="Q3528" s="3"/>
      <c r="R3528" s="3"/>
      <c r="S3528" s="3"/>
      <c r="T3528" s="3"/>
      <c r="U3528" s="3"/>
      <c r="V3528" s="3"/>
      <c r="W3528" s="3"/>
      <c r="X3528" s="3"/>
      <c r="Y3528" s="3"/>
      <c r="Z3528" s="3"/>
      <c r="AA3528" s="3"/>
    </row>
    <row r="3529" ht="105.75" customHeight="1">
      <c r="A3529" s="11"/>
      <c r="B3529" s="12"/>
      <c r="C3529" s="11"/>
      <c r="D3529" s="13"/>
      <c r="E3529" s="14"/>
      <c r="F3529" s="14"/>
      <c r="G3529" s="14"/>
      <c r="H3529" s="15"/>
      <c r="I3529" s="15"/>
      <c r="J3529" s="3"/>
      <c r="K3529" s="3"/>
      <c r="L3529" s="3"/>
      <c r="M3529" s="3"/>
      <c r="N3529" s="3"/>
      <c r="O3529" s="3"/>
      <c r="P3529" s="3"/>
      <c r="Q3529" s="3"/>
      <c r="R3529" s="3"/>
      <c r="S3529" s="3"/>
      <c r="T3529" s="3"/>
      <c r="U3529" s="3"/>
      <c r="V3529" s="3"/>
      <c r="W3529" s="3"/>
      <c r="X3529" s="3"/>
      <c r="Y3529" s="3"/>
      <c r="Z3529" s="3"/>
      <c r="AA3529" s="3"/>
    </row>
    <row r="3530" ht="105.75" customHeight="1">
      <c r="A3530" s="11"/>
      <c r="B3530" s="12"/>
      <c r="C3530" s="11"/>
      <c r="D3530" s="13"/>
      <c r="E3530" s="14"/>
      <c r="F3530" s="14"/>
      <c r="G3530" s="14"/>
      <c r="H3530" s="15"/>
      <c r="I3530" s="15"/>
      <c r="J3530" s="3"/>
      <c r="K3530" s="3"/>
      <c r="L3530" s="3"/>
      <c r="M3530" s="3"/>
      <c r="N3530" s="3"/>
      <c r="O3530" s="3"/>
      <c r="P3530" s="3"/>
      <c r="Q3530" s="3"/>
      <c r="R3530" s="3"/>
      <c r="S3530" s="3"/>
      <c r="T3530" s="3"/>
      <c r="U3530" s="3"/>
      <c r="V3530" s="3"/>
      <c r="W3530" s="3"/>
      <c r="X3530" s="3"/>
      <c r="Y3530" s="3"/>
      <c r="Z3530" s="3"/>
      <c r="AA3530" s="3"/>
    </row>
    <row r="3531" ht="105.75" customHeight="1">
      <c r="A3531" s="11"/>
      <c r="B3531" s="12"/>
      <c r="C3531" s="11"/>
      <c r="D3531" s="13"/>
      <c r="E3531" s="14"/>
      <c r="F3531" s="14"/>
      <c r="G3531" s="14"/>
      <c r="H3531" s="15"/>
      <c r="I3531" s="15"/>
      <c r="J3531" s="3"/>
      <c r="K3531" s="3"/>
      <c r="L3531" s="3"/>
      <c r="M3531" s="3"/>
      <c r="N3531" s="3"/>
      <c r="O3531" s="3"/>
      <c r="P3531" s="3"/>
      <c r="Q3531" s="3"/>
      <c r="R3531" s="3"/>
      <c r="S3531" s="3"/>
      <c r="T3531" s="3"/>
      <c r="U3531" s="3"/>
      <c r="V3531" s="3"/>
      <c r="W3531" s="3"/>
      <c r="X3531" s="3"/>
      <c r="Y3531" s="3"/>
      <c r="Z3531" s="3"/>
      <c r="AA3531" s="3"/>
    </row>
    <row r="3532" ht="105.75" customHeight="1">
      <c r="A3532" s="11"/>
      <c r="B3532" s="12"/>
      <c r="C3532" s="11"/>
      <c r="D3532" s="13"/>
      <c r="E3532" s="14"/>
      <c r="F3532" s="14"/>
      <c r="G3532" s="14"/>
      <c r="H3532" s="15"/>
      <c r="I3532" s="15"/>
      <c r="J3532" s="3"/>
      <c r="K3532" s="3"/>
      <c r="L3532" s="3"/>
      <c r="M3532" s="3"/>
      <c r="N3532" s="3"/>
      <c r="O3532" s="3"/>
      <c r="P3532" s="3"/>
      <c r="Q3532" s="3"/>
      <c r="R3532" s="3"/>
      <c r="S3532" s="3"/>
      <c r="T3532" s="3"/>
      <c r="U3532" s="3"/>
      <c r="V3532" s="3"/>
      <c r="W3532" s="3"/>
      <c r="X3532" s="3"/>
      <c r="Y3532" s="3"/>
      <c r="Z3532" s="3"/>
      <c r="AA3532" s="3"/>
    </row>
    <row r="3533" ht="105.75" customHeight="1">
      <c r="A3533" s="11"/>
      <c r="B3533" s="12"/>
      <c r="C3533" s="11"/>
      <c r="D3533" s="13"/>
      <c r="E3533" s="14"/>
      <c r="F3533" s="14"/>
      <c r="G3533" s="14"/>
      <c r="H3533" s="15"/>
      <c r="I3533" s="15"/>
      <c r="J3533" s="3"/>
      <c r="K3533" s="3"/>
      <c r="L3533" s="3"/>
      <c r="M3533" s="3"/>
      <c r="N3533" s="3"/>
      <c r="O3533" s="3"/>
      <c r="P3533" s="3"/>
      <c r="Q3533" s="3"/>
      <c r="R3533" s="3"/>
      <c r="S3533" s="3"/>
      <c r="T3533" s="3"/>
      <c r="U3533" s="3"/>
      <c r="V3533" s="3"/>
      <c r="W3533" s="3"/>
      <c r="X3533" s="3"/>
      <c r="Y3533" s="3"/>
      <c r="Z3533" s="3"/>
      <c r="AA3533" s="3"/>
    </row>
    <row r="3534" ht="105.75" customHeight="1">
      <c r="A3534" s="11"/>
      <c r="B3534" s="12"/>
      <c r="C3534" s="11"/>
      <c r="D3534" s="13"/>
      <c r="E3534" s="14"/>
      <c r="F3534" s="14"/>
      <c r="G3534" s="14"/>
      <c r="H3534" s="15"/>
      <c r="I3534" s="15"/>
      <c r="J3534" s="3"/>
      <c r="K3534" s="3"/>
      <c r="L3534" s="3"/>
      <c r="M3534" s="3"/>
      <c r="N3534" s="3"/>
      <c r="O3534" s="3"/>
      <c r="P3534" s="3"/>
      <c r="Q3534" s="3"/>
      <c r="R3534" s="3"/>
      <c r="S3534" s="3"/>
      <c r="T3534" s="3"/>
      <c r="U3534" s="3"/>
      <c r="V3534" s="3"/>
      <c r="W3534" s="3"/>
      <c r="X3534" s="3"/>
      <c r="Y3534" s="3"/>
      <c r="Z3534" s="3"/>
      <c r="AA3534" s="3"/>
    </row>
    <row r="3535" ht="105.75" customHeight="1">
      <c r="A3535" s="11"/>
      <c r="B3535" s="12"/>
      <c r="C3535" s="11"/>
      <c r="D3535" s="13"/>
      <c r="E3535" s="14"/>
      <c r="F3535" s="14"/>
      <c r="G3535" s="14"/>
      <c r="H3535" s="15"/>
      <c r="I3535" s="15"/>
      <c r="J3535" s="3"/>
      <c r="K3535" s="3"/>
      <c r="L3535" s="3"/>
      <c r="M3535" s="3"/>
      <c r="N3535" s="3"/>
      <c r="O3535" s="3"/>
      <c r="P3535" s="3"/>
      <c r="Q3535" s="3"/>
      <c r="R3535" s="3"/>
      <c r="S3535" s="3"/>
      <c r="T3535" s="3"/>
      <c r="U3535" s="3"/>
      <c r="V3535" s="3"/>
      <c r="W3535" s="3"/>
      <c r="X3535" s="3"/>
      <c r="Y3535" s="3"/>
      <c r="Z3535" s="3"/>
      <c r="AA3535" s="3"/>
    </row>
    <row r="3536" ht="105.75" customHeight="1">
      <c r="A3536" s="11"/>
      <c r="B3536" s="12"/>
      <c r="C3536" s="11"/>
      <c r="D3536" s="13"/>
      <c r="E3536" s="14"/>
      <c r="F3536" s="14"/>
      <c r="G3536" s="14"/>
      <c r="H3536" s="15"/>
      <c r="I3536" s="15"/>
      <c r="J3536" s="3"/>
      <c r="K3536" s="3"/>
      <c r="L3536" s="3"/>
      <c r="M3536" s="3"/>
      <c r="N3536" s="3"/>
      <c r="O3536" s="3"/>
      <c r="P3536" s="3"/>
      <c r="Q3536" s="3"/>
      <c r="R3536" s="3"/>
      <c r="S3536" s="3"/>
      <c r="T3536" s="3"/>
      <c r="U3536" s="3"/>
      <c r="V3536" s="3"/>
      <c r="W3536" s="3"/>
      <c r="X3536" s="3"/>
      <c r="Y3536" s="3"/>
      <c r="Z3536" s="3"/>
      <c r="AA3536" s="3"/>
    </row>
    <row r="3537" ht="105.75" customHeight="1">
      <c r="A3537" s="11"/>
      <c r="B3537" s="12"/>
      <c r="C3537" s="11"/>
      <c r="D3537" s="13"/>
      <c r="E3537" s="14"/>
      <c r="F3537" s="14"/>
      <c r="G3537" s="14"/>
      <c r="H3537" s="15"/>
      <c r="I3537" s="15"/>
      <c r="J3537" s="3"/>
      <c r="K3537" s="3"/>
      <c r="L3537" s="3"/>
      <c r="M3537" s="3"/>
      <c r="N3537" s="3"/>
      <c r="O3537" s="3"/>
      <c r="P3537" s="3"/>
      <c r="Q3537" s="3"/>
      <c r="R3537" s="3"/>
      <c r="S3537" s="3"/>
      <c r="T3537" s="3"/>
      <c r="U3537" s="3"/>
      <c r="V3537" s="3"/>
      <c r="W3537" s="3"/>
      <c r="X3537" s="3"/>
      <c r="Y3537" s="3"/>
      <c r="Z3537" s="3"/>
      <c r="AA3537" s="3"/>
    </row>
    <row r="3538" ht="105.75" customHeight="1">
      <c r="A3538" s="11"/>
      <c r="B3538" s="12"/>
      <c r="C3538" s="11"/>
      <c r="D3538" s="13"/>
      <c r="E3538" s="14"/>
      <c r="F3538" s="14"/>
      <c r="G3538" s="14"/>
      <c r="H3538" s="15"/>
      <c r="I3538" s="15"/>
      <c r="J3538" s="3"/>
      <c r="K3538" s="3"/>
      <c r="L3538" s="3"/>
      <c r="M3538" s="3"/>
      <c r="N3538" s="3"/>
      <c r="O3538" s="3"/>
      <c r="P3538" s="3"/>
      <c r="Q3538" s="3"/>
      <c r="R3538" s="3"/>
      <c r="S3538" s="3"/>
      <c r="T3538" s="3"/>
      <c r="U3538" s="3"/>
      <c r="V3538" s="3"/>
      <c r="W3538" s="3"/>
      <c r="X3538" s="3"/>
      <c r="Y3538" s="3"/>
      <c r="Z3538" s="3"/>
      <c r="AA3538" s="3"/>
    </row>
    <row r="3539" ht="105.75" customHeight="1">
      <c r="A3539" s="11"/>
      <c r="B3539" s="12"/>
      <c r="C3539" s="11"/>
      <c r="D3539" s="13"/>
      <c r="E3539" s="14"/>
      <c r="F3539" s="14"/>
      <c r="G3539" s="14"/>
      <c r="H3539" s="15"/>
      <c r="I3539" s="15"/>
      <c r="J3539" s="3"/>
      <c r="K3539" s="3"/>
      <c r="L3539" s="3"/>
      <c r="M3539" s="3"/>
      <c r="N3539" s="3"/>
      <c r="O3539" s="3"/>
      <c r="P3539" s="3"/>
      <c r="Q3539" s="3"/>
      <c r="R3539" s="3"/>
      <c r="S3539" s="3"/>
      <c r="T3539" s="3"/>
      <c r="U3539" s="3"/>
      <c r="V3539" s="3"/>
      <c r="W3539" s="3"/>
      <c r="X3539" s="3"/>
      <c r="Y3539" s="3"/>
      <c r="Z3539" s="3"/>
      <c r="AA3539" s="3"/>
    </row>
    <row r="3540" ht="105.75" customHeight="1">
      <c r="A3540" s="11"/>
      <c r="B3540" s="12"/>
      <c r="C3540" s="11"/>
      <c r="D3540" s="13"/>
      <c r="E3540" s="14"/>
      <c r="F3540" s="14"/>
      <c r="G3540" s="14"/>
      <c r="H3540" s="15"/>
      <c r="I3540" s="15"/>
      <c r="J3540" s="3"/>
      <c r="K3540" s="3"/>
      <c r="L3540" s="3"/>
      <c r="M3540" s="3"/>
      <c r="N3540" s="3"/>
      <c r="O3540" s="3"/>
      <c r="P3540" s="3"/>
      <c r="Q3540" s="3"/>
      <c r="R3540" s="3"/>
      <c r="S3540" s="3"/>
      <c r="T3540" s="3"/>
      <c r="U3540" s="3"/>
      <c r="V3540" s="3"/>
      <c r="W3540" s="3"/>
      <c r="X3540" s="3"/>
      <c r="Y3540" s="3"/>
      <c r="Z3540" s="3"/>
      <c r="AA3540" s="3"/>
    </row>
    <row r="3541" ht="105.75" customHeight="1">
      <c r="A3541" s="11"/>
      <c r="B3541" s="12"/>
      <c r="C3541" s="11"/>
      <c r="D3541" s="13"/>
      <c r="E3541" s="14"/>
      <c r="F3541" s="14"/>
      <c r="G3541" s="14"/>
      <c r="H3541" s="15"/>
      <c r="I3541" s="15"/>
      <c r="J3541" s="3"/>
      <c r="K3541" s="3"/>
      <c r="L3541" s="3"/>
      <c r="M3541" s="3"/>
      <c r="N3541" s="3"/>
      <c r="O3541" s="3"/>
      <c r="P3541" s="3"/>
      <c r="Q3541" s="3"/>
      <c r="R3541" s="3"/>
      <c r="S3541" s="3"/>
      <c r="T3541" s="3"/>
      <c r="U3541" s="3"/>
      <c r="V3541" s="3"/>
      <c r="W3541" s="3"/>
      <c r="X3541" s="3"/>
      <c r="Y3541" s="3"/>
      <c r="Z3541" s="3"/>
      <c r="AA3541" s="3"/>
    </row>
    <row r="3542" ht="105.75" customHeight="1">
      <c r="A3542" s="11"/>
      <c r="B3542" s="12"/>
      <c r="C3542" s="11"/>
      <c r="D3542" s="13"/>
      <c r="E3542" s="14"/>
      <c r="F3542" s="14"/>
      <c r="G3542" s="14"/>
      <c r="H3542" s="15"/>
      <c r="I3542" s="15"/>
      <c r="J3542" s="3"/>
      <c r="K3542" s="3"/>
      <c r="L3542" s="3"/>
      <c r="M3542" s="3"/>
      <c r="N3542" s="3"/>
      <c r="O3542" s="3"/>
      <c r="P3542" s="3"/>
      <c r="Q3542" s="3"/>
      <c r="R3542" s="3"/>
      <c r="S3542" s="3"/>
      <c r="T3542" s="3"/>
      <c r="U3542" s="3"/>
      <c r="V3542" s="3"/>
      <c r="W3542" s="3"/>
      <c r="X3542" s="3"/>
      <c r="Y3542" s="3"/>
      <c r="Z3542" s="3"/>
      <c r="AA3542" s="3"/>
    </row>
    <row r="3543" ht="105.75" customHeight="1">
      <c r="A3543" s="11"/>
      <c r="B3543" s="12"/>
      <c r="C3543" s="11"/>
      <c r="D3543" s="13"/>
      <c r="E3543" s="14"/>
      <c r="F3543" s="14"/>
      <c r="G3543" s="14"/>
      <c r="H3543" s="15"/>
      <c r="I3543" s="15"/>
      <c r="J3543" s="3"/>
      <c r="K3543" s="3"/>
      <c r="L3543" s="3"/>
      <c r="M3543" s="3"/>
      <c r="N3543" s="3"/>
      <c r="O3543" s="3"/>
      <c r="P3543" s="3"/>
      <c r="Q3543" s="3"/>
      <c r="R3543" s="3"/>
      <c r="S3543" s="3"/>
      <c r="T3543" s="3"/>
      <c r="U3543" s="3"/>
      <c r="V3543" s="3"/>
      <c r="W3543" s="3"/>
      <c r="X3543" s="3"/>
      <c r="Y3543" s="3"/>
      <c r="Z3543" s="3"/>
      <c r="AA3543" s="3"/>
    </row>
    <row r="3544" ht="105.75" customHeight="1">
      <c r="A3544" s="11"/>
      <c r="B3544" s="12"/>
      <c r="C3544" s="11"/>
      <c r="D3544" s="13"/>
      <c r="E3544" s="14"/>
      <c r="F3544" s="14"/>
      <c r="G3544" s="14"/>
      <c r="H3544" s="15"/>
      <c r="I3544" s="15"/>
      <c r="J3544" s="3"/>
      <c r="K3544" s="3"/>
      <c r="L3544" s="3"/>
      <c r="M3544" s="3"/>
      <c r="N3544" s="3"/>
      <c r="O3544" s="3"/>
      <c r="P3544" s="3"/>
      <c r="Q3544" s="3"/>
      <c r="R3544" s="3"/>
      <c r="S3544" s="3"/>
      <c r="T3544" s="3"/>
      <c r="U3544" s="3"/>
      <c r="V3544" s="3"/>
      <c r="W3544" s="3"/>
      <c r="X3544" s="3"/>
      <c r="Y3544" s="3"/>
      <c r="Z3544" s="3"/>
      <c r="AA3544" s="3"/>
    </row>
    <row r="3545" ht="105.75" customHeight="1">
      <c r="A3545" s="11"/>
      <c r="B3545" s="12"/>
      <c r="C3545" s="11"/>
      <c r="D3545" s="13"/>
      <c r="E3545" s="14"/>
      <c r="F3545" s="14"/>
      <c r="G3545" s="14"/>
      <c r="H3545" s="15"/>
      <c r="I3545" s="15"/>
      <c r="J3545" s="3"/>
      <c r="K3545" s="3"/>
      <c r="L3545" s="3"/>
      <c r="M3545" s="3"/>
      <c r="N3545" s="3"/>
      <c r="O3545" s="3"/>
      <c r="P3545" s="3"/>
      <c r="Q3545" s="3"/>
      <c r="R3545" s="3"/>
      <c r="S3545" s="3"/>
      <c r="T3545" s="3"/>
      <c r="U3545" s="3"/>
      <c r="V3545" s="3"/>
      <c r="W3545" s="3"/>
      <c r="X3545" s="3"/>
      <c r="Y3545" s="3"/>
      <c r="Z3545" s="3"/>
      <c r="AA3545" s="3"/>
    </row>
    <row r="3546" ht="105.75" customHeight="1">
      <c r="A3546" s="11"/>
      <c r="B3546" s="12"/>
      <c r="C3546" s="11"/>
      <c r="D3546" s="13"/>
      <c r="E3546" s="14"/>
      <c r="F3546" s="14"/>
      <c r="G3546" s="14"/>
      <c r="H3546" s="15"/>
      <c r="I3546" s="15"/>
      <c r="J3546" s="3"/>
      <c r="K3546" s="3"/>
      <c r="L3546" s="3"/>
      <c r="M3546" s="3"/>
      <c r="N3546" s="3"/>
      <c r="O3546" s="3"/>
      <c r="P3546" s="3"/>
      <c r="Q3546" s="3"/>
      <c r="R3546" s="3"/>
      <c r="S3546" s="3"/>
      <c r="T3546" s="3"/>
      <c r="U3546" s="3"/>
      <c r="V3546" s="3"/>
      <c r="W3546" s="3"/>
      <c r="X3546" s="3"/>
      <c r="Y3546" s="3"/>
      <c r="Z3546" s="3"/>
      <c r="AA3546" s="3"/>
    </row>
    <row r="3547" ht="105.75" customHeight="1">
      <c r="A3547" s="11"/>
      <c r="B3547" s="12"/>
      <c r="C3547" s="11"/>
      <c r="D3547" s="13"/>
      <c r="E3547" s="16"/>
      <c r="F3547" s="16"/>
      <c r="G3547" s="16"/>
      <c r="H3547" s="15"/>
      <c r="I3547" s="15"/>
      <c r="J3547" s="3"/>
      <c r="K3547" s="3"/>
      <c r="L3547" s="3"/>
      <c r="M3547" s="3"/>
      <c r="N3547" s="3"/>
      <c r="O3547" s="3"/>
      <c r="P3547" s="3"/>
      <c r="Q3547" s="3"/>
      <c r="R3547" s="3"/>
      <c r="S3547" s="3"/>
      <c r="T3547" s="3"/>
      <c r="U3547" s="3"/>
      <c r="V3547" s="3"/>
      <c r="W3547" s="3"/>
      <c r="X3547" s="3"/>
      <c r="Y3547" s="3"/>
      <c r="Z3547" s="3"/>
      <c r="AA3547" s="3"/>
    </row>
    <row r="3548" ht="105.75" customHeight="1">
      <c r="A3548" s="11"/>
      <c r="B3548" s="12"/>
      <c r="C3548" s="11"/>
      <c r="D3548" s="13"/>
      <c r="E3548" s="14"/>
      <c r="F3548" s="14"/>
      <c r="G3548" s="14"/>
      <c r="H3548" s="15"/>
      <c r="I3548" s="15"/>
      <c r="J3548" s="3"/>
      <c r="K3548" s="3"/>
      <c r="L3548" s="3"/>
      <c r="M3548" s="3"/>
      <c r="N3548" s="3"/>
      <c r="O3548" s="3"/>
      <c r="P3548" s="3"/>
      <c r="Q3548" s="3"/>
      <c r="R3548" s="3"/>
      <c r="S3548" s="3"/>
      <c r="T3548" s="3"/>
      <c r="U3548" s="3"/>
      <c r="V3548" s="3"/>
      <c r="W3548" s="3"/>
      <c r="X3548" s="3"/>
      <c r="Y3548" s="3"/>
      <c r="Z3548" s="3"/>
      <c r="AA3548" s="3"/>
    </row>
    <row r="3549" ht="105.75" customHeight="1">
      <c r="A3549" s="11"/>
      <c r="B3549" s="12"/>
      <c r="C3549" s="11"/>
      <c r="D3549" s="13"/>
      <c r="E3549" s="14"/>
      <c r="F3549" s="14"/>
      <c r="G3549" s="14"/>
      <c r="H3549" s="15"/>
      <c r="I3549" s="15"/>
      <c r="J3549" s="3"/>
      <c r="K3549" s="3"/>
      <c r="L3549" s="3"/>
      <c r="M3549" s="3"/>
      <c r="N3549" s="3"/>
      <c r="O3549" s="3"/>
      <c r="P3549" s="3"/>
      <c r="Q3549" s="3"/>
      <c r="R3549" s="3"/>
      <c r="S3549" s="3"/>
      <c r="T3549" s="3"/>
      <c r="U3549" s="3"/>
      <c r="V3549" s="3"/>
      <c r="W3549" s="3"/>
      <c r="X3549" s="3"/>
      <c r="Y3549" s="3"/>
      <c r="Z3549" s="3"/>
      <c r="AA3549" s="3"/>
    </row>
    <row r="3550" ht="105.75" customHeight="1">
      <c r="A3550" s="11"/>
      <c r="B3550" s="12"/>
      <c r="C3550" s="11"/>
      <c r="D3550" s="13"/>
      <c r="E3550" s="14"/>
      <c r="F3550" s="14"/>
      <c r="G3550" s="14"/>
      <c r="H3550" s="15"/>
      <c r="I3550" s="15"/>
      <c r="J3550" s="3"/>
      <c r="K3550" s="3"/>
      <c r="L3550" s="3"/>
      <c r="M3550" s="3"/>
      <c r="N3550" s="3"/>
      <c r="O3550" s="3"/>
      <c r="P3550" s="3"/>
      <c r="Q3550" s="3"/>
      <c r="R3550" s="3"/>
      <c r="S3550" s="3"/>
      <c r="T3550" s="3"/>
      <c r="U3550" s="3"/>
      <c r="V3550" s="3"/>
      <c r="W3550" s="3"/>
      <c r="X3550" s="3"/>
      <c r="Y3550" s="3"/>
      <c r="Z3550" s="3"/>
      <c r="AA3550" s="3"/>
    </row>
    <row r="3551" ht="105.75" customHeight="1">
      <c r="A3551" s="11"/>
      <c r="B3551" s="12"/>
      <c r="C3551" s="11"/>
      <c r="D3551" s="13"/>
      <c r="E3551" s="16"/>
      <c r="F3551" s="16"/>
      <c r="G3551" s="16"/>
      <c r="H3551" s="15"/>
      <c r="I3551" s="15"/>
      <c r="J3551" s="3"/>
      <c r="K3551" s="3"/>
      <c r="L3551" s="3"/>
      <c r="M3551" s="3"/>
      <c r="N3551" s="3"/>
      <c r="O3551" s="3"/>
      <c r="P3551" s="3"/>
      <c r="Q3551" s="3"/>
      <c r="R3551" s="3"/>
      <c r="S3551" s="3"/>
      <c r="T3551" s="3"/>
      <c r="U3551" s="3"/>
      <c r="V3551" s="3"/>
      <c r="W3551" s="3"/>
      <c r="X3551" s="3"/>
      <c r="Y3551" s="3"/>
      <c r="Z3551" s="3"/>
      <c r="AA3551" s="3"/>
    </row>
    <row r="3552" ht="105.75" customHeight="1">
      <c r="A3552" s="11"/>
      <c r="B3552" s="12"/>
      <c r="C3552" s="11"/>
      <c r="D3552" s="13"/>
      <c r="E3552" s="14"/>
      <c r="F3552" s="14"/>
      <c r="G3552" s="14"/>
      <c r="H3552" s="15"/>
      <c r="I3552" s="15"/>
      <c r="J3552" s="3"/>
      <c r="K3552" s="3"/>
      <c r="L3552" s="3"/>
      <c r="M3552" s="3"/>
      <c r="N3552" s="3"/>
      <c r="O3552" s="3"/>
      <c r="P3552" s="3"/>
      <c r="Q3552" s="3"/>
      <c r="R3552" s="3"/>
      <c r="S3552" s="3"/>
      <c r="T3552" s="3"/>
      <c r="U3552" s="3"/>
      <c r="V3552" s="3"/>
      <c r="W3552" s="3"/>
      <c r="X3552" s="3"/>
      <c r="Y3552" s="3"/>
      <c r="Z3552" s="3"/>
      <c r="AA3552" s="3"/>
    </row>
    <row r="3553" ht="105.75" customHeight="1">
      <c r="A3553" s="11"/>
      <c r="B3553" s="12"/>
      <c r="C3553" s="11"/>
      <c r="D3553" s="13"/>
      <c r="E3553" s="14"/>
      <c r="F3553" s="14"/>
      <c r="G3553" s="14"/>
      <c r="H3553" s="15"/>
      <c r="I3553" s="15"/>
      <c r="J3553" s="3"/>
      <c r="K3553" s="3"/>
      <c r="L3553" s="3"/>
      <c r="M3553" s="3"/>
      <c r="N3553" s="3"/>
      <c r="O3553" s="3"/>
      <c r="P3553" s="3"/>
      <c r="Q3553" s="3"/>
      <c r="R3553" s="3"/>
      <c r="S3553" s="3"/>
      <c r="T3553" s="3"/>
      <c r="U3553" s="3"/>
      <c r="V3553" s="3"/>
      <c r="W3553" s="3"/>
      <c r="X3553" s="3"/>
      <c r="Y3553" s="3"/>
      <c r="Z3553" s="3"/>
      <c r="AA3553" s="3"/>
    </row>
    <row r="3554" ht="105.75" customHeight="1">
      <c r="A3554" s="11"/>
      <c r="B3554" s="12"/>
      <c r="C3554" s="11"/>
      <c r="D3554" s="13"/>
      <c r="E3554" s="14"/>
      <c r="F3554" s="14"/>
      <c r="G3554" s="14"/>
      <c r="H3554" s="15"/>
      <c r="I3554" s="15"/>
      <c r="J3554" s="3"/>
      <c r="K3554" s="3"/>
      <c r="L3554" s="3"/>
      <c r="M3554" s="3"/>
      <c r="N3554" s="3"/>
      <c r="O3554" s="3"/>
      <c r="P3554" s="3"/>
      <c r="Q3554" s="3"/>
      <c r="R3554" s="3"/>
      <c r="S3554" s="3"/>
      <c r="T3554" s="3"/>
      <c r="U3554" s="3"/>
      <c r="V3554" s="3"/>
      <c r="W3554" s="3"/>
      <c r="X3554" s="3"/>
      <c r="Y3554" s="3"/>
      <c r="Z3554" s="3"/>
      <c r="AA3554" s="3"/>
    </row>
    <row r="3555" ht="105.75" customHeight="1">
      <c r="A3555" s="11"/>
      <c r="B3555" s="12"/>
      <c r="C3555" s="11"/>
      <c r="D3555" s="13"/>
      <c r="E3555" s="14"/>
      <c r="F3555" s="14"/>
      <c r="G3555" s="14"/>
      <c r="H3555" s="15"/>
      <c r="I3555" s="15"/>
      <c r="J3555" s="3"/>
      <c r="K3555" s="3"/>
      <c r="L3555" s="3"/>
      <c r="M3555" s="3"/>
      <c r="N3555" s="3"/>
      <c r="O3555" s="3"/>
      <c r="P3555" s="3"/>
      <c r="Q3555" s="3"/>
      <c r="R3555" s="3"/>
      <c r="S3555" s="3"/>
      <c r="T3555" s="3"/>
      <c r="U3555" s="3"/>
      <c r="V3555" s="3"/>
      <c r="W3555" s="3"/>
      <c r="X3555" s="3"/>
      <c r="Y3555" s="3"/>
      <c r="Z3555" s="3"/>
      <c r="AA3555" s="3"/>
    </row>
    <row r="3556" ht="105.75" customHeight="1">
      <c r="A3556" s="11"/>
      <c r="B3556" s="12"/>
      <c r="C3556" s="11"/>
      <c r="D3556" s="13"/>
      <c r="E3556" s="14"/>
      <c r="F3556" s="14"/>
      <c r="G3556" s="14"/>
      <c r="H3556" s="15"/>
      <c r="I3556" s="15"/>
      <c r="J3556" s="3"/>
      <c r="K3556" s="3"/>
      <c r="L3556" s="3"/>
      <c r="M3556" s="3"/>
      <c r="N3556" s="3"/>
      <c r="O3556" s="3"/>
      <c r="P3556" s="3"/>
      <c r="Q3556" s="3"/>
      <c r="R3556" s="3"/>
      <c r="S3556" s="3"/>
      <c r="T3556" s="3"/>
      <c r="U3556" s="3"/>
      <c r="V3556" s="3"/>
      <c r="W3556" s="3"/>
      <c r="X3556" s="3"/>
      <c r="Y3556" s="3"/>
      <c r="Z3556" s="3"/>
      <c r="AA3556" s="3"/>
    </row>
    <row r="3557" ht="105.75" customHeight="1">
      <c r="A3557" s="11"/>
      <c r="B3557" s="12"/>
      <c r="C3557" s="11"/>
      <c r="D3557" s="13"/>
      <c r="E3557" s="14"/>
      <c r="F3557" s="14"/>
      <c r="G3557" s="14"/>
      <c r="H3557" s="15"/>
      <c r="I3557" s="15"/>
      <c r="J3557" s="3"/>
      <c r="K3557" s="3"/>
      <c r="L3557" s="3"/>
      <c r="M3557" s="3"/>
      <c r="N3557" s="3"/>
      <c r="O3557" s="3"/>
      <c r="P3557" s="3"/>
      <c r="Q3557" s="3"/>
      <c r="R3557" s="3"/>
      <c r="S3557" s="3"/>
      <c r="T3557" s="3"/>
      <c r="U3557" s="3"/>
      <c r="V3557" s="3"/>
      <c r="W3557" s="3"/>
      <c r="X3557" s="3"/>
      <c r="Y3557" s="3"/>
      <c r="Z3557" s="3"/>
      <c r="AA3557" s="3"/>
    </row>
    <row r="3558" ht="105.75" customHeight="1">
      <c r="A3558" s="11"/>
      <c r="B3558" s="12"/>
      <c r="C3558" s="11"/>
      <c r="D3558" s="13"/>
      <c r="E3558" s="14"/>
      <c r="F3558" s="14"/>
      <c r="G3558" s="14"/>
      <c r="H3558" s="15"/>
      <c r="I3558" s="15"/>
      <c r="J3558" s="3"/>
      <c r="K3558" s="3"/>
      <c r="L3558" s="3"/>
      <c r="M3558" s="3"/>
      <c r="N3558" s="3"/>
      <c r="O3558" s="3"/>
      <c r="P3558" s="3"/>
      <c r="Q3558" s="3"/>
      <c r="R3558" s="3"/>
      <c r="S3558" s="3"/>
      <c r="T3558" s="3"/>
      <c r="U3558" s="3"/>
      <c r="V3558" s="3"/>
      <c r="W3558" s="3"/>
      <c r="X3558" s="3"/>
      <c r="Y3558" s="3"/>
      <c r="Z3558" s="3"/>
      <c r="AA3558" s="3"/>
    </row>
    <row r="3559" ht="105.75" customHeight="1">
      <c r="A3559" s="11"/>
      <c r="B3559" s="12"/>
      <c r="C3559" s="11"/>
      <c r="D3559" s="13"/>
      <c r="E3559" s="14"/>
      <c r="F3559" s="14"/>
      <c r="G3559" s="14"/>
      <c r="H3559" s="15"/>
      <c r="I3559" s="15"/>
      <c r="J3559" s="3"/>
      <c r="K3559" s="3"/>
      <c r="L3559" s="3"/>
      <c r="M3559" s="3"/>
      <c r="N3559" s="3"/>
      <c r="O3559" s="3"/>
      <c r="P3559" s="3"/>
      <c r="Q3559" s="3"/>
      <c r="R3559" s="3"/>
      <c r="S3559" s="3"/>
      <c r="T3559" s="3"/>
      <c r="U3559" s="3"/>
      <c r="V3559" s="3"/>
      <c r="W3559" s="3"/>
      <c r="X3559" s="3"/>
      <c r="Y3559" s="3"/>
      <c r="Z3559" s="3"/>
      <c r="AA3559" s="3"/>
    </row>
    <row r="3560" ht="105.75" customHeight="1">
      <c r="A3560" s="11"/>
      <c r="B3560" s="12"/>
      <c r="C3560" s="11"/>
      <c r="D3560" s="13"/>
      <c r="E3560" s="16"/>
      <c r="F3560" s="16"/>
      <c r="G3560" s="16"/>
      <c r="H3560" s="15"/>
      <c r="I3560" s="15"/>
      <c r="J3560" s="3"/>
      <c r="K3560" s="3"/>
      <c r="L3560" s="3"/>
      <c r="M3560" s="3"/>
      <c r="N3560" s="3"/>
      <c r="O3560" s="3"/>
      <c r="P3560" s="3"/>
      <c r="Q3560" s="3"/>
      <c r="R3560" s="3"/>
      <c r="S3560" s="3"/>
      <c r="T3560" s="3"/>
      <c r="U3560" s="3"/>
      <c r="V3560" s="3"/>
      <c r="W3560" s="3"/>
      <c r="X3560" s="3"/>
      <c r="Y3560" s="3"/>
      <c r="Z3560" s="3"/>
      <c r="AA3560" s="3"/>
    </row>
    <row r="3561" ht="105.75" customHeight="1">
      <c r="A3561" s="11"/>
      <c r="B3561" s="12"/>
      <c r="C3561" s="11"/>
      <c r="D3561" s="13"/>
      <c r="E3561" s="14"/>
      <c r="F3561" s="14"/>
      <c r="G3561" s="14"/>
      <c r="H3561" s="15"/>
      <c r="I3561" s="15"/>
      <c r="J3561" s="3"/>
      <c r="K3561" s="3"/>
      <c r="L3561" s="3"/>
      <c r="M3561" s="3"/>
      <c r="N3561" s="3"/>
      <c r="O3561" s="3"/>
      <c r="P3561" s="3"/>
      <c r="Q3561" s="3"/>
      <c r="R3561" s="3"/>
      <c r="S3561" s="3"/>
      <c r="T3561" s="3"/>
      <c r="U3561" s="3"/>
      <c r="V3561" s="3"/>
      <c r="W3561" s="3"/>
      <c r="X3561" s="3"/>
      <c r="Y3561" s="3"/>
      <c r="Z3561" s="3"/>
      <c r="AA3561" s="3"/>
    </row>
    <row r="3562" ht="105.75" customHeight="1">
      <c r="A3562" s="11"/>
      <c r="B3562" s="12"/>
      <c r="C3562" s="11"/>
      <c r="D3562" s="13"/>
      <c r="E3562" s="14"/>
      <c r="F3562" s="14"/>
      <c r="G3562" s="14"/>
      <c r="H3562" s="15"/>
      <c r="I3562" s="15"/>
      <c r="J3562" s="3"/>
      <c r="K3562" s="3"/>
      <c r="L3562" s="3"/>
      <c r="M3562" s="3"/>
      <c r="N3562" s="3"/>
      <c r="O3562" s="3"/>
      <c r="P3562" s="3"/>
      <c r="Q3562" s="3"/>
      <c r="R3562" s="3"/>
      <c r="S3562" s="3"/>
      <c r="T3562" s="3"/>
      <c r="U3562" s="3"/>
      <c r="V3562" s="3"/>
      <c r="W3562" s="3"/>
      <c r="X3562" s="3"/>
      <c r="Y3562" s="3"/>
      <c r="Z3562" s="3"/>
      <c r="AA3562" s="3"/>
    </row>
    <row r="3563" ht="105.75" customHeight="1">
      <c r="A3563" s="11"/>
      <c r="B3563" s="12"/>
      <c r="C3563" s="11"/>
      <c r="D3563" s="13"/>
      <c r="E3563" s="16"/>
      <c r="F3563" s="16"/>
      <c r="G3563" s="16"/>
      <c r="H3563" s="15"/>
      <c r="I3563" s="15"/>
      <c r="J3563" s="3"/>
      <c r="K3563" s="3"/>
      <c r="L3563" s="3"/>
      <c r="M3563" s="3"/>
      <c r="N3563" s="3"/>
      <c r="O3563" s="3"/>
      <c r="P3563" s="3"/>
      <c r="Q3563" s="3"/>
      <c r="R3563" s="3"/>
      <c r="S3563" s="3"/>
      <c r="T3563" s="3"/>
      <c r="U3563" s="3"/>
      <c r="V3563" s="3"/>
      <c r="W3563" s="3"/>
      <c r="X3563" s="3"/>
      <c r="Y3563" s="3"/>
      <c r="Z3563" s="3"/>
      <c r="AA3563" s="3"/>
    </row>
    <row r="3564" ht="105.75" customHeight="1">
      <c r="A3564" s="11"/>
      <c r="B3564" s="12"/>
      <c r="C3564" s="11"/>
      <c r="D3564" s="13"/>
      <c r="E3564" s="14"/>
      <c r="F3564" s="14"/>
      <c r="G3564" s="14"/>
      <c r="H3564" s="15"/>
      <c r="I3564" s="15"/>
      <c r="J3564" s="3"/>
      <c r="K3564" s="3"/>
      <c r="L3564" s="3"/>
      <c r="M3564" s="3"/>
      <c r="N3564" s="3"/>
      <c r="O3564" s="3"/>
      <c r="P3564" s="3"/>
      <c r="Q3564" s="3"/>
      <c r="R3564" s="3"/>
      <c r="S3564" s="3"/>
      <c r="T3564" s="3"/>
      <c r="U3564" s="3"/>
      <c r="V3564" s="3"/>
      <c r="W3564" s="3"/>
      <c r="X3564" s="3"/>
      <c r="Y3564" s="3"/>
      <c r="Z3564" s="3"/>
      <c r="AA3564" s="3"/>
    </row>
    <row r="3565" ht="105.75" customHeight="1">
      <c r="A3565" s="11"/>
      <c r="B3565" s="12"/>
      <c r="C3565" s="11"/>
      <c r="D3565" s="13"/>
      <c r="E3565" s="14"/>
      <c r="F3565" s="14"/>
      <c r="G3565" s="14"/>
      <c r="H3565" s="15"/>
      <c r="I3565" s="15"/>
      <c r="J3565" s="3"/>
      <c r="K3565" s="3"/>
      <c r="L3565" s="3"/>
      <c r="M3565" s="3"/>
      <c r="N3565" s="3"/>
      <c r="O3565" s="3"/>
      <c r="P3565" s="3"/>
      <c r="Q3565" s="3"/>
      <c r="R3565" s="3"/>
      <c r="S3565" s="3"/>
      <c r="T3565" s="3"/>
      <c r="U3565" s="3"/>
      <c r="V3565" s="3"/>
      <c r="W3565" s="3"/>
      <c r="X3565" s="3"/>
      <c r="Y3565" s="3"/>
      <c r="Z3565" s="3"/>
      <c r="AA3565" s="3"/>
    </row>
    <row r="3566" ht="105.75" customHeight="1">
      <c r="A3566" s="11"/>
      <c r="B3566" s="12"/>
      <c r="C3566" s="11"/>
      <c r="D3566" s="13"/>
      <c r="E3566" s="14"/>
      <c r="F3566" s="14"/>
      <c r="G3566" s="14"/>
      <c r="H3566" s="15"/>
      <c r="I3566" s="15"/>
      <c r="J3566" s="3"/>
      <c r="K3566" s="3"/>
      <c r="L3566" s="3"/>
      <c r="M3566" s="3"/>
      <c r="N3566" s="3"/>
      <c r="O3566" s="3"/>
      <c r="P3566" s="3"/>
      <c r="Q3566" s="3"/>
      <c r="R3566" s="3"/>
      <c r="S3566" s="3"/>
      <c r="T3566" s="3"/>
      <c r="U3566" s="3"/>
      <c r="V3566" s="3"/>
      <c r="W3566" s="3"/>
      <c r="X3566" s="3"/>
      <c r="Y3566" s="3"/>
      <c r="Z3566" s="3"/>
      <c r="AA3566" s="3"/>
    </row>
    <row r="3567" ht="105.75" customHeight="1">
      <c r="A3567" s="11"/>
      <c r="B3567" s="12"/>
      <c r="C3567" s="11"/>
      <c r="D3567" s="13"/>
      <c r="E3567" s="14"/>
      <c r="F3567" s="14"/>
      <c r="G3567" s="14"/>
      <c r="H3567" s="15"/>
      <c r="I3567" s="15"/>
      <c r="J3567" s="3"/>
      <c r="K3567" s="3"/>
      <c r="L3567" s="3"/>
      <c r="M3567" s="3"/>
      <c r="N3567" s="3"/>
      <c r="O3567" s="3"/>
      <c r="P3567" s="3"/>
      <c r="Q3567" s="3"/>
      <c r="R3567" s="3"/>
      <c r="S3567" s="3"/>
      <c r="T3567" s="3"/>
      <c r="U3567" s="3"/>
      <c r="V3567" s="3"/>
      <c r="W3567" s="3"/>
      <c r="X3567" s="3"/>
      <c r="Y3567" s="3"/>
      <c r="Z3567" s="3"/>
      <c r="AA3567" s="3"/>
    </row>
    <row r="3568" ht="105.75" customHeight="1">
      <c r="A3568" s="11"/>
      <c r="B3568" s="12"/>
      <c r="C3568" s="11"/>
      <c r="D3568" s="13"/>
      <c r="E3568" s="14"/>
      <c r="F3568" s="14"/>
      <c r="G3568" s="14"/>
      <c r="H3568" s="15"/>
      <c r="I3568" s="15"/>
      <c r="J3568" s="3"/>
      <c r="K3568" s="3"/>
      <c r="L3568" s="3"/>
      <c r="M3568" s="3"/>
      <c r="N3568" s="3"/>
      <c r="O3568" s="3"/>
      <c r="P3568" s="3"/>
      <c r="Q3568" s="3"/>
      <c r="R3568" s="3"/>
      <c r="S3568" s="3"/>
      <c r="T3568" s="3"/>
      <c r="U3568" s="3"/>
      <c r="V3568" s="3"/>
      <c r="W3568" s="3"/>
      <c r="X3568" s="3"/>
      <c r="Y3568" s="3"/>
      <c r="Z3568" s="3"/>
      <c r="AA3568" s="3"/>
    </row>
    <row r="3569" ht="105.75" customHeight="1">
      <c r="A3569" s="11"/>
      <c r="B3569" s="12"/>
      <c r="C3569" s="11"/>
      <c r="D3569" s="13"/>
      <c r="E3569" s="14"/>
      <c r="F3569" s="14"/>
      <c r="G3569" s="14"/>
      <c r="H3569" s="15"/>
      <c r="I3569" s="15"/>
      <c r="J3569" s="3"/>
      <c r="K3569" s="3"/>
      <c r="L3569" s="3"/>
      <c r="M3569" s="3"/>
      <c r="N3569" s="3"/>
      <c r="O3569" s="3"/>
      <c r="P3569" s="3"/>
      <c r="Q3569" s="3"/>
      <c r="R3569" s="3"/>
      <c r="S3569" s="3"/>
      <c r="T3569" s="3"/>
      <c r="U3569" s="3"/>
      <c r="V3569" s="3"/>
      <c r="W3569" s="3"/>
      <c r="X3569" s="3"/>
      <c r="Y3569" s="3"/>
      <c r="Z3569" s="3"/>
      <c r="AA3569" s="3"/>
    </row>
    <row r="3570" ht="105.75" customHeight="1">
      <c r="A3570" s="11"/>
      <c r="B3570" s="12"/>
      <c r="C3570" s="11"/>
      <c r="D3570" s="13"/>
      <c r="E3570" s="14"/>
      <c r="F3570" s="14"/>
      <c r="G3570" s="14"/>
      <c r="H3570" s="15"/>
      <c r="I3570" s="15"/>
      <c r="J3570" s="3"/>
      <c r="K3570" s="3"/>
      <c r="L3570" s="3"/>
      <c r="M3570" s="3"/>
      <c r="N3570" s="3"/>
      <c r="O3570" s="3"/>
      <c r="P3570" s="3"/>
      <c r="Q3570" s="3"/>
      <c r="R3570" s="3"/>
      <c r="S3570" s="3"/>
      <c r="T3570" s="3"/>
      <c r="U3570" s="3"/>
      <c r="V3570" s="3"/>
      <c r="W3570" s="3"/>
      <c r="X3570" s="3"/>
      <c r="Y3570" s="3"/>
      <c r="Z3570" s="3"/>
      <c r="AA3570" s="3"/>
    </row>
    <row r="3571" ht="105.75" customHeight="1">
      <c r="A3571" s="11"/>
      <c r="B3571" s="12"/>
      <c r="C3571" s="11"/>
      <c r="D3571" s="13"/>
      <c r="E3571" s="14"/>
      <c r="F3571" s="14"/>
      <c r="G3571" s="14"/>
      <c r="H3571" s="15"/>
      <c r="I3571" s="15"/>
      <c r="J3571" s="3"/>
      <c r="K3571" s="3"/>
      <c r="L3571" s="3"/>
      <c r="M3571" s="3"/>
      <c r="N3571" s="3"/>
      <c r="O3571" s="3"/>
      <c r="P3571" s="3"/>
      <c r="Q3571" s="3"/>
      <c r="R3571" s="3"/>
      <c r="S3571" s="3"/>
      <c r="T3571" s="3"/>
      <c r="U3571" s="3"/>
      <c r="V3571" s="3"/>
      <c r="W3571" s="3"/>
      <c r="X3571" s="3"/>
      <c r="Y3571" s="3"/>
      <c r="Z3571" s="3"/>
      <c r="AA3571" s="3"/>
    </row>
    <row r="3572" ht="105.75" customHeight="1">
      <c r="A3572" s="11"/>
      <c r="B3572" s="12"/>
      <c r="C3572" s="11"/>
      <c r="D3572" s="13"/>
      <c r="E3572" s="14"/>
      <c r="F3572" s="14"/>
      <c r="G3572" s="14"/>
      <c r="H3572" s="15"/>
      <c r="I3572" s="15"/>
      <c r="J3572" s="3"/>
      <c r="K3572" s="3"/>
      <c r="L3572" s="3"/>
      <c r="M3572" s="3"/>
      <c r="N3572" s="3"/>
      <c r="O3572" s="3"/>
      <c r="P3572" s="3"/>
      <c r="Q3572" s="3"/>
      <c r="R3572" s="3"/>
      <c r="S3572" s="3"/>
      <c r="T3572" s="3"/>
      <c r="U3572" s="3"/>
      <c r="V3572" s="3"/>
      <c r="W3572" s="3"/>
      <c r="X3572" s="3"/>
      <c r="Y3572" s="3"/>
      <c r="Z3572" s="3"/>
      <c r="AA3572" s="3"/>
    </row>
    <row r="3573" ht="105.75" customHeight="1">
      <c r="A3573" s="11"/>
      <c r="B3573" s="12"/>
      <c r="C3573" s="11"/>
      <c r="D3573" s="13"/>
      <c r="E3573" s="14"/>
      <c r="F3573" s="14"/>
      <c r="G3573" s="14"/>
      <c r="H3573" s="15"/>
      <c r="I3573" s="15"/>
      <c r="J3573" s="3"/>
      <c r="K3573" s="3"/>
      <c r="L3573" s="3"/>
      <c r="M3573" s="3"/>
      <c r="N3573" s="3"/>
      <c r="O3573" s="3"/>
      <c r="P3573" s="3"/>
      <c r="Q3573" s="3"/>
      <c r="R3573" s="3"/>
      <c r="S3573" s="3"/>
      <c r="T3573" s="3"/>
      <c r="U3573" s="3"/>
      <c r="V3573" s="3"/>
      <c r="W3573" s="3"/>
      <c r="X3573" s="3"/>
      <c r="Y3573" s="3"/>
      <c r="Z3573" s="3"/>
      <c r="AA3573" s="3"/>
    </row>
    <row r="3574" ht="105.75" customHeight="1">
      <c r="A3574" s="11"/>
      <c r="B3574" s="12"/>
      <c r="C3574" s="11"/>
      <c r="D3574" s="13"/>
      <c r="E3574" s="14"/>
      <c r="F3574" s="14"/>
      <c r="G3574" s="14"/>
      <c r="H3574" s="15"/>
      <c r="I3574" s="15"/>
      <c r="J3574" s="3"/>
      <c r="K3574" s="3"/>
      <c r="L3574" s="3"/>
      <c r="M3574" s="3"/>
      <c r="N3574" s="3"/>
      <c r="O3574" s="3"/>
      <c r="P3574" s="3"/>
      <c r="Q3574" s="3"/>
      <c r="R3574" s="3"/>
      <c r="S3574" s="3"/>
      <c r="T3574" s="3"/>
      <c r="U3574" s="3"/>
      <c r="V3574" s="3"/>
      <c r="W3574" s="3"/>
      <c r="X3574" s="3"/>
      <c r="Y3574" s="3"/>
      <c r="Z3574" s="3"/>
      <c r="AA3574" s="3"/>
    </row>
    <row r="3575" ht="105.75" customHeight="1">
      <c r="A3575" s="11"/>
      <c r="B3575" s="12"/>
      <c r="C3575" s="11"/>
      <c r="D3575" s="13"/>
      <c r="E3575" s="14"/>
      <c r="F3575" s="14"/>
      <c r="G3575" s="14"/>
      <c r="H3575" s="15"/>
      <c r="I3575" s="15"/>
      <c r="J3575" s="3"/>
      <c r="K3575" s="3"/>
      <c r="L3575" s="3"/>
      <c r="M3575" s="3"/>
      <c r="N3575" s="3"/>
      <c r="O3575" s="3"/>
      <c r="P3575" s="3"/>
      <c r="Q3575" s="3"/>
      <c r="R3575" s="3"/>
      <c r="S3575" s="3"/>
      <c r="T3575" s="3"/>
      <c r="U3575" s="3"/>
      <c r="V3575" s="3"/>
      <c r="W3575" s="3"/>
      <c r="X3575" s="3"/>
      <c r="Y3575" s="3"/>
      <c r="Z3575" s="3"/>
      <c r="AA3575" s="3"/>
    </row>
    <row r="3576" ht="105.75" customHeight="1">
      <c r="A3576" s="11"/>
      <c r="B3576" s="12"/>
      <c r="C3576" s="11"/>
      <c r="D3576" s="13"/>
      <c r="E3576" s="16"/>
      <c r="F3576" s="16"/>
      <c r="G3576" s="16"/>
      <c r="H3576" s="15"/>
      <c r="I3576" s="15"/>
      <c r="J3576" s="3"/>
      <c r="K3576" s="3"/>
      <c r="L3576" s="3"/>
      <c r="M3576" s="3"/>
      <c r="N3576" s="3"/>
      <c r="O3576" s="3"/>
      <c r="P3576" s="3"/>
      <c r="Q3576" s="3"/>
      <c r="R3576" s="3"/>
      <c r="S3576" s="3"/>
      <c r="T3576" s="3"/>
      <c r="U3576" s="3"/>
      <c r="V3576" s="3"/>
      <c r="W3576" s="3"/>
      <c r="X3576" s="3"/>
      <c r="Y3576" s="3"/>
      <c r="Z3576" s="3"/>
      <c r="AA3576" s="3"/>
    </row>
    <row r="3577" ht="105.75" customHeight="1">
      <c r="A3577" s="11"/>
      <c r="B3577" s="12"/>
      <c r="C3577" s="11"/>
      <c r="D3577" s="13"/>
      <c r="E3577" s="14"/>
      <c r="F3577" s="14"/>
      <c r="G3577" s="14"/>
      <c r="H3577" s="15"/>
      <c r="I3577" s="15"/>
      <c r="J3577" s="3"/>
      <c r="K3577" s="3"/>
      <c r="L3577" s="3"/>
      <c r="M3577" s="3"/>
      <c r="N3577" s="3"/>
      <c r="O3577" s="3"/>
      <c r="P3577" s="3"/>
      <c r="Q3577" s="3"/>
      <c r="R3577" s="3"/>
      <c r="S3577" s="3"/>
      <c r="T3577" s="3"/>
      <c r="U3577" s="3"/>
      <c r="V3577" s="3"/>
      <c r="W3577" s="3"/>
      <c r="X3577" s="3"/>
      <c r="Y3577" s="3"/>
      <c r="Z3577" s="3"/>
      <c r="AA3577" s="3"/>
    </row>
    <row r="3578" ht="105.75" customHeight="1">
      <c r="A3578" s="11"/>
      <c r="B3578" s="12"/>
      <c r="C3578" s="11"/>
      <c r="D3578" s="13"/>
      <c r="E3578" s="14"/>
      <c r="F3578" s="14"/>
      <c r="G3578" s="14"/>
      <c r="H3578" s="15"/>
      <c r="I3578" s="15"/>
      <c r="J3578" s="3"/>
      <c r="K3578" s="3"/>
      <c r="L3578" s="3"/>
      <c r="M3578" s="3"/>
      <c r="N3578" s="3"/>
      <c r="O3578" s="3"/>
      <c r="P3578" s="3"/>
      <c r="Q3578" s="3"/>
      <c r="R3578" s="3"/>
      <c r="S3578" s="3"/>
      <c r="T3578" s="3"/>
      <c r="U3578" s="3"/>
      <c r="V3578" s="3"/>
      <c r="W3578" s="3"/>
      <c r="X3578" s="3"/>
      <c r="Y3578" s="3"/>
      <c r="Z3578" s="3"/>
      <c r="AA3578" s="3"/>
    </row>
    <row r="3579" ht="105.75" customHeight="1">
      <c r="A3579" s="11"/>
      <c r="B3579" s="12"/>
      <c r="C3579" s="11"/>
      <c r="D3579" s="13"/>
      <c r="E3579" s="14"/>
      <c r="F3579" s="14"/>
      <c r="G3579" s="14"/>
      <c r="H3579" s="15"/>
      <c r="I3579" s="15"/>
      <c r="J3579" s="3"/>
      <c r="K3579" s="3"/>
      <c r="L3579" s="3"/>
      <c r="M3579" s="3"/>
      <c r="N3579" s="3"/>
      <c r="O3579" s="3"/>
      <c r="P3579" s="3"/>
      <c r="Q3579" s="3"/>
      <c r="R3579" s="3"/>
      <c r="S3579" s="3"/>
      <c r="T3579" s="3"/>
      <c r="U3579" s="3"/>
      <c r="V3579" s="3"/>
      <c r="W3579" s="3"/>
      <c r="X3579" s="3"/>
      <c r="Y3579" s="3"/>
      <c r="Z3579" s="3"/>
      <c r="AA3579" s="3"/>
    </row>
    <row r="3580" ht="105.75" customHeight="1">
      <c r="A3580" s="11"/>
      <c r="B3580" s="12"/>
      <c r="C3580" s="11"/>
      <c r="D3580" s="13"/>
      <c r="E3580" s="14"/>
      <c r="F3580" s="14"/>
      <c r="G3580" s="14"/>
      <c r="H3580" s="15"/>
      <c r="I3580" s="15"/>
      <c r="J3580" s="3"/>
      <c r="K3580" s="3"/>
      <c r="L3580" s="3"/>
      <c r="M3580" s="3"/>
      <c r="N3580" s="3"/>
      <c r="O3580" s="3"/>
      <c r="P3580" s="3"/>
      <c r="Q3580" s="3"/>
      <c r="R3580" s="3"/>
      <c r="S3580" s="3"/>
      <c r="T3580" s="3"/>
      <c r="U3580" s="3"/>
      <c r="V3580" s="3"/>
      <c r="W3580" s="3"/>
      <c r="X3580" s="3"/>
      <c r="Y3580" s="3"/>
      <c r="Z3580" s="3"/>
      <c r="AA3580" s="3"/>
    </row>
    <row r="3581" ht="105.75" customHeight="1">
      <c r="A3581" s="11"/>
      <c r="B3581" s="12"/>
      <c r="C3581" s="11"/>
      <c r="D3581" s="13"/>
      <c r="E3581" s="14"/>
      <c r="F3581" s="14"/>
      <c r="G3581" s="14"/>
      <c r="H3581" s="15"/>
      <c r="I3581" s="15"/>
      <c r="J3581" s="3"/>
      <c r="K3581" s="3"/>
      <c r="L3581" s="3"/>
      <c r="M3581" s="3"/>
      <c r="N3581" s="3"/>
      <c r="O3581" s="3"/>
      <c r="P3581" s="3"/>
      <c r="Q3581" s="3"/>
      <c r="R3581" s="3"/>
      <c r="S3581" s="3"/>
      <c r="T3581" s="3"/>
      <c r="U3581" s="3"/>
      <c r="V3581" s="3"/>
      <c r="W3581" s="3"/>
      <c r="X3581" s="3"/>
      <c r="Y3581" s="3"/>
      <c r="Z3581" s="3"/>
      <c r="AA3581" s="3"/>
    </row>
    <row r="3582" ht="105.75" customHeight="1">
      <c r="A3582" s="11"/>
      <c r="B3582" s="12"/>
      <c r="C3582" s="11"/>
      <c r="D3582" s="13"/>
      <c r="E3582" s="14"/>
      <c r="F3582" s="14"/>
      <c r="G3582" s="14"/>
      <c r="H3582" s="15"/>
      <c r="I3582" s="15"/>
      <c r="J3582" s="3"/>
      <c r="K3582" s="3"/>
      <c r="L3582" s="3"/>
      <c r="M3582" s="3"/>
      <c r="N3582" s="3"/>
      <c r="O3582" s="3"/>
      <c r="P3582" s="3"/>
      <c r="Q3582" s="3"/>
      <c r="R3582" s="3"/>
      <c r="S3582" s="3"/>
      <c r="T3582" s="3"/>
      <c r="U3582" s="3"/>
      <c r="V3582" s="3"/>
      <c r="W3582" s="3"/>
      <c r="X3582" s="3"/>
      <c r="Y3582" s="3"/>
      <c r="Z3582" s="3"/>
      <c r="AA3582" s="3"/>
    </row>
    <row r="3583" ht="105.75" customHeight="1">
      <c r="A3583" s="11"/>
      <c r="B3583" s="12"/>
      <c r="C3583" s="11"/>
      <c r="D3583" s="13"/>
      <c r="E3583" s="14"/>
      <c r="F3583" s="14"/>
      <c r="G3583" s="14"/>
      <c r="H3583" s="15"/>
      <c r="I3583" s="15"/>
      <c r="J3583" s="3"/>
      <c r="K3583" s="3"/>
      <c r="L3583" s="3"/>
      <c r="M3583" s="3"/>
      <c r="N3583" s="3"/>
      <c r="O3583" s="3"/>
      <c r="P3583" s="3"/>
      <c r="Q3583" s="3"/>
      <c r="R3583" s="3"/>
      <c r="S3583" s="3"/>
      <c r="T3583" s="3"/>
      <c r="U3583" s="3"/>
      <c r="V3583" s="3"/>
      <c r="W3583" s="3"/>
      <c r="X3583" s="3"/>
      <c r="Y3583" s="3"/>
      <c r="Z3583" s="3"/>
      <c r="AA3583" s="3"/>
    </row>
    <row r="3584" ht="105.75" customHeight="1">
      <c r="A3584" s="11"/>
      <c r="B3584" s="12"/>
      <c r="C3584" s="11"/>
      <c r="D3584" s="13"/>
      <c r="E3584" s="14"/>
      <c r="F3584" s="14"/>
      <c r="G3584" s="14"/>
      <c r="H3584" s="15"/>
      <c r="I3584" s="15"/>
      <c r="J3584" s="3"/>
      <c r="K3584" s="3"/>
      <c r="L3584" s="3"/>
      <c r="M3584" s="3"/>
      <c r="N3584" s="3"/>
      <c r="O3584" s="3"/>
      <c r="P3584" s="3"/>
      <c r="Q3584" s="3"/>
      <c r="R3584" s="3"/>
      <c r="S3584" s="3"/>
      <c r="T3584" s="3"/>
      <c r="U3584" s="3"/>
      <c r="V3584" s="3"/>
      <c r="W3584" s="3"/>
      <c r="X3584" s="3"/>
      <c r="Y3584" s="3"/>
      <c r="Z3584" s="3"/>
      <c r="AA3584" s="3"/>
    </row>
    <row r="3585" ht="105.75" customHeight="1">
      <c r="A3585" s="11"/>
      <c r="B3585" s="12"/>
      <c r="C3585" s="11"/>
      <c r="D3585" s="13"/>
      <c r="E3585" s="14"/>
      <c r="F3585" s="14"/>
      <c r="G3585" s="14"/>
      <c r="H3585" s="15"/>
      <c r="I3585" s="15"/>
      <c r="J3585" s="3"/>
      <c r="K3585" s="3"/>
      <c r="L3585" s="3"/>
      <c r="M3585" s="3"/>
      <c r="N3585" s="3"/>
      <c r="O3585" s="3"/>
      <c r="P3585" s="3"/>
      <c r="Q3585" s="3"/>
      <c r="R3585" s="3"/>
      <c r="S3585" s="3"/>
      <c r="T3585" s="3"/>
      <c r="U3585" s="3"/>
      <c r="V3585" s="3"/>
      <c r="W3585" s="3"/>
      <c r="X3585" s="3"/>
      <c r="Y3585" s="3"/>
      <c r="Z3585" s="3"/>
      <c r="AA3585" s="3"/>
    </row>
    <row r="3586" ht="105.75" customHeight="1">
      <c r="A3586" s="11"/>
      <c r="B3586" s="12"/>
      <c r="C3586" s="11"/>
      <c r="D3586" s="13"/>
      <c r="E3586" s="16"/>
      <c r="F3586" s="16"/>
      <c r="G3586" s="16"/>
      <c r="H3586" s="15"/>
      <c r="I3586" s="15"/>
      <c r="J3586" s="3"/>
      <c r="K3586" s="3"/>
      <c r="L3586" s="3"/>
      <c r="M3586" s="3"/>
      <c r="N3586" s="3"/>
      <c r="O3586" s="3"/>
      <c r="P3586" s="3"/>
      <c r="Q3586" s="3"/>
      <c r="R3586" s="3"/>
      <c r="S3586" s="3"/>
      <c r="T3586" s="3"/>
      <c r="U3586" s="3"/>
      <c r="V3586" s="3"/>
      <c r="W3586" s="3"/>
      <c r="X3586" s="3"/>
      <c r="Y3586" s="3"/>
      <c r="Z3586" s="3"/>
      <c r="AA3586" s="3"/>
    </row>
    <row r="3587" ht="105.75" customHeight="1">
      <c r="A3587" s="11"/>
      <c r="B3587" s="12"/>
      <c r="C3587" s="11"/>
      <c r="D3587" s="13"/>
      <c r="E3587" s="14"/>
      <c r="F3587" s="14"/>
      <c r="G3587" s="14"/>
      <c r="H3587" s="15"/>
      <c r="I3587" s="15"/>
      <c r="J3587" s="3"/>
      <c r="K3587" s="3"/>
      <c r="L3587" s="3"/>
      <c r="M3587" s="3"/>
      <c r="N3587" s="3"/>
      <c r="O3587" s="3"/>
      <c r="P3587" s="3"/>
      <c r="Q3587" s="3"/>
      <c r="R3587" s="3"/>
      <c r="S3587" s="3"/>
      <c r="T3587" s="3"/>
      <c r="U3587" s="3"/>
      <c r="V3587" s="3"/>
      <c r="W3587" s="3"/>
      <c r="X3587" s="3"/>
      <c r="Y3587" s="3"/>
      <c r="Z3587" s="3"/>
      <c r="AA3587" s="3"/>
    </row>
    <row r="3588" ht="105.75" customHeight="1">
      <c r="A3588" s="11"/>
      <c r="B3588" s="12"/>
      <c r="C3588" s="11"/>
      <c r="D3588" s="13"/>
      <c r="E3588" s="14"/>
      <c r="F3588" s="14"/>
      <c r="G3588" s="14"/>
      <c r="H3588" s="15"/>
      <c r="I3588" s="15"/>
      <c r="J3588" s="3"/>
      <c r="K3588" s="3"/>
      <c r="L3588" s="3"/>
      <c r="M3588" s="3"/>
      <c r="N3588" s="3"/>
      <c r="O3588" s="3"/>
      <c r="P3588" s="3"/>
      <c r="Q3588" s="3"/>
      <c r="R3588" s="3"/>
      <c r="S3588" s="3"/>
      <c r="T3588" s="3"/>
      <c r="U3588" s="3"/>
      <c r="V3588" s="3"/>
      <c r="W3588" s="3"/>
      <c r="X3588" s="3"/>
      <c r="Y3588" s="3"/>
      <c r="Z3588" s="3"/>
      <c r="AA3588" s="3"/>
    </row>
    <row r="3589" ht="105.75" customHeight="1">
      <c r="A3589" s="11"/>
      <c r="B3589" s="12"/>
      <c r="C3589" s="11"/>
      <c r="D3589" s="13"/>
      <c r="E3589" s="14"/>
      <c r="F3589" s="14"/>
      <c r="G3589" s="14"/>
      <c r="H3589" s="15"/>
      <c r="I3589" s="15"/>
      <c r="J3589" s="3"/>
      <c r="K3589" s="3"/>
      <c r="L3589" s="3"/>
      <c r="M3589" s="3"/>
      <c r="N3589" s="3"/>
      <c r="O3589" s="3"/>
      <c r="P3589" s="3"/>
      <c r="Q3589" s="3"/>
      <c r="R3589" s="3"/>
      <c r="S3589" s="3"/>
      <c r="T3589" s="3"/>
      <c r="U3589" s="3"/>
      <c r="V3589" s="3"/>
      <c r="W3589" s="3"/>
      <c r="X3589" s="3"/>
      <c r="Y3589" s="3"/>
      <c r="Z3589" s="3"/>
      <c r="AA3589" s="3"/>
    </row>
    <row r="3590" ht="105.75" customHeight="1">
      <c r="A3590" s="11"/>
      <c r="B3590" s="12"/>
      <c r="C3590" s="11"/>
      <c r="D3590" s="13"/>
      <c r="E3590" s="14"/>
      <c r="F3590" s="14"/>
      <c r="G3590" s="14"/>
      <c r="H3590" s="15"/>
      <c r="I3590" s="15"/>
      <c r="J3590" s="3"/>
      <c r="K3590" s="3"/>
      <c r="L3590" s="3"/>
      <c r="M3590" s="3"/>
      <c r="N3590" s="3"/>
      <c r="O3590" s="3"/>
      <c r="P3590" s="3"/>
      <c r="Q3590" s="3"/>
      <c r="R3590" s="3"/>
      <c r="S3590" s="3"/>
      <c r="T3590" s="3"/>
      <c r="U3590" s="3"/>
      <c r="V3590" s="3"/>
      <c r="W3590" s="3"/>
      <c r="X3590" s="3"/>
      <c r="Y3590" s="3"/>
      <c r="Z3590" s="3"/>
      <c r="AA3590" s="3"/>
    </row>
    <row r="3591" ht="105.75" customHeight="1">
      <c r="A3591" s="11"/>
      <c r="B3591" s="12"/>
      <c r="C3591" s="11"/>
      <c r="D3591" s="13"/>
      <c r="E3591" s="14"/>
      <c r="F3591" s="14"/>
      <c r="G3591" s="14"/>
      <c r="H3591" s="15"/>
      <c r="I3591" s="15"/>
      <c r="J3591" s="3"/>
      <c r="K3591" s="3"/>
      <c r="L3591" s="3"/>
      <c r="M3591" s="3"/>
      <c r="N3591" s="3"/>
      <c r="O3591" s="3"/>
      <c r="P3591" s="3"/>
      <c r="Q3591" s="3"/>
      <c r="R3591" s="3"/>
      <c r="S3591" s="3"/>
      <c r="T3591" s="3"/>
      <c r="U3591" s="3"/>
      <c r="V3591" s="3"/>
      <c r="W3591" s="3"/>
      <c r="X3591" s="3"/>
      <c r="Y3591" s="3"/>
      <c r="Z3591" s="3"/>
      <c r="AA3591" s="3"/>
    </row>
    <row r="3592" ht="105.75" customHeight="1">
      <c r="A3592" s="11"/>
      <c r="B3592" s="12"/>
      <c r="C3592" s="11"/>
      <c r="D3592" s="13"/>
      <c r="E3592" s="16"/>
      <c r="F3592" s="16"/>
      <c r="G3592" s="16"/>
      <c r="H3592" s="15"/>
      <c r="I3592" s="15"/>
      <c r="J3592" s="3"/>
      <c r="K3592" s="3"/>
      <c r="L3592" s="3"/>
      <c r="M3592" s="3"/>
      <c r="N3592" s="3"/>
      <c r="O3592" s="3"/>
      <c r="P3592" s="3"/>
      <c r="Q3592" s="3"/>
      <c r="R3592" s="3"/>
      <c r="S3592" s="3"/>
      <c r="T3592" s="3"/>
      <c r="U3592" s="3"/>
      <c r="V3592" s="3"/>
      <c r="W3592" s="3"/>
      <c r="X3592" s="3"/>
      <c r="Y3592" s="3"/>
      <c r="Z3592" s="3"/>
      <c r="AA3592" s="3"/>
    </row>
    <row r="3593" ht="105.75" customHeight="1">
      <c r="A3593" s="11"/>
      <c r="B3593" s="12"/>
      <c r="C3593" s="11"/>
      <c r="D3593" s="13"/>
      <c r="E3593" s="16"/>
      <c r="F3593" s="16"/>
      <c r="G3593" s="16"/>
      <c r="H3593" s="15"/>
      <c r="I3593" s="15"/>
      <c r="J3593" s="3"/>
      <c r="K3593" s="3"/>
      <c r="L3593" s="3"/>
      <c r="M3593" s="3"/>
      <c r="N3593" s="3"/>
      <c r="O3593" s="3"/>
      <c r="P3593" s="3"/>
      <c r="Q3593" s="3"/>
      <c r="R3593" s="3"/>
      <c r="S3593" s="3"/>
      <c r="T3593" s="3"/>
      <c r="U3593" s="3"/>
      <c r="V3593" s="3"/>
      <c r="W3593" s="3"/>
      <c r="X3593" s="3"/>
      <c r="Y3593" s="3"/>
      <c r="Z3593" s="3"/>
      <c r="AA3593" s="3"/>
    </row>
    <row r="3594" ht="105.75" customHeight="1">
      <c r="A3594" s="11"/>
      <c r="B3594" s="12"/>
      <c r="C3594" s="11"/>
      <c r="D3594" s="13"/>
      <c r="E3594" s="14"/>
      <c r="F3594" s="14"/>
      <c r="G3594" s="14"/>
      <c r="H3594" s="15"/>
      <c r="I3594" s="15"/>
      <c r="J3594" s="3"/>
      <c r="K3594" s="3"/>
      <c r="L3594" s="3"/>
      <c r="M3594" s="3"/>
      <c r="N3594" s="3"/>
      <c r="O3594" s="3"/>
      <c r="P3594" s="3"/>
      <c r="Q3594" s="3"/>
      <c r="R3594" s="3"/>
      <c r="S3594" s="3"/>
      <c r="T3594" s="3"/>
      <c r="U3594" s="3"/>
      <c r="V3594" s="3"/>
      <c r="W3594" s="3"/>
      <c r="X3594" s="3"/>
      <c r="Y3594" s="3"/>
      <c r="Z3594" s="3"/>
      <c r="AA3594" s="3"/>
    </row>
    <row r="3595" ht="105.75" customHeight="1">
      <c r="A3595" s="11"/>
      <c r="B3595" s="12"/>
      <c r="C3595" s="11"/>
      <c r="D3595" s="13"/>
      <c r="E3595" s="14"/>
      <c r="F3595" s="14"/>
      <c r="G3595" s="14"/>
      <c r="H3595" s="15"/>
      <c r="I3595" s="15"/>
      <c r="J3595" s="3"/>
      <c r="K3595" s="3"/>
      <c r="L3595" s="3"/>
      <c r="M3595" s="3"/>
      <c r="N3595" s="3"/>
      <c r="O3595" s="3"/>
      <c r="P3595" s="3"/>
      <c r="Q3595" s="3"/>
      <c r="R3595" s="3"/>
      <c r="S3595" s="3"/>
      <c r="T3595" s="3"/>
      <c r="U3595" s="3"/>
      <c r="V3595" s="3"/>
      <c r="W3595" s="3"/>
      <c r="X3595" s="3"/>
      <c r="Y3595" s="3"/>
      <c r="Z3595" s="3"/>
      <c r="AA3595" s="3"/>
    </row>
    <row r="3596" ht="105.75" customHeight="1">
      <c r="A3596" s="11"/>
      <c r="B3596" s="12"/>
      <c r="C3596" s="11"/>
      <c r="D3596" s="13"/>
      <c r="E3596" s="14"/>
      <c r="F3596" s="14"/>
      <c r="G3596" s="14"/>
      <c r="H3596" s="15"/>
      <c r="I3596" s="15"/>
      <c r="J3596" s="3"/>
      <c r="K3596" s="3"/>
      <c r="L3596" s="3"/>
      <c r="M3596" s="3"/>
      <c r="N3596" s="3"/>
      <c r="O3596" s="3"/>
      <c r="P3596" s="3"/>
      <c r="Q3596" s="3"/>
      <c r="R3596" s="3"/>
      <c r="S3596" s="3"/>
      <c r="T3596" s="3"/>
      <c r="U3596" s="3"/>
      <c r="V3596" s="3"/>
      <c r="W3596" s="3"/>
      <c r="X3596" s="3"/>
      <c r="Y3596" s="3"/>
      <c r="Z3596" s="3"/>
      <c r="AA3596" s="3"/>
    </row>
    <row r="3597" ht="105.75" customHeight="1">
      <c r="A3597" s="11"/>
      <c r="B3597" s="12"/>
      <c r="C3597" s="11"/>
      <c r="D3597" s="13"/>
      <c r="E3597" s="14"/>
      <c r="F3597" s="14"/>
      <c r="G3597" s="14"/>
      <c r="H3597" s="15"/>
      <c r="I3597" s="15"/>
      <c r="J3597" s="3"/>
      <c r="K3597" s="3"/>
      <c r="L3597" s="3"/>
      <c r="M3597" s="3"/>
      <c r="N3597" s="3"/>
      <c r="O3597" s="3"/>
      <c r="P3597" s="3"/>
      <c r="Q3597" s="3"/>
      <c r="R3597" s="3"/>
      <c r="S3597" s="3"/>
      <c r="T3597" s="3"/>
      <c r="U3597" s="3"/>
      <c r="V3597" s="3"/>
      <c r="W3597" s="3"/>
      <c r="X3597" s="3"/>
      <c r="Y3597" s="3"/>
      <c r="Z3597" s="3"/>
      <c r="AA3597" s="3"/>
    </row>
    <row r="3598" ht="105.75" customHeight="1">
      <c r="A3598" s="11"/>
      <c r="B3598" s="12"/>
      <c r="C3598" s="11"/>
      <c r="D3598" s="13"/>
      <c r="E3598" s="14"/>
      <c r="F3598" s="14"/>
      <c r="G3598" s="14"/>
      <c r="H3598" s="15"/>
      <c r="I3598" s="15"/>
      <c r="J3598" s="3"/>
      <c r="K3598" s="3"/>
      <c r="L3598" s="3"/>
      <c r="M3598" s="3"/>
      <c r="N3598" s="3"/>
      <c r="O3598" s="3"/>
      <c r="P3598" s="3"/>
      <c r="Q3598" s="3"/>
      <c r="R3598" s="3"/>
      <c r="S3598" s="3"/>
      <c r="T3598" s="3"/>
      <c r="U3598" s="3"/>
      <c r="V3598" s="3"/>
      <c r="W3598" s="3"/>
      <c r="X3598" s="3"/>
      <c r="Y3598" s="3"/>
      <c r="Z3598" s="3"/>
      <c r="AA3598" s="3"/>
    </row>
    <row r="3599" ht="105.75" customHeight="1">
      <c r="A3599" s="11"/>
      <c r="B3599" s="12"/>
      <c r="C3599" s="11"/>
      <c r="D3599" s="13"/>
      <c r="E3599" s="14"/>
      <c r="F3599" s="14"/>
      <c r="G3599" s="14"/>
      <c r="H3599" s="15"/>
      <c r="I3599" s="15"/>
      <c r="J3599" s="3"/>
      <c r="K3599" s="3"/>
      <c r="L3599" s="3"/>
      <c r="M3599" s="3"/>
      <c r="N3599" s="3"/>
      <c r="O3599" s="3"/>
      <c r="P3599" s="3"/>
      <c r="Q3599" s="3"/>
      <c r="R3599" s="3"/>
      <c r="S3599" s="3"/>
      <c r="T3599" s="3"/>
      <c r="U3599" s="3"/>
      <c r="V3599" s="3"/>
      <c r="W3599" s="3"/>
      <c r="X3599" s="3"/>
      <c r="Y3599" s="3"/>
      <c r="Z3599" s="3"/>
      <c r="AA3599" s="3"/>
    </row>
    <row r="3600" ht="105.75" customHeight="1">
      <c r="A3600" s="11"/>
      <c r="B3600" s="12"/>
      <c r="C3600" s="11"/>
      <c r="D3600" s="13"/>
      <c r="E3600" s="16"/>
      <c r="F3600" s="16"/>
      <c r="G3600" s="16"/>
      <c r="H3600" s="15"/>
      <c r="I3600" s="15"/>
      <c r="J3600" s="3"/>
      <c r="K3600" s="3"/>
      <c r="L3600" s="3"/>
      <c r="M3600" s="3"/>
      <c r="N3600" s="3"/>
      <c r="O3600" s="3"/>
      <c r="P3600" s="3"/>
      <c r="Q3600" s="3"/>
      <c r="R3600" s="3"/>
      <c r="S3600" s="3"/>
      <c r="T3600" s="3"/>
      <c r="U3600" s="3"/>
      <c r="V3600" s="3"/>
      <c r="W3600" s="3"/>
      <c r="X3600" s="3"/>
      <c r="Y3600" s="3"/>
      <c r="Z3600" s="3"/>
      <c r="AA3600" s="3"/>
    </row>
    <row r="3601" ht="105.75" customHeight="1">
      <c r="A3601" s="11"/>
      <c r="B3601" s="12"/>
      <c r="C3601" s="11"/>
      <c r="D3601" s="13"/>
      <c r="E3601" s="16"/>
      <c r="F3601" s="16"/>
      <c r="G3601" s="16"/>
      <c r="H3601" s="15"/>
      <c r="I3601" s="15"/>
      <c r="J3601" s="3"/>
      <c r="K3601" s="3"/>
      <c r="L3601" s="3"/>
      <c r="M3601" s="3"/>
      <c r="N3601" s="3"/>
      <c r="O3601" s="3"/>
      <c r="P3601" s="3"/>
      <c r="Q3601" s="3"/>
      <c r="R3601" s="3"/>
      <c r="S3601" s="3"/>
      <c r="T3601" s="3"/>
      <c r="U3601" s="3"/>
      <c r="V3601" s="3"/>
      <c r="W3601" s="3"/>
      <c r="X3601" s="3"/>
      <c r="Y3601" s="3"/>
      <c r="Z3601" s="3"/>
      <c r="AA3601" s="3"/>
    </row>
    <row r="3602" ht="105.75" customHeight="1">
      <c r="A3602" s="11"/>
      <c r="B3602" s="12"/>
      <c r="C3602" s="11"/>
      <c r="D3602" s="13"/>
      <c r="E3602" s="14"/>
      <c r="F3602" s="14"/>
      <c r="G3602" s="14"/>
      <c r="H3602" s="15"/>
      <c r="I3602" s="15"/>
      <c r="J3602" s="3"/>
      <c r="K3602" s="3"/>
      <c r="L3602" s="3"/>
      <c r="M3602" s="3"/>
      <c r="N3602" s="3"/>
      <c r="O3602" s="3"/>
      <c r="P3602" s="3"/>
      <c r="Q3602" s="3"/>
      <c r="R3602" s="3"/>
      <c r="S3602" s="3"/>
      <c r="T3602" s="3"/>
      <c r="U3602" s="3"/>
      <c r="V3602" s="3"/>
      <c r="W3602" s="3"/>
      <c r="X3602" s="3"/>
      <c r="Y3602" s="3"/>
      <c r="Z3602" s="3"/>
      <c r="AA3602" s="3"/>
    </row>
    <row r="3603" ht="105.75" customHeight="1">
      <c r="A3603" s="11"/>
      <c r="B3603" s="12"/>
      <c r="C3603" s="11"/>
      <c r="D3603" s="13"/>
      <c r="E3603" s="14"/>
      <c r="F3603" s="14"/>
      <c r="G3603" s="14"/>
      <c r="H3603" s="15"/>
      <c r="I3603" s="15"/>
      <c r="J3603" s="3"/>
      <c r="K3603" s="3"/>
      <c r="L3603" s="3"/>
      <c r="M3603" s="3"/>
      <c r="N3603" s="3"/>
      <c r="O3603" s="3"/>
      <c r="P3603" s="3"/>
      <c r="Q3603" s="3"/>
      <c r="R3603" s="3"/>
      <c r="S3603" s="3"/>
      <c r="T3603" s="3"/>
      <c r="U3603" s="3"/>
      <c r="V3603" s="3"/>
      <c r="W3603" s="3"/>
      <c r="X3603" s="3"/>
      <c r="Y3603" s="3"/>
      <c r="Z3603" s="3"/>
      <c r="AA3603" s="3"/>
    </row>
    <row r="3604" ht="105.75" customHeight="1">
      <c r="A3604" s="11"/>
      <c r="B3604" s="12"/>
      <c r="C3604" s="11"/>
      <c r="D3604" s="13"/>
      <c r="E3604" s="14"/>
      <c r="F3604" s="14"/>
      <c r="G3604" s="14"/>
      <c r="H3604" s="15"/>
      <c r="I3604" s="15"/>
      <c r="J3604" s="3"/>
      <c r="K3604" s="3"/>
      <c r="L3604" s="3"/>
      <c r="M3604" s="3"/>
      <c r="N3604" s="3"/>
      <c r="O3604" s="3"/>
      <c r="P3604" s="3"/>
      <c r="Q3604" s="3"/>
      <c r="R3604" s="3"/>
      <c r="S3604" s="3"/>
      <c r="T3604" s="3"/>
      <c r="U3604" s="3"/>
      <c r="V3604" s="3"/>
      <c r="W3604" s="3"/>
      <c r="X3604" s="3"/>
      <c r="Y3604" s="3"/>
      <c r="Z3604" s="3"/>
      <c r="AA3604" s="3"/>
    </row>
    <row r="3605" ht="105.75" customHeight="1">
      <c r="A3605" s="11"/>
      <c r="B3605" s="12"/>
      <c r="C3605" s="11"/>
      <c r="D3605" s="13"/>
      <c r="E3605" s="14"/>
      <c r="F3605" s="14"/>
      <c r="G3605" s="14"/>
      <c r="H3605" s="15"/>
      <c r="I3605" s="15"/>
      <c r="J3605" s="3"/>
      <c r="K3605" s="3"/>
      <c r="L3605" s="3"/>
      <c r="M3605" s="3"/>
      <c r="N3605" s="3"/>
      <c r="O3605" s="3"/>
      <c r="P3605" s="3"/>
      <c r="Q3605" s="3"/>
      <c r="R3605" s="3"/>
      <c r="S3605" s="3"/>
      <c r="T3605" s="3"/>
      <c r="U3605" s="3"/>
      <c r="V3605" s="3"/>
      <c r="W3605" s="3"/>
      <c r="X3605" s="3"/>
      <c r="Y3605" s="3"/>
      <c r="Z3605" s="3"/>
      <c r="AA3605" s="3"/>
    </row>
    <row r="3606" ht="105.75" customHeight="1">
      <c r="A3606" s="11"/>
      <c r="B3606" s="12"/>
      <c r="C3606" s="11"/>
      <c r="D3606" s="13"/>
      <c r="E3606" s="14"/>
      <c r="F3606" s="14"/>
      <c r="G3606" s="14"/>
      <c r="H3606" s="15"/>
      <c r="I3606" s="15"/>
      <c r="J3606" s="3"/>
      <c r="K3606" s="3"/>
      <c r="L3606" s="3"/>
      <c r="M3606" s="3"/>
      <c r="N3606" s="3"/>
      <c r="O3606" s="3"/>
      <c r="P3606" s="3"/>
      <c r="Q3606" s="3"/>
      <c r="R3606" s="3"/>
      <c r="S3606" s="3"/>
      <c r="T3606" s="3"/>
      <c r="U3606" s="3"/>
      <c r="V3606" s="3"/>
      <c r="W3606" s="3"/>
      <c r="X3606" s="3"/>
      <c r="Y3606" s="3"/>
      <c r="Z3606" s="3"/>
      <c r="AA3606" s="3"/>
    </row>
    <row r="3607" ht="105.75" customHeight="1">
      <c r="A3607" s="11"/>
      <c r="B3607" s="12"/>
      <c r="C3607" s="11"/>
      <c r="D3607" s="13"/>
      <c r="E3607" s="14"/>
      <c r="F3607" s="14"/>
      <c r="G3607" s="14"/>
      <c r="H3607" s="15"/>
      <c r="I3607" s="15"/>
      <c r="J3607" s="3"/>
      <c r="K3607" s="3"/>
      <c r="L3607" s="3"/>
      <c r="M3607" s="3"/>
      <c r="N3607" s="3"/>
      <c r="O3607" s="3"/>
      <c r="P3607" s="3"/>
      <c r="Q3607" s="3"/>
      <c r="R3607" s="3"/>
      <c r="S3607" s="3"/>
      <c r="T3607" s="3"/>
      <c r="U3607" s="3"/>
      <c r="V3607" s="3"/>
      <c r="W3607" s="3"/>
      <c r="X3607" s="3"/>
      <c r="Y3607" s="3"/>
      <c r="Z3607" s="3"/>
      <c r="AA3607" s="3"/>
    </row>
    <row r="3608" ht="105.75" customHeight="1">
      <c r="A3608" s="11"/>
      <c r="B3608" s="12"/>
      <c r="C3608" s="11"/>
      <c r="D3608" s="13"/>
      <c r="E3608" s="16"/>
      <c r="F3608" s="16"/>
      <c r="G3608" s="16"/>
      <c r="H3608" s="15"/>
      <c r="I3608" s="15"/>
      <c r="J3608" s="3"/>
      <c r="K3608" s="3"/>
      <c r="L3608" s="3"/>
      <c r="M3608" s="3"/>
      <c r="N3608" s="3"/>
      <c r="O3608" s="3"/>
      <c r="P3608" s="3"/>
      <c r="Q3608" s="3"/>
      <c r="R3608" s="3"/>
      <c r="S3608" s="3"/>
      <c r="T3608" s="3"/>
      <c r="U3608" s="3"/>
      <c r="V3608" s="3"/>
      <c r="W3608" s="3"/>
      <c r="X3608" s="3"/>
      <c r="Y3608" s="3"/>
      <c r="Z3608" s="3"/>
      <c r="AA3608" s="3"/>
    </row>
    <row r="3609" ht="105.75" customHeight="1">
      <c r="A3609" s="11"/>
      <c r="B3609" s="12"/>
      <c r="C3609" s="11"/>
      <c r="D3609" s="13"/>
      <c r="E3609" s="14"/>
      <c r="F3609" s="14"/>
      <c r="G3609" s="14"/>
      <c r="H3609" s="15"/>
      <c r="I3609" s="15"/>
      <c r="J3609" s="3"/>
      <c r="K3609" s="3"/>
      <c r="L3609" s="3"/>
      <c r="M3609" s="3"/>
      <c r="N3609" s="3"/>
      <c r="O3609" s="3"/>
      <c r="P3609" s="3"/>
      <c r="Q3609" s="3"/>
      <c r="R3609" s="3"/>
      <c r="S3609" s="3"/>
      <c r="T3609" s="3"/>
      <c r="U3609" s="3"/>
      <c r="V3609" s="3"/>
      <c r="W3609" s="3"/>
      <c r="X3609" s="3"/>
      <c r="Y3609" s="3"/>
      <c r="Z3609" s="3"/>
      <c r="AA3609" s="3"/>
    </row>
    <row r="3610" ht="105.75" customHeight="1">
      <c r="A3610" s="11"/>
      <c r="B3610" s="12"/>
      <c r="C3610" s="11"/>
      <c r="D3610" s="13"/>
      <c r="E3610" s="14"/>
      <c r="F3610" s="14"/>
      <c r="G3610" s="14"/>
      <c r="H3610" s="15"/>
      <c r="I3610" s="15"/>
      <c r="J3610" s="3"/>
      <c r="K3610" s="3"/>
      <c r="L3610" s="3"/>
      <c r="M3610" s="3"/>
      <c r="N3610" s="3"/>
      <c r="O3610" s="3"/>
      <c r="P3610" s="3"/>
      <c r="Q3610" s="3"/>
      <c r="R3610" s="3"/>
      <c r="S3610" s="3"/>
      <c r="T3610" s="3"/>
      <c r="U3610" s="3"/>
      <c r="V3610" s="3"/>
      <c r="W3610" s="3"/>
      <c r="X3610" s="3"/>
      <c r="Y3610" s="3"/>
      <c r="Z3610" s="3"/>
      <c r="AA3610" s="3"/>
    </row>
    <row r="3611" ht="105.75" customHeight="1">
      <c r="A3611" s="11"/>
      <c r="B3611" s="12"/>
      <c r="C3611" s="11"/>
      <c r="D3611" s="13"/>
      <c r="E3611" s="14"/>
      <c r="F3611" s="14"/>
      <c r="G3611" s="14"/>
      <c r="H3611" s="15"/>
      <c r="I3611" s="15"/>
      <c r="J3611" s="3"/>
      <c r="K3611" s="3"/>
      <c r="L3611" s="3"/>
      <c r="M3611" s="3"/>
      <c r="N3611" s="3"/>
      <c r="O3611" s="3"/>
      <c r="P3611" s="3"/>
      <c r="Q3611" s="3"/>
      <c r="R3611" s="3"/>
      <c r="S3611" s="3"/>
      <c r="T3611" s="3"/>
      <c r="U3611" s="3"/>
      <c r="V3611" s="3"/>
      <c r="W3611" s="3"/>
      <c r="X3611" s="3"/>
      <c r="Y3611" s="3"/>
      <c r="Z3611" s="3"/>
      <c r="AA3611" s="3"/>
    </row>
    <row r="3612" ht="105.75" customHeight="1">
      <c r="A3612" s="11"/>
      <c r="B3612" s="12"/>
      <c r="C3612" s="11"/>
      <c r="D3612" s="13"/>
      <c r="E3612" s="14"/>
      <c r="F3612" s="14"/>
      <c r="G3612" s="14"/>
      <c r="H3612" s="15"/>
      <c r="I3612" s="15"/>
      <c r="J3612" s="3"/>
      <c r="K3612" s="3"/>
      <c r="L3612" s="3"/>
      <c r="M3612" s="3"/>
      <c r="N3612" s="3"/>
      <c r="O3612" s="3"/>
      <c r="P3612" s="3"/>
      <c r="Q3612" s="3"/>
      <c r="R3612" s="3"/>
      <c r="S3612" s="3"/>
      <c r="T3612" s="3"/>
      <c r="U3612" s="3"/>
      <c r="V3612" s="3"/>
      <c r="W3612" s="3"/>
      <c r="X3612" s="3"/>
      <c r="Y3612" s="3"/>
      <c r="Z3612" s="3"/>
      <c r="AA3612" s="3"/>
    </row>
    <row r="3613" ht="105.75" customHeight="1">
      <c r="A3613" s="11"/>
      <c r="B3613" s="12"/>
      <c r="C3613" s="11"/>
      <c r="D3613" s="13"/>
      <c r="E3613" s="14"/>
      <c r="F3613" s="14"/>
      <c r="G3613" s="14"/>
      <c r="H3613" s="15"/>
      <c r="I3613" s="15"/>
      <c r="J3613" s="3"/>
      <c r="K3613" s="3"/>
      <c r="L3613" s="3"/>
      <c r="M3613" s="3"/>
      <c r="N3613" s="3"/>
      <c r="O3613" s="3"/>
      <c r="P3613" s="3"/>
      <c r="Q3613" s="3"/>
      <c r="R3613" s="3"/>
      <c r="S3613" s="3"/>
      <c r="T3613" s="3"/>
      <c r="U3613" s="3"/>
      <c r="V3613" s="3"/>
      <c r="W3613" s="3"/>
      <c r="X3613" s="3"/>
      <c r="Y3613" s="3"/>
      <c r="Z3613" s="3"/>
      <c r="AA3613" s="3"/>
    </row>
    <row r="3614" ht="105.75" customHeight="1">
      <c r="A3614" s="11"/>
      <c r="B3614" s="12"/>
      <c r="C3614" s="11"/>
      <c r="D3614" s="13"/>
      <c r="E3614" s="14"/>
      <c r="F3614" s="14"/>
      <c r="G3614" s="14"/>
      <c r="H3614" s="15"/>
      <c r="I3614" s="15"/>
      <c r="J3614" s="3"/>
      <c r="K3614" s="3"/>
      <c r="L3614" s="3"/>
      <c r="M3614" s="3"/>
      <c r="N3614" s="3"/>
      <c r="O3614" s="3"/>
      <c r="P3614" s="3"/>
      <c r="Q3614" s="3"/>
      <c r="R3614" s="3"/>
      <c r="S3614" s="3"/>
      <c r="T3614" s="3"/>
      <c r="U3614" s="3"/>
      <c r="V3614" s="3"/>
      <c r="W3614" s="3"/>
      <c r="X3614" s="3"/>
      <c r="Y3614" s="3"/>
      <c r="Z3614" s="3"/>
      <c r="AA3614" s="3"/>
    </row>
    <row r="3615" ht="105.75" customHeight="1">
      <c r="A3615" s="11"/>
      <c r="B3615" s="12"/>
      <c r="C3615" s="11"/>
      <c r="D3615" s="13"/>
      <c r="E3615" s="14"/>
      <c r="F3615" s="14"/>
      <c r="G3615" s="14"/>
      <c r="H3615" s="15"/>
      <c r="I3615" s="15"/>
      <c r="J3615" s="3"/>
      <c r="K3615" s="3"/>
      <c r="L3615" s="3"/>
      <c r="M3615" s="3"/>
      <c r="N3615" s="3"/>
      <c r="O3615" s="3"/>
      <c r="P3615" s="3"/>
      <c r="Q3615" s="3"/>
      <c r="R3615" s="3"/>
      <c r="S3615" s="3"/>
      <c r="T3615" s="3"/>
      <c r="U3615" s="3"/>
      <c r="V3615" s="3"/>
      <c r="W3615" s="3"/>
      <c r="X3615" s="3"/>
      <c r="Y3615" s="3"/>
      <c r="Z3615" s="3"/>
      <c r="AA3615" s="3"/>
    </row>
    <row r="3616" ht="105.75" customHeight="1">
      <c r="A3616" s="11"/>
      <c r="B3616" s="12"/>
      <c r="C3616" s="11"/>
      <c r="D3616" s="13"/>
      <c r="E3616" s="14"/>
      <c r="F3616" s="14"/>
      <c r="G3616" s="14"/>
      <c r="H3616" s="15"/>
      <c r="I3616" s="15"/>
      <c r="J3616" s="3"/>
      <c r="K3616" s="3"/>
      <c r="L3616" s="3"/>
      <c r="M3616" s="3"/>
      <c r="N3616" s="3"/>
      <c r="O3616" s="3"/>
      <c r="P3616" s="3"/>
      <c r="Q3616" s="3"/>
      <c r="R3616" s="3"/>
      <c r="S3616" s="3"/>
      <c r="T3616" s="3"/>
      <c r="U3616" s="3"/>
      <c r="V3616" s="3"/>
      <c r="W3616" s="3"/>
      <c r="X3616" s="3"/>
      <c r="Y3616" s="3"/>
      <c r="Z3616" s="3"/>
      <c r="AA3616" s="3"/>
    </row>
    <row r="3617" ht="105.75" customHeight="1">
      <c r="A3617" s="11"/>
      <c r="B3617" s="12"/>
      <c r="C3617" s="11"/>
      <c r="D3617" s="13"/>
      <c r="E3617" s="14"/>
      <c r="F3617" s="14"/>
      <c r="G3617" s="14"/>
      <c r="H3617" s="15"/>
      <c r="I3617" s="15"/>
      <c r="J3617" s="3"/>
      <c r="K3617" s="3"/>
      <c r="L3617" s="3"/>
      <c r="M3617" s="3"/>
      <c r="N3617" s="3"/>
      <c r="O3617" s="3"/>
      <c r="P3617" s="3"/>
      <c r="Q3617" s="3"/>
      <c r="R3617" s="3"/>
      <c r="S3617" s="3"/>
      <c r="T3617" s="3"/>
      <c r="U3617" s="3"/>
      <c r="V3617" s="3"/>
      <c r="W3617" s="3"/>
      <c r="X3617" s="3"/>
      <c r="Y3617" s="3"/>
      <c r="Z3617" s="3"/>
      <c r="AA3617" s="3"/>
    </row>
    <row r="3618" ht="105.75" customHeight="1">
      <c r="A3618" s="11"/>
      <c r="B3618" s="12"/>
      <c r="C3618" s="11"/>
      <c r="D3618" s="13"/>
      <c r="E3618" s="14"/>
      <c r="F3618" s="14"/>
      <c r="G3618" s="14"/>
      <c r="H3618" s="15"/>
      <c r="I3618" s="15"/>
      <c r="J3618" s="3"/>
      <c r="K3618" s="3"/>
      <c r="L3618" s="3"/>
      <c r="M3618" s="3"/>
      <c r="N3618" s="3"/>
      <c r="O3618" s="3"/>
      <c r="P3618" s="3"/>
      <c r="Q3618" s="3"/>
      <c r="R3618" s="3"/>
      <c r="S3618" s="3"/>
      <c r="T3618" s="3"/>
      <c r="U3618" s="3"/>
      <c r="V3618" s="3"/>
      <c r="W3618" s="3"/>
      <c r="X3618" s="3"/>
      <c r="Y3618" s="3"/>
      <c r="Z3618" s="3"/>
      <c r="AA3618" s="3"/>
    </row>
    <row r="3619" ht="105.75" customHeight="1">
      <c r="A3619" s="11"/>
      <c r="B3619" s="12"/>
      <c r="C3619" s="11"/>
      <c r="D3619" s="13"/>
      <c r="E3619" s="14"/>
      <c r="F3619" s="14"/>
      <c r="G3619" s="14"/>
      <c r="H3619" s="15"/>
      <c r="I3619" s="15"/>
      <c r="J3619" s="3"/>
      <c r="K3619" s="3"/>
      <c r="L3619" s="3"/>
      <c r="M3619" s="3"/>
      <c r="N3619" s="3"/>
      <c r="O3619" s="3"/>
      <c r="P3619" s="3"/>
      <c r="Q3619" s="3"/>
      <c r="R3619" s="3"/>
      <c r="S3619" s="3"/>
      <c r="T3619" s="3"/>
      <c r="U3619" s="3"/>
      <c r="V3619" s="3"/>
      <c r="W3619" s="3"/>
      <c r="X3619" s="3"/>
      <c r="Y3619" s="3"/>
      <c r="Z3619" s="3"/>
      <c r="AA3619" s="3"/>
    </row>
    <row r="3620" ht="105.75" customHeight="1">
      <c r="A3620" s="11"/>
      <c r="B3620" s="12"/>
      <c r="C3620" s="11"/>
      <c r="D3620" s="13"/>
      <c r="E3620" s="14"/>
      <c r="F3620" s="14"/>
      <c r="G3620" s="14"/>
      <c r="H3620" s="15"/>
      <c r="I3620" s="15"/>
      <c r="J3620" s="3"/>
      <c r="K3620" s="3"/>
      <c r="L3620" s="3"/>
      <c r="M3620" s="3"/>
      <c r="N3620" s="3"/>
      <c r="O3620" s="3"/>
      <c r="P3620" s="3"/>
      <c r="Q3620" s="3"/>
      <c r="R3620" s="3"/>
      <c r="S3620" s="3"/>
      <c r="T3620" s="3"/>
      <c r="U3620" s="3"/>
      <c r="V3620" s="3"/>
      <c r="W3620" s="3"/>
      <c r="X3620" s="3"/>
      <c r="Y3620" s="3"/>
      <c r="Z3620" s="3"/>
      <c r="AA3620" s="3"/>
    </row>
    <row r="3621" ht="105.75" customHeight="1">
      <c r="A3621" s="11"/>
      <c r="B3621" s="12"/>
      <c r="C3621" s="11"/>
      <c r="D3621" s="13"/>
      <c r="E3621" s="16"/>
      <c r="F3621" s="16"/>
      <c r="G3621" s="16"/>
      <c r="H3621" s="15"/>
      <c r="I3621" s="15"/>
      <c r="J3621" s="3"/>
      <c r="K3621" s="3"/>
      <c r="L3621" s="3"/>
      <c r="M3621" s="3"/>
      <c r="N3621" s="3"/>
      <c r="O3621" s="3"/>
      <c r="P3621" s="3"/>
      <c r="Q3621" s="3"/>
      <c r="R3621" s="3"/>
      <c r="S3621" s="3"/>
      <c r="T3621" s="3"/>
      <c r="U3621" s="3"/>
      <c r="V3621" s="3"/>
      <c r="W3621" s="3"/>
      <c r="X3621" s="3"/>
      <c r="Y3621" s="3"/>
      <c r="Z3621" s="3"/>
      <c r="AA3621" s="3"/>
    </row>
    <row r="3622" ht="105.75" customHeight="1">
      <c r="A3622" s="11"/>
      <c r="B3622" s="12"/>
      <c r="C3622" s="11"/>
      <c r="D3622" s="13"/>
      <c r="E3622" s="14"/>
      <c r="F3622" s="14"/>
      <c r="G3622" s="14"/>
      <c r="H3622" s="15"/>
      <c r="I3622" s="15"/>
      <c r="J3622" s="3"/>
      <c r="K3622" s="3"/>
      <c r="L3622" s="3"/>
      <c r="M3622" s="3"/>
      <c r="N3622" s="3"/>
      <c r="O3622" s="3"/>
      <c r="P3622" s="3"/>
      <c r="Q3622" s="3"/>
      <c r="R3622" s="3"/>
      <c r="S3622" s="3"/>
      <c r="T3622" s="3"/>
      <c r="U3622" s="3"/>
      <c r="V3622" s="3"/>
      <c r="W3622" s="3"/>
      <c r="X3622" s="3"/>
      <c r="Y3622" s="3"/>
      <c r="Z3622" s="3"/>
      <c r="AA3622" s="3"/>
    </row>
    <row r="3623" ht="105.75" customHeight="1">
      <c r="A3623" s="11"/>
      <c r="B3623" s="12"/>
      <c r="C3623" s="11"/>
      <c r="D3623" s="13"/>
      <c r="E3623" s="14"/>
      <c r="F3623" s="14"/>
      <c r="G3623" s="14"/>
      <c r="H3623" s="15"/>
      <c r="I3623" s="15"/>
      <c r="J3623" s="3"/>
      <c r="K3623" s="3"/>
      <c r="L3623" s="3"/>
      <c r="M3623" s="3"/>
      <c r="N3623" s="3"/>
      <c r="O3623" s="3"/>
      <c r="P3623" s="3"/>
      <c r="Q3623" s="3"/>
      <c r="R3623" s="3"/>
      <c r="S3623" s="3"/>
      <c r="T3623" s="3"/>
      <c r="U3623" s="3"/>
      <c r="V3623" s="3"/>
      <c r="W3623" s="3"/>
      <c r="X3623" s="3"/>
      <c r="Y3623" s="3"/>
      <c r="Z3623" s="3"/>
      <c r="AA3623" s="3"/>
    </row>
    <row r="3624" ht="105.75" customHeight="1">
      <c r="A3624" s="11"/>
      <c r="B3624" s="12"/>
      <c r="C3624" s="11"/>
      <c r="D3624" s="13"/>
      <c r="E3624" s="14"/>
      <c r="F3624" s="14"/>
      <c r="G3624" s="14"/>
      <c r="H3624" s="15"/>
      <c r="I3624" s="15"/>
      <c r="J3624" s="3"/>
      <c r="K3624" s="3"/>
      <c r="L3624" s="3"/>
      <c r="M3624" s="3"/>
      <c r="N3624" s="3"/>
      <c r="O3624" s="3"/>
      <c r="P3624" s="3"/>
      <c r="Q3624" s="3"/>
      <c r="R3624" s="3"/>
      <c r="S3624" s="3"/>
      <c r="T3624" s="3"/>
      <c r="U3624" s="3"/>
      <c r="V3624" s="3"/>
      <c r="W3624" s="3"/>
      <c r="X3624" s="3"/>
      <c r="Y3624" s="3"/>
      <c r="Z3624" s="3"/>
      <c r="AA3624" s="3"/>
    </row>
    <row r="3625" ht="105.75" customHeight="1">
      <c r="A3625" s="11"/>
      <c r="B3625" s="12"/>
      <c r="C3625" s="11"/>
      <c r="D3625" s="13"/>
      <c r="E3625" s="14"/>
      <c r="F3625" s="14"/>
      <c r="G3625" s="14"/>
      <c r="H3625" s="15"/>
      <c r="I3625" s="15"/>
      <c r="J3625" s="3"/>
      <c r="K3625" s="3"/>
      <c r="L3625" s="3"/>
      <c r="M3625" s="3"/>
      <c r="N3625" s="3"/>
      <c r="O3625" s="3"/>
      <c r="P3625" s="3"/>
      <c r="Q3625" s="3"/>
      <c r="R3625" s="3"/>
      <c r="S3625" s="3"/>
      <c r="T3625" s="3"/>
      <c r="U3625" s="3"/>
      <c r="V3625" s="3"/>
      <c r="W3625" s="3"/>
      <c r="X3625" s="3"/>
      <c r="Y3625" s="3"/>
      <c r="Z3625" s="3"/>
      <c r="AA3625" s="3"/>
    </row>
    <row r="3626" ht="105.75" customHeight="1">
      <c r="A3626" s="11"/>
      <c r="B3626" s="12"/>
      <c r="C3626" s="11"/>
      <c r="D3626" s="13"/>
      <c r="E3626" s="14"/>
      <c r="F3626" s="14"/>
      <c r="G3626" s="14"/>
      <c r="H3626" s="15"/>
      <c r="I3626" s="15"/>
      <c r="J3626" s="3"/>
      <c r="K3626" s="3"/>
      <c r="L3626" s="3"/>
      <c r="M3626" s="3"/>
      <c r="N3626" s="3"/>
      <c r="O3626" s="3"/>
      <c r="P3626" s="3"/>
      <c r="Q3626" s="3"/>
      <c r="R3626" s="3"/>
      <c r="S3626" s="3"/>
      <c r="T3626" s="3"/>
      <c r="U3626" s="3"/>
      <c r="V3626" s="3"/>
      <c r="W3626" s="3"/>
      <c r="X3626" s="3"/>
      <c r="Y3626" s="3"/>
      <c r="Z3626" s="3"/>
      <c r="AA3626" s="3"/>
    </row>
    <row r="3627" ht="105.75" customHeight="1">
      <c r="A3627" s="11"/>
      <c r="B3627" s="12"/>
      <c r="C3627" s="11"/>
      <c r="D3627" s="13"/>
      <c r="E3627" s="14"/>
      <c r="F3627" s="14"/>
      <c r="G3627" s="14"/>
      <c r="H3627" s="15"/>
      <c r="I3627" s="15"/>
      <c r="J3627" s="3"/>
      <c r="K3627" s="3"/>
      <c r="L3627" s="3"/>
      <c r="M3627" s="3"/>
      <c r="N3627" s="3"/>
      <c r="O3627" s="3"/>
      <c r="P3627" s="3"/>
      <c r="Q3627" s="3"/>
      <c r="R3627" s="3"/>
      <c r="S3627" s="3"/>
      <c r="T3627" s="3"/>
      <c r="U3627" s="3"/>
      <c r="V3627" s="3"/>
      <c r="W3627" s="3"/>
      <c r="X3627" s="3"/>
      <c r="Y3627" s="3"/>
      <c r="Z3627" s="3"/>
      <c r="AA3627" s="3"/>
    </row>
    <row r="3628" ht="105.75" customHeight="1">
      <c r="A3628" s="11"/>
      <c r="B3628" s="12"/>
      <c r="C3628" s="11"/>
      <c r="D3628" s="13"/>
      <c r="E3628" s="14"/>
      <c r="F3628" s="14"/>
      <c r="G3628" s="14"/>
      <c r="H3628" s="15"/>
      <c r="I3628" s="15"/>
      <c r="J3628" s="3"/>
      <c r="K3628" s="3"/>
      <c r="L3628" s="3"/>
      <c r="M3628" s="3"/>
      <c r="N3628" s="3"/>
      <c r="O3628" s="3"/>
      <c r="P3628" s="3"/>
      <c r="Q3628" s="3"/>
      <c r="R3628" s="3"/>
      <c r="S3628" s="3"/>
      <c r="T3628" s="3"/>
      <c r="U3628" s="3"/>
      <c r="V3628" s="3"/>
      <c r="W3628" s="3"/>
      <c r="X3628" s="3"/>
      <c r="Y3628" s="3"/>
      <c r="Z3628" s="3"/>
      <c r="AA3628" s="3"/>
    </row>
    <row r="3629" ht="105.75" customHeight="1">
      <c r="A3629" s="11"/>
      <c r="B3629" s="12"/>
      <c r="C3629" s="11"/>
      <c r="D3629" s="13"/>
      <c r="E3629" s="16"/>
      <c r="F3629" s="16"/>
      <c r="G3629" s="16"/>
      <c r="H3629" s="15"/>
      <c r="I3629" s="15"/>
      <c r="J3629" s="3"/>
      <c r="K3629" s="3"/>
      <c r="L3629" s="3"/>
      <c r="M3629" s="3"/>
      <c r="N3629" s="3"/>
      <c r="O3629" s="3"/>
      <c r="P3629" s="3"/>
      <c r="Q3629" s="3"/>
      <c r="R3629" s="3"/>
      <c r="S3629" s="3"/>
      <c r="T3629" s="3"/>
      <c r="U3629" s="3"/>
      <c r="V3629" s="3"/>
      <c r="W3629" s="3"/>
      <c r="X3629" s="3"/>
      <c r="Y3629" s="3"/>
      <c r="Z3629" s="3"/>
      <c r="AA3629" s="3"/>
    </row>
    <row r="3630" ht="105.75" customHeight="1">
      <c r="A3630" s="11"/>
      <c r="B3630" s="12"/>
      <c r="C3630" s="11"/>
      <c r="D3630" s="13"/>
      <c r="E3630" s="14"/>
      <c r="F3630" s="14"/>
      <c r="G3630" s="14"/>
      <c r="H3630" s="15"/>
      <c r="I3630" s="15"/>
      <c r="J3630" s="3"/>
      <c r="K3630" s="3"/>
      <c r="L3630" s="3"/>
      <c r="M3630" s="3"/>
      <c r="N3630" s="3"/>
      <c r="O3630" s="3"/>
      <c r="P3630" s="3"/>
      <c r="Q3630" s="3"/>
      <c r="R3630" s="3"/>
      <c r="S3630" s="3"/>
      <c r="T3630" s="3"/>
      <c r="U3630" s="3"/>
      <c r="V3630" s="3"/>
      <c r="W3630" s="3"/>
      <c r="X3630" s="3"/>
      <c r="Y3630" s="3"/>
      <c r="Z3630" s="3"/>
      <c r="AA3630" s="3"/>
    </row>
    <row r="3631" ht="105.75" customHeight="1">
      <c r="A3631" s="11"/>
      <c r="B3631" s="12"/>
      <c r="C3631" s="11"/>
      <c r="D3631" s="13"/>
      <c r="E3631" s="14"/>
      <c r="F3631" s="14"/>
      <c r="G3631" s="14"/>
      <c r="H3631" s="15"/>
      <c r="I3631" s="15"/>
      <c r="J3631" s="3"/>
      <c r="K3631" s="3"/>
      <c r="L3631" s="3"/>
      <c r="M3631" s="3"/>
      <c r="N3631" s="3"/>
      <c r="O3631" s="3"/>
      <c r="P3631" s="3"/>
      <c r="Q3631" s="3"/>
      <c r="R3631" s="3"/>
      <c r="S3631" s="3"/>
      <c r="T3631" s="3"/>
      <c r="U3631" s="3"/>
      <c r="V3631" s="3"/>
      <c r="W3631" s="3"/>
      <c r="X3631" s="3"/>
      <c r="Y3631" s="3"/>
      <c r="Z3631" s="3"/>
      <c r="AA3631" s="3"/>
    </row>
    <row r="3632" ht="105.75" customHeight="1">
      <c r="A3632" s="11"/>
      <c r="B3632" s="12"/>
      <c r="C3632" s="11"/>
      <c r="D3632" s="13"/>
      <c r="E3632" s="16"/>
      <c r="F3632" s="16"/>
      <c r="G3632" s="16"/>
      <c r="H3632" s="15"/>
      <c r="I3632" s="15"/>
      <c r="J3632" s="3"/>
      <c r="K3632" s="3"/>
      <c r="L3632" s="3"/>
      <c r="M3632" s="3"/>
      <c r="N3632" s="3"/>
      <c r="O3632" s="3"/>
      <c r="P3632" s="3"/>
      <c r="Q3632" s="3"/>
      <c r="R3632" s="3"/>
      <c r="S3632" s="3"/>
      <c r="T3632" s="3"/>
      <c r="U3632" s="3"/>
      <c r="V3632" s="3"/>
      <c r="W3632" s="3"/>
      <c r="X3632" s="3"/>
      <c r="Y3632" s="3"/>
      <c r="Z3632" s="3"/>
      <c r="AA3632" s="3"/>
    </row>
    <row r="3633" ht="105.75" customHeight="1">
      <c r="A3633" s="11"/>
      <c r="B3633" s="12"/>
      <c r="C3633" s="11"/>
      <c r="D3633" s="13"/>
      <c r="E3633" s="14"/>
      <c r="F3633" s="14"/>
      <c r="G3633" s="14"/>
      <c r="H3633" s="15"/>
      <c r="I3633" s="15"/>
      <c r="J3633" s="3"/>
      <c r="K3633" s="3"/>
      <c r="L3633" s="3"/>
      <c r="M3633" s="3"/>
      <c r="N3633" s="3"/>
      <c r="O3633" s="3"/>
      <c r="P3633" s="3"/>
      <c r="Q3633" s="3"/>
      <c r="R3633" s="3"/>
      <c r="S3633" s="3"/>
      <c r="T3633" s="3"/>
      <c r="U3633" s="3"/>
      <c r="V3633" s="3"/>
      <c r="W3633" s="3"/>
      <c r="X3633" s="3"/>
      <c r="Y3633" s="3"/>
      <c r="Z3633" s="3"/>
      <c r="AA3633" s="3"/>
    </row>
    <row r="3634" ht="105.75" customHeight="1">
      <c r="A3634" s="11"/>
      <c r="B3634" s="12"/>
      <c r="C3634" s="11"/>
      <c r="D3634" s="13"/>
      <c r="E3634" s="16"/>
      <c r="F3634" s="16"/>
      <c r="G3634" s="16"/>
      <c r="H3634" s="15"/>
      <c r="I3634" s="15"/>
      <c r="J3634" s="3"/>
      <c r="K3634" s="3"/>
      <c r="L3634" s="3"/>
      <c r="M3634" s="3"/>
      <c r="N3634" s="3"/>
      <c r="O3634" s="3"/>
      <c r="P3634" s="3"/>
      <c r="Q3634" s="3"/>
      <c r="R3634" s="3"/>
      <c r="S3634" s="3"/>
      <c r="T3634" s="3"/>
      <c r="U3634" s="3"/>
      <c r="V3634" s="3"/>
      <c r="W3634" s="3"/>
      <c r="X3634" s="3"/>
      <c r="Y3634" s="3"/>
      <c r="Z3634" s="3"/>
      <c r="AA3634" s="3"/>
    </row>
    <row r="3635" ht="105.75" customHeight="1">
      <c r="A3635" s="11"/>
      <c r="B3635" s="12"/>
      <c r="C3635" s="11"/>
      <c r="D3635" s="13"/>
      <c r="E3635" s="16"/>
      <c r="F3635" s="16"/>
      <c r="G3635" s="16"/>
      <c r="H3635" s="15"/>
      <c r="I3635" s="15"/>
      <c r="J3635" s="3"/>
      <c r="K3635" s="3"/>
      <c r="L3635" s="3"/>
      <c r="M3635" s="3"/>
      <c r="N3635" s="3"/>
      <c r="O3635" s="3"/>
      <c r="P3635" s="3"/>
      <c r="Q3635" s="3"/>
      <c r="R3635" s="3"/>
      <c r="S3635" s="3"/>
      <c r="T3635" s="3"/>
      <c r="U3635" s="3"/>
      <c r="V3635" s="3"/>
      <c r="W3635" s="3"/>
      <c r="X3635" s="3"/>
      <c r="Y3635" s="3"/>
      <c r="Z3635" s="3"/>
      <c r="AA3635" s="3"/>
    </row>
    <row r="3636" ht="105.75" customHeight="1">
      <c r="A3636" s="11"/>
      <c r="B3636" s="12"/>
      <c r="C3636" s="11"/>
      <c r="D3636" s="13"/>
      <c r="E3636" s="14"/>
      <c r="F3636" s="14"/>
      <c r="G3636" s="14"/>
      <c r="H3636" s="15"/>
      <c r="I3636" s="15"/>
      <c r="J3636" s="3"/>
      <c r="K3636" s="3"/>
      <c r="L3636" s="3"/>
      <c r="M3636" s="3"/>
      <c r="N3636" s="3"/>
      <c r="O3636" s="3"/>
      <c r="P3636" s="3"/>
      <c r="Q3636" s="3"/>
      <c r="R3636" s="3"/>
      <c r="S3636" s="3"/>
      <c r="T3636" s="3"/>
      <c r="U3636" s="3"/>
      <c r="V3636" s="3"/>
      <c r="W3636" s="3"/>
      <c r="X3636" s="3"/>
      <c r="Y3636" s="3"/>
      <c r="Z3636" s="3"/>
      <c r="AA3636" s="3"/>
    </row>
    <row r="3637" ht="105.75" customHeight="1">
      <c r="A3637" s="11"/>
      <c r="B3637" s="12"/>
      <c r="C3637" s="11"/>
      <c r="D3637" s="13"/>
      <c r="E3637" s="14"/>
      <c r="F3637" s="14"/>
      <c r="G3637" s="14"/>
      <c r="H3637" s="15"/>
      <c r="I3637" s="15"/>
      <c r="J3637" s="3"/>
      <c r="K3637" s="3"/>
      <c r="L3637" s="3"/>
      <c r="M3637" s="3"/>
      <c r="N3637" s="3"/>
      <c r="O3637" s="3"/>
      <c r="P3637" s="3"/>
      <c r="Q3637" s="3"/>
      <c r="R3637" s="3"/>
      <c r="S3637" s="3"/>
      <c r="T3637" s="3"/>
      <c r="U3637" s="3"/>
      <c r="V3637" s="3"/>
      <c r="W3637" s="3"/>
      <c r="X3637" s="3"/>
      <c r="Y3637" s="3"/>
      <c r="Z3637" s="3"/>
      <c r="AA3637" s="3"/>
    </row>
    <row r="3638" ht="105.75" customHeight="1">
      <c r="A3638" s="11"/>
      <c r="B3638" s="12"/>
      <c r="C3638" s="11"/>
      <c r="D3638" s="13"/>
      <c r="E3638" s="14"/>
      <c r="F3638" s="14"/>
      <c r="G3638" s="14"/>
      <c r="H3638" s="15"/>
      <c r="I3638" s="15"/>
      <c r="J3638" s="3"/>
      <c r="K3638" s="3"/>
      <c r="L3638" s="3"/>
      <c r="M3638" s="3"/>
      <c r="N3638" s="3"/>
      <c r="O3638" s="3"/>
      <c r="P3638" s="3"/>
      <c r="Q3638" s="3"/>
      <c r="R3638" s="3"/>
      <c r="S3638" s="3"/>
      <c r="T3638" s="3"/>
      <c r="U3638" s="3"/>
      <c r="V3638" s="3"/>
      <c r="W3638" s="3"/>
      <c r="X3638" s="3"/>
      <c r="Y3638" s="3"/>
      <c r="Z3638" s="3"/>
      <c r="AA3638" s="3"/>
    </row>
    <row r="3639" ht="105.75" customHeight="1">
      <c r="A3639" s="11"/>
      <c r="B3639" s="12"/>
      <c r="C3639" s="11"/>
      <c r="D3639" s="13"/>
      <c r="E3639" s="14"/>
      <c r="F3639" s="14"/>
      <c r="G3639" s="14"/>
      <c r="H3639" s="15"/>
      <c r="I3639" s="15"/>
      <c r="J3639" s="3"/>
      <c r="K3639" s="3"/>
      <c r="L3639" s="3"/>
      <c r="M3639" s="3"/>
      <c r="N3639" s="3"/>
      <c r="O3639" s="3"/>
      <c r="P3639" s="3"/>
      <c r="Q3639" s="3"/>
      <c r="R3639" s="3"/>
      <c r="S3639" s="3"/>
      <c r="T3639" s="3"/>
      <c r="U3639" s="3"/>
      <c r="V3639" s="3"/>
      <c r="W3639" s="3"/>
      <c r="X3639" s="3"/>
      <c r="Y3639" s="3"/>
      <c r="Z3639" s="3"/>
      <c r="AA3639" s="3"/>
    </row>
    <row r="3640" ht="105.75" customHeight="1">
      <c r="A3640" s="11"/>
      <c r="B3640" s="12"/>
      <c r="C3640" s="11"/>
      <c r="D3640" s="13"/>
      <c r="E3640" s="14"/>
      <c r="F3640" s="14"/>
      <c r="G3640" s="14"/>
      <c r="H3640" s="15"/>
      <c r="I3640" s="15"/>
      <c r="J3640" s="3"/>
      <c r="K3640" s="3"/>
      <c r="L3640" s="3"/>
      <c r="M3640" s="3"/>
      <c r="N3640" s="3"/>
      <c r="O3640" s="3"/>
      <c r="P3640" s="3"/>
      <c r="Q3640" s="3"/>
      <c r="R3640" s="3"/>
      <c r="S3640" s="3"/>
      <c r="T3640" s="3"/>
      <c r="U3640" s="3"/>
      <c r="V3640" s="3"/>
      <c r="W3640" s="3"/>
      <c r="X3640" s="3"/>
      <c r="Y3640" s="3"/>
      <c r="Z3640" s="3"/>
      <c r="AA3640" s="3"/>
    </row>
    <row r="3641" ht="105.75" customHeight="1">
      <c r="A3641" s="11"/>
      <c r="B3641" s="12"/>
      <c r="C3641" s="11"/>
      <c r="D3641" s="13"/>
      <c r="E3641" s="16"/>
      <c r="F3641" s="16"/>
      <c r="G3641" s="16"/>
      <c r="H3641" s="15"/>
      <c r="I3641" s="15"/>
      <c r="J3641" s="3"/>
      <c r="K3641" s="3"/>
      <c r="L3641" s="3"/>
      <c r="M3641" s="3"/>
      <c r="N3641" s="3"/>
      <c r="O3641" s="3"/>
      <c r="P3641" s="3"/>
      <c r="Q3641" s="3"/>
      <c r="R3641" s="3"/>
      <c r="S3641" s="3"/>
      <c r="T3641" s="3"/>
      <c r="U3641" s="3"/>
      <c r="V3641" s="3"/>
      <c r="W3641" s="3"/>
      <c r="X3641" s="3"/>
      <c r="Y3641" s="3"/>
      <c r="Z3641" s="3"/>
      <c r="AA3641" s="3"/>
    </row>
    <row r="3642" ht="105.75" customHeight="1">
      <c r="A3642" s="11"/>
      <c r="B3642" s="12"/>
      <c r="C3642" s="11"/>
      <c r="D3642" s="13"/>
      <c r="E3642" s="14"/>
      <c r="F3642" s="14"/>
      <c r="G3642" s="14"/>
      <c r="H3642" s="15"/>
      <c r="I3642" s="15"/>
      <c r="J3642" s="3"/>
      <c r="K3642" s="3"/>
      <c r="L3642" s="3"/>
      <c r="M3642" s="3"/>
      <c r="N3642" s="3"/>
      <c r="O3642" s="3"/>
      <c r="P3642" s="3"/>
      <c r="Q3642" s="3"/>
      <c r="R3642" s="3"/>
      <c r="S3642" s="3"/>
      <c r="T3642" s="3"/>
      <c r="U3642" s="3"/>
      <c r="V3642" s="3"/>
      <c r="W3642" s="3"/>
      <c r="X3642" s="3"/>
      <c r="Y3642" s="3"/>
      <c r="Z3642" s="3"/>
      <c r="AA3642" s="3"/>
    </row>
    <row r="3643" ht="105.75" customHeight="1">
      <c r="A3643" s="11"/>
      <c r="B3643" s="12"/>
      <c r="C3643" s="11"/>
      <c r="D3643" s="13"/>
      <c r="E3643" s="14"/>
      <c r="F3643" s="14"/>
      <c r="G3643" s="14"/>
      <c r="H3643" s="15"/>
      <c r="I3643" s="15"/>
      <c r="J3643" s="3"/>
      <c r="K3643" s="3"/>
      <c r="L3643" s="3"/>
      <c r="M3643" s="3"/>
      <c r="N3643" s="3"/>
      <c r="O3643" s="3"/>
      <c r="P3643" s="3"/>
      <c r="Q3643" s="3"/>
      <c r="R3643" s="3"/>
      <c r="S3643" s="3"/>
      <c r="T3643" s="3"/>
      <c r="U3643" s="3"/>
      <c r="V3643" s="3"/>
      <c r="W3643" s="3"/>
      <c r="X3643" s="3"/>
      <c r="Y3643" s="3"/>
      <c r="Z3643" s="3"/>
      <c r="AA3643" s="3"/>
    </row>
    <row r="3644" ht="105.75" customHeight="1">
      <c r="A3644" s="11"/>
      <c r="B3644" s="12"/>
      <c r="C3644" s="11"/>
      <c r="D3644" s="13"/>
      <c r="E3644" s="14"/>
      <c r="F3644" s="14"/>
      <c r="G3644" s="14"/>
      <c r="H3644" s="15"/>
      <c r="I3644" s="15"/>
      <c r="J3644" s="3"/>
      <c r="K3644" s="3"/>
      <c r="L3644" s="3"/>
      <c r="M3644" s="3"/>
      <c r="N3644" s="3"/>
      <c r="O3644" s="3"/>
      <c r="P3644" s="3"/>
      <c r="Q3644" s="3"/>
      <c r="R3644" s="3"/>
      <c r="S3644" s="3"/>
      <c r="T3644" s="3"/>
      <c r="U3644" s="3"/>
      <c r="V3644" s="3"/>
      <c r="W3644" s="3"/>
      <c r="X3644" s="3"/>
      <c r="Y3644" s="3"/>
      <c r="Z3644" s="3"/>
      <c r="AA3644" s="3"/>
    </row>
    <row r="3645" ht="105.75" customHeight="1">
      <c r="A3645" s="11"/>
      <c r="B3645" s="12"/>
      <c r="C3645" s="11"/>
      <c r="D3645" s="13"/>
      <c r="E3645" s="14"/>
      <c r="F3645" s="14"/>
      <c r="G3645" s="14"/>
      <c r="H3645" s="15"/>
      <c r="I3645" s="15"/>
      <c r="J3645" s="3"/>
      <c r="K3645" s="3"/>
      <c r="L3645" s="3"/>
      <c r="M3645" s="3"/>
      <c r="N3645" s="3"/>
      <c r="O3645" s="3"/>
      <c r="P3645" s="3"/>
      <c r="Q3645" s="3"/>
      <c r="R3645" s="3"/>
      <c r="S3645" s="3"/>
      <c r="T3645" s="3"/>
      <c r="U3645" s="3"/>
      <c r="V3645" s="3"/>
      <c r="W3645" s="3"/>
      <c r="X3645" s="3"/>
      <c r="Y3645" s="3"/>
      <c r="Z3645" s="3"/>
      <c r="AA3645" s="3"/>
    </row>
    <row r="3646" ht="105.75" customHeight="1">
      <c r="A3646" s="11"/>
      <c r="B3646" s="12"/>
      <c r="C3646" s="11"/>
      <c r="D3646" s="13"/>
      <c r="E3646" s="14"/>
      <c r="F3646" s="14"/>
      <c r="G3646" s="14"/>
      <c r="H3646" s="15"/>
      <c r="I3646" s="15"/>
      <c r="J3646" s="3"/>
      <c r="K3646" s="3"/>
      <c r="L3646" s="3"/>
      <c r="M3646" s="3"/>
      <c r="N3646" s="3"/>
      <c r="O3646" s="3"/>
      <c r="P3646" s="3"/>
      <c r="Q3646" s="3"/>
      <c r="R3646" s="3"/>
      <c r="S3646" s="3"/>
      <c r="T3646" s="3"/>
      <c r="U3646" s="3"/>
      <c r="V3646" s="3"/>
      <c r="W3646" s="3"/>
      <c r="X3646" s="3"/>
      <c r="Y3646" s="3"/>
      <c r="Z3646" s="3"/>
      <c r="AA3646" s="3"/>
    </row>
    <row r="3647" ht="105.75" customHeight="1">
      <c r="A3647" s="11"/>
      <c r="B3647" s="12"/>
      <c r="C3647" s="11"/>
      <c r="D3647" s="13"/>
      <c r="E3647" s="14"/>
      <c r="F3647" s="14"/>
      <c r="G3647" s="14"/>
      <c r="H3647" s="15"/>
      <c r="I3647" s="15"/>
      <c r="J3647" s="3"/>
      <c r="K3647" s="3"/>
      <c r="L3647" s="3"/>
      <c r="M3647" s="3"/>
      <c r="N3647" s="3"/>
      <c r="O3647" s="3"/>
      <c r="P3647" s="3"/>
      <c r="Q3647" s="3"/>
      <c r="R3647" s="3"/>
      <c r="S3647" s="3"/>
      <c r="T3647" s="3"/>
      <c r="U3647" s="3"/>
      <c r="V3647" s="3"/>
      <c r="W3647" s="3"/>
      <c r="X3647" s="3"/>
      <c r="Y3647" s="3"/>
      <c r="Z3647" s="3"/>
      <c r="AA3647" s="3"/>
    </row>
    <row r="3648" ht="105.75" customHeight="1">
      <c r="A3648" s="11"/>
      <c r="B3648" s="12"/>
      <c r="C3648" s="11"/>
      <c r="D3648" s="13"/>
      <c r="E3648" s="14"/>
      <c r="F3648" s="14"/>
      <c r="G3648" s="14"/>
      <c r="H3648" s="15"/>
      <c r="I3648" s="15"/>
      <c r="J3648" s="3"/>
      <c r="K3648" s="3"/>
      <c r="L3648" s="3"/>
      <c r="M3648" s="3"/>
      <c r="N3648" s="3"/>
      <c r="O3648" s="3"/>
      <c r="P3648" s="3"/>
      <c r="Q3648" s="3"/>
      <c r="R3648" s="3"/>
      <c r="S3648" s="3"/>
      <c r="T3648" s="3"/>
      <c r="U3648" s="3"/>
      <c r="V3648" s="3"/>
      <c r="W3648" s="3"/>
      <c r="X3648" s="3"/>
      <c r="Y3648" s="3"/>
      <c r="Z3648" s="3"/>
      <c r="AA3648" s="3"/>
    </row>
    <row r="3649" ht="105.75" customHeight="1">
      <c r="A3649" s="11"/>
      <c r="B3649" s="12"/>
      <c r="C3649" s="11"/>
      <c r="D3649" s="13"/>
      <c r="E3649" s="14"/>
      <c r="F3649" s="14"/>
      <c r="G3649" s="14"/>
      <c r="H3649" s="15"/>
      <c r="I3649" s="15"/>
      <c r="J3649" s="3"/>
      <c r="K3649" s="3"/>
      <c r="L3649" s="3"/>
      <c r="M3649" s="3"/>
      <c r="N3649" s="3"/>
      <c r="O3649" s="3"/>
      <c r="P3649" s="3"/>
      <c r="Q3649" s="3"/>
      <c r="R3649" s="3"/>
      <c r="S3649" s="3"/>
      <c r="T3649" s="3"/>
      <c r="U3649" s="3"/>
      <c r="V3649" s="3"/>
      <c r="W3649" s="3"/>
      <c r="X3649" s="3"/>
      <c r="Y3649" s="3"/>
      <c r="Z3649" s="3"/>
      <c r="AA3649" s="3"/>
    </row>
    <row r="3650" ht="105.75" customHeight="1">
      <c r="A3650" s="11"/>
      <c r="B3650" s="12"/>
      <c r="C3650" s="11"/>
      <c r="D3650" s="13"/>
      <c r="E3650" s="14"/>
      <c r="F3650" s="14"/>
      <c r="G3650" s="14"/>
      <c r="H3650" s="15"/>
      <c r="I3650" s="15"/>
      <c r="J3650" s="3"/>
      <c r="K3650" s="3"/>
      <c r="L3650" s="3"/>
      <c r="M3650" s="3"/>
      <c r="N3650" s="3"/>
      <c r="O3650" s="3"/>
      <c r="P3650" s="3"/>
      <c r="Q3650" s="3"/>
      <c r="R3650" s="3"/>
      <c r="S3650" s="3"/>
      <c r="T3650" s="3"/>
      <c r="U3650" s="3"/>
      <c r="V3650" s="3"/>
      <c r="W3650" s="3"/>
      <c r="X3650" s="3"/>
      <c r="Y3650" s="3"/>
      <c r="Z3650" s="3"/>
      <c r="AA3650" s="3"/>
    </row>
    <row r="3651" ht="105.75" customHeight="1">
      <c r="A3651" s="11"/>
      <c r="B3651" s="12"/>
      <c r="C3651" s="11"/>
      <c r="D3651" s="13"/>
      <c r="E3651" s="14"/>
      <c r="F3651" s="14"/>
      <c r="G3651" s="14"/>
      <c r="H3651" s="15"/>
      <c r="I3651" s="15"/>
      <c r="J3651" s="3"/>
      <c r="K3651" s="3"/>
      <c r="L3651" s="3"/>
      <c r="M3651" s="3"/>
      <c r="N3651" s="3"/>
      <c r="O3651" s="3"/>
      <c r="P3651" s="3"/>
      <c r="Q3651" s="3"/>
      <c r="R3651" s="3"/>
      <c r="S3651" s="3"/>
      <c r="T3651" s="3"/>
      <c r="U3651" s="3"/>
      <c r="V3651" s="3"/>
      <c r="W3651" s="3"/>
      <c r="X3651" s="3"/>
      <c r="Y3651" s="3"/>
      <c r="Z3651" s="3"/>
      <c r="AA3651" s="3"/>
    </row>
    <row r="3652" ht="105.75" customHeight="1">
      <c r="A3652" s="11"/>
      <c r="B3652" s="12"/>
      <c r="C3652" s="11"/>
      <c r="D3652" s="13"/>
      <c r="E3652" s="14"/>
      <c r="F3652" s="14"/>
      <c r="G3652" s="14"/>
      <c r="H3652" s="15"/>
      <c r="I3652" s="15"/>
      <c r="J3652" s="3"/>
      <c r="K3652" s="3"/>
      <c r="L3652" s="3"/>
      <c r="M3652" s="3"/>
      <c r="N3652" s="3"/>
      <c r="O3652" s="3"/>
      <c r="P3652" s="3"/>
      <c r="Q3652" s="3"/>
      <c r="R3652" s="3"/>
      <c r="S3652" s="3"/>
      <c r="T3652" s="3"/>
      <c r="U3652" s="3"/>
      <c r="V3652" s="3"/>
      <c r="W3652" s="3"/>
      <c r="X3652" s="3"/>
      <c r="Y3652" s="3"/>
      <c r="Z3652" s="3"/>
      <c r="AA3652" s="3"/>
    </row>
    <row r="3653" ht="105.75" customHeight="1">
      <c r="A3653" s="11"/>
      <c r="B3653" s="12"/>
      <c r="C3653" s="11"/>
      <c r="D3653" s="13"/>
      <c r="E3653" s="14"/>
      <c r="F3653" s="14"/>
      <c r="G3653" s="14"/>
      <c r="H3653" s="15"/>
      <c r="I3653" s="15"/>
      <c r="J3653" s="3"/>
      <c r="K3653" s="3"/>
      <c r="L3653" s="3"/>
      <c r="M3653" s="3"/>
      <c r="N3653" s="3"/>
      <c r="O3653" s="3"/>
      <c r="P3653" s="3"/>
      <c r="Q3653" s="3"/>
      <c r="R3653" s="3"/>
      <c r="S3653" s="3"/>
      <c r="T3653" s="3"/>
      <c r="U3653" s="3"/>
      <c r="V3653" s="3"/>
      <c r="W3653" s="3"/>
      <c r="X3653" s="3"/>
      <c r="Y3653" s="3"/>
      <c r="Z3653" s="3"/>
      <c r="AA3653" s="3"/>
    </row>
    <row r="3654" ht="105.75" customHeight="1">
      <c r="A3654" s="11"/>
      <c r="B3654" s="12"/>
      <c r="C3654" s="11"/>
      <c r="D3654" s="13"/>
      <c r="E3654" s="16"/>
      <c r="F3654" s="16"/>
      <c r="G3654" s="16"/>
      <c r="H3654" s="15"/>
      <c r="I3654" s="15"/>
      <c r="J3654" s="3"/>
      <c r="K3654" s="3"/>
      <c r="L3654" s="3"/>
      <c r="M3654" s="3"/>
      <c r="N3654" s="3"/>
      <c r="O3654" s="3"/>
      <c r="P3654" s="3"/>
      <c r="Q3654" s="3"/>
      <c r="R3654" s="3"/>
      <c r="S3654" s="3"/>
      <c r="T3654" s="3"/>
      <c r="U3654" s="3"/>
      <c r="V3654" s="3"/>
      <c r="W3654" s="3"/>
      <c r="X3654" s="3"/>
      <c r="Y3654" s="3"/>
      <c r="Z3654" s="3"/>
      <c r="AA3654" s="3"/>
    </row>
    <row r="3655" ht="105.75" customHeight="1">
      <c r="A3655" s="11"/>
      <c r="B3655" s="12"/>
      <c r="C3655" s="11"/>
      <c r="D3655" s="13"/>
      <c r="E3655" s="14"/>
      <c r="F3655" s="14"/>
      <c r="G3655" s="14"/>
      <c r="H3655" s="15"/>
      <c r="I3655" s="15"/>
      <c r="J3655" s="3"/>
      <c r="K3655" s="3"/>
      <c r="L3655" s="3"/>
      <c r="M3655" s="3"/>
      <c r="N3655" s="3"/>
      <c r="O3655" s="3"/>
      <c r="P3655" s="3"/>
      <c r="Q3655" s="3"/>
      <c r="R3655" s="3"/>
      <c r="S3655" s="3"/>
      <c r="T3655" s="3"/>
      <c r="U3655" s="3"/>
      <c r="V3655" s="3"/>
      <c r="W3655" s="3"/>
      <c r="X3655" s="3"/>
      <c r="Y3655" s="3"/>
      <c r="Z3655" s="3"/>
      <c r="AA3655" s="3"/>
    </row>
    <row r="3656" ht="105.75" customHeight="1">
      <c r="A3656" s="11"/>
      <c r="B3656" s="12"/>
      <c r="C3656" s="11"/>
      <c r="D3656" s="13"/>
      <c r="E3656" s="14"/>
      <c r="F3656" s="14"/>
      <c r="G3656" s="14"/>
      <c r="H3656" s="15"/>
      <c r="I3656" s="15"/>
      <c r="J3656" s="3"/>
      <c r="K3656" s="3"/>
      <c r="L3656" s="3"/>
      <c r="M3656" s="3"/>
      <c r="N3656" s="3"/>
      <c r="O3656" s="3"/>
      <c r="P3656" s="3"/>
      <c r="Q3656" s="3"/>
      <c r="R3656" s="3"/>
      <c r="S3656" s="3"/>
      <c r="T3656" s="3"/>
      <c r="U3656" s="3"/>
      <c r="V3656" s="3"/>
      <c r="W3656" s="3"/>
      <c r="X3656" s="3"/>
      <c r="Y3656" s="3"/>
      <c r="Z3656" s="3"/>
      <c r="AA3656" s="3"/>
    </row>
    <row r="3657" ht="105.75" customHeight="1">
      <c r="A3657" s="11"/>
      <c r="B3657" s="12"/>
      <c r="C3657" s="11"/>
      <c r="D3657" s="13"/>
      <c r="E3657" s="14"/>
      <c r="F3657" s="14"/>
      <c r="G3657" s="14"/>
      <c r="H3657" s="15"/>
      <c r="I3657" s="15"/>
      <c r="J3657" s="3"/>
      <c r="K3657" s="3"/>
      <c r="L3657" s="3"/>
      <c r="M3657" s="3"/>
      <c r="N3657" s="3"/>
      <c r="O3657" s="3"/>
      <c r="P3657" s="3"/>
      <c r="Q3657" s="3"/>
      <c r="R3657" s="3"/>
      <c r="S3657" s="3"/>
      <c r="T3657" s="3"/>
      <c r="U3657" s="3"/>
      <c r="V3657" s="3"/>
      <c r="W3657" s="3"/>
      <c r="X3657" s="3"/>
      <c r="Y3657" s="3"/>
      <c r="Z3657" s="3"/>
      <c r="AA3657" s="3"/>
    </row>
    <row r="3658" ht="105.75" customHeight="1">
      <c r="A3658" s="11"/>
      <c r="B3658" s="12"/>
      <c r="C3658" s="11"/>
      <c r="D3658" s="13"/>
      <c r="E3658" s="14"/>
      <c r="F3658" s="14"/>
      <c r="G3658" s="14"/>
      <c r="H3658" s="15"/>
      <c r="I3658" s="15"/>
      <c r="J3658" s="3"/>
      <c r="K3658" s="3"/>
      <c r="L3658" s="3"/>
      <c r="M3658" s="3"/>
      <c r="N3658" s="3"/>
      <c r="O3658" s="3"/>
      <c r="P3658" s="3"/>
      <c r="Q3658" s="3"/>
      <c r="R3658" s="3"/>
      <c r="S3658" s="3"/>
      <c r="T3658" s="3"/>
      <c r="U3658" s="3"/>
      <c r="V3658" s="3"/>
      <c r="W3658" s="3"/>
      <c r="X3658" s="3"/>
      <c r="Y3658" s="3"/>
      <c r="Z3658" s="3"/>
      <c r="AA3658" s="3"/>
    </row>
    <row r="3659" ht="105.75" customHeight="1">
      <c r="A3659" s="11"/>
      <c r="B3659" s="12"/>
      <c r="C3659" s="11"/>
      <c r="D3659" s="13"/>
      <c r="E3659" s="14"/>
      <c r="F3659" s="14"/>
      <c r="G3659" s="14"/>
      <c r="H3659" s="15"/>
      <c r="I3659" s="15"/>
      <c r="J3659" s="3"/>
      <c r="K3659" s="3"/>
      <c r="L3659" s="3"/>
      <c r="M3659" s="3"/>
      <c r="N3659" s="3"/>
      <c r="O3659" s="3"/>
      <c r="P3659" s="3"/>
      <c r="Q3659" s="3"/>
      <c r="R3659" s="3"/>
      <c r="S3659" s="3"/>
      <c r="T3659" s="3"/>
      <c r="U3659" s="3"/>
      <c r="V3659" s="3"/>
      <c r="W3659" s="3"/>
      <c r="X3659" s="3"/>
      <c r="Y3659" s="3"/>
      <c r="Z3659" s="3"/>
      <c r="AA3659" s="3"/>
    </row>
    <row r="3660" ht="105.75" customHeight="1">
      <c r="A3660" s="11"/>
      <c r="B3660" s="12"/>
      <c r="C3660" s="11"/>
      <c r="D3660" s="13"/>
      <c r="E3660" s="14"/>
      <c r="F3660" s="14"/>
      <c r="G3660" s="14"/>
      <c r="H3660" s="15"/>
      <c r="I3660" s="15"/>
      <c r="J3660" s="3"/>
      <c r="K3660" s="3"/>
      <c r="L3660" s="3"/>
      <c r="M3660" s="3"/>
      <c r="N3660" s="3"/>
      <c r="O3660" s="3"/>
      <c r="P3660" s="3"/>
      <c r="Q3660" s="3"/>
      <c r="R3660" s="3"/>
      <c r="S3660" s="3"/>
      <c r="T3660" s="3"/>
      <c r="U3660" s="3"/>
      <c r="V3660" s="3"/>
      <c r="W3660" s="3"/>
      <c r="X3660" s="3"/>
      <c r="Y3660" s="3"/>
      <c r="Z3660" s="3"/>
      <c r="AA3660" s="3"/>
    </row>
    <row r="3661" ht="105.75" customHeight="1">
      <c r="A3661" s="11"/>
      <c r="B3661" s="12"/>
      <c r="C3661" s="11"/>
      <c r="D3661" s="13"/>
      <c r="E3661" s="14"/>
      <c r="F3661" s="14"/>
      <c r="G3661" s="14"/>
      <c r="H3661" s="15"/>
      <c r="I3661" s="15"/>
      <c r="J3661" s="3"/>
      <c r="K3661" s="3"/>
      <c r="L3661" s="3"/>
      <c r="M3661" s="3"/>
      <c r="N3661" s="3"/>
      <c r="O3661" s="3"/>
      <c r="P3661" s="3"/>
      <c r="Q3661" s="3"/>
      <c r="R3661" s="3"/>
      <c r="S3661" s="3"/>
      <c r="T3661" s="3"/>
      <c r="U3661" s="3"/>
      <c r="V3661" s="3"/>
      <c r="W3661" s="3"/>
      <c r="X3661" s="3"/>
      <c r="Y3661" s="3"/>
      <c r="Z3661" s="3"/>
      <c r="AA3661" s="3"/>
    </row>
    <row r="3662" ht="105.75" customHeight="1">
      <c r="A3662" s="11"/>
      <c r="B3662" s="12"/>
      <c r="C3662" s="11"/>
      <c r="D3662" s="13"/>
      <c r="E3662" s="14"/>
      <c r="F3662" s="14"/>
      <c r="G3662" s="14"/>
      <c r="H3662" s="15"/>
      <c r="I3662" s="15"/>
      <c r="J3662" s="3"/>
      <c r="K3662" s="3"/>
      <c r="L3662" s="3"/>
      <c r="M3662" s="3"/>
      <c r="N3662" s="3"/>
      <c r="O3662" s="3"/>
      <c r="P3662" s="3"/>
      <c r="Q3662" s="3"/>
      <c r="R3662" s="3"/>
      <c r="S3662" s="3"/>
      <c r="T3662" s="3"/>
      <c r="U3662" s="3"/>
      <c r="V3662" s="3"/>
      <c r="W3662" s="3"/>
      <c r="X3662" s="3"/>
      <c r="Y3662" s="3"/>
      <c r="Z3662" s="3"/>
      <c r="AA3662" s="3"/>
    </row>
    <row r="3663" ht="105.75" customHeight="1">
      <c r="A3663" s="11"/>
      <c r="B3663" s="12"/>
      <c r="C3663" s="11"/>
      <c r="D3663" s="13"/>
      <c r="E3663" s="14"/>
      <c r="F3663" s="14"/>
      <c r="G3663" s="14"/>
      <c r="H3663" s="15"/>
      <c r="I3663" s="15"/>
      <c r="J3663" s="3"/>
      <c r="K3663" s="3"/>
      <c r="L3663" s="3"/>
      <c r="M3663" s="3"/>
      <c r="N3663" s="3"/>
      <c r="O3663" s="3"/>
      <c r="P3663" s="3"/>
      <c r="Q3663" s="3"/>
      <c r="R3663" s="3"/>
      <c r="S3663" s="3"/>
      <c r="T3663" s="3"/>
      <c r="U3663" s="3"/>
      <c r="V3663" s="3"/>
      <c r="W3663" s="3"/>
      <c r="X3663" s="3"/>
      <c r="Y3663" s="3"/>
      <c r="Z3663" s="3"/>
      <c r="AA3663" s="3"/>
    </row>
    <row r="3664" ht="105.75" customHeight="1">
      <c r="A3664" s="11"/>
      <c r="B3664" s="12"/>
      <c r="C3664" s="11"/>
      <c r="D3664" s="13"/>
      <c r="E3664" s="14"/>
      <c r="F3664" s="14"/>
      <c r="G3664" s="14"/>
      <c r="H3664" s="15"/>
      <c r="I3664" s="15"/>
      <c r="J3664" s="3"/>
      <c r="K3664" s="3"/>
      <c r="L3664" s="3"/>
      <c r="M3664" s="3"/>
      <c r="N3664" s="3"/>
      <c r="O3664" s="3"/>
      <c r="P3664" s="3"/>
      <c r="Q3664" s="3"/>
      <c r="R3664" s="3"/>
      <c r="S3664" s="3"/>
      <c r="T3664" s="3"/>
      <c r="U3664" s="3"/>
      <c r="V3664" s="3"/>
      <c r="W3664" s="3"/>
      <c r="X3664" s="3"/>
      <c r="Y3664" s="3"/>
      <c r="Z3664" s="3"/>
      <c r="AA3664" s="3"/>
    </row>
    <row r="3665" ht="105.75" customHeight="1">
      <c r="A3665" s="11"/>
      <c r="B3665" s="12"/>
      <c r="C3665" s="11"/>
      <c r="D3665" s="13"/>
      <c r="E3665" s="14"/>
      <c r="F3665" s="14"/>
      <c r="G3665" s="14"/>
      <c r="H3665" s="15"/>
      <c r="I3665" s="15"/>
      <c r="J3665" s="3"/>
      <c r="K3665" s="3"/>
      <c r="L3665" s="3"/>
      <c r="M3665" s="3"/>
      <c r="N3665" s="3"/>
      <c r="O3665" s="3"/>
      <c r="P3665" s="3"/>
      <c r="Q3665" s="3"/>
      <c r="R3665" s="3"/>
      <c r="S3665" s="3"/>
      <c r="T3665" s="3"/>
      <c r="U3665" s="3"/>
      <c r="V3665" s="3"/>
      <c r="W3665" s="3"/>
      <c r="X3665" s="3"/>
      <c r="Y3665" s="3"/>
      <c r="Z3665" s="3"/>
      <c r="AA3665" s="3"/>
    </row>
    <row r="3666" ht="105.75" customHeight="1">
      <c r="A3666" s="11"/>
      <c r="B3666" s="12"/>
      <c r="C3666" s="11"/>
      <c r="D3666" s="13"/>
      <c r="E3666" s="14"/>
      <c r="F3666" s="14"/>
      <c r="G3666" s="14"/>
      <c r="H3666" s="15"/>
      <c r="I3666" s="15"/>
      <c r="J3666" s="3"/>
      <c r="K3666" s="3"/>
      <c r="L3666" s="3"/>
      <c r="M3666" s="3"/>
      <c r="N3666" s="3"/>
      <c r="O3666" s="3"/>
      <c r="P3666" s="3"/>
      <c r="Q3666" s="3"/>
      <c r="R3666" s="3"/>
      <c r="S3666" s="3"/>
      <c r="T3666" s="3"/>
      <c r="U3666" s="3"/>
      <c r="V3666" s="3"/>
      <c r="W3666" s="3"/>
      <c r="X3666" s="3"/>
      <c r="Y3666" s="3"/>
      <c r="Z3666" s="3"/>
      <c r="AA3666" s="3"/>
    </row>
    <row r="3667" ht="105.75" customHeight="1">
      <c r="A3667" s="11"/>
      <c r="B3667" s="12"/>
      <c r="C3667" s="11"/>
      <c r="D3667" s="13"/>
      <c r="E3667" s="14"/>
      <c r="F3667" s="14"/>
      <c r="G3667" s="14"/>
      <c r="H3667" s="15"/>
      <c r="I3667" s="15"/>
      <c r="J3667" s="3"/>
      <c r="K3667" s="3"/>
      <c r="L3667" s="3"/>
      <c r="M3667" s="3"/>
      <c r="N3667" s="3"/>
      <c r="O3667" s="3"/>
      <c r="P3667" s="3"/>
      <c r="Q3667" s="3"/>
      <c r="R3667" s="3"/>
      <c r="S3667" s="3"/>
      <c r="T3667" s="3"/>
      <c r="U3667" s="3"/>
      <c r="V3667" s="3"/>
      <c r="W3667" s="3"/>
      <c r="X3667" s="3"/>
      <c r="Y3667" s="3"/>
      <c r="Z3667" s="3"/>
      <c r="AA3667" s="3"/>
    </row>
    <row r="3668" ht="105.75" customHeight="1">
      <c r="A3668" s="11"/>
      <c r="B3668" s="12"/>
      <c r="C3668" s="11"/>
      <c r="D3668" s="13"/>
      <c r="E3668" s="14"/>
      <c r="F3668" s="14"/>
      <c r="G3668" s="14"/>
      <c r="H3668" s="15"/>
      <c r="I3668" s="15"/>
      <c r="J3668" s="3"/>
      <c r="K3668" s="3"/>
      <c r="L3668" s="3"/>
      <c r="M3668" s="3"/>
      <c r="N3668" s="3"/>
      <c r="O3668" s="3"/>
      <c r="P3668" s="3"/>
      <c r="Q3668" s="3"/>
      <c r="R3668" s="3"/>
      <c r="S3668" s="3"/>
      <c r="T3668" s="3"/>
      <c r="U3668" s="3"/>
      <c r="V3668" s="3"/>
      <c r="W3668" s="3"/>
      <c r="X3668" s="3"/>
      <c r="Y3668" s="3"/>
      <c r="Z3668" s="3"/>
      <c r="AA3668" s="3"/>
    </row>
    <row r="3669" ht="105.75" customHeight="1">
      <c r="A3669" s="11"/>
      <c r="B3669" s="12"/>
      <c r="C3669" s="11"/>
      <c r="D3669" s="13"/>
      <c r="E3669" s="14"/>
      <c r="F3669" s="14"/>
      <c r="G3669" s="14"/>
      <c r="H3669" s="15"/>
      <c r="I3669" s="15"/>
      <c r="J3669" s="3"/>
      <c r="K3669" s="3"/>
      <c r="L3669" s="3"/>
      <c r="M3669" s="3"/>
      <c r="N3669" s="3"/>
      <c r="O3669" s="3"/>
      <c r="P3669" s="3"/>
      <c r="Q3669" s="3"/>
      <c r="R3669" s="3"/>
      <c r="S3669" s="3"/>
      <c r="T3669" s="3"/>
      <c r="U3669" s="3"/>
      <c r="V3669" s="3"/>
      <c r="W3669" s="3"/>
      <c r="X3669" s="3"/>
      <c r="Y3669" s="3"/>
      <c r="Z3669" s="3"/>
      <c r="AA3669" s="3"/>
    </row>
    <row r="3670" ht="105.75" customHeight="1">
      <c r="A3670" s="11"/>
      <c r="B3670" s="12"/>
      <c r="C3670" s="11"/>
      <c r="D3670" s="13"/>
      <c r="E3670" s="14"/>
      <c r="F3670" s="14"/>
      <c r="G3670" s="14"/>
      <c r="H3670" s="15"/>
      <c r="I3670" s="15"/>
      <c r="J3670" s="3"/>
      <c r="K3670" s="3"/>
      <c r="L3670" s="3"/>
      <c r="M3670" s="3"/>
      <c r="N3670" s="3"/>
      <c r="O3670" s="3"/>
      <c r="P3670" s="3"/>
      <c r="Q3670" s="3"/>
      <c r="R3670" s="3"/>
      <c r="S3670" s="3"/>
      <c r="T3670" s="3"/>
      <c r="U3670" s="3"/>
      <c r="V3670" s="3"/>
      <c r="W3670" s="3"/>
      <c r="X3670" s="3"/>
      <c r="Y3670" s="3"/>
      <c r="Z3670" s="3"/>
      <c r="AA3670" s="3"/>
    </row>
    <row r="3671" ht="105.75" customHeight="1">
      <c r="A3671" s="11"/>
      <c r="B3671" s="12"/>
      <c r="C3671" s="11"/>
      <c r="D3671" s="13"/>
      <c r="E3671" s="16"/>
      <c r="F3671" s="16"/>
      <c r="G3671" s="16"/>
      <c r="H3671" s="15"/>
      <c r="I3671" s="15"/>
      <c r="J3671" s="3"/>
      <c r="K3671" s="3"/>
      <c r="L3671" s="3"/>
      <c r="M3671" s="3"/>
      <c r="N3671" s="3"/>
      <c r="O3671" s="3"/>
      <c r="P3671" s="3"/>
      <c r="Q3671" s="3"/>
      <c r="R3671" s="3"/>
      <c r="S3671" s="3"/>
      <c r="T3671" s="3"/>
      <c r="U3671" s="3"/>
      <c r="V3671" s="3"/>
      <c r="W3671" s="3"/>
      <c r="X3671" s="3"/>
      <c r="Y3671" s="3"/>
      <c r="Z3671" s="3"/>
      <c r="AA3671" s="3"/>
    </row>
    <row r="3672" ht="105.75" customHeight="1">
      <c r="A3672" s="11"/>
      <c r="B3672" s="12"/>
      <c r="C3672" s="11"/>
      <c r="D3672" s="13"/>
      <c r="E3672" s="14"/>
      <c r="F3672" s="14"/>
      <c r="G3672" s="14"/>
      <c r="H3672" s="15"/>
      <c r="I3672" s="15"/>
      <c r="J3672" s="3"/>
      <c r="K3672" s="3"/>
      <c r="L3672" s="3"/>
      <c r="M3672" s="3"/>
      <c r="N3672" s="3"/>
      <c r="O3672" s="3"/>
      <c r="P3672" s="3"/>
      <c r="Q3672" s="3"/>
      <c r="R3672" s="3"/>
      <c r="S3672" s="3"/>
      <c r="T3672" s="3"/>
      <c r="U3672" s="3"/>
      <c r="V3672" s="3"/>
      <c r="W3672" s="3"/>
      <c r="X3672" s="3"/>
      <c r="Y3672" s="3"/>
      <c r="Z3672" s="3"/>
      <c r="AA3672" s="3"/>
    </row>
    <row r="3673" ht="105.75" customHeight="1">
      <c r="A3673" s="11"/>
      <c r="B3673" s="12"/>
      <c r="C3673" s="11"/>
      <c r="D3673" s="13"/>
      <c r="E3673" s="14"/>
      <c r="F3673" s="14"/>
      <c r="G3673" s="14"/>
      <c r="H3673" s="15"/>
      <c r="I3673" s="15"/>
      <c r="J3673" s="3"/>
      <c r="K3673" s="3"/>
      <c r="L3673" s="3"/>
      <c r="M3673" s="3"/>
      <c r="N3673" s="3"/>
      <c r="O3673" s="3"/>
      <c r="P3673" s="3"/>
      <c r="Q3673" s="3"/>
      <c r="R3673" s="3"/>
      <c r="S3673" s="3"/>
      <c r="T3673" s="3"/>
      <c r="U3673" s="3"/>
      <c r="V3673" s="3"/>
      <c r="W3673" s="3"/>
      <c r="X3673" s="3"/>
      <c r="Y3673" s="3"/>
      <c r="Z3673" s="3"/>
      <c r="AA3673" s="3"/>
    </row>
    <row r="3674" ht="105.75" customHeight="1">
      <c r="A3674" s="11"/>
      <c r="B3674" s="12"/>
      <c r="C3674" s="11"/>
      <c r="D3674" s="13"/>
      <c r="E3674" s="14"/>
      <c r="F3674" s="14"/>
      <c r="G3674" s="14"/>
      <c r="H3674" s="15"/>
      <c r="I3674" s="15"/>
      <c r="J3674" s="3"/>
      <c r="K3674" s="3"/>
      <c r="L3674" s="3"/>
      <c r="M3674" s="3"/>
      <c r="N3674" s="3"/>
      <c r="O3674" s="3"/>
      <c r="P3674" s="3"/>
      <c r="Q3674" s="3"/>
      <c r="R3674" s="3"/>
      <c r="S3674" s="3"/>
      <c r="T3674" s="3"/>
      <c r="U3674" s="3"/>
      <c r="V3674" s="3"/>
      <c r="W3674" s="3"/>
      <c r="X3674" s="3"/>
      <c r="Y3674" s="3"/>
      <c r="Z3674" s="3"/>
      <c r="AA3674" s="3"/>
    </row>
    <row r="3675" ht="105.75" customHeight="1">
      <c r="A3675" s="11"/>
      <c r="B3675" s="12"/>
      <c r="C3675" s="11"/>
      <c r="D3675" s="13"/>
      <c r="E3675" s="16"/>
      <c r="F3675" s="16"/>
      <c r="G3675" s="16"/>
      <c r="H3675" s="15"/>
      <c r="I3675" s="15"/>
      <c r="J3675" s="3"/>
      <c r="K3675" s="3"/>
      <c r="L3675" s="3"/>
      <c r="M3675" s="3"/>
      <c r="N3675" s="3"/>
      <c r="O3675" s="3"/>
      <c r="P3675" s="3"/>
      <c r="Q3675" s="3"/>
      <c r="R3675" s="3"/>
      <c r="S3675" s="3"/>
      <c r="T3675" s="3"/>
      <c r="U3675" s="3"/>
      <c r="V3675" s="3"/>
      <c r="W3675" s="3"/>
      <c r="X3675" s="3"/>
      <c r="Y3675" s="3"/>
      <c r="Z3675" s="3"/>
      <c r="AA3675" s="3"/>
    </row>
    <row r="3676" ht="105.75" customHeight="1">
      <c r="A3676" s="11"/>
      <c r="B3676" s="12"/>
      <c r="C3676" s="11"/>
      <c r="D3676" s="13"/>
      <c r="E3676" s="14"/>
      <c r="F3676" s="14"/>
      <c r="G3676" s="14"/>
      <c r="H3676" s="15"/>
      <c r="I3676" s="15"/>
      <c r="J3676" s="3"/>
      <c r="K3676" s="3"/>
      <c r="L3676" s="3"/>
      <c r="M3676" s="3"/>
      <c r="N3676" s="3"/>
      <c r="O3676" s="3"/>
      <c r="P3676" s="3"/>
      <c r="Q3676" s="3"/>
      <c r="R3676" s="3"/>
      <c r="S3676" s="3"/>
      <c r="T3676" s="3"/>
      <c r="U3676" s="3"/>
      <c r="V3676" s="3"/>
      <c r="W3676" s="3"/>
      <c r="X3676" s="3"/>
      <c r="Y3676" s="3"/>
      <c r="Z3676" s="3"/>
      <c r="AA3676" s="3"/>
    </row>
    <row r="3677" ht="105.75" customHeight="1">
      <c r="A3677" s="11"/>
      <c r="B3677" s="12"/>
      <c r="C3677" s="11"/>
      <c r="D3677" s="13"/>
      <c r="E3677" s="16"/>
      <c r="F3677" s="16"/>
      <c r="G3677" s="16"/>
      <c r="H3677" s="15"/>
      <c r="I3677" s="15"/>
      <c r="J3677" s="3"/>
      <c r="K3677" s="3"/>
      <c r="L3677" s="3"/>
      <c r="M3677" s="3"/>
      <c r="N3677" s="3"/>
      <c r="O3677" s="3"/>
      <c r="P3677" s="3"/>
      <c r="Q3677" s="3"/>
      <c r="R3677" s="3"/>
      <c r="S3677" s="3"/>
      <c r="T3677" s="3"/>
      <c r="U3677" s="3"/>
      <c r="V3677" s="3"/>
      <c r="W3677" s="3"/>
      <c r="X3677" s="3"/>
      <c r="Y3677" s="3"/>
      <c r="Z3677" s="3"/>
      <c r="AA3677" s="3"/>
    </row>
    <row r="3678" ht="105.75" customHeight="1">
      <c r="A3678" s="11"/>
      <c r="B3678" s="12"/>
      <c r="C3678" s="11"/>
      <c r="D3678" s="13"/>
      <c r="E3678" s="14"/>
      <c r="F3678" s="14"/>
      <c r="G3678" s="14"/>
      <c r="H3678" s="15"/>
      <c r="I3678" s="15"/>
      <c r="J3678" s="3"/>
      <c r="K3678" s="3"/>
      <c r="L3678" s="3"/>
      <c r="M3678" s="3"/>
      <c r="N3678" s="3"/>
      <c r="O3678" s="3"/>
      <c r="P3678" s="3"/>
      <c r="Q3678" s="3"/>
      <c r="R3678" s="3"/>
      <c r="S3678" s="3"/>
      <c r="T3678" s="3"/>
      <c r="U3678" s="3"/>
      <c r="V3678" s="3"/>
      <c r="W3678" s="3"/>
      <c r="X3678" s="3"/>
      <c r="Y3678" s="3"/>
      <c r="Z3678" s="3"/>
      <c r="AA3678" s="3"/>
    </row>
    <row r="3679" ht="105.75" customHeight="1">
      <c r="A3679" s="11"/>
      <c r="B3679" s="12"/>
      <c r="C3679" s="11"/>
      <c r="D3679" s="13"/>
      <c r="E3679" s="14"/>
      <c r="F3679" s="14"/>
      <c r="G3679" s="14"/>
      <c r="H3679" s="15"/>
      <c r="I3679" s="15"/>
      <c r="J3679" s="3"/>
      <c r="K3679" s="3"/>
      <c r="L3679" s="3"/>
      <c r="M3679" s="3"/>
      <c r="N3679" s="3"/>
      <c r="O3679" s="3"/>
      <c r="P3679" s="3"/>
      <c r="Q3679" s="3"/>
      <c r="R3679" s="3"/>
      <c r="S3679" s="3"/>
      <c r="T3679" s="3"/>
      <c r="U3679" s="3"/>
      <c r="V3679" s="3"/>
      <c r="W3679" s="3"/>
      <c r="X3679" s="3"/>
      <c r="Y3679" s="3"/>
      <c r="Z3679" s="3"/>
      <c r="AA3679" s="3"/>
    </row>
    <row r="3680" ht="105.75" customHeight="1">
      <c r="A3680" s="11"/>
      <c r="B3680" s="12"/>
      <c r="C3680" s="11"/>
      <c r="D3680" s="13"/>
      <c r="E3680" s="14"/>
      <c r="F3680" s="14"/>
      <c r="G3680" s="14"/>
      <c r="H3680" s="15"/>
      <c r="I3680" s="15"/>
      <c r="J3680" s="3"/>
      <c r="K3680" s="3"/>
      <c r="L3680" s="3"/>
      <c r="M3680" s="3"/>
      <c r="N3680" s="3"/>
      <c r="O3680" s="3"/>
      <c r="P3680" s="3"/>
      <c r="Q3680" s="3"/>
      <c r="R3680" s="3"/>
      <c r="S3680" s="3"/>
      <c r="T3680" s="3"/>
      <c r="U3680" s="3"/>
      <c r="V3680" s="3"/>
      <c r="W3680" s="3"/>
      <c r="X3680" s="3"/>
      <c r="Y3680" s="3"/>
      <c r="Z3680" s="3"/>
      <c r="AA3680" s="3"/>
    </row>
    <row r="3681" ht="105.75" customHeight="1">
      <c r="A3681" s="11"/>
      <c r="B3681" s="12"/>
      <c r="C3681" s="11"/>
      <c r="D3681" s="13"/>
      <c r="E3681" s="14"/>
      <c r="F3681" s="14"/>
      <c r="G3681" s="14"/>
      <c r="H3681" s="15"/>
      <c r="I3681" s="15"/>
      <c r="J3681" s="3"/>
      <c r="K3681" s="3"/>
      <c r="L3681" s="3"/>
      <c r="M3681" s="3"/>
      <c r="N3681" s="3"/>
      <c r="O3681" s="3"/>
      <c r="P3681" s="3"/>
      <c r="Q3681" s="3"/>
      <c r="R3681" s="3"/>
      <c r="S3681" s="3"/>
      <c r="T3681" s="3"/>
      <c r="U3681" s="3"/>
      <c r="V3681" s="3"/>
      <c r="W3681" s="3"/>
      <c r="X3681" s="3"/>
      <c r="Y3681" s="3"/>
      <c r="Z3681" s="3"/>
      <c r="AA3681" s="3"/>
    </row>
    <row r="3682" ht="105.75" customHeight="1">
      <c r="A3682" s="11"/>
      <c r="B3682" s="12"/>
      <c r="C3682" s="11"/>
      <c r="D3682" s="13"/>
      <c r="E3682" s="14"/>
      <c r="F3682" s="14"/>
      <c r="G3682" s="14"/>
      <c r="H3682" s="15"/>
      <c r="I3682" s="15"/>
      <c r="J3682" s="3"/>
      <c r="K3682" s="3"/>
      <c r="L3682" s="3"/>
      <c r="M3682" s="3"/>
      <c r="N3682" s="3"/>
      <c r="O3682" s="3"/>
      <c r="P3682" s="3"/>
      <c r="Q3682" s="3"/>
      <c r="R3682" s="3"/>
      <c r="S3682" s="3"/>
      <c r="T3682" s="3"/>
      <c r="U3682" s="3"/>
      <c r="V3682" s="3"/>
      <c r="W3682" s="3"/>
      <c r="X3682" s="3"/>
      <c r="Y3682" s="3"/>
      <c r="Z3682" s="3"/>
      <c r="AA3682" s="3"/>
    </row>
    <row r="3683" ht="105.75" customHeight="1">
      <c r="A3683" s="11"/>
      <c r="B3683" s="12"/>
      <c r="C3683" s="11"/>
      <c r="D3683" s="13"/>
      <c r="E3683" s="14"/>
      <c r="F3683" s="14"/>
      <c r="G3683" s="14"/>
      <c r="H3683" s="15"/>
      <c r="I3683" s="15"/>
      <c r="J3683" s="3"/>
      <c r="K3683" s="3"/>
      <c r="L3683" s="3"/>
      <c r="M3683" s="3"/>
      <c r="N3683" s="3"/>
      <c r="O3683" s="3"/>
      <c r="P3683" s="3"/>
      <c r="Q3683" s="3"/>
      <c r="R3683" s="3"/>
      <c r="S3683" s="3"/>
      <c r="T3683" s="3"/>
      <c r="U3683" s="3"/>
      <c r="V3683" s="3"/>
      <c r="W3683" s="3"/>
      <c r="X3683" s="3"/>
      <c r="Y3683" s="3"/>
      <c r="Z3683" s="3"/>
      <c r="AA3683" s="3"/>
    </row>
    <row r="3684" ht="105.75" customHeight="1">
      <c r="A3684" s="11"/>
      <c r="B3684" s="12"/>
      <c r="C3684" s="11"/>
      <c r="D3684" s="13"/>
      <c r="E3684" s="14"/>
      <c r="F3684" s="14"/>
      <c r="G3684" s="14"/>
      <c r="H3684" s="15"/>
      <c r="I3684" s="15"/>
      <c r="J3684" s="3"/>
      <c r="K3684" s="3"/>
      <c r="L3684" s="3"/>
      <c r="M3684" s="3"/>
      <c r="N3684" s="3"/>
      <c r="O3684" s="3"/>
      <c r="P3684" s="3"/>
      <c r="Q3684" s="3"/>
      <c r="R3684" s="3"/>
      <c r="S3684" s="3"/>
      <c r="T3684" s="3"/>
      <c r="U3684" s="3"/>
      <c r="V3684" s="3"/>
      <c r="W3684" s="3"/>
      <c r="X3684" s="3"/>
      <c r="Y3684" s="3"/>
      <c r="Z3684" s="3"/>
      <c r="AA3684" s="3"/>
    </row>
    <row r="3685" ht="105.75" customHeight="1">
      <c r="A3685" s="11"/>
      <c r="B3685" s="12"/>
      <c r="C3685" s="11"/>
      <c r="D3685" s="13"/>
      <c r="E3685" s="14"/>
      <c r="F3685" s="14"/>
      <c r="G3685" s="14"/>
      <c r="H3685" s="15"/>
      <c r="I3685" s="15"/>
      <c r="J3685" s="3"/>
      <c r="K3685" s="3"/>
      <c r="L3685" s="3"/>
      <c r="M3685" s="3"/>
      <c r="N3685" s="3"/>
      <c r="O3685" s="3"/>
      <c r="P3685" s="3"/>
      <c r="Q3685" s="3"/>
      <c r="R3685" s="3"/>
      <c r="S3685" s="3"/>
      <c r="T3685" s="3"/>
      <c r="U3685" s="3"/>
      <c r="V3685" s="3"/>
      <c r="W3685" s="3"/>
      <c r="X3685" s="3"/>
      <c r="Y3685" s="3"/>
      <c r="Z3685" s="3"/>
      <c r="AA3685" s="3"/>
    </row>
    <row r="3686" ht="105.75" customHeight="1">
      <c r="A3686" s="11"/>
      <c r="B3686" s="12"/>
      <c r="C3686" s="11"/>
      <c r="D3686" s="13"/>
      <c r="E3686" s="14"/>
      <c r="F3686" s="14"/>
      <c r="G3686" s="14"/>
      <c r="H3686" s="15"/>
      <c r="I3686" s="15"/>
      <c r="J3686" s="3"/>
      <c r="K3686" s="3"/>
      <c r="L3686" s="3"/>
      <c r="M3686" s="3"/>
      <c r="N3686" s="3"/>
      <c r="O3686" s="3"/>
      <c r="P3686" s="3"/>
      <c r="Q3686" s="3"/>
      <c r="R3686" s="3"/>
      <c r="S3686" s="3"/>
      <c r="T3686" s="3"/>
      <c r="U3686" s="3"/>
      <c r="V3686" s="3"/>
      <c r="W3686" s="3"/>
      <c r="X3686" s="3"/>
      <c r="Y3686" s="3"/>
      <c r="Z3686" s="3"/>
      <c r="AA3686" s="3"/>
    </row>
    <row r="3687" ht="105.75" customHeight="1">
      <c r="A3687" s="11"/>
      <c r="B3687" s="12"/>
      <c r="C3687" s="11"/>
      <c r="D3687" s="13"/>
      <c r="E3687" s="14"/>
      <c r="F3687" s="14"/>
      <c r="G3687" s="14"/>
      <c r="H3687" s="15"/>
      <c r="I3687" s="15"/>
      <c r="J3687" s="3"/>
      <c r="K3687" s="3"/>
      <c r="L3687" s="3"/>
      <c r="M3687" s="3"/>
      <c r="N3687" s="3"/>
      <c r="O3687" s="3"/>
      <c r="P3687" s="3"/>
      <c r="Q3687" s="3"/>
      <c r="R3687" s="3"/>
      <c r="S3687" s="3"/>
      <c r="T3687" s="3"/>
      <c r="U3687" s="3"/>
      <c r="V3687" s="3"/>
      <c r="W3687" s="3"/>
      <c r="X3687" s="3"/>
      <c r="Y3687" s="3"/>
      <c r="Z3687" s="3"/>
      <c r="AA3687" s="3"/>
    </row>
    <row r="3688" ht="105.75" customHeight="1">
      <c r="A3688" s="11"/>
      <c r="B3688" s="12"/>
      <c r="C3688" s="11"/>
      <c r="D3688" s="13"/>
      <c r="E3688" s="14"/>
      <c r="F3688" s="14"/>
      <c r="G3688" s="14"/>
      <c r="H3688" s="15"/>
      <c r="I3688" s="15"/>
      <c r="J3688" s="3"/>
      <c r="K3688" s="3"/>
      <c r="L3688" s="3"/>
      <c r="M3688" s="3"/>
      <c r="N3688" s="3"/>
      <c r="O3688" s="3"/>
      <c r="P3688" s="3"/>
      <c r="Q3688" s="3"/>
      <c r="R3688" s="3"/>
      <c r="S3688" s="3"/>
      <c r="T3688" s="3"/>
      <c r="U3688" s="3"/>
      <c r="V3688" s="3"/>
      <c r="W3688" s="3"/>
      <c r="X3688" s="3"/>
      <c r="Y3688" s="3"/>
      <c r="Z3688" s="3"/>
      <c r="AA3688" s="3"/>
    </row>
    <row r="3689" ht="105.75" customHeight="1">
      <c r="A3689" s="11"/>
      <c r="B3689" s="12"/>
      <c r="C3689" s="11"/>
      <c r="D3689" s="13"/>
      <c r="E3689" s="14"/>
      <c r="F3689" s="14"/>
      <c r="G3689" s="14"/>
      <c r="H3689" s="15"/>
      <c r="I3689" s="15"/>
      <c r="J3689" s="3"/>
      <c r="K3689" s="3"/>
      <c r="L3689" s="3"/>
      <c r="M3689" s="3"/>
      <c r="N3689" s="3"/>
      <c r="O3689" s="3"/>
      <c r="P3689" s="3"/>
      <c r="Q3689" s="3"/>
      <c r="R3689" s="3"/>
      <c r="S3689" s="3"/>
      <c r="T3689" s="3"/>
      <c r="U3689" s="3"/>
      <c r="V3689" s="3"/>
      <c r="W3689" s="3"/>
      <c r="X3689" s="3"/>
      <c r="Y3689" s="3"/>
      <c r="Z3689" s="3"/>
      <c r="AA3689" s="3"/>
    </row>
    <row r="3690" ht="105.75" customHeight="1">
      <c r="A3690" s="11"/>
      <c r="B3690" s="12"/>
      <c r="C3690" s="11"/>
      <c r="D3690" s="13"/>
      <c r="E3690" s="14"/>
      <c r="F3690" s="14"/>
      <c r="G3690" s="14"/>
      <c r="H3690" s="15"/>
      <c r="I3690" s="15"/>
      <c r="J3690" s="3"/>
      <c r="K3690" s="3"/>
      <c r="L3690" s="3"/>
      <c r="M3690" s="3"/>
      <c r="N3690" s="3"/>
      <c r="O3690" s="3"/>
      <c r="P3690" s="3"/>
      <c r="Q3690" s="3"/>
      <c r="R3690" s="3"/>
      <c r="S3690" s="3"/>
      <c r="T3690" s="3"/>
      <c r="U3690" s="3"/>
      <c r="V3690" s="3"/>
      <c r="W3690" s="3"/>
      <c r="X3690" s="3"/>
      <c r="Y3690" s="3"/>
      <c r="Z3690" s="3"/>
      <c r="AA3690" s="3"/>
    </row>
    <row r="3691" ht="105.75" customHeight="1">
      <c r="A3691" s="11"/>
      <c r="B3691" s="12"/>
      <c r="C3691" s="11"/>
      <c r="D3691" s="13"/>
      <c r="E3691" s="14"/>
      <c r="F3691" s="14"/>
      <c r="G3691" s="14"/>
      <c r="H3691" s="15"/>
      <c r="I3691" s="15"/>
      <c r="J3691" s="3"/>
      <c r="K3691" s="3"/>
      <c r="L3691" s="3"/>
      <c r="M3691" s="3"/>
      <c r="N3691" s="3"/>
      <c r="O3691" s="3"/>
      <c r="P3691" s="3"/>
      <c r="Q3691" s="3"/>
      <c r="R3691" s="3"/>
      <c r="S3691" s="3"/>
      <c r="T3691" s="3"/>
      <c r="U3691" s="3"/>
      <c r="V3691" s="3"/>
      <c r="W3691" s="3"/>
      <c r="X3691" s="3"/>
      <c r="Y3691" s="3"/>
      <c r="Z3691" s="3"/>
      <c r="AA3691" s="3"/>
    </row>
    <row r="3692" ht="105.75" customHeight="1">
      <c r="A3692" s="11"/>
      <c r="B3692" s="12"/>
      <c r="C3692" s="11"/>
      <c r="D3692" s="13"/>
      <c r="E3692" s="16"/>
      <c r="F3692" s="16"/>
      <c r="G3692" s="16"/>
      <c r="H3692" s="15"/>
      <c r="I3692" s="15"/>
      <c r="J3692" s="3"/>
      <c r="K3692" s="3"/>
      <c r="L3692" s="3"/>
      <c r="M3692" s="3"/>
      <c r="N3692" s="3"/>
      <c r="O3692" s="3"/>
      <c r="P3692" s="3"/>
      <c r="Q3692" s="3"/>
      <c r="R3692" s="3"/>
      <c r="S3692" s="3"/>
      <c r="T3692" s="3"/>
      <c r="U3692" s="3"/>
      <c r="V3692" s="3"/>
      <c r="W3692" s="3"/>
      <c r="X3692" s="3"/>
      <c r="Y3692" s="3"/>
      <c r="Z3692" s="3"/>
      <c r="AA3692" s="3"/>
    </row>
    <row r="3693" ht="105.75" customHeight="1">
      <c r="A3693" s="11"/>
      <c r="B3693" s="12"/>
      <c r="C3693" s="11"/>
      <c r="D3693" s="13"/>
      <c r="E3693" s="14"/>
      <c r="F3693" s="14"/>
      <c r="G3693" s="14"/>
      <c r="H3693" s="15"/>
      <c r="I3693" s="15"/>
      <c r="J3693" s="3"/>
      <c r="K3693" s="3"/>
      <c r="L3693" s="3"/>
      <c r="M3693" s="3"/>
      <c r="N3693" s="3"/>
      <c r="O3693" s="3"/>
      <c r="P3693" s="3"/>
      <c r="Q3693" s="3"/>
      <c r="R3693" s="3"/>
      <c r="S3693" s="3"/>
      <c r="T3693" s="3"/>
      <c r="U3693" s="3"/>
      <c r="V3693" s="3"/>
      <c r="W3693" s="3"/>
      <c r="X3693" s="3"/>
      <c r="Y3693" s="3"/>
      <c r="Z3693" s="3"/>
      <c r="AA3693" s="3"/>
    </row>
    <row r="3694" ht="105.75" customHeight="1">
      <c r="A3694" s="11"/>
      <c r="B3694" s="12"/>
      <c r="C3694" s="11"/>
      <c r="D3694" s="13"/>
      <c r="E3694" s="14"/>
      <c r="F3694" s="14"/>
      <c r="G3694" s="14"/>
      <c r="H3694" s="15"/>
      <c r="I3694" s="15"/>
      <c r="J3694" s="3"/>
      <c r="K3694" s="3"/>
      <c r="L3694" s="3"/>
      <c r="M3694" s="3"/>
      <c r="N3694" s="3"/>
      <c r="O3694" s="3"/>
      <c r="P3694" s="3"/>
      <c r="Q3694" s="3"/>
      <c r="R3694" s="3"/>
      <c r="S3694" s="3"/>
      <c r="T3694" s="3"/>
      <c r="U3694" s="3"/>
      <c r="V3694" s="3"/>
      <c r="W3694" s="3"/>
      <c r="X3694" s="3"/>
      <c r="Y3694" s="3"/>
      <c r="Z3694" s="3"/>
      <c r="AA3694" s="3"/>
    </row>
    <row r="3695" ht="105.75" customHeight="1">
      <c r="A3695" s="11"/>
      <c r="B3695" s="12"/>
      <c r="C3695" s="11"/>
      <c r="D3695" s="13"/>
      <c r="E3695" s="14"/>
      <c r="F3695" s="14"/>
      <c r="G3695" s="14"/>
      <c r="H3695" s="15"/>
      <c r="I3695" s="15"/>
      <c r="J3695" s="3"/>
      <c r="K3695" s="3"/>
      <c r="L3695" s="3"/>
      <c r="M3695" s="3"/>
      <c r="N3695" s="3"/>
      <c r="O3695" s="3"/>
      <c r="P3695" s="3"/>
      <c r="Q3695" s="3"/>
      <c r="R3695" s="3"/>
      <c r="S3695" s="3"/>
      <c r="T3695" s="3"/>
      <c r="U3695" s="3"/>
      <c r="V3695" s="3"/>
      <c r="W3695" s="3"/>
      <c r="X3695" s="3"/>
      <c r="Y3695" s="3"/>
      <c r="Z3695" s="3"/>
      <c r="AA3695" s="3"/>
    </row>
    <row r="3696" ht="105.75" customHeight="1">
      <c r="A3696" s="11"/>
      <c r="B3696" s="12"/>
      <c r="C3696" s="11"/>
      <c r="D3696" s="13"/>
      <c r="E3696" s="14"/>
      <c r="F3696" s="14"/>
      <c r="G3696" s="14"/>
      <c r="H3696" s="15"/>
      <c r="I3696" s="15"/>
      <c r="J3696" s="3"/>
      <c r="K3696" s="3"/>
      <c r="L3696" s="3"/>
      <c r="M3696" s="3"/>
      <c r="N3696" s="3"/>
      <c r="O3696" s="3"/>
      <c r="P3696" s="3"/>
      <c r="Q3696" s="3"/>
      <c r="R3696" s="3"/>
      <c r="S3696" s="3"/>
      <c r="T3696" s="3"/>
      <c r="U3696" s="3"/>
      <c r="V3696" s="3"/>
      <c r="W3696" s="3"/>
      <c r="X3696" s="3"/>
      <c r="Y3696" s="3"/>
      <c r="Z3696" s="3"/>
      <c r="AA3696" s="3"/>
    </row>
    <row r="3697" ht="105.75" customHeight="1">
      <c r="A3697" s="11"/>
      <c r="B3697" s="12"/>
      <c r="C3697" s="11"/>
      <c r="D3697" s="13"/>
      <c r="E3697" s="16"/>
      <c r="F3697" s="16"/>
      <c r="G3697" s="16"/>
      <c r="H3697" s="15"/>
      <c r="I3697" s="15"/>
      <c r="J3697" s="3"/>
      <c r="K3697" s="3"/>
      <c r="L3697" s="3"/>
      <c r="M3697" s="3"/>
      <c r="N3697" s="3"/>
      <c r="O3697" s="3"/>
      <c r="P3697" s="3"/>
      <c r="Q3697" s="3"/>
      <c r="R3697" s="3"/>
      <c r="S3697" s="3"/>
      <c r="T3697" s="3"/>
      <c r="U3697" s="3"/>
      <c r="V3697" s="3"/>
      <c r="W3697" s="3"/>
      <c r="X3697" s="3"/>
      <c r="Y3697" s="3"/>
      <c r="Z3697" s="3"/>
      <c r="AA3697" s="3"/>
    </row>
    <row r="3698" ht="105.75" customHeight="1">
      <c r="A3698" s="11"/>
      <c r="B3698" s="12"/>
      <c r="C3698" s="11"/>
      <c r="D3698" s="13"/>
      <c r="E3698" s="16"/>
      <c r="F3698" s="16"/>
      <c r="G3698" s="16"/>
      <c r="H3698" s="15"/>
      <c r="I3698" s="15"/>
      <c r="J3698" s="3"/>
      <c r="K3698" s="3"/>
      <c r="L3698" s="3"/>
      <c r="M3698" s="3"/>
      <c r="N3698" s="3"/>
      <c r="O3698" s="3"/>
      <c r="P3698" s="3"/>
      <c r="Q3698" s="3"/>
      <c r="R3698" s="3"/>
      <c r="S3698" s="3"/>
      <c r="T3698" s="3"/>
      <c r="U3698" s="3"/>
      <c r="V3698" s="3"/>
      <c r="W3698" s="3"/>
      <c r="X3698" s="3"/>
      <c r="Y3698" s="3"/>
      <c r="Z3698" s="3"/>
      <c r="AA3698" s="3"/>
    </row>
    <row r="3699" ht="105.75" customHeight="1">
      <c r="A3699" s="11"/>
      <c r="B3699" s="12"/>
      <c r="C3699" s="11"/>
      <c r="D3699" s="13"/>
      <c r="E3699" s="16"/>
      <c r="F3699" s="16"/>
      <c r="G3699" s="16"/>
      <c r="H3699" s="15"/>
      <c r="I3699" s="15"/>
      <c r="J3699" s="3"/>
      <c r="K3699" s="3"/>
      <c r="L3699" s="3"/>
      <c r="M3699" s="3"/>
      <c r="N3699" s="3"/>
      <c r="O3699" s="3"/>
      <c r="P3699" s="3"/>
      <c r="Q3699" s="3"/>
      <c r="R3699" s="3"/>
      <c r="S3699" s="3"/>
      <c r="T3699" s="3"/>
      <c r="U3699" s="3"/>
      <c r="V3699" s="3"/>
      <c r="W3699" s="3"/>
      <c r="X3699" s="3"/>
      <c r="Y3699" s="3"/>
      <c r="Z3699" s="3"/>
      <c r="AA3699" s="3"/>
    </row>
    <row r="3700" ht="105.75" customHeight="1">
      <c r="A3700" s="11"/>
      <c r="B3700" s="12"/>
      <c r="C3700" s="11"/>
      <c r="D3700" s="13"/>
      <c r="E3700" s="14"/>
      <c r="F3700" s="14"/>
      <c r="G3700" s="14"/>
      <c r="H3700" s="15"/>
      <c r="I3700" s="15"/>
      <c r="J3700" s="3"/>
      <c r="K3700" s="3"/>
      <c r="L3700" s="3"/>
      <c r="M3700" s="3"/>
      <c r="N3700" s="3"/>
      <c r="O3700" s="3"/>
      <c r="P3700" s="3"/>
      <c r="Q3700" s="3"/>
      <c r="R3700" s="3"/>
      <c r="S3700" s="3"/>
      <c r="T3700" s="3"/>
      <c r="U3700" s="3"/>
      <c r="V3700" s="3"/>
      <c r="W3700" s="3"/>
      <c r="X3700" s="3"/>
      <c r="Y3700" s="3"/>
      <c r="Z3700" s="3"/>
      <c r="AA3700" s="3"/>
    </row>
    <row r="3701" ht="105.75" customHeight="1">
      <c r="A3701" s="11"/>
      <c r="B3701" s="12"/>
      <c r="C3701" s="11"/>
      <c r="D3701" s="13"/>
      <c r="E3701" s="14"/>
      <c r="F3701" s="14"/>
      <c r="G3701" s="14"/>
      <c r="H3701" s="15"/>
      <c r="I3701" s="15"/>
      <c r="J3701" s="3"/>
      <c r="K3701" s="3"/>
      <c r="L3701" s="3"/>
      <c r="M3701" s="3"/>
      <c r="N3701" s="3"/>
      <c r="O3701" s="3"/>
      <c r="P3701" s="3"/>
      <c r="Q3701" s="3"/>
      <c r="R3701" s="3"/>
      <c r="S3701" s="3"/>
      <c r="T3701" s="3"/>
      <c r="U3701" s="3"/>
      <c r="V3701" s="3"/>
      <c r="W3701" s="3"/>
      <c r="X3701" s="3"/>
      <c r="Y3701" s="3"/>
      <c r="Z3701" s="3"/>
      <c r="AA3701" s="3"/>
    </row>
    <row r="3702" ht="105.75" customHeight="1">
      <c r="A3702" s="11"/>
      <c r="B3702" s="12"/>
      <c r="C3702" s="11"/>
      <c r="D3702" s="13"/>
      <c r="E3702" s="14"/>
      <c r="F3702" s="14"/>
      <c r="G3702" s="14"/>
      <c r="H3702" s="15"/>
      <c r="I3702" s="15"/>
      <c r="J3702" s="3"/>
      <c r="K3702" s="3"/>
      <c r="L3702" s="3"/>
      <c r="M3702" s="3"/>
      <c r="N3702" s="3"/>
      <c r="O3702" s="3"/>
      <c r="P3702" s="3"/>
      <c r="Q3702" s="3"/>
      <c r="R3702" s="3"/>
      <c r="S3702" s="3"/>
      <c r="T3702" s="3"/>
      <c r="U3702" s="3"/>
      <c r="V3702" s="3"/>
      <c r="W3702" s="3"/>
      <c r="X3702" s="3"/>
      <c r="Y3702" s="3"/>
      <c r="Z3702" s="3"/>
      <c r="AA3702" s="3"/>
    </row>
    <row r="3703" ht="105.75" customHeight="1">
      <c r="A3703" s="11"/>
      <c r="B3703" s="12"/>
      <c r="C3703" s="11"/>
      <c r="D3703" s="13"/>
      <c r="E3703" s="14"/>
      <c r="F3703" s="14"/>
      <c r="G3703" s="14"/>
      <c r="H3703" s="15"/>
      <c r="I3703" s="15"/>
      <c r="J3703" s="3"/>
      <c r="K3703" s="3"/>
      <c r="L3703" s="3"/>
      <c r="M3703" s="3"/>
      <c r="N3703" s="3"/>
      <c r="O3703" s="3"/>
      <c r="P3703" s="3"/>
      <c r="Q3703" s="3"/>
      <c r="R3703" s="3"/>
      <c r="S3703" s="3"/>
      <c r="T3703" s="3"/>
      <c r="U3703" s="3"/>
      <c r="V3703" s="3"/>
      <c r="W3703" s="3"/>
      <c r="X3703" s="3"/>
      <c r="Y3703" s="3"/>
      <c r="Z3703" s="3"/>
      <c r="AA3703" s="3"/>
    </row>
    <row r="3704" ht="105.75" customHeight="1">
      <c r="A3704" s="11"/>
      <c r="B3704" s="12"/>
      <c r="C3704" s="11"/>
      <c r="D3704" s="13"/>
      <c r="E3704" s="14"/>
      <c r="F3704" s="14"/>
      <c r="G3704" s="14"/>
      <c r="H3704" s="15"/>
      <c r="I3704" s="15"/>
      <c r="J3704" s="3"/>
      <c r="K3704" s="3"/>
      <c r="L3704" s="3"/>
      <c r="M3704" s="3"/>
      <c r="N3704" s="3"/>
      <c r="O3704" s="3"/>
      <c r="P3704" s="3"/>
      <c r="Q3704" s="3"/>
      <c r="R3704" s="3"/>
      <c r="S3704" s="3"/>
      <c r="T3704" s="3"/>
      <c r="U3704" s="3"/>
      <c r="V3704" s="3"/>
      <c r="W3704" s="3"/>
      <c r="X3704" s="3"/>
      <c r="Y3704" s="3"/>
      <c r="Z3704" s="3"/>
      <c r="AA3704" s="3"/>
    </row>
    <row r="3705" ht="105.75" customHeight="1">
      <c r="A3705" s="11"/>
      <c r="B3705" s="12"/>
      <c r="C3705" s="11"/>
      <c r="D3705" s="13"/>
      <c r="E3705" s="14"/>
      <c r="F3705" s="14"/>
      <c r="G3705" s="14"/>
      <c r="H3705" s="15"/>
      <c r="I3705" s="15"/>
      <c r="J3705" s="3"/>
      <c r="K3705" s="3"/>
      <c r="L3705" s="3"/>
      <c r="M3705" s="3"/>
      <c r="N3705" s="3"/>
      <c r="O3705" s="3"/>
      <c r="P3705" s="3"/>
      <c r="Q3705" s="3"/>
      <c r="R3705" s="3"/>
      <c r="S3705" s="3"/>
      <c r="T3705" s="3"/>
      <c r="U3705" s="3"/>
      <c r="V3705" s="3"/>
      <c r="W3705" s="3"/>
      <c r="X3705" s="3"/>
      <c r="Y3705" s="3"/>
      <c r="Z3705" s="3"/>
      <c r="AA3705" s="3"/>
    </row>
    <row r="3706" ht="105.75" customHeight="1">
      <c r="A3706" s="11"/>
      <c r="B3706" s="12"/>
      <c r="C3706" s="11"/>
      <c r="D3706" s="13"/>
      <c r="E3706" s="16"/>
      <c r="F3706" s="16"/>
      <c r="G3706" s="16"/>
      <c r="H3706" s="15"/>
      <c r="I3706" s="15"/>
      <c r="J3706" s="3"/>
      <c r="K3706" s="3"/>
      <c r="L3706" s="3"/>
      <c r="M3706" s="3"/>
      <c r="N3706" s="3"/>
      <c r="O3706" s="3"/>
      <c r="P3706" s="3"/>
      <c r="Q3706" s="3"/>
      <c r="R3706" s="3"/>
      <c r="S3706" s="3"/>
      <c r="T3706" s="3"/>
      <c r="U3706" s="3"/>
      <c r="V3706" s="3"/>
      <c r="W3706" s="3"/>
      <c r="X3706" s="3"/>
      <c r="Y3706" s="3"/>
      <c r="Z3706" s="3"/>
      <c r="AA3706" s="3"/>
    </row>
    <row r="3707" ht="105.75" customHeight="1">
      <c r="A3707" s="11"/>
      <c r="B3707" s="12"/>
      <c r="C3707" s="11"/>
      <c r="D3707" s="13"/>
      <c r="E3707" s="14"/>
      <c r="F3707" s="14"/>
      <c r="G3707" s="14"/>
      <c r="H3707" s="15"/>
      <c r="I3707" s="15"/>
      <c r="J3707" s="3"/>
      <c r="K3707" s="3"/>
      <c r="L3707" s="3"/>
      <c r="M3707" s="3"/>
      <c r="N3707" s="3"/>
      <c r="O3707" s="3"/>
      <c r="P3707" s="3"/>
      <c r="Q3707" s="3"/>
      <c r="R3707" s="3"/>
      <c r="S3707" s="3"/>
      <c r="T3707" s="3"/>
      <c r="U3707" s="3"/>
      <c r="V3707" s="3"/>
      <c r="W3707" s="3"/>
      <c r="X3707" s="3"/>
      <c r="Y3707" s="3"/>
      <c r="Z3707" s="3"/>
      <c r="AA3707" s="3"/>
    </row>
    <row r="3708" ht="105.75" customHeight="1">
      <c r="A3708" s="11"/>
      <c r="B3708" s="12"/>
      <c r="C3708" s="11"/>
      <c r="D3708" s="13"/>
      <c r="E3708" s="14"/>
      <c r="F3708" s="14"/>
      <c r="G3708" s="14"/>
      <c r="H3708" s="15"/>
      <c r="I3708" s="15"/>
      <c r="J3708" s="3"/>
      <c r="K3708" s="3"/>
      <c r="L3708" s="3"/>
      <c r="M3708" s="3"/>
      <c r="N3708" s="3"/>
      <c r="O3708" s="3"/>
      <c r="P3708" s="3"/>
      <c r="Q3708" s="3"/>
      <c r="R3708" s="3"/>
      <c r="S3708" s="3"/>
      <c r="T3708" s="3"/>
      <c r="U3708" s="3"/>
      <c r="V3708" s="3"/>
      <c r="W3708" s="3"/>
      <c r="X3708" s="3"/>
      <c r="Y3708" s="3"/>
      <c r="Z3708" s="3"/>
      <c r="AA3708" s="3"/>
    </row>
    <row r="3709" ht="105.75" customHeight="1">
      <c r="A3709" s="11"/>
      <c r="B3709" s="12"/>
      <c r="C3709" s="11"/>
      <c r="D3709" s="13"/>
      <c r="E3709" s="14"/>
      <c r="F3709" s="14"/>
      <c r="G3709" s="14"/>
      <c r="H3709" s="15"/>
      <c r="I3709" s="15"/>
      <c r="J3709" s="3"/>
      <c r="K3709" s="3"/>
      <c r="L3709" s="3"/>
      <c r="M3709" s="3"/>
      <c r="N3709" s="3"/>
      <c r="O3709" s="3"/>
      <c r="P3709" s="3"/>
      <c r="Q3709" s="3"/>
      <c r="R3709" s="3"/>
      <c r="S3709" s="3"/>
      <c r="T3709" s="3"/>
      <c r="U3709" s="3"/>
      <c r="V3709" s="3"/>
      <c r="W3709" s="3"/>
      <c r="X3709" s="3"/>
      <c r="Y3709" s="3"/>
      <c r="Z3709" s="3"/>
      <c r="AA3709" s="3"/>
    </row>
    <row r="3710" ht="105.75" customHeight="1">
      <c r="A3710" s="11"/>
      <c r="B3710" s="12"/>
      <c r="C3710" s="11"/>
      <c r="D3710" s="13"/>
      <c r="E3710" s="14"/>
      <c r="F3710" s="14"/>
      <c r="G3710" s="14"/>
      <c r="H3710" s="15"/>
      <c r="I3710" s="15"/>
      <c r="J3710" s="3"/>
      <c r="K3710" s="3"/>
      <c r="L3710" s="3"/>
      <c r="M3710" s="3"/>
      <c r="N3710" s="3"/>
      <c r="O3710" s="3"/>
      <c r="P3710" s="3"/>
      <c r="Q3710" s="3"/>
      <c r="R3710" s="3"/>
      <c r="S3710" s="3"/>
      <c r="T3710" s="3"/>
      <c r="U3710" s="3"/>
      <c r="V3710" s="3"/>
      <c r="W3710" s="3"/>
      <c r="X3710" s="3"/>
      <c r="Y3710" s="3"/>
      <c r="Z3710" s="3"/>
      <c r="AA3710" s="3"/>
    </row>
    <row r="3711" ht="105.75" customHeight="1">
      <c r="A3711" s="11"/>
      <c r="B3711" s="12"/>
      <c r="C3711" s="11"/>
      <c r="D3711" s="13"/>
      <c r="E3711" s="14"/>
      <c r="F3711" s="14"/>
      <c r="G3711" s="14"/>
      <c r="H3711" s="15"/>
      <c r="I3711" s="15"/>
      <c r="J3711" s="3"/>
      <c r="K3711" s="3"/>
      <c r="L3711" s="3"/>
      <c r="M3711" s="3"/>
      <c r="N3711" s="3"/>
      <c r="O3711" s="3"/>
      <c r="P3711" s="3"/>
      <c r="Q3711" s="3"/>
      <c r="R3711" s="3"/>
      <c r="S3711" s="3"/>
      <c r="T3711" s="3"/>
      <c r="U3711" s="3"/>
      <c r="V3711" s="3"/>
      <c r="W3711" s="3"/>
      <c r="X3711" s="3"/>
      <c r="Y3711" s="3"/>
      <c r="Z3711" s="3"/>
      <c r="AA3711" s="3"/>
    </row>
    <row r="3712" ht="105.75" customHeight="1">
      <c r="A3712" s="11"/>
      <c r="B3712" s="12"/>
      <c r="C3712" s="11"/>
      <c r="D3712" s="13"/>
      <c r="E3712" s="16"/>
      <c r="F3712" s="16"/>
      <c r="G3712" s="16"/>
      <c r="H3712" s="15"/>
      <c r="I3712" s="15"/>
      <c r="J3712" s="3"/>
      <c r="K3712" s="3"/>
      <c r="L3712" s="3"/>
      <c r="M3712" s="3"/>
      <c r="N3712" s="3"/>
      <c r="O3712" s="3"/>
      <c r="P3712" s="3"/>
      <c r="Q3712" s="3"/>
      <c r="R3712" s="3"/>
      <c r="S3712" s="3"/>
      <c r="T3712" s="3"/>
      <c r="U3712" s="3"/>
      <c r="V3712" s="3"/>
      <c r="W3712" s="3"/>
      <c r="X3712" s="3"/>
      <c r="Y3712" s="3"/>
      <c r="Z3712" s="3"/>
      <c r="AA3712" s="3"/>
    </row>
    <row r="3713" ht="105.75" customHeight="1">
      <c r="A3713" s="11"/>
      <c r="B3713" s="12"/>
      <c r="C3713" s="11"/>
      <c r="D3713" s="13"/>
      <c r="E3713" s="14"/>
      <c r="F3713" s="14"/>
      <c r="G3713" s="14"/>
      <c r="H3713" s="15"/>
      <c r="I3713" s="15"/>
      <c r="J3713" s="3"/>
      <c r="K3713" s="3"/>
      <c r="L3713" s="3"/>
      <c r="M3713" s="3"/>
      <c r="N3713" s="3"/>
      <c r="O3713" s="3"/>
      <c r="P3713" s="3"/>
      <c r="Q3713" s="3"/>
      <c r="R3713" s="3"/>
      <c r="S3713" s="3"/>
      <c r="T3713" s="3"/>
      <c r="U3713" s="3"/>
      <c r="V3713" s="3"/>
      <c r="W3713" s="3"/>
      <c r="X3713" s="3"/>
      <c r="Y3713" s="3"/>
      <c r="Z3713" s="3"/>
      <c r="AA3713" s="3"/>
    </row>
    <row r="3714" ht="105.75" customHeight="1">
      <c r="A3714" s="11"/>
      <c r="B3714" s="12"/>
      <c r="C3714" s="11"/>
      <c r="D3714" s="13"/>
      <c r="E3714" s="16"/>
      <c r="F3714" s="16"/>
      <c r="G3714" s="16"/>
      <c r="H3714" s="15"/>
      <c r="I3714" s="15"/>
      <c r="J3714" s="3"/>
      <c r="K3714" s="3"/>
      <c r="L3714" s="3"/>
      <c r="M3714" s="3"/>
      <c r="N3714" s="3"/>
      <c r="O3714" s="3"/>
      <c r="P3714" s="3"/>
      <c r="Q3714" s="3"/>
      <c r="R3714" s="3"/>
      <c r="S3714" s="3"/>
      <c r="T3714" s="3"/>
      <c r="U3714" s="3"/>
      <c r="V3714" s="3"/>
      <c r="W3714" s="3"/>
      <c r="X3714" s="3"/>
      <c r="Y3714" s="3"/>
      <c r="Z3714" s="3"/>
      <c r="AA3714" s="3"/>
    </row>
    <row r="3715" ht="105.75" customHeight="1">
      <c r="A3715" s="11"/>
      <c r="B3715" s="12"/>
      <c r="C3715" s="11"/>
      <c r="D3715" s="13"/>
      <c r="E3715" s="16"/>
      <c r="F3715" s="16"/>
      <c r="G3715" s="16"/>
      <c r="H3715" s="15"/>
      <c r="I3715" s="15"/>
      <c r="J3715" s="3"/>
      <c r="K3715" s="3"/>
      <c r="L3715" s="3"/>
      <c r="M3715" s="3"/>
      <c r="N3715" s="3"/>
      <c r="O3715" s="3"/>
      <c r="P3715" s="3"/>
      <c r="Q3715" s="3"/>
      <c r="R3715" s="3"/>
      <c r="S3715" s="3"/>
      <c r="T3715" s="3"/>
      <c r="U3715" s="3"/>
      <c r="V3715" s="3"/>
      <c r="W3715" s="3"/>
      <c r="X3715" s="3"/>
      <c r="Y3715" s="3"/>
      <c r="Z3715" s="3"/>
      <c r="AA3715" s="3"/>
    </row>
    <row r="3716" ht="105.75" customHeight="1">
      <c r="A3716" s="11"/>
      <c r="B3716" s="12"/>
      <c r="C3716" s="11"/>
      <c r="D3716" s="13"/>
      <c r="E3716" s="14"/>
      <c r="F3716" s="14"/>
      <c r="G3716" s="14"/>
      <c r="H3716" s="15"/>
      <c r="I3716" s="15"/>
      <c r="J3716" s="3"/>
      <c r="K3716" s="3"/>
      <c r="L3716" s="3"/>
      <c r="M3716" s="3"/>
      <c r="N3716" s="3"/>
      <c r="O3716" s="3"/>
      <c r="P3716" s="3"/>
      <c r="Q3716" s="3"/>
      <c r="R3716" s="3"/>
      <c r="S3716" s="3"/>
      <c r="T3716" s="3"/>
      <c r="U3716" s="3"/>
      <c r="V3716" s="3"/>
      <c r="W3716" s="3"/>
      <c r="X3716" s="3"/>
      <c r="Y3716" s="3"/>
      <c r="Z3716" s="3"/>
      <c r="AA3716" s="3"/>
    </row>
    <row r="3717" ht="105.75" customHeight="1">
      <c r="A3717" s="11"/>
      <c r="B3717" s="12"/>
      <c r="C3717" s="11"/>
      <c r="D3717" s="13"/>
      <c r="E3717" s="14"/>
      <c r="F3717" s="14"/>
      <c r="G3717" s="14"/>
      <c r="H3717" s="15"/>
      <c r="I3717" s="15"/>
      <c r="J3717" s="3"/>
      <c r="K3717" s="3"/>
      <c r="L3717" s="3"/>
      <c r="M3717" s="3"/>
      <c r="N3717" s="3"/>
      <c r="O3717" s="3"/>
      <c r="P3717" s="3"/>
      <c r="Q3717" s="3"/>
      <c r="R3717" s="3"/>
      <c r="S3717" s="3"/>
      <c r="T3717" s="3"/>
      <c r="U3717" s="3"/>
      <c r="V3717" s="3"/>
      <c r="W3717" s="3"/>
      <c r="X3717" s="3"/>
      <c r="Y3717" s="3"/>
      <c r="Z3717" s="3"/>
      <c r="AA3717" s="3"/>
    </row>
    <row r="3718" ht="105.75" customHeight="1">
      <c r="A3718" s="11"/>
      <c r="B3718" s="12"/>
      <c r="C3718" s="11"/>
      <c r="D3718" s="13"/>
      <c r="E3718" s="16"/>
      <c r="F3718" s="16"/>
      <c r="G3718" s="16"/>
      <c r="H3718" s="15"/>
      <c r="I3718" s="15"/>
      <c r="J3718" s="3"/>
      <c r="K3718" s="3"/>
      <c r="L3718" s="3"/>
      <c r="M3718" s="3"/>
      <c r="N3718" s="3"/>
      <c r="O3718" s="3"/>
      <c r="P3718" s="3"/>
      <c r="Q3718" s="3"/>
      <c r="R3718" s="3"/>
      <c r="S3718" s="3"/>
      <c r="T3718" s="3"/>
      <c r="U3718" s="3"/>
      <c r="V3718" s="3"/>
      <c r="W3718" s="3"/>
      <c r="X3718" s="3"/>
      <c r="Y3718" s="3"/>
      <c r="Z3718" s="3"/>
      <c r="AA3718" s="3"/>
    </row>
    <row r="3719" ht="105.75" customHeight="1">
      <c r="A3719" s="11"/>
      <c r="B3719" s="12"/>
      <c r="C3719" s="11"/>
      <c r="D3719" s="13"/>
      <c r="E3719" s="14"/>
      <c r="F3719" s="14"/>
      <c r="G3719" s="14"/>
      <c r="H3719" s="15"/>
      <c r="I3719" s="15"/>
      <c r="J3719" s="3"/>
      <c r="K3719" s="3"/>
      <c r="L3719" s="3"/>
      <c r="M3719" s="3"/>
      <c r="N3719" s="3"/>
      <c r="O3719" s="3"/>
      <c r="P3719" s="3"/>
      <c r="Q3719" s="3"/>
      <c r="R3719" s="3"/>
      <c r="S3719" s="3"/>
      <c r="T3719" s="3"/>
      <c r="U3719" s="3"/>
      <c r="V3719" s="3"/>
      <c r="W3719" s="3"/>
      <c r="X3719" s="3"/>
      <c r="Y3719" s="3"/>
      <c r="Z3719" s="3"/>
      <c r="AA3719" s="3"/>
    </row>
    <row r="3720" ht="105.75" customHeight="1">
      <c r="A3720" s="11"/>
      <c r="B3720" s="12"/>
      <c r="C3720" s="11"/>
      <c r="D3720" s="13"/>
      <c r="E3720" s="14"/>
      <c r="F3720" s="14"/>
      <c r="G3720" s="14"/>
      <c r="H3720" s="15"/>
      <c r="I3720" s="15"/>
      <c r="J3720" s="3"/>
      <c r="K3720" s="3"/>
      <c r="L3720" s="3"/>
      <c r="M3720" s="3"/>
      <c r="N3720" s="3"/>
      <c r="O3720" s="3"/>
      <c r="P3720" s="3"/>
      <c r="Q3720" s="3"/>
      <c r="R3720" s="3"/>
      <c r="S3720" s="3"/>
      <c r="T3720" s="3"/>
      <c r="U3720" s="3"/>
      <c r="V3720" s="3"/>
      <c r="W3720" s="3"/>
      <c r="X3720" s="3"/>
      <c r="Y3720" s="3"/>
      <c r="Z3720" s="3"/>
      <c r="AA3720" s="3"/>
    </row>
    <row r="3721" ht="105.75" customHeight="1">
      <c r="A3721" s="11"/>
      <c r="B3721" s="12"/>
      <c r="C3721" s="11"/>
      <c r="D3721" s="13"/>
      <c r="E3721" s="14"/>
      <c r="F3721" s="14"/>
      <c r="G3721" s="14"/>
      <c r="H3721" s="15"/>
      <c r="I3721" s="15"/>
      <c r="J3721" s="3"/>
      <c r="K3721" s="3"/>
      <c r="L3721" s="3"/>
      <c r="M3721" s="3"/>
      <c r="N3721" s="3"/>
      <c r="O3721" s="3"/>
      <c r="P3721" s="3"/>
      <c r="Q3721" s="3"/>
      <c r="R3721" s="3"/>
      <c r="S3721" s="3"/>
      <c r="T3721" s="3"/>
      <c r="U3721" s="3"/>
      <c r="V3721" s="3"/>
      <c r="W3721" s="3"/>
      <c r="X3721" s="3"/>
      <c r="Y3721" s="3"/>
      <c r="Z3721" s="3"/>
      <c r="AA3721" s="3"/>
    </row>
    <row r="3722" ht="105.75" customHeight="1">
      <c r="A3722" s="11"/>
      <c r="B3722" s="12"/>
      <c r="C3722" s="11"/>
      <c r="D3722" s="13"/>
      <c r="E3722" s="14"/>
      <c r="F3722" s="14"/>
      <c r="G3722" s="14"/>
      <c r="H3722" s="15"/>
      <c r="I3722" s="15"/>
      <c r="J3722" s="3"/>
      <c r="K3722" s="3"/>
      <c r="L3722" s="3"/>
      <c r="M3722" s="3"/>
      <c r="N3722" s="3"/>
      <c r="O3722" s="3"/>
      <c r="P3722" s="3"/>
      <c r="Q3722" s="3"/>
      <c r="R3722" s="3"/>
      <c r="S3722" s="3"/>
      <c r="T3722" s="3"/>
      <c r="U3722" s="3"/>
      <c r="V3722" s="3"/>
      <c r="W3722" s="3"/>
      <c r="X3722" s="3"/>
      <c r="Y3722" s="3"/>
      <c r="Z3722" s="3"/>
      <c r="AA3722" s="3"/>
    </row>
    <row r="3723" ht="105.75" customHeight="1">
      <c r="A3723" s="11"/>
      <c r="B3723" s="12"/>
      <c r="C3723" s="11"/>
      <c r="D3723" s="13"/>
      <c r="E3723" s="14"/>
      <c r="F3723" s="14"/>
      <c r="G3723" s="14"/>
      <c r="H3723" s="15"/>
      <c r="I3723" s="15"/>
      <c r="J3723" s="3"/>
      <c r="K3723" s="3"/>
      <c r="L3723" s="3"/>
      <c r="M3723" s="3"/>
      <c r="N3723" s="3"/>
      <c r="O3723" s="3"/>
      <c r="P3723" s="3"/>
      <c r="Q3723" s="3"/>
      <c r="R3723" s="3"/>
      <c r="S3723" s="3"/>
      <c r="T3723" s="3"/>
      <c r="U3723" s="3"/>
      <c r="V3723" s="3"/>
      <c r="W3723" s="3"/>
      <c r="X3723" s="3"/>
      <c r="Y3723" s="3"/>
      <c r="Z3723" s="3"/>
      <c r="AA3723" s="3"/>
    </row>
    <row r="3724" ht="105.75" customHeight="1">
      <c r="A3724" s="11"/>
      <c r="B3724" s="12"/>
      <c r="C3724" s="11"/>
      <c r="D3724" s="13"/>
      <c r="E3724" s="16"/>
      <c r="F3724" s="16"/>
      <c r="G3724" s="16"/>
      <c r="H3724" s="15"/>
      <c r="I3724" s="15"/>
      <c r="J3724" s="3"/>
      <c r="K3724" s="3"/>
      <c r="L3724" s="3"/>
      <c r="M3724" s="3"/>
      <c r="N3724" s="3"/>
      <c r="O3724" s="3"/>
      <c r="P3724" s="3"/>
      <c r="Q3724" s="3"/>
      <c r="R3724" s="3"/>
      <c r="S3724" s="3"/>
      <c r="T3724" s="3"/>
      <c r="U3724" s="3"/>
      <c r="V3724" s="3"/>
      <c r="W3724" s="3"/>
      <c r="X3724" s="3"/>
      <c r="Y3724" s="3"/>
      <c r="Z3724" s="3"/>
      <c r="AA3724" s="3"/>
    </row>
    <row r="3725" ht="105.75" customHeight="1">
      <c r="A3725" s="11"/>
      <c r="B3725" s="12"/>
      <c r="C3725" s="11"/>
      <c r="D3725" s="13"/>
      <c r="E3725" s="14"/>
      <c r="F3725" s="14"/>
      <c r="G3725" s="14"/>
      <c r="H3725" s="15"/>
      <c r="I3725" s="15"/>
      <c r="J3725" s="3"/>
      <c r="K3725" s="3"/>
      <c r="L3725" s="3"/>
      <c r="M3725" s="3"/>
      <c r="N3725" s="3"/>
      <c r="O3725" s="3"/>
      <c r="P3725" s="3"/>
      <c r="Q3725" s="3"/>
      <c r="R3725" s="3"/>
      <c r="S3725" s="3"/>
      <c r="T3725" s="3"/>
      <c r="U3725" s="3"/>
      <c r="V3725" s="3"/>
      <c r="W3725" s="3"/>
      <c r="X3725" s="3"/>
      <c r="Y3725" s="3"/>
      <c r="Z3725" s="3"/>
      <c r="AA3725" s="3"/>
    </row>
    <row r="3726" ht="105.75" customHeight="1">
      <c r="A3726" s="11"/>
      <c r="B3726" s="12"/>
      <c r="C3726" s="11"/>
      <c r="D3726" s="13"/>
      <c r="E3726" s="14"/>
      <c r="F3726" s="14"/>
      <c r="G3726" s="14"/>
      <c r="H3726" s="15"/>
      <c r="I3726" s="15"/>
      <c r="J3726" s="3"/>
      <c r="K3726" s="3"/>
      <c r="L3726" s="3"/>
      <c r="M3726" s="3"/>
      <c r="N3726" s="3"/>
      <c r="O3726" s="3"/>
      <c r="P3726" s="3"/>
      <c r="Q3726" s="3"/>
      <c r="R3726" s="3"/>
      <c r="S3726" s="3"/>
      <c r="T3726" s="3"/>
      <c r="U3726" s="3"/>
      <c r="V3726" s="3"/>
      <c r="W3726" s="3"/>
      <c r="X3726" s="3"/>
      <c r="Y3726" s="3"/>
      <c r="Z3726" s="3"/>
      <c r="AA3726" s="3"/>
    </row>
    <row r="3727" ht="105.75" customHeight="1">
      <c r="A3727" s="11"/>
      <c r="B3727" s="12"/>
      <c r="C3727" s="11"/>
      <c r="D3727" s="13"/>
      <c r="E3727" s="14"/>
      <c r="F3727" s="14"/>
      <c r="G3727" s="14"/>
      <c r="H3727" s="15"/>
      <c r="I3727" s="15"/>
      <c r="J3727" s="3"/>
      <c r="K3727" s="3"/>
      <c r="L3727" s="3"/>
      <c r="M3727" s="3"/>
      <c r="N3727" s="3"/>
      <c r="O3727" s="3"/>
      <c r="P3727" s="3"/>
      <c r="Q3727" s="3"/>
      <c r="R3727" s="3"/>
      <c r="S3727" s="3"/>
      <c r="T3727" s="3"/>
      <c r="U3727" s="3"/>
      <c r="V3727" s="3"/>
      <c r="W3727" s="3"/>
      <c r="X3727" s="3"/>
      <c r="Y3727" s="3"/>
      <c r="Z3727" s="3"/>
      <c r="AA3727" s="3"/>
    </row>
    <row r="3728" ht="105.75" customHeight="1">
      <c r="A3728" s="11"/>
      <c r="B3728" s="12"/>
      <c r="C3728" s="11"/>
      <c r="D3728" s="13"/>
      <c r="E3728" s="14"/>
      <c r="F3728" s="14"/>
      <c r="G3728" s="14"/>
      <c r="H3728" s="15"/>
      <c r="I3728" s="15"/>
      <c r="J3728" s="3"/>
      <c r="K3728" s="3"/>
      <c r="L3728" s="3"/>
      <c r="M3728" s="3"/>
      <c r="N3728" s="3"/>
      <c r="O3728" s="3"/>
      <c r="P3728" s="3"/>
      <c r="Q3728" s="3"/>
      <c r="R3728" s="3"/>
      <c r="S3728" s="3"/>
      <c r="T3728" s="3"/>
      <c r="U3728" s="3"/>
      <c r="V3728" s="3"/>
      <c r="W3728" s="3"/>
      <c r="X3728" s="3"/>
      <c r="Y3728" s="3"/>
      <c r="Z3728" s="3"/>
      <c r="AA3728" s="3"/>
    </row>
    <row r="3729" ht="105.75" customHeight="1">
      <c r="A3729" s="11"/>
      <c r="B3729" s="12"/>
      <c r="C3729" s="11"/>
      <c r="D3729" s="13"/>
      <c r="E3729" s="16"/>
      <c r="F3729" s="16"/>
      <c r="G3729" s="16"/>
      <c r="H3729" s="15"/>
      <c r="I3729" s="15"/>
      <c r="J3729" s="3"/>
      <c r="K3729" s="3"/>
      <c r="L3729" s="3"/>
      <c r="M3729" s="3"/>
      <c r="N3729" s="3"/>
      <c r="O3729" s="3"/>
      <c r="P3729" s="3"/>
      <c r="Q3729" s="3"/>
      <c r="R3729" s="3"/>
      <c r="S3729" s="3"/>
      <c r="T3729" s="3"/>
      <c r="U3729" s="3"/>
      <c r="V3729" s="3"/>
      <c r="W3729" s="3"/>
      <c r="X3729" s="3"/>
      <c r="Y3729" s="3"/>
      <c r="Z3729" s="3"/>
      <c r="AA3729" s="3"/>
    </row>
    <row r="3730" ht="105.75" customHeight="1">
      <c r="A3730" s="11"/>
      <c r="B3730" s="12"/>
      <c r="C3730" s="11"/>
      <c r="D3730" s="13"/>
      <c r="E3730" s="14"/>
      <c r="F3730" s="14"/>
      <c r="G3730" s="14"/>
      <c r="H3730" s="15"/>
      <c r="I3730" s="15"/>
      <c r="J3730" s="3"/>
      <c r="K3730" s="3"/>
      <c r="L3730" s="3"/>
      <c r="M3730" s="3"/>
      <c r="N3730" s="3"/>
      <c r="O3730" s="3"/>
      <c r="P3730" s="3"/>
      <c r="Q3730" s="3"/>
      <c r="R3730" s="3"/>
      <c r="S3730" s="3"/>
      <c r="T3730" s="3"/>
      <c r="U3730" s="3"/>
      <c r="V3730" s="3"/>
      <c r="W3730" s="3"/>
      <c r="X3730" s="3"/>
      <c r="Y3730" s="3"/>
      <c r="Z3730" s="3"/>
      <c r="AA3730" s="3"/>
    </row>
    <row r="3731" ht="105.75" customHeight="1">
      <c r="A3731" s="11"/>
      <c r="B3731" s="12"/>
      <c r="C3731" s="11"/>
      <c r="D3731" s="13"/>
      <c r="E3731" s="16"/>
      <c r="F3731" s="16"/>
      <c r="G3731" s="16"/>
      <c r="H3731" s="15"/>
      <c r="I3731" s="15"/>
      <c r="J3731" s="3"/>
      <c r="K3731" s="3"/>
      <c r="L3731" s="3"/>
      <c r="M3731" s="3"/>
      <c r="N3731" s="3"/>
      <c r="O3731" s="3"/>
      <c r="P3731" s="3"/>
      <c r="Q3731" s="3"/>
      <c r="R3731" s="3"/>
      <c r="S3731" s="3"/>
      <c r="T3731" s="3"/>
      <c r="U3731" s="3"/>
      <c r="V3731" s="3"/>
      <c r="W3731" s="3"/>
      <c r="X3731" s="3"/>
      <c r="Y3731" s="3"/>
      <c r="Z3731" s="3"/>
      <c r="AA3731" s="3"/>
    </row>
    <row r="3732" ht="105.75" customHeight="1">
      <c r="A3732" s="11"/>
      <c r="B3732" s="12"/>
      <c r="C3732" s="11"/>
      <c r="D3732" s="13"/>
      <c r="E3732" s="14"/>
      <c r="F3732" s="14"/>
      <c r="G3732" s="14"/>
      <c r="H3732" s="15"/>
      <c r="I3732" s="15"/>
      <c r="J3732" s="3"/>
      <c r="K3732" s="3"/>
      <c r="L3732" s="3"/>
      <c r="M3732" s="3"/>
      <c r="N3732" s="3"/>
      <c r="O3732" s="3"/>
      <c r="P3732" s="3"/>
      <c r="Q3732" s="3"/>
      <c r="R3732" s="3"/>
      <c r="S3732" s="3"/>
      <c r="T3732" s="3"/>
      <c r="U3732" s="3"/>
      <c r="V3732" s="3"/>
      <c r="W3732" s="3"/>
      <c r="X3732" s="3"/>
      <c r="Y3732" s="3"/>
      <c r="Z3732" s="3"/>
      <c r="AA3732" s="3"/>
    </row>
    <row r="3733" ht="105.75" customHeight="1">
      <c r="A3733" s="11"/>
      <c r="B3733" s="12"/>
      <c r="C3733" s="11"/>
      <c r="D3733" s="13"/>
      <c r="E3733" s="14"/>
      <c r="F3733" s="14"/>
      <c r="G3733" s="14"/>
      <c r="H3733" s="15"/>
      <c r="I3733" s="15"/>
      <c r="J3733" s="3"/>
      <c r="K3733" s="3"/>
      <c r="L3733" s="3"/>
      <c r="M3733" s="3"/>
      <c r="N3733" s="3"/>
      <c r="O3733" s="3"/>
      <c r="P3733" s="3"/>
      <c r="Q3733" s="3"/>
      <c r="R3733" s="3"/>
      <c r="S3733" s="3"/>
      <c r="T3733" s="3"/>
      <c r="U3733" s="3"/>
      <c r="V3733" s="3"/>
      <c r="W3733" s="3"/>
      <c r="X3733" s="3"/>
      <c r="Y3733" s="3"/>
      <c r="Z3733" s="3"/>
      <c r="AA3733" s="3"/>
    </row>
    <row r="3734" ht="105.75" customHeight="1">
      <c r="A3734" s="11"/>
      <c r="B3734" s="12"/>
      <c r="C3734" s="11"/>
      <c r="D3734" s="13"/>
      <c r="E3734" s="14"/>
      <c r="F3734" s="14"/>
      <c r="G3734" s="14"/>
      <c r="H3734" s="15"/>
      <c r="I3734" s="15"/>
      <c r="J3734" s="3"/>
      <c r="K3734" s="3"/>
      <c r="L3734" s="3"/>
      <c r="M3734" s="3"/>
      <c r="N3734" s="3"/>
      <c r="O3734" s="3"/>
      <c r="P3734" s="3"/>
      <c r="Q3734" s="3"/>
      <c r="R3734" s="3"/>
      <c r="S3734" s="3"/>
      <c r="T3734" s="3"/>
      <c r="U3734" s="3"/>
      <c r="V3734" s="3"/>
      <c r="W3734" s="3"/>
      <c r="X3734" s="3"/>
      <c r="Y3734" s="3"/>
      <c r="Z3734" s="3"/>
      <c r="AA3734" s="3"/>
    </row>
    <row r="3735" ht="105.75" customHeight="1">
      <c r="A3735" s="11"/>
      <c r="B3735" s="12"/>
      <c r="C3735" s="11"/>
      <c r="D3735" s="13"/>
      <c r="E3735" s="14"/>
      <c r="F3735" s="14"/>
      <c r="G3735" s="14"/>
      <c r="H3735" s="15"/>
      <c r="I3735" s="15"/>
      <c r="J3735" s="3"/>
      <c r="K3735" s="3"/>
      <c r="L3735" s="3"/>
      <c r="M3735" s="3"/>
      <c r="N3735" s="3"/>
      <c r="O3735" s="3"/>
      <c r="P3735" s="3"/>
      <c r="Q3735" s="3"/>
      <c r="R3735" s="3"/>
      <c r="S3735" s="3"/>
      <c r="T3735" s="3"/>
      <c r="U3735" s="3"/>
      <c r="V3735" s="3"/>
      <c r="W3735" s="3"/>
      <c r="X3735" s="3"/>
      <c r="Y3735" s="3"/>
      <c r="Z3735" s="3"/>
      <c r="AA3735" s="3"/>
    </row>
    <row r="3736" ht="105.75" customHeight="1">
      <c r="A3736" s="11"/>
      <c r="B3736" s="12"/>
      <c r="C3736" s="11"/>
      <c r="D3736" s="13"/>
      <c r="E3736" s="14"/>
      <c r="F3736" s="14"/>
      <c r="G3736" s="14"/>
      <c r="H3736" s="15"/>
      <c r="I3736" s="15"/>
      <c r="J3736" s="3"/>
      <c r="K3736" s="3"/>
      <c r="L3736" s="3"/>
      <c r="M3736" s="3"/>
      <c r="N3736" s="3"/>
      <c r="O3736" s="3"/>
      <c r="P3736" s="3"/>
      <c r="Q3736" s="3"/>
      <c r="R3736" s="3"/>
      <c r="S3736" s="3"/>
      <c r="T3736" s="3"/>
      <c r="U3736" s="3"/>
      <c r="V3736" s="3"/>
      <c r="W3736" s="3"/>
      <c r="X3736" s="3"/>
      <c r="Y3736" s="3"/>
      <c r="Z3736" s="3"/>
      <c r="AA3736" s="3"/>
    </row>
    <row r="3737" ht="105.75" customHeight="1">
      <c r="A3737" s="11"/>
      <c r="B3737" s="12"/>
      <c r="C3737" s="11"/>
      <c r="D3737" s="13"/>
      <c r="E3737" s="14"/>
      <c r="F3737" s="14"/>
      <c r="G3737" s="14"/>
      <c r="H3737" s="15"/>
      <c r="I3737" s="15"/>
      <c r="J3737" s="3"/>
      <c r="K3737" s="3"/>
      <c r="L3737" s="3"/>
      <c r="M3737" s="3"/>
      <c r="N3737" s="3"/>
      <c r="O3737" s="3"/>
      <c r="P3737" s="3"/>
      <c r="Q3737" s="3"/>
      <c r="R3737" s="3"/>
      <c r="S3737" s="3"/>
      <c r="T3737" s="3"/>
      <c r="U3737" s="3"/>
      <c r="V3737" s="3"/>
      <c r="W3737" s="3"/>
      <c r="X3737" s="3"/>
      <c r="Y3737" s="3"/>
      <c r="Z3737" s="3"/>
      <c r="AA3737" s="3"/>
    </row>
    <row r="3738" ht="105.75" customHeight="1">
      <c r="A3738" s="11"/>
      <c r="B3738" s="12"/>
      <c r="C3738" s="11"/>
      <c r="D3738" s="13"/>
      <c r="E3738" s="14"/>
      <c r="F3738" s="14"/>
      <c r="G3738" s="14"/>
      <c r="H3738" s="15"/>
      <c r="I3738" s="15"/>
      <c r="J3738" s="3"/>
      <c r="K3738" s="3"/>
      <c r="L3738" s="3"/>
      <c r="M3738" s="3"/>
      <c r="N3738" s="3"/>
      <c r="O3738" s="3"/>
      <c r="P3738" s="3"/>
      <c r="Q3738" s="3"/>
      <c r="R3738" s="3"/>
      <c r="S3738" s="3"/>
      <c r="T3738" s="3"/>
      <c r="U3738" s="3"/>
      <c r="V3738" s="3"/>
      <c r="W3738" s="3"/>
      <c r="X3738" s="3"/>
      <c r="Y3738" s="3"/>
      <c r="Z3738" s="3"/>
      <c r="AA3738" s="3"/>
    </row>
    <row r="3739" ht="105.75" customHeight="1">
      <c r="A3739" s="11"/>
      <c r="B3739" s="12"/>
      <c r="C3739" s="11"/>
      <c r="D3739" s="13"/>
      <c r="E3739" s="14"/>
      <c r="F3739" s="14"/>
      <c r="G3739" s="14"/>
      <c r="H3739" s="15"/>
      <c r="I3739" s="15"/>
      <c r="J3739" s="3"/>
      <c r="K3739" s="3"/>
      <c r="L3739" s="3"/>
      <c r="M3739" s="3"/>
      <c r="N3739" s="3"/>
      <c r="O3739" s="3"/>
      <c r="P3739" s="3"/>
      <c r="Q3739" s="3"/>
      <c r="R3739" s="3"/>
      <c r="S3739" s="3"/>
      <c r="T3739" s="3"/>
      <c r="U3739" s="3"/>
      <c r="V3739" s="3"/>
      <c r="W3739" s="3"/>
      <c r="X3739" s="3"/>
      <c r="Y3739" s="3"/>
      <c r="Z3739" s="3"/>
      <c r="AA3739" s="3"/>
    </row>
    <row r="3740" ht="105.75" customHeight="1">
      <c r="A3740" s="11"/>
      <c r="B3740" s="12"/>
      <c r="C3740" s="11"/>
      <c r="D3740" s="13"/>
      <c r="E3740" s="16"/>
      <c r="F3740" s="16"/>
      <c r="G3740" s="16"/>
      <c r="H3740" s="15"/>
      <c r="I3740" s="15"/>
      <c r="J3740" s="3"/>
      <c r="K3740" s="3"/>
      <c r="L3740" s="3"/>
      <c r="M3740" s="3"/>
      <c r="N3740" s="3"/>
      <c r="O3740" s="3"/>
      <c r="P3740" s="3"/>
      <c r="Q3740" s="3"/>
      <c r="R3740" s="3"/>
      <c r="S3740" s="3"/>
      <c r="T3740" s="3"/>
      <c r="U3740" s="3"/>
      <c r="V3740" s="3"/>
      <c r="W3740" s="3"/>
      <c r="X3740" s="3"/>
      <c r="Y3740" s="3"/>
      <c r="Z3740" s="3"/>
      <c r="AA3740" s="3"/>
    </row>
    <row r="3741" ht="105.75" customHeight="1">
      <c r="A3741" s="11"/>
      <c r="B3741" s="12"/>
      <c r="C3741" s="11"/>
      <c r="D3741" s="13"/>
      <c r="E3741" s="16"/>
      <c r="F3741" s="16"/>
      <c r="G3741" s="16"/>
      <c r="H3741" s="15"/>
      <c r="I3741" s="15"/>
      <c r="J3741" s="3"/>
      <c r="K3741" s="3"/>
      <c r="L3741" s="3"/>
      <c r="M3741" s="3"/>
      <c r="N3741" s="3"/>
      <c r="O3741" s="3"/>
      <c r="P3741" s="3"/>
      <c r="Q3741" s="3"/>
      <c r="R3741" s="3"/>
      <c r="S3741" s="3"/>
      <c r="T3741" s="3"/>
      <c r="U3741" s="3"/>
      <c r="V3741" s="3"/>
      <c r="W3741" s="3"/>
      <c r="X3741" s="3"/>
      <c r="Y3741" s="3"/>
      <c r="Z3741" s="3"/>
      <c r="AA3741" s="3"/>
    </row>
    <row r="3742" ht="105.75" customHeight="1">
      <c r="A3742" s="11"/>
      <c r="B3742" s="12"/>
      <c r="C3742" s="11"/>
      <c r="D3742" s="13"/>
      <c r="E3742" s="16"/>
      <c r="F3742" s="16"/>
      <c r="G3742" s="16"/>
      <c r="H3742" s="15"/>
      <c r="I3742" s="15"/>
      <c r="J3742" s="3"/>
      <c r="K3742" s="3"/>
      <c r="L3742" s="3"/>
      <c r="M3742" s="3"/>
      <c r="N3742" s="3"/>
      <c r="O3742" s="3"/>
      <c r="P3742" s="3"/>
      <c r="Q3742" s="3"/>
      <c r="R3742" s="3"/>
      <c r="S3742" s="3"/>
      <c r="T3742" s="3"/>
      <c r="U3742" s="3"/>
      <c r="V3742" s="3"/>
      <c r="W3742" s="3"/>
      <c r="X3742" s="3"/>
      <c r="Y3742" s="3"/>
      <c r="Z3742" s="3"/>
      <c r="AA3742" s="3"/>
    </row>
    <row r="3743" ht="105.75" customHeight="1">
      <c r="A3743" s="11"/>
      <c r="B3743" s="12"/>
      <c r="C3743" s="11"/>
      <c r="D3743" s="13"/>
      <c r="E3743" s="14"/>
      <c r="F3743" s="14"/>
      <c r="G3743" s="14"/>
      <c r="H3743" s="15"/>
      <c r="I3743" s="15"/>
      <c r="J3743" s="3"/>
      <c r="K3743" s="3"/>
      <c r="L3743" s="3"/>
      <c r="M3743" s="3"/>
      <c r="N3743" s="3"/>
      <c r="O3743" s="3"/>
      <c r="P3743" s="3"/>
      <c r="Q3743" s="3"/>
      <c r="R3743" s="3"/>
      <c r="S3743" s="3"/>
      <c r="T3743" s="3"/>
      <c r="U3743" s="3"/>
      <c r="V3743" s="3"/>
      <c r="W3743" s="3"/>
      <c r="X3743" s="3"/>
      <c r="Y3743" s="3"/>
      <c r="Z3743" s="3"/>
      <c r="AA3743" s="3"/>
    </row>
    <row r="3744" ht="105.75" customHeight="1">
      <c r="A3744" s="11"/>
      <c r="B3744" s="12"/>
      <c r="C3744" s="11"/>
      <c r="D3744" s="13"/>
      <c r="E3744" s="16"/>
      <c r="F3744" s="16"/>
      <c r="G3744" s="16"/>
      <c r="H3744" s="15"/>
      <c r="I3744" s="15"/>
      <c r="J3744" s="3"/>
      <c r="K3744" s="3"/>
      <c r="L3744" s="3"/>
      <c r="M3744" s="3"/>
      <c r="N3744" s="3"/>
      <c r="O3744" s="3"/>
      <c r="P3744" s="3"/>
      <c r="Q3744" s="3"/>
      <c r="R3744" s="3"/>
      <c r="S3744" s="3"/>
      <c r="T3744" s="3"/>
      <c r="U3744" s="3"/>
      <c r="V3744" s="3"/>
      <c r="W3744" s="3"/>
      <c r="X3744" s="3"/>
      <c r="Y3744" s="3"/>
      <c r="Z3744" s="3"/>
      <c r="AA3744" s="3"/>
    </row>
    <row r="3745" ht="105.75" customHeight="1">
      <c r="A3745" s="11"/>
      <c r="B3745" s="12"/>
      <c r="C3745" s="11"/>
      <c r="D3745" s="13"/>
      <c r="E3745" s="16"/>
      <c r="F3745" s="16"/>
      <c r="G3745" s="16"/>
      <c r="H3745" s="15"/>
      <c r="I3745" s="15"/>
      <c r="J3745" s="3"/>
      <c r="K3745" s="3"/>
      <c r="L3745" s="3"/>
      <c r="M3745" s="3"/>
      <c r="N3745" s="3"/>
      <c r="O3745" s="3"/>
      <c r="P3745" s="3"/>
      <c r="Q3745" s="3"/>
      <c r="R3745" s="3"/>
      <c r="S3745" s="3"/>
      <c r="T3745" s="3"/>
      <c r="U3745" s="3"/>
      <c r="V3745" s="3"/>
      <c r="W3745" s="3"/>
      <c r="X3745" s="3"/>
      <c r="Y3745" s="3"/>
      <c r="Z3745" s="3"/>
      <c r="AA3745" s="3"/>
    </row>
    <row r="3746" ht="105.75" customHeight="1">
      <c r="A3746" s="11"/>
      <c r="B3746" s="12"/>
      <c r="C3746" s="11"/>
      <c r="D3746" s="13"/>
      <c r="E3746" s="14"/>
      <c r="F3746" s="14"/>
      <c r="G3746" s="14"/>
      <c r="H3746" s="15"/>
      <c r="I3746" s="15"/>
      <c r="J3746" s="3"/>
      <c r="K3746" s="3"/>
      <c r="L3746" s="3"/>
      <c r="M3746" s="3"/>
      <c r="N3746" s="3"/>
      <c r="O3746" s="3"/>
      <c r="P3746" s="3"/>
      <c r="Q3746" s="3"/>
      <c r="R3746" s="3"/>
      <c r="S3746" s="3"/>
      <c r="T3746" s="3"/>
      <c r="U3746" s="3"/>
      <c r="V3746" s="3"/>
      <c r="W3746" s="3"/>
      <c r="X3746" s="3"/>
      <c r="Y3746" s="3"/>
      <c r="Z3746" s="3"/>
      <c r="AA3746" s="3"/>
    </row>
    <row r="3747" ht="105.75" customHeight="1">
      <c r="A3747" s="11"/>
      <c r="B3747" s="12"/>
      <c r="C3747" s="11"/>
      <c r="D3747" s="13"/>
      <c r="E3747" s="16"/>
      <c r="F3747" s="16"/>
      <c r="G3747" s="16"/>
      <c r="H3747" s="15"/>
      <c r="I3747" s="15"/>
      <c r="J3747" s="3"/>
      <c r="K3747" s="3"/>
      <c r="L3747" s="3"/>
      <c r="M3747" s="3"/>
      <c r="N3747" s="3"/>
      <c r="O3747" s="3"/>
      <c r="P3747" s="3"/>
      <c r="Q3747" s="3"/>
      <c r="R3747" s="3"/>
      <c r="S3747" s="3"/>
      <c r="T3747" s="3"/>
      <c r="U3747" s="3"/>
      <c r="V3747" s="3"/>
      <c r="W3747" s="3"/>
      <c r="X3747" s="3"/>
      <c r="Y3747" s="3"/>
      <c r="Z3747" s="3"/>
      <c r="AA3747" s="3"/>
    </row>
    <row r="3748" ht="105.75" customHeight="1">
      <c r="A3748" s="11"/>
      <c r="B3748" s="12"/>
      <c r="C3748" s="11"/>
      <c r="D3748" s="13"/>
      <c r="E3748" s="14"/>
      <c r="F3748" s="14"/>
      <c r="G3748" s="14"/>
      <c r="H3748" s="15"/>
      <c r="I3748" s="15"/>
      <c r="J3748" s="3"/>
      <c r="K3748" s="3"/>
      <c r="L3748" s="3"/>
      <c r="M3748" s="3"/>
      <c r="N3748" s="3"/>
      <c r="O3748" s="3"/>
      <c r="P3748" s="3"/>
      <c r="Q3748" s="3"/>
      <c r="R3748" s="3"/>
      <c r="S3748" s="3"/>
      <c r="T3748" s="3"/>
      <c r="U3748" s="3"/>
      <c r="V3748" s="3"/>
      <c r="W3748" s="3"/>
      <c r="X3748" s="3"/>
      <c r="Y3748" s="3"/>
      <c r="Z3748" s="3"/>
      <c r="AA3748" s="3"/>
    </row>
    <row r="3749" ht="105.75" customHeight="1">
      <c r="A3749" s="11"/>
      <c r="B3749" s="12"/>
      <c r="C3749" s="11"/>
      <c r="D3749" s="13"/>
      <c r="E3749" s="14"/>
      <c r="F3749" s="14"/>
      <c r="G3749" s="14"/>
      <c r="H3749" s="15"/>
      <c r="I3749" s="15"/>
      <c r="J3749" s="3"/>
      <c r="K3749" s="3"/>
      <c r="L3749" s="3"/>
      <c r="M3749" s="3"/>
      <c r="N3749" s="3"/>
      <c r="O3749" s="3"/>
      <c r="P3749" s="3"/>
      <c r="Q3749" s="3"/>
      <c r="R3749" s="3"/>
      <c r="S3749" s="3"/>
      <c r="T3749" s="3"/>
      <c r="U3749" s="3"/>
      <c r="V3749" s="3"/>
      <c r="W3749" s="3"/>
      <c r="X3749" s="3"/>
      <c r="Y3749" s="3"/>
      <c r="Z3749" s="3"/>
      <c r="AA3749" s="3"/>
    </row>
    <row r="3750" ht="105.75" customHeight="1">
      <c r="A3750" s="11"/>
      <c r="B3750" s="12"/>
      <c r="C3750" s="11"/>
      <c r="D3750" s="13"/>
      <c r="E3750" s="14"/>
      <c r="F3750" s="14"/>
      <c r="G3750" s="14"/>
      <c r="H3750" s="15"/>
      <c r="I3750" s="15"/>
      <c r="J3750" s="3"/>
      <c r="K3750" s="3"/>
      <c r="L3750" s="3"/>
      <c r="M3750" s="3"/>
      <c r="N3750" s="3"/>
      <c r="O3750" s="3"/>
      <c r="P3750" s="3"/>
      <c r="Q3750" s="3"/>
      <c r="R3750" s="3"/>
      <c r="S3750" s="3"/>
      <c r="T3750" s="3"/>
      <c r="U3750" s="3"/>
      <c r="V3750" s="3"/>
      <c r="W3750" s="3"/>
      <c r="X3750" s="3"/>
      <c r="Y3750" s="3"/>
      <c r="Z3750" s="3"/>
      <c r="AA3750" s="3"/>
    </row>
    <row r="3751" ht="105.75" customHeight="1">
      <c r="A3751" s="11"/>
      <c r="B3751" s="12"/>
      <c r="C3751" s="11"/>
      <c r="D3751" s="13"/>
      <c r="E3751" s="14"/>
      <c r="F3751" s="14"/>
      <c r="G3751" s="14"/>
      <c r="H3751" s="15"/>
      <c r="I3751" s="15"/>
      <c r="J3751" s="3"/>
      <c r="K3751" s="3"/>
      <c r="L3751" s="3"/>
      <c r="M3751" s="3"/>
      <c r="N3751" s="3"/>
      <c r="O3751" s="3"/>
      <c r="P3751" s="3"/>
      <c r="Q3751" s="3"/>
      <c r="R3751" s="3"/>
      <c r="S3751" s="3"/>
      <c r="T3751" s="3"/>
      <c r="U3751" s="3"/>
      <c r="V3751" s="3"/>
      <c r="W3751" s="3"/>
      <c r="X3751" s="3"/>
      <c r="Y3751" s="3"/>
      <c r="Z3751" s="3"/>
      <c r="AA3751" s="3"/>
    </row>
    <row r="3752" ht="105.75" customHeight="1">
      <c r="A3752" s="11"/>
      <c r="B3752" s="12"/>
      <c r="C3752" s="11"/>
      <c r="D3752" s="13"/>
      <c r="E3752" s="14"/>
      <c r="F3752" s="14"/>
      <c r="G3752" s="14"/>
      <c r="H3752" s="15"/>
      <c r="I3752" s="15"/>
      <c r="J3752" s="3"/>
      <c r="K3752" s="3"/>
      <c r="L3752" s="3"/>
      <c r="M3752" s="3"/>
      <c r="N3752" s="3"/>
      <c r="O3752" s="3"/>
      <c r="P3752" s="3"/>
      <c r="Q3752" s="3"/>
      <c r="R3752" s="3"/>
      <c r="S3752" s="3"/>
      <c r="T3752" s="3"/>
      <c r="U3752" s="3"/>
      <c r="V3752" s="3"/>
      <c r="W3752" s="3"/>
      <c r="X3752" s="3"/>
      <c r="Y3752" s="3"/>
      <c r="Z3752" s="3"/>
      <c r="AA3752" s="3"/>
    </row>
    <row r="3753" ht="105.75" customHeight="1">
      <c r="A3753" s="11"/>
      <c r="B3753" s="12"/>
      <c r="C3753" s="11"/>
      <c r="D3753" s="13"/>
      <c r="E3753" s="14"/>
      <c r="F3753" s="14"/>
      <c r="G3753" s="14"/>
      <c r="H3753" s="15"/>
      <c r="I3753" s="15"/>
      <c r="J3753" s="3"/>
      <c r="K3753" s="3"/>
      <c r="L3753" s="3"/>
      <c r="M3753" s="3"/>
      <c r="N3753" s="3"/>
      <c r="O3753" s="3"/>
      <c r="P3753" s="3"/>
      <c r="Q3753" s="3"/>
      <c r="R3753" s="3"/>
      <c r="S3753" s="3"/>
      <c r="T3753" s="3"/>
      <c r="U3753" s="3"/>
      <c r="V3753" s="3"/>
      <c r="W3753" s="3"/>
      <c r="X3753" s="3"/>
      <c r="Y3753" s="3"/>
      <c r="Z3753" s="3"/>
      <c r="AA3753" s="3"/>
    </row>
    <row r="3754" ht="105.75" customHeight="1">
      <c r="A3754" s="11"/>
      <c r="B3754" s="12"/>
      <c r="C3754" s="11"/>
      <c r="D3754" s="13"/>
      <c r="E3754" s="14"/>
      <c r="F3754" s="14"/>
      <c r="G3754" s="14"/>
      <c r="H3754" s="15"/>
      <c r="I3754" s="15"/>
      <c r="J3754" s="3"/>
      <c r="K3754" s="3"/>
      <c r="L3754" s="3"/>
      <c r="M3754" s="3"/>
      <c r="N3754" s="3"/>
      <c r="O3754" s="3"/>
      <c r="P3754" s="3"/>
      <c r="Q3754" s="3"/>
      <c r="R3754" s="3"/>
      <c r="S3754" s="3"/>
      <c r="T3754" s="3"/>
      <c r="U3754" s="3"/>
      <c r="V3754" s="3"/>
      <c r="W3754" s="3"/>
      <c r="X3754" s="3"/>
      <c r="Y3754" s="3"/>
      <c r="Z3754" s="3"/>
      <c r="AA3754" s="3"/>
    </row>
    <row r="3755" ht="105.75" customHeight="1">
      <c r="A3755" s="11"/>
      <c r="B3755" s="12"/>
      <c r="C3755" s="11"/>
      <c r="D3755" s="13"/>
      <c r="E3755" s="14"/>
      <c r="F3755" s="14"/>
      <c r="G3755" s="14"/>
      <c r="H3755" s="15"/>
      <c r="I3755" s="15"/>
      <c r="J3755" s="3"/>
      <c r="K3755" s="3"/>
      <c r="L3755" s="3"/>
      <c r="M3755" s="3"/>
      <c r="N3755" s="3"/>
      <c r="O3755" s="3"/>
      <c r="P3755" s="3"/>
      <c r="Q3755" s="3"/>
      <c r="R3755" s="3"/>
      <c r="S3755" s="3"/>
      <c r="T3755" s="3"/>
      <c r="U3755" s="3"/>
      <c r="V3755" s="3"/>
      <c r="W3755" s="3"/>
      <c r="X3755" s="3"/>
      <c r="Y3755" s="3"/>
      <c r="Z3755" s="3"/>
      <c r="AA3755" s="3"/>
    </row>
    <row r="3756" ht="105.75" customHeight="1">
      <c r="A3756" s="11"/>
      <c r="B3756" s="12"/>
      <c r="C3756" s="11"/>
      <c r="D3756" s="13"/>
      <c r="E3756" s="14"/>
      <c r="F3756" s="14"/>
      <c r="G3756" s="14"/>
      <c r="H3756" s="15"/>
      <c r="I3756" s="15"/>
      <c r="J3756" s="3"/>
      <c r="K3756" s="3"/>
      <c r="L3756" s="3"/>
      <c r="M3756" s="3"/>
      <c r="N3756" s="3"/>
      <c r="O3756" s="3"/>
      <c r="P3756" s="3"/>
      <c r="Q3756" s="3"/>
      <c r="R3756" s="3"/>
      <c r="S3756" s="3"/>
      <c r="T3756" s="3"/>
      <c r="U3756" s="3"/>
      <c r="V3756" s="3"/>
      <c r="W3756" s="3"/>
      <c r="X3756" s="3"/>
      <c r="Y3756" s="3"/>
      <c r="Z3756" s="3"/>
      <c r="AA3756" s="3"/>
    </row>
    <row r="3757" ht="105.75" customHeight="1">
      <c r="A3757" s="11"/>
      <c r="B3757" s="12"/>
      <c r="C3757" s="11"/>
      <c r="D3757" s="13"/>
      <c r="E3757" s="14"/>
      <c r="F3757" s="14"/>
      <c r="G3757" s="14"/>
      <c r="H3757" s="15"/>
      <c r="I3757" s="15"/>
      <c r="J3757" s="3"/>
      <c r="K3757" s="3"/>
      <c r="L3757" s="3"/>
      <c r="M3757" s="3"/>
      <c r="N3757" s="3"/>
      <c r="O3757" s="3"/>
      <c r="P3757" s="3"/>
      <c r="Q3757" s="3"/>
      <c r="R3757" s="3"/>
      <c r="S3757" s="3"/>
      <c r="T3757" s="3"/>
      <c r="U3757" s="3"/>
      <c r="V3757" s="3"/>
      <c r="W3757" s="3"/>
      <c r="X3757" s="3"/>
      <c r="Y3757" s="3"/>
      <c r="Z3757" s="3"/>
      <c r="AA3757" s="3"/>
    </row>
    <row r="3758" ht="105.75" customHeight="1">
      <c r="A3758" s="11"/>
      <c r="B3758" s="12"/>
      <c r="C3758" s="11"/>
      <c r="D3758" s="13"/>
      <c r="E3758" s="14"/>
      <c r="F3758" s="14"/>
      <c r="G3758" s="14"/>
      <c r="H3758" s="15"/>
      <c r="I3758" s="15"/>
      <c r="J3758" s="3"/>
      <c r="K3758" s="3"/>
      <c r="L3758" s="3"/>
      <c r="M3758" s="3"/>
      <c r="N3758" s="3"/>
      <c r="O3758" s="3"/>
      <c r="P3758" s="3"/>
      <c r="Q3758" s="3"/>
      <c r="R3758" s="3"/>
      <c r="S3758" s="3"/>
      <c r="T3758" s="3"/>
      <c r="U3758" s="3"/>
      <c r="V3758" s="3"/>
      <c r="W3758" s="3"/>
      <c r="X3758" s="3"/>
      <c r="Y3758" s="3"/>
      <c r="Z3758" s="3"/>
      <c r="AA3758" s="3"/>
    </row>
    <row r="3759" ht="105.75" customHeight="1">
      <c r="A3759" s="11"/>
      <c r="B3759" s="12"/>
      <c r="C3759" s="11"/>
      <c r="D3759" s="13"/>
      <c r="E3759" s="14"/>
      <c r="F3759" s="14"/>
      <c r="G3759" s="14"/>
      <c r="H3759" s="15"/>
      <c r="I3759" s="15"/>
      <c r="J3759" s="3"/>
      <c r="K3759" s="3"/>
      <c r="L3759" s="3"/>
      <c r="M3759" s="3"/>
      <c r="N3759" s="3"/>
      <c r="O3759" s="3"/>
      <c r="P3759" s="3"/>
      <c r="Q3759" s="3"/>
      <c r="R3759" s="3"/>
      <c r="S3759" s="3"/>
      <c r="T3759" s="3"/>
      <c r="U3759" s="3"/>
      <c r="V3759" s="3"/>
      <c r="W3759" s="3"/>
      <c r="X3759" s="3"/>
      <c r="Y3759" s="3"/>
      <c r="Z3759" s="3"/>
      <c r="AA3759" s="3"/>
    </row>
    <row r="3760" ht="105.75" customHeight="1">
      <c r="A3760" s="11"/>
      <c r="B3760" s="12"/>
      <c r="C3760" s="11"/>
      <c r="D3760" s="13"/>
      <c r="E3760" s="14"/>
      <c r="F3760" s="14"/>
      <c r="G3760" s="14"/>
      <c r="H3760" s="15"/>
      <c r="I3760" s="15"/>
      <c r="J3760" s="3"/>
      <c r="K3760" s="3"/>
      <c r="L3760" s="3"/>
      <c r="M3760" s="3"/>
      <c r="N3760" s="3"/>
      <c r="O3760" s="3"/>
      <c r="P3760" s="3"/>
      <c r="Q3760" s="3"/>
      <c r="R3760" s="3"/>
      <c r="S3760" s="3"/>
      <c r="T3760" s="3"/>
      <c r="U3760" s="3"/>
      <c r="V3760" s="3"/>
      <c r="W3760" s="3"/>
      <c r="X3760" s="3"/>
      <c r="Y3760" s="3"/>
      <c r="Z3760" s="3"/>
      <c r="AA3760" s="3"/>
    </row>
    <row r="3761" ht="105.75" customHeight="1">
      <c r="A3761" s="11"/>
      <c r="B3761" s="12"/>
      <c r="C3761" s="11"/>
      <c r="D3761" s="13"/>
      <c r="E3761" s="14"/>
      <c r="F3761" s="14"/>
      <c r="G3761" s="14"/>
      <c r="H3761" s="15"/>
      <c r="I3761" s="15"/>
      <c r="J3761" s="3"/>
      <c r="K3761" s="3"/>
      <c r="L3761" s="3"/>
      <c r="M3761" s="3"/>
      <c r="N3761" s="3"/>
      <c r="O3761" s="3"/>
      <c r="P3761" s="3"/>
      <c r="Q3761" s="3"/>
      <c r="R3761" s="3"/>
      <c r="S3761" s="3"/>
      <c r="T3761" s="3"/>
      <c r="U3761" s="3"/>
      <c r="V3761" s="3"/>
      <c r="W3761" s="3"/>
      <c r="X3761" s="3"/>
      <c r="Y3761" s="3"/>
      <c r="Z3761" s="3"/>
      <c r="AA3761" s="3"/>
    </row>
    <row r="3762" ht="105.75" customHeight="1">
      <c r="A3762" s="11"/>
      <c r="B3762" s="12"/>
      <c r="C3762" s="11"/>
      <c r="D3762" s="13"/>
      <c r="E3762" s="14"/>
      <c r="F3762" s="14"/>
      <c r="G3762" s="14"/>
      <c r="H3762" s="15"/>
      <c r="I3762" s="15"/>
      <c r="J3762" s="3"/>
      <c r="K3762" s="3"/>
      <c r="L3762" s="3"/>
      <c r="M3762" s="3"/>
      <c r="N3762" s="3"/>
      <c r="O3762" s="3"/>
      <c r="P3762" s="3"/>
      <c r="Q3762" s="3"/>
      <c r="R3762" s="3"/>
      <c r="S3762" s="3"/>
      <c r="T3762" s="3"/>
      <c r="U3762" s="3"/>
      <c r="V3762" s="3"/>
      <c r="W3762" s="3"/>
      <c r="X3762" s="3"/>
      <c r="Y3762" s="3"/>
      <c r="Z3762" s="3"/>
      <c r="AA3762" s="3"/>
    </row>
    <row r="3763" ht="105.75" customHeight="1">
      <c r="A3763" s="11"/>
      <c r="B3763" s="12"/>
      <c r="C3763" s="11"/>
      <c r="D3763" s="13"/>
      <c r="E3763" s="14"/>
      <c r="F3763" s="14"/>
      <c r="G3763" s="14"/>
      <c r="H3763" s="15"/>
      <c r="I3763" s="15"/>
      <c r="J3763" s="3"/>
      <c r="K3763" s="3"/>
      <c r="L3763" s="3"/>
      <c r="M3763" s="3"/>
      <c r="N3763" s="3"/>
      <c r="O3763" s="3"/>
      <c r="P3763" s="3"/>
      <c r="Q3763" s="3"/>
      <c r="R3763" s="3"/>
      <c r="S3763" s="3"/>
      <c r="T3763" s="3"/>
      <c r="U3763" s="3"/>
      <c r="V3763" s="3"/>
      <c r="W3763" s="3"/>
      <c r="X3763" s="3"/>
      <c r="Y3763" s="3"/>
      <c r="Z3763" s="3"/>
      <c r="AA3763" s="3"/>
    </row>
    <row r="3764" ht="105.75" customHeight="1">
      <c r="A3764" s="11"/>
      <c r="B3764" s="12"/>
      <c r="C3764" s="11"/>
      <c r="D3764" s="13"/>
      <c r="E3764" s="14"/>
      <c r="F3764" s="14"/>
      <c r="G3764" s="14"/>
      <c r="H3764" s="15"/>
      <c r="I3764" s="15"/>
      <c r="J3764" s="3"/>
      <c r="K3764" s="3"/>
      <c r="L3764" s="3"/>
      <c r="M3764" s="3"/>
      <c r="N3764" s="3"/>
      <c r="O3764" s="3"/>
      <c r="P3764" s="3"/>
      <c r="Q3764" s="3"/>
      <c r="R3764" s="3"/>
      <c r="S3764" s="3"/>
      <c r="T3764" s="3"/>
      <c r="U3764" s="3"/>
      <c r="V3764" s="3"/>
      <c r="W3764" s="3"/>
      <c r="X3764" s="3"/>
      <c r="Y3764" s="3"/>
      <c r="Z3764" s="3"/>
      <c r="AA3764" s="3"/>
    </row>
    <row r="3765" ht="105.75" customHeight="1">
      <c r="A3765" s="11"/>
      <c r="B3765" s="12"/>
      <c r="C3765" s="11"/>
      <c r="D3765" s="13"/>
      <c r="E3765" s="14"/>
      <c r="F3765" s="14"/>
      <c r="G3765" s="14"/>
      <c r="H3765" s="15"/>
      <c r="I3765" s="15"/>
      <c r="J3765" s="3"/>
      <c r="K3765" s="3"/>
      <c r="L3765" s="3"/>
      <c r="M3765" s="3"/>
      <c r="N3765" s="3"/>
      <c r="O3765" s="3"/>
      <c r="P3765" s="3"/>
      <c r="Q3765" s="3"/>
      <c r="R3765" s="3"/>
      <c r="S3765" s="3"/>
      <c r="T3765" s="3"/>
      <c r="U3765" s="3"/>
      <c r="V3765" s="3"/>
      <c r="W3765" s="3"/>
      <c r="X3765" s="3"/>
      <c r="Y3765" s="3"/>
      <c r="Z3765" s="3"/>
      <c r="AA3765" s="3"/>
    </row>
    <row r="3766" ht="105.75" customHeight="1">
      <c r="A3766" s="11"/>
      <c r="B3766" s="12"/>
      <c r="C3766" s="11"/>
      <c r="D3766" s="13"/>
      <c r="E3766" s="14"/>
      <c r="F3766" s="14"/>
      <c r="G3766" s="14"/>
      <c r="H3766" s="15"/>
      <c r="I3766" s="15"/>
      <c r="J3766" s="3"/>
      <c r="K3766" s="3"/>
      <c r="L3766" s="3"/>
      <c r="M3766" s="3"/>
      <c r="N3766" s="3"/>
      <c r="O3766" s="3"/>
      <c r="P3766" s="3"/>
      <c r="Q3766" s="3"/>
      <c r="R3766" s="3"/>
      <c r="S3766" s="3"/>
      <c r="T3766" s="3"/>
      <c r="U3766" s="3"/>
      <c r="V3766" s="3"/>
      <c r="W3766" s="3"/>
      <c r="X3766" s="3"/>
      <c r="Y3766" s="3"/>
      <c r="Z3766" s="3"/>
      <c r="AA3766" s="3"/>
    </row>
    <row r="3767" ht="105.75" customHeight="1">
      <c r="A3767" s="11"/>
      <c r="B3767" s="12"/>
      <c r="C3767" s="11"/>
      <c r="D3767" s="13"/>
      <c r="E3767" s="14"/>
      <c r="F3767" s="14"/>
      <c r="G3767" s="14"/>
      <c r="H3767" s="15"/>
      <c r="I3767" s="15"/>
      <c r="J3767" s="3"/>
      <c r="K3767" s="3"/>
      <c r="L3767" s="3"/>
      <c r="M3767" s="3"/>
      <c r="N3767" s="3"/>
      <c r="O3767" s="3"/>
      <c r="P3767" s="3"/>
      <c r="Q3767" s="3"/>
      <c r="R3767" s="3"/>
      <c r="S3767" s="3"/>
      <c r="T3767" s="3"/>
      <c r="U3767" s="3"/>
      <c r="V3767" s="3"/>
      <c r="W3767" s="3"/>
      <c r="X3767" s="3"/>
      <c r="Y3767" s="3"/>
      <c r="Z3767" s="3"/>
      <c r="AA3767" s="3"/>
    </row>
    <row r="3768" ht="105.75" customHeight="1">
      <c r="A3768" s="11"/>
      <c r="B3768" s="12"/>
      <c r="C3768" s="11"/>
      <c r="D3768" s="13"/>
      <c r="E3768" s="14"/>
      <c r="F3768" s="14"/>
      <c r="G3768" s="14"/>
      <c r="H3768" s="15"/>
      <c r="I3768" s="15"/>
      <c r="J3768" s="3"/>
      <c r="K3768" s="3"/>
      <c r="L3768" s="3"/>
      <c r="M3768" s="3"/>
      <c r="N3768" s="3"/>
      <c r="O3768" s="3"/>
      <c r="P3768" s="3"/>
      <c r="Q3768" s="3"/>
      <c r="R3768" s="3"/>
      <c r="S3768" s="3"/>
      <c r="T3768" s="3"/>
      <c r="U3768" s="3"/>
      <c r="V3768" s="3"/>
      <c r="W3768" s="3"/>
      <c r="X3768" s="3"/>
      <c r="Y3768" s="3"/>
      <c r="Z3768" s="3"/>
      <c r="AA3768" s="3"/>
    </row>
    <row r="3769" ht="105.75" customHeight="1">
      <c r="A3769" s="11"/>
      <c r="B3769" s="12"/>
      <c r="C3769" s="11"/>
      <c r="D3769" s="13"/>
      <c r="E3769" s="14"/>
      <c r="F3769" s="14"/>
      <c r="G3769" s="14"/>
      <c r="H3769" s="15"/>
      <c r="I3769" s="15"/>
      <c r="J3769" s="3"/>
      <c r="K3769" s="3"/>
      <c r="L3769" s="3"/>
      <c r="M3769" s="3"/>
      <c r="N3769" s="3"/>
      <c r="O3769" s="3"/>
      <c r="P3769" s="3"/>
      <c r="Q3769" s="3"/>
      <c r="R3769" s="3"/>
      <c r="S3769" s="3"/>
      <c r="T3769" s="3"/>
      <c r="U3769" s="3"/>
      <c r="V3769" s="3"/>
      <c r="W3769" s="3"/>
      <c r="X3769" s="3"/>
      <c r="Y3769" s="3"/>
      <c r="Z3769" s="3"/>
      <c r="AA3769" s="3"/>
    </row>
    <row r="3770" ht="105.75" customHeight="1">
      <c r="A3770" s="11"/>
      <c r="B3770" s="12"/>
      <c r="C3770" s="11"/>
      <c r="D3770" s="13"/>
      <c r="E3770" s="14"/>
      <c r="F3770" s="14"/>
      <c r="G3770" s="14"/>
      <c r="H3770" s="15"/>
      <c r="I3770" s="15"/>
      <c r="J3770" s="3"/>
      <c r="K3770" s="3"/>
      <c r="L3770" s="3"/>
      <c r="M3770" s="3"/>
      <c r="N3770" s="3"/>
      <c r="O3770" s="3"/>
      <c r="P3770" s="3"/>
      <c r="Q3770" s="3"/>
      <c r="R3770" s="3"/>
      <c r="S3770" s="3"/>
      <c r="T3770" s="3"/>
      <c r="U3770" s="3"/>
      <c r="V3770" s="3"/>
      <c r="W3770" s="3"/>
      <c r="X3770" s="3"/>
      <c r="Y3770" s="3"/>
      <c r="Z3770" s="3"/>
      <c r="AA3770" s="3"/>
    </row>
    <row r="3771" ht="105.75" customHeight="1">
      <c r="A3771" s="11"/>
      <c r="B3771" s="12"/>
      <c r="C3771" s="11"/>
      <c r="D3771" s="13"/>
      <c r="E3771" s="14"/>
      <c r="F3771" s="14"/>
      <c r="G3771" s="14"/>
      <c r="H3771" s="15"/>
      <c r="I3771" s="15"/>
      <c r="J3771" s="3"/>
      <c r="K3771" s="3"/>
      <c r="L3771" s="3"/>
      <c r="M3771" s="3"/>
      <c r="N3771" s="3"/>
      <c r="O3771" s="3"/>
      <c r="P3771" s="3"/>
      <c r="Q3771" s="3"/>
      <c r="R3771" s="3"/>
      <c r="S3771" s="3"/>
      <c r="T3771" s="3"/>
      <c r="U3771" s="3"/>
      <c r="V3771" s="3"/>
      <c r="W3771" s="3"/>
      <c r="X3771" s="3"/>
      <c r="Y3771" s="3"/>
      <c r="Z3771" s="3"/>
      <c r="AA3771" s="3"/>
    </row>
    <row r="3772" ht="105.75" customHeight="1">
      <c r="A3772" s="11"/>
      <c r="B3772" s="12"/>
      <c r="C3772" s="11"/>
      <c r="D3772" s="13"/>
      <c r="E3772" s="14"/>
      <c r="F3772" s="14"/>
      <c r="G3772" s="14"/>
      <c r="H3772" s="15"/>
      <c r="I3772" s="15"/>
      <c r="J3772" s="3"/>
      <c r="K3772" s="3"/>
      <c r="L3772" s="3"/>
      <c r="M3772" s="3"/>
      <c r="N3772" s="3"/>
      <c r="O3772" s="3"/>
      <c r="P3772" s="3"/>
      <c r="Q3772" s="3"/>
      <c r="R3772" s="3"/>
      <c r="S3772" s="3"/>
      <c r="T3772" s="3"/>
      <c r="U3772" s="3"/>
      <c r="V3772" s="3"/>
      <c r="W3772" s="3"/>
      <c r="X3772" s="3"/>
      <c r="Y3772" s="3"/>
      <c r="Z3772" s="3"/>
      <c r="AA3772" s="3"/>
    </row>
    <row r="3773" ht="105.75" customHeight="1">
      <c r="A3773" s="11"/>
      <c r="B3773" s="12"/>
      <c r="C3773" s="11"/>
      <c r="D3773" s="13"/>
      <c r="E3773" s="14"/>
      <c r="F3773" s="14"/>
      <c r="G3773" s="14"/>
      <c r="H3773" s="15"/>
      <c r="I3773" s="15"/>
      <c r="J3773" s="3"/>
      <c r="K3773" s="3"/>
      <c r="L3773" s="3"/>
      <c r="M3773" s="3"/>
      <c r="N3773" s="3"/>
      <c r="O3773" s="3"/>
      <c r="P3773" s="3"/>
      <c r="Q3773" s="3"/>
      <c r="R3773" s="3"/>
      <c r="S3773" s="3"/>
      <c r="T3773" s="3"/>
      <c r="U3773" s="3"/>
      <c r="V3773" s="3"/>
      <c r="W3773" s="3"/>
      <c r="X3773" s="3"/>
      <c r="Y3773" s="3"/>
      <c r="Z3773" s="3"/>
      <c r="AA3773" s="3"/>
    </row>
    <row r="3774" ht="105.75" customHeight="1">
      <c r="A3774" s="11"/>
      <c r="B3774" s="12"/>
      <c r="C3774" s="11"/>
      <c r="D3774" s="13"/>
      <c r="E3774" s="14"/>
      <c r="F3774" s="14"/>
      <c r="G3774" s="14"/>
      <c r="H3774" s="15"/>
      <c r="I3774" s="15"/>
      <c r="J3774" s="3"/>
      <c r="K3774" s="3"/>
      <c r="L3774" s="3"/>
      <c r="M3774" s="3"/>
      <c r="N3774" s="3"/>
      <c r="O3774" s="3"/>
      <c r="P3774" s="3"/>
      <c r="Q3774" s="3"/>
      <c r="R3774" s="3"/>
      <c r="S3774" s="3"/>
      <c r="T3774" s="3"/>
      <c r="U3774" s="3"/>
      <c r="V3774" s="3"/>
      <c r="W3774" s="3"/>
      <c r="X3774" s="3"/>
      <c r="Y3774" s="3"/>
      <c r="Z3774" s="3"/>
      <c r="AA3774" s="3"/>
    </row>
    <row r="3775" ht="105.75" customHeight="1">
      <c r="A3775" s="11"/>
      <c r="B3775" s="12"/>
      <c r="C3775" s="11"/>
      <c r="D3775" s="13"/>
      <c r="E3775" s="14"/>
      <c r="F3775" s="14"/>
      <c r="G3775" s="14"/>
      <c r="H3775" s="15"/>
      <c r="I3775" s="15"/>
      <c r="J3775" s="3"/>
      <c r="K3775" s="3"/>
      <c r="L3775" s="3"/>
      <c r="M3775" s="3"/>
      <c r="N3775" s="3"/>
      <c r="O3775" s="3"/>
      <c r="P3775" s="3"/>
      <c r="Q3775" s="3"/>
      <c r="R3775" s="3"/>
      <c r="S3775" s="3"/>
      <c r="T3775" s="3"/>
      <c r="U3775" s="3"/>
      <c r="V3775" s="3"/>
      <c r="W3775" s="3"/>
      <c r="X3775" s="3"/>
      <c r="Y3775" s="3"/>
      <c r="Z3775" s="3"/>
      <c r="AA3775" s="3"/>
    </row>
    <row r="3776" ht="105.75" customHeight="1">
      <c r="A3776" s="11"/>
      <c r="B3776" s="12"/>
      <c r="C3776" s="11"/>
      <c r="D3776" s="13"/>
      <c r="E3776" s="14"/>
      <c r="F3776" s="14"/>
      <c r="G3776" s="14"/>
      <c r="H3776" s="15"/>
      <c r="I3776" s="15"/>
      <c r="J3776" s="3"/>
      <c r="K3776" s="3"/>
      <c r="L3776" s="3"/>
      <c r="M3776" s="3"/>
      <c r="N3776" s="3"/>
      <c r="O3776" s="3"/>
      <c r="P3776" s="3"/>
      <c r="Q3776" s="3"/>
      <c r="R3776" s="3"/>
      <c r="S3776" s="3"/>
      <c r="T3776" s="3"/>
      <c r="U3776" s="3"/>
      <c r="V3776" s="3"/>
      <c r="W3776" s="3"/>
      <c r="X3776" s="3"/>
      <c r="Y3776" s="3"/>
      <c r="Z3776" s="3"/>
      <c r="AA3776" s="3"/>
    </row>
    <row r="3777" ht="105.75" customHeight="1">
      <c r="A3777" s="11"/>
      <c r="B3777" s="12"/>
      <c r="C3777" s="11"/>
      <c r="D3777" s="13"/>
      <c r="E3777" s="14"/>
      <c r="F3777" s="14"/>
      <c r="G3777" s="14"/>
      <c r="H3777" s="15"/>
      <c r="I3777" s="15"/>
      <c r="J3777" s="3"/>
      <c r="K3777" s="3"/>
      <c r="L3777" s="3"/>
      <c r="M3777" s="3"/>
      <c r="N3777" s="3"/>
      <c r="O3777" s="3"/>
      <c r="P3777" s="3"/>
      <c r="Q3777" s="3"/>
      <c r="R3777" s="3"/>
      <c r="S3777" s="3"/>
      <c r="T3777" s="3"/>
      <c r="U3777" s="3"/>
      <c r="V3777" s="3"/>
      <c r="W3777" s="3"/>
      <c r="X3777" s="3"/>
      <c r="Y3777" s="3"/>
      <c r="Z3777" s="3"/>
      <c r="AA3777" s="3"/>
    </row>
    <row r="3778" ht="105.75" customHeight="1">
      <c r="A3778" s="11"/>
      <c r="B3778" s="12"/>
      <c r="C3778" s="11"/>
      <c r="D3778" s="13"/>
      <c r="E3778" s="14"/>
      <c r="F3778" s="14"/>
      <c r="G3778" s="14"/>
      <c r="H3778" s="15"/>
      <c r="I3778" s="15"/>
      <c r="J3778" s="3"/>
      <c r="K3778" s="3"/>
      <c r="L3778" s="3"/>
      <c r="M3778" s="3"/>
      <c r="N3778" s="3"/>
      <c r="O3778" s="3"/>
      <c r="P3778" s="3"/>
      <c r="Q3778" s="3"/>
      <c r="R3778" s="3"/>
      <c r="S3778" s="3"/>
      <c r="T3778" s="3"/>
      <c r="U3778" s="3"/>
      <c r="V3778" s="3"/>
      <c r="W3778" s="3"/>
      <c r="X3778" s="3"/>
      <c r="Y3778" s="3"/>
      <c r="Z3778" s="3"/>
      <c r="AA3778" s="3"/>
    </row>
    <row r="3779" ht="105.75" customHeight="1">
      <c r="A3779" s="11"/>
      <c r="B3779" s="12"/>
      <c r="C3779" s="11"/>
      <c r="D3779" s="13"/>
      <c r="E3779" s="14"/>
      <c r="F3779" s="14"/>
      <c r="G3779" s="14"/>
      <c r="H3779" s="15"/>
      <c r="I3779" s="15"/>
      <c r="J3779" s="3"/>
      <c r="K3779" s="3"/>
      <c r="L3779" s="3"/>
      <c r="M3779" s="3"/>
      <c r="N3779" s="3"/>
      <c r="O3779" s="3"/>
      <c r="P3779" s="3"/>
      <c r="Q3779" s="3"/>
      <c r="R3779" s="3"/>
      <c r="S3779" s="3"/>
      <c r="T3779" s="3"/>
      <c r="U3779" s="3"/>
      <c r="V3779" s="3"/>
      <c r="W3779" s="3"/>
      <c r="X3779" s="3"/>
      <c r="Y3779" s="3"/>
      <c r="Z3779" s="3"/>
      <c r="AA3779" s="3"/>
    </row>
    <row r="3780" ht="105.75" customHeight="1">
      <c r="A3780" s="11"/>
      <c r="B3780" s="12"/>
      <c r="C3780" s="11"/>
      <c r="D3780" s="13"/>
      <c r="E3780" s="14"/>
      <c r="F3780" s="14"/>
      <c r="G3780" s="14"/>
      <c r="H3780" s="15"/>
      <c r="I3780" s="15"/>
      <c r="J3780" s="3"/>
      <c r="K3780" s="3"/>
      <c r="L3780" s="3"/>
      <c r="M3780" s="3"/>
      <c r="N3780" s="3"/>
      <c r="O3780" s="3"/>
      <c r="P3780" s="3"/>
      <c r="Q3780" s="3"/>
      <c r="R3780" s="3"/>
      <c r="S3780" s="3"/>
      <c r="T3780" s="3"/>
      <c r="U3780" s="3"/>
      <c r="V3780" s="3"/>
      <c r="W3780" s="3"/>
      <c r="X3780" s="3"/>
      <c r="Y3780" s="3"/>
      <c r="Z3780" s="3"/>
      <c r="AA3780" s="3"/>
    </row>
    <row r="3781" ht="105.75" customHeight="1">
      <c r="A3781" s="11"/>
      <c r="B3781" s="12"/>
      <c r="C3781" s="11"/>
      <c r="D3781" s="13"/>
      <c r="E3781" s="14"/>
      <c r="F3781" s="14"/>
      <c r="G3781" s="14"/>
      <c r="H3781" s="15"/>
      <c r="I3781" s="15"/>
      <c r="J3781" s="3"/>
      <c r="K3781" s="3"/>
      <c r="L3781" s="3"/>
      <c r="M3781" s="3"/>
      <c r="N3781" s="3"/>
      <c r="O3781" s="3"/>
      <c r="P3781" s="3"/>
      <c r="Q3781" s="3"/>
      <c r="R3781" s="3"/>
      <c r="S3781" s="3"/>
      <c r="T3781" s="3"/>
      <c r="U3781" s="3"/>
      <c r="V3781" s="3"/>
      <c r="W3781" s="3"/>
      <c r="X3781" s="3"/>
      <c r="Y3781" s="3"/>
      <c r="Z3781" s="3"/>
      <c r="AA3781" s="3"/>
    </row>
    <row r="3782" ht="105.75" customHeight="1">
      <c r="A3782" s="11"/>
      <c r="B3782" s="12"/>
      <c r="C3782" s="11"/>
      <c r="D3782" s="13"/>
      <c r="E3782" s="14"/>
      <c r="F3782" s="14"/>
      <c r="G3782" s="14"/>
      <c r="H3782" s="15"/>
      <c r="I3782" s="15"/>
      <c r="J3782" s="3"/>
      <c r="K3782" s="3"/>
      <c r="L3782" s="3"/>
      <c r="M3782" s="3"/>
      <c r="N3782" s="3"/>
      <c r="O3782" s="3"/>
      <c r="P3782" s="3"/>
      <c r="Q3782" s="3"/>
      <c r="R3782" s="3"/>
      <c r="S3782" s="3"/>
      <c r="T3782" s="3"/>
      <c r="U3782" s="3"/>
      <c r="V3782" s="3"/>
      <c r="W3782" s="3"/>
      <c r="X3782" s="3"/>
      <c r="Y3782" s="3"/>
      <c r="Z3782" s="3"/>
      <c r="AA3782" s="3"/>
    </row>
    <row r="3783" ht="105.75" customHeight="1">
      <c r="A3783" s="11"/>
      <c r="B3783" s="12"/>
      <c r="C3783" s="11"/>
      <c r="D3783" s="13"/>
      <c r="E3783" s="14"/>
      <c r="F3783" s="14"/>
      <c r="G3783" s="14"/>
      <c r="H3783" s="15"/>
      <c r="I3783" s="15"/>
      <c r="J3783" s="3"/>
      <c r="K3783" s="3"/>
      <c r="L3783" s="3"/>
      <c r="M3783" s="3"/>
      <c r="N3783" s="3"/>
      <c r="O3783" s="3"/>
      <c r="P3783" s="3"/>
      <c r="Q3783" s="3"/>
      <c r="R3783" s="3"/>
      <c r="S3783" s="3"/>
      <c r="T3783" s="3"/>
      <c r="U3783" s="3"/>
      <c r="V3783" s="3"/>
      <c r="W3783" s="3"/>
      <c r="X3783" s="3"/>
      <c r="Y3783" s="3"/>
      <c r="Z3783" s="3"/>
      <c r="AA3783" s="3"/>
    </row>
    <row r="3784" ht="105.75" customHeight="1">
      <c r="A3784" s="11"/>
      <c r="B3784" s="12"/>
      <c r="C3784" s="11"/>
      <c r="D3784" s="13"/>
      <c r="E3784" s="14"/>
      <c r="F3784" s="14"/>
      <c r="G3784" s="14"/>
      <c r="H3784" s="15"/>
      <c r="I3784" s="15"/>
      <c r="J3784" s="3"/>
      <c r="K3784" s="3"/>
      <c r="L3784" s="3"/>
      <c r="M3784" s="3"/>
      <c r="N3784" s="3"/>
      <c r="O3784" s="3"/>
      <c r="P3784" s="3"/>
      <c r="Q3784" s="3"/>
      <c r="R3784" s="3"/>
      <c r="S3784" s="3"/>
      <c r="T3784" s="3"/>
      <c r="U3784" s="3"/>
      <c r="V3784" s="3"/>
      <c r="W3784" s="3"/>
      <c r="X3784" s="3"/>
      <c r="Y3784" s="3"/>
      <c r="Z3784" s="3"/>
      <c r="AA3784" s="3"/>
    </row>
    <row r="3785" ht="105.75" customHeight="1">
      <c r="A3785" s="11"/>
      <c r="B3785" s="12"/>
      <c r="C3785" s="11"/>
      <c r="D3785" s="13"/>
      <c r="E3785" s="14"/>
      <c r="F3785" s="14"/>
      <c r="G3785" s="14"/>
      <c r="H3785" s="15"/>
      <c r="I3785" s="15"/>
      <c r="J3785" s="3"/>
      <c r="K3785" s="3"/>
      <c r="L3785" s="3"/>
      <c r="M3785" s="3"/>
      <c r="N3785" s="3"/>
      <c r="O3785" s="3"/>
      <c r="P3785" s="3"/>
      <c r="Q3785" s="3"/>
      <c r="R3785" s="3"/>
      <c r="S3785" s="3"/>
      <c r="T3785" s="3"/>
      <c r="U3785" s="3"/>
      <c r="V3785" s="3"/>
      <c r="W3785" s="3"/>
      <c r="X3785" s="3"/>
      <c r="Y3785" s="3"/>
      <c r="Z3785" s="3"/>
      <c r="AA3785" s="3"/>
    </row>
    <row r="3786" ht="105.75" customHeight="1">
      <c r="A3786" s="11"/>
      <c r="B3786" s="12"/>
      <c r="C3786" s="11"/>
      <c r="D3786" s="13"/>
      <c r="E3786" s="14"/>
      <c r="F3786" s="14"/>
      <c r="G3786" s="14"/>
      <c r="H3786" s="15"/>
      <c r="I3786" s="15"/>
      <c r="J3786" s="3"/>
      <c r="K3786" s="3"/>
      <c r="L3786" s="3"/>
      <c r="M3786" s="3"/>
      <c r="N3786" s="3"/>
      <c r="O3786" s="3"/>
      <c r="P3786" s="3"/>
      <c r="Q3786" s="3"/>
      <c r="R3786" s="3"/>
      <c r="S3786" s="3"/>
      <c r="T3786" s="3"/>
      <c r="U3786" s="3"/>
      <c r="V3786" s="3"/>
      <c r="W3786" s="3"/>
      <c r="X3786" s="3"/>
      <c r="Y3786" s="3"/>
      <c r="Z3786" s="3"/>
      <c r="AA3786" s="3"/>
    </row>
    <row r="3787" ht="105.75" customHeight="1">
      <c r="A3787" s="11"/>
      <c r="B3787" s="12"/>
      <c r="C3787" s="11"/>
      <c r="D3787" s="13"/>
      <c r="E3787" s="14"/>
      <c r="F3787" s="14"/>
      <c r="G3787" s="14"/>
      <c r="H3787" s="15"/>
      <c r="I3787" s="15"/>
      <c r="J3787" s="3"/>
      <c r="K3787" s="3"/>
      <c r="L3787" s="3"/>
      <c r="M3787" s="3"/>
      <c r="N3787" s="3"/>
      <c r="O3787" s="3"/>
      <c r="P3787" s="3"/>
      <c r="Q3787" s="3"/>
      <c r="R3787" s="3"/>
      <c r="S3787" s="3"/>
      <c r="T3787" s="3"/>
      <c r="U3787" s="3"/>
      <c r="V3787" s="3"/>
      <c r="W3787" s="3"/>
      <c r="X3787" s="3"/>
      <c r="Y3787" s="3"/>
      <c r="Z3787" s="3"/>
      <c r="AA3787" s="3"/>
    </row>
    <row r="3788" ht="105.75" customHeight="1">
      <c r="A3788" s="11"/>
      <c r="B3788" s="12"/>
      <c r="C3788" s="11"/>
      <c r="D3788" s="13"/>
      <c r="E3788" s="14"/>
      <c r="F3788" s="14"/>
      <c r="G3788" s="14"/>
      <c r="H3788" s="15"/>
      <c r="I3788" s="15"/>
      <c r="J3788" s="3"/>
      <c r="K3788" s="3"/>
      <c r="L3788" s="3"/>
      <c r="M3788" s="3"/>
      <c r="N3788" s="3"/>
      <c r="O3788" s="3"/>
      <c r="P3788" s="3"/>
      <c r="Q3788" s="3"/>
      <c r="R3788" s="3"/>
      <c r="S3788" s="3"/>
      <c r="T3788" s="3"/>
      <c r="U3788" s="3"/>
      <c r="V3788" s="3"/>
      <c r="W3788" s="3"/>
      <c r="X3788" s="3"/>
      <c r="Y3788" s="3"/>
      <c r="Z3788" s="3"/>
      <c r="AA3788" s="3"/>
    </row>
    <row r="3789" ht="105.75" customHeight="1">
      <c r="A3789" s="11"/>
      <c r="B3789" s="12"/>
      <c r="C3789" s="11"/>
      <c r="D3789" s="13"/>
      <c r="E3789" s="14"/>
      <c r="F3789" s="14"/>
      <c r="G3789" s="14"/>
      <c r="H3789" s="15"/>
      <c r="I3789" s="15"/>
      <c r="J3789" s="3"/>
      <c r="K3789" s="3"/>
      <c r="L3789" s="3"/>
      <c r="M3789" s="3"/>
      <c r="N3789" s="3"/>
      <c r="O3789" s="3"/>
      <c r="P3789" s="3"/>
      <c r="Q3789" s="3"/>
      <c r="R3789" s="3"/>
      <c r="S3789" s="3"/>
      <c r="T3789" s="3"/>
      <c r="U3789" s="3"/>
      <c r="V3789" s="3"/>
      <c r="W3789" s="3"/>
      <c r="X3789" s="3"/>
      <c r="Y3789" s="3"/>
      <c r="Z3789" s="3"/>
      <c r="AA3789" s="3"/>
    </row>
    <row r="3790" ht="105.75" customHeight="1">
      <c r="A3790" s="11"/>
      <c r="B3790" s="12"/>
      <c r="C3790" s="11"/>
      <c r="D3790" s="13"/>
      <c r="E3790" s="14"/>
      <c r="F3790" s="14"/>
      <c r="G3790" s="14"/>
      <c r="H3790" s="15"/>
      <c r="I3790" s="15"/>
      <c r="J3790" s="3"/>
      <c r="K3790" s="3"/>
      <c r="L3790" s="3"/>
      <c r="M3790" s="3"/>
      <c r="N3790" s="3"/>
      <c r="O3790" s="3"/>
      <c r="P3790" s="3"/>
      <c r="Q3790" s="3"/>
      <c r="R3790" s="3"/>
      <c r="S3790" s="3"/>
      <c r="T3790" s="3"/>
      <c r="U3790" s="3"/>
      <c r="V3790" s="3"/>
      <c r="W3790" s="3"/>
      <c r="X3790" s="3"/>
      <c r="Y3790" s="3"/>
      <c r="Z3790" s="3"/>
      <c r="AA3790" s="3"/>
    </row>
    <row r="3791" ht="105.75" customHeight="1">
      <c r="A3791" s="11"/>
      <c r="B3791" s="12"/>
      <c r="C3791" s="11"/>
      <c r="D3791" s="13"/>
      <c r="E3791" s="14"/>
      <c r="F3791" s="14"/>
      <c r="G3791" s="14"/>
      <c r="H3791" s="15"/>
      <c r="I3791" s="15"/>
      <c r="J3791" s="3"/>
      <c r="K3791" s="3"/>
      <c r="L3791" s="3"/>
      <c r="M3791" s="3"/>
      <c r="N3791" s="3"/>
      <c r="O3791" s="3"/>
      <c r="P3791" s="3"/>
      <c r="Q3791" s="3"/>
      <c r="R3791" s="3"/>
      <c r="S3791" s="3"/>
      <c r="T3791" s="3"/>
      <c r="U3791" s="3"/>
      <c r="V3791" s="3"/>
      <c r="W3791" s="3"/>
      <c r="X3791" s="3"/>
      <c r="Y3791" s="3"/>
      <c r="Z3791" s="3"/>
      <c r="AA3791" s="3"/>
    </row>
    <row r="3792" ht="105.75" customHeight="1">
      <c r="A3792" s="11"/>
      <c r="B3792" s="12"/>
      <c r="C3792" s="11"/>
      <c r="D3792" s="13"/>
      <c r="E3792" s="14"/>
      <c r="F3792" s="14"/>
      <c r="G3792" s="14"/>
      <c r="H3792" s="15"/>
      <c r="I3792" s="15"/>
      <c r="J3792" s="3"/>
      <c r="K3792" s="3"/>
      <c r="L3792" s="3"/>
      <c r="M3792" s="3"/>
      <c r="N3792" s="3"/>
      <c r="O3792" s="3"/>
      <c r="P3792" s="3"/>
      <c r="Q3792" s="3"/>
      <c r="R3792" s="3"/>
      <c r="S3792" s="3"/>
      <c r="T3792" s="3"/>
      <c r="U3792" s="3"/>
      <c r="V3792" s="3"/>
      <c r="W3792" s="3"/>
      <c r="X3792" s="3"/>
      <c r="Y3792" s="3"/>
      <c r="Z3792" s="3"/>
      <c r="AA3792" s="3"/>
    </row>
    <row r="3793" ht="105.75" customHeight="1">
      <c r="A3793" s="11"/>
      <c r="B3793" s="12"/>
      <c r="C3793" s="11"/>
      <c r="D3793" s="13"/>
      <c r="E3793" s="14"/>
      <c r="F3793" s="14"/>
      <c r="G3793" s="14"/>
      <c r="H3793" s="15"/>
      <c r="I3793" s="15"/>
      <c r="J3793" s="3"/>
      <c r="K3793" s="3"/>
      <c r="L3793" s="3"/>
      <c r="M3793" s="3"/>
      <c r="N3793" s="3"/>
      <c r="O3793" s="3"/>
      <c r="P3793" s="3"/>
      <c r="Q3793" s="3"/>
      <c r="R3793" s="3"/>
      <c r="S3793" s="3"/>
      <c r="T3793" s="3"/>
      <c r="U3793" s="3"/>
      <c r="V3793" s="3"/>
      <c r="W3793" s="3"/>
      <c r="X3793" s="3"/>
      <c r="Y3793" s="3"/>
      <c r="Z3793" s="3"/>
      <c r="AA3793" s="3"/>
    </row>
    <row r="3794" ht="105.75" customHeight="1">
      <c r="A3794" s="11"/>
      <c r="B3794" s="12"/>
      <c r="C3794" s="11"/>
      <c r="D3794" s="13"/>
      <c r="E3794" s="14"/>
      <c r="F3794" s="14"/>
      <c r="G3794" s="14"/>
      <c r="H3794" s="15"/>
      <c r="I3794" s="15"/>
      <c r="J3794" s="3"/>
      <c r="K3794" s="3"/>
      <c r="L3794" s="3"/>
      <c r="M3794" s="3"/>
      <c r="N3794" s="3"/>
      <c r="O3794" s="3"/>
      <c r="P3794" s="3"/>
      <c r="Q3794" s="3"/>
      <c r="R3794" s="3"/>
      <c r="S3794" s="3"/>
      <c r="T3794" s="3"/>
      <c r="U3794" s="3"/>
      <c r="V3794" s="3"/>
      <c r="W3794" s="3"/>
      <c r="X3794" s="3"/>
      <c r="Y3794" s="3"/>
      <c r="Z3794" s="3"/>
      <c r="AA3794" s="3"/>
    </row>
    <row r="3795" ht="105.75" customHeight="1">
      <c r="A3795" s="11"/>
      <c r="B3795" s="12"/>
      <c r="C3795" s="11"/>
      <c r="D3795" s="13"/>
      <c r="E3795" s="14"/>
      <c r="F3795" s="14"/>
      <c r="G3795" s="14"/>
      <c r="H3795" s="15"/>
      <c r="I3795" s="15"/>
      <c r="J3795" s="3"/>
      <c r="K3795" s="3"/>
      <c r="L3795" s="3"/>
      <c r="M3795" s="3"/>
      <c r="N3795" s="3"/>
      <c r="O3795" s="3"/>
      <c r="P3795" s="3"/>
      <c r="Q3795" s="3"/>
      <c r="R3795" s="3"/>
      <c r="S3795" s="3"/>
      <c r="T3795" s="3"/>
      <c r="U3795" s="3"/>
      <c r="V3795" s="3"/>
      <c r="W3795" s="3"/>
      <c r="X3795" s="3"/>
      <c r="Y3795" s="3"/>
      <c r="Z3795" s="3"/>
      <c r="AA3795" s="3"/>
    </row>
    <row r="3796" ht="105.75" customHeight="1">
      <c r="A3796" s="11"/>
      <c r="B3796" s="12"/>
      <c r="C3796" s="11"/>
      <c r="D3796" s="13"/>
      <c r="E3796" s="14"/>
      <c r="F3796" s="14"/>
      <c r="G3796" s="14"/>
      <c r="H3796" s="15"/>
      <c r="I3796" s="15"/>
      <c r="J3796" s="3"/>
      <c r="K3796" s="3"/>
      <c r="L3796" s="3"/>
      <c r="M3796" s="3"/>
      <c r="N3796" s="3"/>
      <c r="O3796" s="3"/>
      <c r="P3796" s="3"/>
      <c r="Q3796" s="3"/>
      <c r="R3796" s="3"/>
      <c r="S3796" s="3"/>
      <c r="T3796" s="3"/>
      <c r="U3796" s="3"/>
      <c r="V3796" s="3"/>
      <c r="W3796" s="3"/>
      <c r="X3796" s="3"/>
      <c r="Y3796" s="3"/>
      <c r="Z3796" s="3"/>
      <c r="AA3796" s="3"/>
    </row>
    <row r="3797" ht="105.75" customHeight="1">
      <c r="A3797" s="11"/>
      <c r="B3797" s="12"/>
      <c r="C3797" s="11"/>
      <c r="D3797" s="13"/>
      <c r="E3797" s="14"/>
      <c r="F3797" s="14"/>
      <c r="G3797" s="14"/>
      <c r="H3797" s="15"/>
      <c r="I3797" s="15"/>
      <c r="J3797" s="3"/>
      <c r="K3797" s="3"/>
      <c r="L3797" s="3"/>
      <c r="M3797" s="3"/>
      <c r="N3797" s="3"/>
      <c r="O3797" s="3"/>
      <c r="P3797" s="3"/>
      <c r="Q3797" s="3"/>
      <c r="R3797" s="3"/>
      <c r="S3797" s="3"/>
      <c r="T3797" s="3"/>
      <c r="U3797" s="3"/>
      <c r="V3797" s="3"/>
      <c r="W3797" s="3"/>
      <c r="X3797" s="3"/>
      <c r="Y3797" s="3"/>
      <c r="Z3797" s="3"/>
      <c r="AA3797" s="3"/>
    </row>
    <row r="3798" ht="105.75" customHeight="1">
      <c r="A3798" s="11"/>
      <c r="B3798" s="12"/>
      <c r="C3798" s="11"/>
      <c r="D3798" s="13"/>
      <c r="E3798" s="14"/>
      <c r="F3798" s="14"/>
      <c r="G3798" s="14"/>
      <c r="H3798" s="15"/>
      <c r="I3798" s="15"/>
      <c r="J3798" s="3"/>
      <c r="K3798" s="3"/>
      <c r="L3798" s="3"/>
      <c r="M3798" s="3"/>
      <c r="N3798" s="3"/>
      <c r="O3798" s="3"/>
      <c r="P3798" s="3"/>
      <c r="Q3798" s="3"/>
      <c r="R3798" s="3"/>
      <c r="S3798" s="3"/>
      <c r="T3798" s="3"/>
      <c r="U3798" s="3"/>
      <c r="V3798" s="3"/>
      <c r="W3798" s="3"/>
      <c r="X3798" s="3"/>
      <c r="Y3798" s="3"/>
      <c r="Z3798" s="3"/>
      <c r="AA3798" s="3"/>
    </row>
    <row r="3799" ht="105.75" customHeight="1">
      <c r="A3799" s="11"/>
      <c r="B3799" s="12"/>
      <c r="C3799" s="11"/>
      <c r="D3799" s="13"/>
      <c r="E3799" s="14"/>
      <c r="F3799" s="14"/>
      <c r="G3799" s="14"/>
      <c r="H3799" s="15"/>
      <c r="I3799" s="15"/>
      <c r="J3799" s="3"/>
      <c r="K3799" s="3"/>
      <c r="L3799" s="3"/>
      <c r="M3799" s="3"/>
      <c r="N3799" s="3"/>
      <c r="O3799" s="3"/>
      <c r="P3799" s="3"/>
      <c r="Q3799" s="3"/>
      <c r="R3799" s="3"/>
      <c r="S3799" s="3"/>
      <c r="T3799" s="3"/>
      <c r="U3799" s="3"/>
      <c r="V3799" s="3"/>
      <c r="W3799" s="3"/>
      <c r="X3799" s="3"/>
      <c r="Y3799" s="3"/>
      <c r="Z3799" s="3"/>
      <c r="AA3799" s="3"/>
    </row>
    <row r="3800" ht="105.75" customHeight="1">
      <c r="A3800" s="11"/>
      <c r="B3800" s="12"/>
      <c r="C3800" s="11"/>
      <c r="D3800" s="13"/>
      <c r="E3800" s="14"/>
      <c r="F3800" s="14"/>
      <c r="G3800" s="14"/>
      <c r="H3800" s="15"/>
      <c r="I3800" s="15"/>
      <c r="J3800" s="3"/>
      <c r="K3800" s="3"/>
      <c r="L3800" s="3"/>
      <c r="M3800" s="3"/>
      <c r="N3800" s="3"/>
      <c r="O3800" s="3"/>
      <c r="P3800" s="3"/>
      <c r="Q3800" s="3"/>
      <c r="R3800" s="3"/>
      <c r="S3800" s="3"/>
      <c r="T3800" s="3"/>
      <c r="U3800" s="3"/>
      <c r="V3800" s="3"/>
      <c r="W3800" s="3"/>
      <c r="X3800" s="3"/>
      <c r="Y3800" s="3"/>
      <c r="Z3800" s="3"/>
      <c r="AA3800" s="3"/>
    </row>
    <row r="3801" ht="105.75" customHeight="1">
      <c r="A3801" s="11"/>
      <c r="B3801" s="12"/>
      <c r="C3801" s="11"/>
      <c r="D3801" s="13"/>
      <c r="E3801" s="14"/>
      <c r="F3801" s="14"/>
      <c r="G3801" s="14"/>
      <c r="H3801" s="15"/>
      <c r="I3801" s="15"/>
      <c r="J3801" s="3"/>
      <c r="K3801" s="3"/>
      <c r="L3801" s="3"/>
      <c r="M3801" s="3"/>
      <c r="N3801" s="3"/>
      <c r="O3801" s="3"/>
      <c r="P3801" s="3"/>
      <c r="Q3801" s="3"/>
      <c r="R3801" s="3"/>
      <c r="S3801" s="3"/>
      <c r="T3801" s="3"/>
      <c r="U3801" s="3"/>
      <c r="V3801" s="3"/>
      <c r="W3801" s="3"/>
      <c r="X3801" s="3"/>
      <c r="Y3801" s="3"/>
      <c r="Z3801" s="3"/>
      <c r="AA3801" s="3"/>
    </row>
    <row r="3802" ht="105.75" customHeight="1">
      <c r="A3802" s="11"/>
      <c r="B3802" s="12"/>
      <c r="C3802" s="11"/>
      <c r="D3802" s="13"/>
      <c r="E3802" s="14"/>
      <c r="F3802" s="14"/>
      <c r="G3802" s="14"/>
      <c r="H3802" s="15"/>
      <c r="I3802" s="15"/>
      <c r="J3802" s="3"/>
      <c r="K3802" s="3"/>
      <c r="L3802" s="3"/>
      <c r="M3802" s="3"/>
      <c r="N3802" s="3"/>
      <c r="O3802" s="3"/>
      <c r="P3802" s="3"/>
      <c r="Q3802" s="3"/>
      <c r="R3802" s="3"/>
      <c r="S3802" s="3"/>
      <c r="T3802" s="3"/>
      <c r="U3802" s="3"/>
      <c r="V3802" s="3"/>
      <c r="W3802" s="3"/>
      <c r="X3802" s="3"/>
      <c r="Y3802" s="3"/>
      <c r="Z3802" s="3"/>
      <c r="AA3802" s="3"/>
    </row>
    <row r="3803" ht="105.75" customHeight="1">
      <c r="A3803" s="11"/>
      <c r="B3803" s="12"/>
      <c r="C3803" s="11"/>
      <c r="D3803" s="13"/>
      <c r="E3803" s="14"/>
      <c r="F3803" s="14"/>
      <c r="G3803" s="14"/>
      <c r="H3803" s="15"/>
      <c r="I3803" s="15"/>
      <c r="J3803" s="3"/>
      <c r="K3803" s="3"/>
      <c r="L3803" s="3"/>
      <c r="M3803" s="3"/>
      <c r="N3803" s="3"/>
      <c r="O3803" s="3"/>
      <c r="P3803" s="3"/>
      <c r="Q3803" s="3"/>
      <c r="R3803" s="3"/>
      <c r="S3803" s="3"/>
      <c r="T3803" s="3"/>
      <c r="U3803" s="3"/>
      <c r="V3803" s="3"/>
      <c r="W3803" s="3"/>
      <c r="X3803" s="3"/>
      <c r="Y3803" s="3"/>
      <c r="Z3803" s="3"/>
      <c r="AA3803" s="3"/>
    </row>
    <row r="3804" ht="105.75" customHeight="1">
      <c r="A3804" s="11"/>
      <c r="B3804" s="12"/>
      <c r="C3804" s="11"/>
      <c r="D3804" s="13"/>
      <c r="E3804" s="14"/>
      <c r="F3804" s="14"/>
      <c r="G3804" s="14"/>
      <c r="H3804" s="15"/>
      <c r="I3804" s="15"/>
      <c r="J3804" s="3"/>
      <c r="K3804" s="3"/>
      <c r="L3804" s="3"/>
      <c r="M3804" s="3"/>
      <c r="N3804" s="3"/>
      <c r="O3804" s="3"/>
      <c r="P3804" s="3"/>
      <c r="Q3804" s="3"/>
      <c r="R3804" s="3"/>
      <c r="S3804" s="3"/>
      <c r="T3804" s="3"/>
      <c r="U3804" s="3"/>
      <c r="V3804" s="3"/>
      <c r="W3804" s="3"/>
      <c r="X3804" s="3"/>
      <c r="Y3804" s="3"/>
      <c r="Z3804" s="3"/>
      <c r="AA3804" s="3"/>
    </row>
    <row r="3805" ht="105.75" customHeight="1">
      <c r="A3805" s="11"/>
      <c r="B3805" s="12"/>
      <c r="C3805" s="11"/>
      <c r="D3805" s="13"/>
      <c r="E3805" s="14"/>
      <c r="F3805" s="14"/>
      <c r="G3805" s="14"/>
      <c r="H3805" s="15"/>
      <c r="I3805" s="15"/>
      <c r="J3805" s="3"/>
      <c r="K3805" s="3"/>
      <c r="L3805" s="3"/>
      <c r="M3805" s="3"/>
      <c r="N3805" s="3"/>
      <c r="O3805" s="3"/>
      <c r="P3805" s="3"/>
      <c r="Q3805" s="3"/>
      <c r="R3805" s="3"/>
      <c r="S3805" s="3"/>
      <c r="T3805" s="3"/>
      <c r="U3805" s="3"/>
      <c r="V3805" s="3"/>
      <c r="W3805" s="3"/>
      <c r="X3805" s="3"/>
      <c r="Y3805" s="3"/>
      <c r="Z3805" s="3"/>
      <c r="AA3805" s="3"/>
    </row>
    <row r="3806" ht="105.75" customHeight="1">
      <c r="A3806" s="11"/>
      <c r="B3806" s="12"/>
      <c r="C3806" s="11"/>
      <c r="D3806" s="13"/>
      <c r="E3806" s="14"/>
      <c r="F3806" s="14"/>
      <c r="G3806" s="14"/>
      <c r="H3806" s="15"/>
      <c r="I3806" s="15"/>
      <c r="J3806" s="3"/>
      <c r="K3806" s="3"/>
      <c r="L3806" s="3"/>
      <c r="M3806" s="3"/>
      <c r="N3806" s="3"/>
      <c r="O3806" s="3"/>
      <c r="P3806" s="3"/>
      <c r="Q3806" s="3"/>
      <c r="R3806" s="3"/>
      <c r="S3806" s="3"/>
      <c r="T3806" s="3"/>
      <c r="U3806" s="3"/>
      <c r="V3806" s="3"/>
      <c r="W3806" s="3"/>
      <c r="X3806" s="3"/>
      <c r="Y3806" s="3"/>
      <c r="Z3806" s="3"/>
      <c r="AA3806" s="3"/>
    </row>
    <row r="3807" ht="105.75" customHeight="1">
      <c r="A3807" s="11"/>
      <c r="B3807" s="12"/>
      <c r="C3807" s="11"/>
      <c r="D3807" s="13"/>
      <c r="E3807" s="14"/>
      <c r="F3807" s="14"/>
      <c r="G3807" s="14"/>
      <c r="H3807" s="15"/>
      <c r="I3807" s="15"/>
      <c r="J3807" s="3"/>
      <c r="K3807" s="3"/>
      <c r="L3807" s="3"/>
      <c r="M3807" s="3"/>
      <c r="N3807" s="3"/>
      <c r="O3807" s="3"/>
      <c r="P3807" s="3"/>
      <c r="Q3807" s="3"/>
      <c r="R3807" s="3"/>
      <c r="S3807" s="3"/>
      <c r="T3807" s="3"/>
      <c r="U3807" s="3"/>
      <c r="V3807" s="3"/>
      <c r="W3807" s="3"/>
      <c r="X3807" s="3"/>
      <c r="Y3807" s="3"/>
      <c r="Z3807" s="3"/>
      <c r="AA3807" s="3"/>
    </row>
    <row r="3808" ht="105.75" customHeight="1">
      <c r="A3808" s="11"/>
      <c r="B3808" s="12"/>
      <c r="C3808" s="11"/>
      <c r="D3808" s="13"/>
      <c r="E3808" s="14"/>
      <c r="F3808" s="14"/>
      <c r="G3808" s="14"/>
      <c r="H3808" s="15"/>
      <c r="I3808" s="15"/>
      <c r="J3808" s="3"/>
      <c r="K3808" s="3"/>
      <c r="L3808" s="3"/>
      <c r="M3808" s="3"/>
      <c r="N3808" s="3"/>
      <c r="O3808" s="3"/>
      <c r="P3808" s="3"/>
      <c r="Q3808" s="3"/>
      <c r="R3808" s="3"/>
      <c r="S3808" s="3"/>
      <c r="T3808" s="3"/>
      <c r="U3808" s="3"/>
      <c r="V3808" s="3"/>
      <c r="W3808" s="3"/>
      <c r="X3808" s="3"/>
      <c r="Y3808" s="3"/>
      <c r="Z3808" s="3"/>
      <c r="AA3808" s="3"/>
    </row>
    <row r="3809" ht="105.75" customHeight="1">
      <c r="A3809" s="11"/>
      <c r="B3809" s="12"/>
      <c r="C3809" s="11"/>
      <c r="D3809" s="13"/>
      <c r="E3809" s="14"/>
      <c r="F3809" s="14"/>
      <c r="G3809" s="14"/>
      <c r="H3809" s="15"/>
      <c r="I3809" s="15"/>
      <c r="J3809" s="3"/>
      <c r="K3809" s="3"/>
      <c r="L3809" s="3"/>
      <c r="M3809" s="3"/>
      <c r="N3809" s="3"/>
      <c r="O3809" s="3"/>
      <c r="P3809" s="3"/>
      <c r="Q3809" s="3"/>
      <c r="R3809" s="3"/>
      <c r="S3809" s="3"/>
      <c r="T3809" s="3"/>
      <c r="U3809" s="3"/>
      <c r="V3809" s="3"/>
      <c r="W3809" s="3"/>
      <c r="X3809" s="3"/>
      <c r="Y3809" s="3"/>
      <c r="Z3809" s="3"/>
      <c r="AA3809" s="3"/>
    </row>
    <row r="3810" ht="105.75" customHeight="1">
      <c r="A3810" s="11"/>
      <c r="B3810" s="12"/>
      <c r="C3810" s="11"/>
      <c r="D3810" s="13"/>
      <c r="E3810" s="14"/>
      <c r="F3810" s="14"/>
      <c r="G3810" s="14"/>
      <c r="H3810" s="15"/>
      <c r="I3810" s="15"/>
      <c r="J3810" s="3"/>
      <c r="K3810" s="3"/>
      <c r="L3810" s="3"/>
      <c r="M3810" s="3"/>
      <c r="N3810" s="3"/>
      <c r="O3810" s="3"/>
      <c r="P3810" s="3"/>
      <c r="Q3810" s="3"/>
      <c r="R3810" s="3"/>
      <c r="S3810" s="3"/>
      <c r="T3810" s="3"/>
      <c r="U3810" s="3"/>
      <c r="V3810" s="3"/>
      <c r="W3810" s="3"/>
      <c r="X3810" s="3"/>
      <c r="Y3810" s="3"/>
      <c r="Z3810" s="3"/>
      <c r="AA3810" s="3"/>
    </row>
    <row r="3811" ht="105.75" customHeight="1">
      <c r="A3811" s="11"/>
      <c r="B3811" s="12"/>
      <c r="C3811" s="11"/>
      <c r="D3811" s="13"/>
      <c r="E3811" s="14"/>
      <c r="F3811" s="14"/>
      <c r="G3811" s="14"/>
      <c r="H3811" s="15"/>
      <c r="I3811" s="15"/>
      <c r="J3811" s="3"/>
      <c r="K3811" s="3"/>
      <c r="L3811" s="3"/>
      <c r="M3811" s="3"/>
      <c r="N3811" s="3"/>
      <c r="O3811" s="3"/>
      <c r="P3811" s="3"/>
      <c r="Q3811" s="3"/>
      <c r="R3811" s="3"/>
      <c r="S3811" s="3"/>
      <c r="T3811" s="3"/>
      <c r="U3811" s="3"/>
      <c r="V3811" s="3"/>
      <c r="W3811" s="3"/>
      <c r="X3811" s="3"/>
      <c r="Y3811" s="3"/>
      <c r="Z3811" s="3"/>
      <c r="AA3811" s="3"/>
    </row>
    <row r="3812" ht="105.75" customHeight="1">
      <c r="A3812" s="11"/>
      <c r="B3812" s="12"/>
      <c r="C3812" s="11"/>
      <c r="D3812" s="13"/>
      <c r="E3812" s="14"/>
      <c r="F3812" s="14"/>
      <c r="G3812" s="14"/>
      <c r="H3812" s="15"/>
      <c r="I3812" s="15"/>
      <c r="J3812" s="3"/>
      <c r="K3812" s="3"/>
      <c r="L3812" s="3"/>
      <c r="M3812" s="3"/>
      <c r="N3812" s="3"/>
      <c r="O3812" s="3"/>
      <c r="P3812" s="3"/>
      <c r="Q3812" s="3"/>
      <c r="R3812" s="3"/>
      <c r="S3812" s="3"/>
      <c r="T3812" s="3"/>
      <c r="U3812" s="3"/>
      <c r="V3812" s="3"/>
      <c r="W3812" s="3"/>
      <c r="X3812" s="3"/>
      <c r="Y3812" s="3"/>
      <c r="Z3812" s="3"/>
      <c r="AA3812" s="3"/>
    </row>
    <row r="3813" ht="105.75" customHeight="1">
      <c r="A3813" s="11"/>
      <c r="B3813" s="12"/>
      <c r="C3813" s="11"/>
      <c r="D3813" s="13"/>
      <c r="E3813" s="14"/>
      <c r="F3813" s="14"/>
      <c r="G3813" s="14"/>
      <c r="H3813" s="15"/>
      <c r="I3813" s="15"/>
      <c r="J3813" s="3"/>
      <c r="K3813" s="3"/>
      <c r="L3813" s="3"/>
      <c r="M3813" s="3"/>
      <c r="N3813" s="3"/>
      <c r="O3813" s="3"/>
      <c r="P3813" s="3"/>
      <c r="Q3813" s="3"/>
      <c r="R3813" s="3"/>
      <c r="S3813" s="3"/>
      <c r="T3813" s="3"/>
      <c r="U3813" s="3"/>
      <c r="V3813" s="3"/>
      <c r="W3813" s="3"/>
      <c r="X3813" s="3"/>
      <c r="Y3813" s="3"/>
      <c r="Z3813" s="3"/>
      <c r="AA3813" s="3"/>
    </row>
    <row r="3814" ht="105.75" customHeight="1">
      <c r="A3814" s="11"/>
      <c r="B3814" s="12"/>
      <c r="C3814" s="11"/>
      <c r="D3814" s="13"/>
      <c r="E3814" s="14"/>
      <c r="F3814" s="14"/>
      <c r="G3814" s="14"/>
      <c r="H3814" s="15"/>
      <c r="I3814" s="15"/>
      <c r="J3814" s="3"/>
      <c r="K3814" s="3"/>
      <c r="L3814" s="3"/>
      <c r="M3814" s="3"/>
      <c r="N3814" s="3"/>
      <c r="O3814" s="3"/>
      <c r="P3814" s="3"/>
      <c r="Q3814" s="3"/>
      <c r="R3814" s="3"/>
      <c r="S3814" s="3"/>
      <c r="T3814" s="3"/>
      <c r="U3814" s="3"/>
      <c r="V3814" s="3"/>
      <c r="W3814" s="3"/>
      <c r="X3814" s="3"/>
      <c r="Y3814" s="3"/>
      <c r="Z3814" s="3"/>
      <c r="AA3814" s="3"/>
    </row>
    <row r="3815" ht="105.75" customHeight="1">
      <c r="A3815" s="11"/>
      <c r="B3815" s="12"/>
      <c r="C3815" s="11"/>
      <c r="D3815" s="13"/>
      <c r="E3815" s="14"/>
      <c r="F3815" s="14"/>
      <c r="G3815" s="14"/>
      <c r="H3815" s="15"/>
      <c r="I3815" s="15"/>
      <c r="J3815" s="3"/>
      <c r="K3815" s="3"/>
      <c r="L3815" s="3"/>
      <c r="M3815" s="3"/>
      <c r="N3815" s="3"/>
      <c r="O3815" s="3"/>
      <c r="P3815" s="3"/>
      <c r="Q3815" s="3"/>
      <c r="R3815" s="3"/>
      <c r="S3815" s="3"/>
      <c r="T3815" s="3"/>
      <c r="U3815" s="3"/>
      <c r="V3815" s="3"/>
      <c r="W3815" s="3"/>
      <c r="X3815" s="3"/>
      <c r="Y3815" s="3"/>
      <c r="Z3815" s="3"/>
      <c r="AA3815" s="3"/>
    </row>
    <row r="3816" ht="105.75" customHeight="1">
      <c r="A3816" s="11"/>
      <c r="B3816" s="12"/>
      <c r="C3816" s="11"/>
      <c r="D3816" s="13"/>
      <c r="E3816" s="14"/>
      <c r="F3816" s="14"/>
      <c r="G3816" s="14"/>
      <c r="H3816" s="15"/>
      <c r="I3816" s="15"/>
      <c r="J3816" s="3"/>
      <c r="K3816" s="3"/>
      <c r="L3816" s="3"/>
      <c r="M3816" s="3"/>
      <c r="N3816" s="3"/>
      <c r="O3816" s="3"/>
      <c r="P3816" s="3"/>
      <c r="Q3816" s="3"/>
      <c r="R3816" s="3"/>
      <c r="S3816" s="3"/>
      <c r="T3816" s="3"/>
      <c r="U3816" s="3"/>
      <c r="V3816" s="3"/>
      <c r="W3816" s="3"/>
      <c r="X3816" s="3"/>
      <c r="Y3816" s="3"/>
      <c r="Z3816" s="3"/>
      <c r="AA3816" s="3"/>
    </row>
    <row r="3817" ht="105.75" customHeight="1">
      <c r="A3817" s="11"/>
      <c r="B3817" s="12"/>
      <c r="C3817" s="11"/>
      <c r="D3817" s="13"/>
      <c r="E3817" s="14"/>
      <c r="F3817" s="14"/>
      <c r="G3817" s="14"/>
      <c r="H3817" s="15"/>
      <c r="I3817" s="15"/>
      <c r="J3817" s="3"/>
      <c r="K3817" s="3"/>
      <c r="L3817" s="3"/>
      <c r="M3817" s="3"/>
      <c r="N3817" s="3"/>
      <c r="O3817" s="3"/>
      <c r="P3817" s="3"/>
      <c r="Q3817" s="3"/>
      <c r="R3817" s="3"/>
      <c r="S3817" s="3"/>
      <c r="T3817" s="3"/>
      <c r="U3817" s="3"/>
      <c r="V3817" s="3"/>
      <c r="W3817" s="3"/>
      <c r="X3817" s="3"/>
      <c r="Y3817" s="3"/>
      <c r="Z3817" s="3"/>
      <c r="AA3817" s="3"/>
    </row>
    <row r="3818" ht="105.75" customHeight="1">
      <c r="A3818" s="11"/>
      <c r="B3818" s="12"/>
      <c r="C3818" s="11"/>
      <c r="D3818" s="13"/>
      <c r="E3818" s="14"/>
      <c r="F3818" s="14"/>
      <c r="G3818" s="14"/>
      <c r="H3818" s="15"/>
      <c r="I3818" s="15"/>
      <c r="J3818" s="3"/>
      <c r="K3818" s="3"/>
      <c r="L3818" s="3"/>
      <c r="M3818" s="3"/>
      <c r="N3818" s="3"/>
      <c r="O3818" s="3"/>
      <c r="P3818" s="3"/>
      <c r="Q3818" s="3"/>
      <c r="R3818" s="3"/>
      <c r="S3818" s="3"/>
      <c r="T3818" s="3"/>
      <c r="U3818" s="3"/>
      <c r="V3818" s="3"/>
      <c r="W3818" s="3"/>
      <c r="X3818" s="3"/>
      <c r="Y3818" s="3"/>
      <c r="Z3818" s="3"/>
      <c r="AA3818" s="3"/>
    </row>
    <row r="3819" ht="105.75" customHeight="1">
      <c r="A3819" s="11"/>
      <c r="B3819" s="12"/>
      <c r="C3819" s="11"/>
      <c r="D3819" s="13"/>
      <c r="E3819" s="14"/>
      <c r="F3819" s="14"/>
      <c r="G3819" s="14"/>
      <c r="H3819" s="15"/>
      <c r="I3819" s="15"/>
      <c r="J3819" s="3"/>
      <c r="K3819" s="3"/>
      <c r="L3819" s="3"/>
      <c r="M3819" s="3"/>
      <c r="N3819" s="3"/>
      <c r="O3819" s="3"/>
      <c r="P3819" s="3"/>
      <c r="Q3819" s="3"/>
      <c r="R3819" s="3"/>
      <c r="S3819" s="3"/>
      <c r="T3819" s="3"/>
      <c r="U3819" s="3"/>
      <c r="V3819" s="3"/>
      <c r="W3819" s="3"/>
      <c r="X3819" s="3"/>
      <c r="Y3819" s="3"/>
      <c r="Z3819" s="3"/>
      <c r="AA3819" s="3"/>
    </row>
    <row r="3820" ht="105.75" customHeight="1">
      <c r="A3820" s="11"/>
      <c r="B3820" s="12"/>
      <c r="C3820" s="11"/>
      <c r="D3820" s="13"/>
      <c r="E3820" s="14"/>
      <c r="F3820" s="14"/>
      <c r="G3820" s="14"/>
      <c r="H3820" s="15"/>
      <c r="I3820" s="15"/>
      <c r="J3820" s="3"/>
      <c r="K3820" s="3"/>
      <c r="L3820" s="3"/>
      <c r="M3820" s="3"/>
      <c r="N3820" s="3"/>
      <c r="O3820" s="3"/>
      <c r="P3820" s="3"/>
      <c r="Q3820" s="3"/>
      <c r="R3820" s="3"/>
      <c r="S3820" s="3"/>
      <c r="T3820" s="3"/>
      <c r="U3820" s="3"/>
      <c r="V3820" s="3"/>
      <c r="W3820" s="3"/>
      <c r="X3820" s="3"/>
      <c r="Y3820" s="3"/>
      <c r="Z3820" s="3"/>
      <c r="AA3820" s="3"/>
    </row>
    <row r="3821" ht="105.75" customHeight="1">
      <c r="A3821" s="11"/>
      <c r="B3821" s="12"/>
      <c r="C3821" s="11"/>
      <c r="D3821" s="13"/>
      <c r="E3821" s="14"/>
      <c r="F3821" s="14"/>
      <c r="G3821" s="14"/>
      <c r="H3821" s="15"/>
      <c r="I3821" s="15"/>
      <c r="J3821" s="3"/>
      <c r="K3821" s="3"/>
      <c r="L3821" s="3"/>
      <c r="M3821" s="3"/>
      <c r="N3821" s="3"/>
      <c r="O3821" s="3"/>
      <c r="P3821" s="3"/>
      <c r="Q3821" s="3"/>
      <c r="R3821" s="3"/>
      <c r="S3821" s="3"/>
      <c r="T3821" s="3"/>
      <c r="U3821" s="3"/>
      <c r="V3821" s="3"/>
      <c r="W3821" s="3"/>
      <c r="X3821" s="3"/>
      <c r="Y3821" s="3"/>
      <c r="Z3821" s="3"/>
      <c r="AA3821" s="3"/>
    </row>
    <row r="3822" ht="105.75" customHeight="1">
      <c r="A3822" s="11"/>
      <c r="B3822" s="12"/>
      <c r="C3822" s="11"/>
      <c r="D3822" s="13"/>
      <c r="E3822" s="14"/>
      <c r="F3822" s="14"/>
      <c r="G3822" s="14"/>
      <c r="H3822" s="15"/>
      <c r="I3822" s="15"/>
      <c r="J3822" s="3"/>
      <c r="K3822" s="3"/>
      <c r="L3822" s="3"/>
      <c r="M3822" s="3"/>
      <c r="N3822" s="3"/>
      <c r="O3822" s="3"/>
      <c r="P3822" s="3"/>
      <c r="Q3822" s="3"/>
      <c r="R3822" s="3"/>
      <c r="S3822" s="3"/>
      <c r="T3822" s="3"/>
      <c r="U3822" s="3"/>
      <c r="V3822" s="3"/>
      <c r="W3822" s="3"/>
      <c r="X3822" s="3"/>
      <c r="Y3822" s="3"/>
      <c r="Z3822" s="3"/>
      <c r="AA3822" s="3"/>
    </row>
    <row r="3823" ht="105.75" customHeight="1">
      <c r="A3823" s="11"/>
      <c r="B3823" s="12"/>
      <c r="C3823" s="11"/>
      <c r="D3823" s="13"/>
      <c r="E3823" s="14"/>
      <c r="F3823" s="14"/>
      <c r="G3823" s="14"/>
      <c r="H3823" s="15"/>
      <c r="I3823" s="15"/>
      <c r="J3823" s="3"/>
      <c r="K3823" s="3"/>
      <c r="L3823" s="3"/>
      <c r="M3823" s="3"/>
      <c r="N3823" s="3"/>
      <c r="O3823" s="3"/>
      <c r="P3823" s="3"/>
      <c r="Q3823" s="3"/>
      <c r="R3823" s="3"/>
      <c r="S3823" s="3"/>
      <c r="T3823" s="3"/>
      <c r="U3823" s="3"/>
      <c r="V3823" s="3"/>
      <c r="W3823" s="3"/>
      <c r="X3823" s="3"/>
      <c r="Y3823" s="3"/>
      <c r="Z3823" s="3"/>
      <c r="AA3823" s="3"/>
    </row>
    <row r="3824" ht="105.75" customHeight="1">
      <c r="A3824" s="11"/>
      <c r="B3824" s="12"/>
      <c r="C3824" s="11"/>
      <c r="D3824" s="13"/>
      <c r="E3824" s="14"/>
      <c r="F3824" s="14"/>
      <c r="G3824" s="14"/>
      <c r="H3824" s="15"/>
      <c r="I3824" s="15"/>
      <c r="J3824" s="3"/>
      <c r="K3824" s="3"/>
      <c r="L3824" s="3"/>
      <c r="M3824" s="3"/>
      <c r="N3824" s="3"/>
      <c r="O3824" s="3"/>
      <c r="P3824" s="3"/>
      <c r="Q3824" s="3"/>
      <c r="R3824" s="3"/>
      <c r="S3824" s="3"/>
      <c r="T3824" s="3"/>
      <c r="U3824" s="3"/>
      <c r="V3824" s="3"/>
      <c r="W3824" s="3"/>
      <c r="X3824" s="3"/>
      <c r="Y3824" s="3"/>
      <c r="Z3824" s="3"/>
      <c r="AA3824" s="3"/>
    </row>
    <row r="3825" ht="105.75" customHeight="1">
      <c r="A3825" s="11"/>
      <c r="B3825" s="12"/>
      <c r="C3825" s="11"/>
      <c r="D3825" s="13"/>
      <c r="E3825" s="14"/>
      <c r="F3825" s="14"/>
      <c r="G3825" s="14"/>
      <c r="H3825" s="15"/>
      <c r="I3825" s="15"/>
      <c r="J3825" s="3"/>
      <c r="K3825" s="3"/>
      <c r="L3825" s="3"/>
      <c r="M3825" s="3"/>
      <c r="N3825" s="3"/>
      <c r="O3825" s="3"/>
      <c r="P3825" s="3"/>
      <c r="Q3825" s="3"/>
      <c r="R3825" s="3"/>
      <c r="S3825" s="3"/>
      <c r="T3825" s="3"/>
      <c r="U3825" s="3"/>
      <c r="V3825" s="3"/>
      <c r="W3825" s="3"/>
      <c r="X3825" s="3"/>
      <c r="Y3825" s="3"/>
      <c r="Z3825" s="3"/>
      <c r="AA3825" s="3"/>
    </row>
    <row r="3826" ht="105.75" customHeight="1">
      <c r="A3826" s="11"/>
      <c r="B3826" s="12"/>
      <c r="C3826" s="11"/>
      <c r="D3826" s="13"/>
      <c r="E3826" s="14"/>
      <c r="F3826" s="14"/>
      <c r="G3826" s="14"/>
      <c r="H3826" s="15"/>
      <c r="I3826" s="15"/>
      <c r="J3826" s="3"/>
      <c r="K3826" s="3"/>
      <c r="L3826" s="3"/>
      <c r="M3826" s="3"/>
      <c r="N3826" s="3"/>
      <c r="O3826" s="3"/>
      <c r="P3826" s="3"/>
      <c r="Q3826" s="3"/>
      <c r="R3826" s="3"/>
      <c r="S3826" s="3"/>
      <c r="T3826" s="3"/>
      <c r="U3826" s="3"/>
      <c r="V3826" s="3"/>
      <c r="W3826" s="3"/>
      <c r="X3826" s="3"/>
      <c r="Y3826" s="3"/>
      <c r="Z3826" s="3"/>
      <c r="AA3826" s="3"/>
    </row>
    <row r="3827" ht="105.75" customHeight="1">
      <c r="A3827" s="11"/>
      <c r="B3827" s="12"/>
      <c r="C3827" s="11"/>
      <c r="D3827" s="13"/>
      <c r="E3827" s="14"/>
      <c r="F3827" s="14"/>
      <c r="G3827" s="14"/>
      <c r="H3827" s="15"/>
      <c r="I3827" s="15"/>
      <c r="J3827" s="3"/>
      <c r="K3827" s="3"/>
      <c r="L3827" s="3"/>
      <c r="M3827" s="3"/>
      <c r="N3827" s="3"/>
      <c r="O3827" s="3"/>
      <c r="P3827" s="3"/>
      <c r="Q3827" s="3"/>
      <c r="R3827" s="3"/>
      <c r="S3827" s="3"/>
      <c r="T3827" s="3"/>
      <c r="U3827" s="3"/>
      <c r="V3827" s="3"/>
      <c r="W3827" s="3"/>
      <c r="X3827" s="3"/>
      <c r="Y3827" s="3"/>
      <c r="Z3827" s="3"/>
      <c r="AA3827" s="3"/>
    </row>
    <row r="3828" ht="105.75" customHeight="1">
      <c r="A3828" s="11"/>
      <c r="B3828" s="12"/>
      <c r="C3828" s="11"/>
      <c r="D3828" s="13"/>
      <c r="E3828" s="14"/>
      <c r="F3828" s="14"/>
      <c r="G3828" s="14"/>
      <c r="H3828" s="15"/>
      <c r="I3828" s="15"/>
      <c r="J3828" s="3"/>
      <c r="K3828" s="3"/>
      <c r="L3828" s="3"/>
      <c r="M3828" s="3"/>
      <c r="N3828" s="3"/>
      <c r="O3828" s="3"/>
      <c r="P3828" s="3"/>
      <c r="Q3828" s="3"/>
      <c r="R3828" s="3"/>
      <c r="S3828" s="3"/>
      <c r="T3828" s="3"/>
      <c r="U3828" s="3"/>
      <c r="V3828" s="3"/>
      <c r="W3828" s="3"/>
      <c r="X3828" s="3"/>
      <c r="Y3828" s="3"/>
      <c r="Z3828" s="3"/>
      <c r="AA3828" s="3"/>
    </row>
    <row r="3829" ht="105.75" customHeight="1">
      <c r="A3829" s="11"/>
      <c r="B3829" s="12"/>
      <c r="C3829" s="11"/>
      <c r="D3829" s="13"/>
      <c r="E3829" s="14"/>
      <c r="F3829" s="14"/>
      <c r="G3829" s="14"/>
      <c r="H3829" s="15"/>
      <c r="I3829" s="15"/>
      <c r="J3829" s="3"/>
      <c r="K3829" s="3"/>
      <c r="L3829" s="3"/>
      <c r="M3829" s="3"/>
      <c r="N3829" s="3"/>
      <c r="O3829" s="3"/>
      <c r="P3829" s="3"/>
      <c r="Q3829" s="3"/>
      <c r="R3829" s="3"/>
      <c r="S3829" s="3"/>
      <c r="T3829" s="3"/>
      <c r="U3829" s="3"/>
      <c r="V3829" s="3"/>
      <c r="W3829" s="3"/>
      <c r="X3829" s="3"/>
      <c r="Y3829" s="3"/>
      <c r="Z3829" s="3"/>
      <c r="AA3829" s="3"/>
    </row>
    <row r="3830" ht="105.75" customHeight="1">
      <c r="A3830" s="11"/>
      <c r="B3830" s="12"/>
      <c r="C3830" s="11"/>
      <c r="D3830" s="13"/>
      <c r="E3830" s="14"/>
      <c r="F3830" s="14"/>
      <c r="G3830" s="14"/>
      <c r="H3830" s="15"/>
      <c r="I3830" s="15"/>
      <c r="J3830" s="3"/>
      <c r="K3830" s="3"/>
      <c r="L3830" s="3"/>
      <c r="M3830" s="3"/>
      <c r="N3830" s="3"/>
      <c r="O3830" s="3"/>
      <c r="P3830" s="3"/>
      <c r="Q3830" s="3"/>
      <c r="R3830" s="3"/>
      <c r="S3830" s="3"/>
      <c r="T3830" s="3"/>
      <c r="U3830" s="3"/>
      <c r="V3830" s="3"/>
      <c r="W3830" s="3"/>
      <c r="X3830" s="3"/>
      <c r="Y3830" s="3"/>
      <c r="Z3830" s="3"/>
      <c r="AA3830" s="3"/>
    </row>
    <row r="3831" ht="105.75" customHeight="1">
      <c r="A3831" s="11"/>
      <c r="B3831" s="12"/>
      <c r="C3831" s="11"/>
      <c r="D3831" s="13"/>
      <c r="E3831" s="14"/>
      <c r="F3831" s="14"/>
      <c r="G3831" s="14"/>
      <c r="H3831" s="15"/>
      <c r="I3831" s="15"/>
      <c r="J3831" s="3"/>
      <c r="K3831" s="3"/>
      <c r="L3831" s="3"/>
      <c r="M3831" s="3"/>
      <c r="N3831" s="3"/>
      <c r="O3831" s="3"/>
      <c r="P3831" s="3"/>
      <c r="Q3831" s="3"/>
      <c r="R3831" s="3"/>
      <c r="S3831" s="3"/>
      <c r="T3831" s="3"/>
      <c r="U3831" s="3"/>
      <c r="V3831" s="3"/>
      <c r="W3831" s="3"/>
      <c r="X3831" s="3"/>
      <c r="Y3831" s="3"/>
      <c r="Z3831" s="3"/>
      <c r="AA3831" s="3"/>
    </row>
    <row r="3832" ht="105.75" customHeight="1">
      <c r="A3832" s="11"/>
      <c r="B3832" s="12"/>
      <c r="C3832" s="11"/>
      <c r="D3832" s="13"/>
      <c r="E3832" s="14"/>
      <c r="F3832" s="14"/>
      <c r="G3832" s="14"/>
      <c r="H3832" s="15"/>
      <c r="I3832" s="15"/>
      <c r="J3832" s="3"/>
      <c r="K3832" s="3"/>
      <c r="L3832" s="3"/>
      <c r="M3832" s="3"/>
      <c r="N3832" s="3"/>
      <c r="O3832" s="3"/>
      <c r="P3832" s="3"/>
      <c r="Q3832" s="3"/>
      <c r="R3832" s="3"/>
      <c r="S3832" s="3"/>
      <c r="T3832" s="3"/>
      <c r="U3832" s="3"/>
      <c r="V3832" s="3"/>
      <c r="W3832" s="3"/>
      <c r="X3832" s="3"/>
      <c r="Y3832" s="3"/>
      <c r="Z3832" s="3"/>
      <c r="AA3832" s="3"/>
    </row>
    <row r="3833" ht="105.75" customHeight="1">
      <c r="A3833" s="11"/>
      <c r="B3833" s="12"/>
      <c r="C3833" s="11"/>
      <c r="D3833" s="13"/>
      <c r="E3833" s="14"/>
      <c r="F3833" s="14"/>
      <c r="G3833" s="14"/>
      <c r="H3833" s="15"/>
      <c r="I3833" s="15"/>
      <c r="J3833" s="3"/>
      <c r="K3833" s="3"/>
      <c r="L3833" s="3"/>
      <c r="M3833" s="3"/>
      <c r="N3833" s="3"/>
      <c r="O3833" s="3"/>
      <c r="P3833" s="3"/>
      <c r="Q3833" s="3"/>
      <c r="R3833" s="3"/>
      <c r="S3833" s="3"/>
      <c r="T3833" s="3"/>
      <c r="U3833" s="3"/>
      <c r="V3833" s="3"/>
      <c r="W3833" s="3"/>
      <c r="X3833" s="3"/>
      <c r="Y3833" s="3"/>
      <c r="Z3833" s="3"/>
      <c r="AA3833" s="3"/>
    </row>
    <row r="3834" ht="105.75" customHeight="1">
      <c r="A3834" s="11"/>
      <c r="B3834" s="12"/>
      <c r="C3834" s="11"/>
      <c r="D3834" s="13"/>
      <c r="E3834" s="14"/>
      <c r="F3834" s="14"/>
      <c r="G3834" s="14"/>
      <c r="H3834" s="15"/>
      <c r="I3834" s="15"/>
      <c r="J3834" s="3"/>
      <c r="K3834" s="3"/>
      <c r="L3834" s="3"/>
      <c r="M3834" s="3"/>
      <c r="N3834" s="3"/>
      <c r="O3834" s="3"/>
      <c r="P3834" s="3"/>
      <c r="Q3834" s="3"/>
      <c r="R3834" s="3"/>
      <c r="S3834" s="3"/>
      <c r="T3834" s="3"/>
      <c r="U3834" s="3"/>
      <c r="V3834" s="3"/>
      <c r="W3834" s="3"/>
      <c r="X3834" s="3"/>
      <c r="Y3834" s="3"/>
      <c r="Z3834" s="3"/>
      <c r="AA3834" s="3"/>
    </row>
    <row r="3835" ht="105.75" customHeight="1">
      <c r="A3835" s="11"/>
      <c r="B3835" s="12"/>
      <c r="C3835" s="11"/>
      <c r="D3835" s="13"/>
      <c r="E3835" s="14"/>
      <c r="F3835" s="14"/>
      <c r="G3835" s="14"/>
      <c r="H3835" s="15"/>
      <c r="I3835" s="15"/>
      <c r="J3835" s="3"/>
      <c r="K3835" s="3"/>
      <c r="L3835" s="3"/>
      <c r="M3835" s="3"/>
      <c r="N3835" s="3"/>
      <c r="O3835" s="3"/>
      <c r="P3835" s="3"/>
      <c r="Q3835" s="3"/>
      <c r="R3835" s="3"/>
      <c r="S3835" s="3"/>
      <c r="T3835" s="3"/>
      <c r="U3835" s="3"/>
      <c r="V3835" s="3"/>
      <c r="W3835" s="3"/>
      <c r="X3835" s="3"/>
      <c r="Y3835" s="3"/>
      <c r="Z3835" s="3"/>
      <c r="AA3835" s="3"/>
    </row>
    <row r="3836" ht="105.75" customHeight="1">
      <c r="A3836" s="11"/>
      <c r="B3836" s="12"/>
      <c r="C3836" s="11"/>
      <c r="D3836" s="13"/>
      <c r="E3836" s="14"/>
      <c r="F3836" s="14"/>
      <c r="G3836" s="14"/>
      <c r="H3836" s="15"/>
      <c r="I3836" s="15"/>
      <c r="J3836" s="3"/>
      <c r="K3836" s="3"/>
      <c r="L3836" s="3"/>
      <c r="M3836" s="3"/>
      <c r="N3836" s="3"/>
      <c r="O3836" s="3"/>
      <c r="P3836" s="3"/>
      <c r="Q3836" s="3"/>
      <c r="R3836" s="3"/>
      <c r="S3836" s="3"/>
      <c r="T3836" s="3"/>
      <c r="U3836" s="3"/>
      <c r="V3836" s="3"/>
      <c r="W3836" s="3"/>
      <c r="X3836" s="3"/>
      <c r="Y3836" s="3"/>
      <c r="Z3836" s="3"/>
      <c r="AA3836" s="3"/>
    </row>
    <row r="3837" ht="105.75" customHeight="1">
      <c r="A3837" s="11"/>
      <c r="B3837" s="12"/>
      <c r="C3837" s="11"/>
      <c r="D3837" s="13"/>
      <c r="E3837" s="14"/>
      <c r="F3837" s="14"/>
      <c r="G3837" s="14"/>
      <c r="H3837" s="15"/>
      <c r="I3837" s="15"/>
      <c r="J3837" s="3"/>
      <c r="K3837" s="3"/>
      <c r="L3837" s="3"/>
      <c r="M3837" s="3"/>
      <c r="N3837" s="3"/>
      <c r="O3837" s="3"/>
      <c r="P3837" s="3"/>
      <c r="Q3837" s="3"/>
      <c r="R3837" s="3"/>
      <c r="S3837" s="3"/>
      <c r="T3837" s="3"/>
      <c r="U3837" s="3"/>
      <c r="V3837" s="3"/>
      <c r="W3837" s="3"/>
      <c r="X3837" s="3"/>
      <c r="Y3837" s="3"/>
      <c r="Z3837" s="3"/>
      <c r="AA3837" s="3"/>
    </row>
    <row r="3838" ht="105.75" customHeight="1">
      <c r="A3838" s="11"/>
      <c r="B3838" s="12"/>
      <c r="C3838" s="11"/>
      <c r="D3838" s="13"/>
      <c r="E3838" s="14"/>
      <c r="F3838" s="14"/>
      <c r="G3838" s="14"/>
      <c r="H3838" s="15"/>
      <c r="I3838" s="15"/>
      <c r="J3838" s="3"/>
      <c r="K3838" s="3"/>
      <c r="L3838" s="3"/>
      <c r="M3838" s="3"/>
      <c r="N3838" s="3"/>
      <c r="O3838" s="3"/>
      <c r="P3838" s="3"/>
      <c r="Q3838" s="3"/>
      <c r="R3838" s="3"/>
      <c r="S3838" s="3"/>
      <c r="T3838" s="3"/>
      <c r="U3838" s="3"/>
      <c r="V3838" s="3"/>
      <c r="W3838" s="3"/>
      <c r="X3838" s="3"/>
      <c r="Y3838" s="3"/>
      <c r="Z3838" s="3"/>
      <c r="AA3838" s="3"/>
    </row>
    <row r="3839" ht="105.75" customHeight="1">
      <c r="A3839" s="11"/>
      <c r="B3839" s="12"/>
      <c r="C3839" s="11"/>
      <c r="D3839" s="13"/>
      <c r="E3839" s="14"/>
      <c r="F3839" s="14"/>
      <c r="G3839" s="14"/>
      <c r="H3839" s="15"/>
      <c r="I3839" s="15"/>
      <c r="J3839" s="3"/>
      <c r="K3839" s="3"/>
      <c r="L3839" s="3"/>
      <c r="M3839" s="3"/>
      <c r="N3839" s="3"/>
      <c r="O3839" s="3"/>
      <c r="P3839" s="3"/>
      <c r="Q3839" s="3"/>
      <c r="R3839" s="3"/>
      <c r="S3839" s="3"/>
      <c r="T3839" s="3"/>
      <c r="U3839" s="3"/>
      <c r="V3839" s="3"/>
      <c r="W3839" s="3"/>
      <c r="X3839" s="3"/>
      <c r="Y3839" s="3"/>
      <c r="Z3839" s="3"/>
      <c r="AA3839" s="3"/>
    </row>
    <row r="3840" ht="105.75" customHeight="1">
      <c r="A3840" s="11"/>
      <c r="B3840" s="12"/>
      <c r="C3840" s="11"/>
      <c r="D3840" s="13"/>
      <c r="E3840" s="14"/>
      <c r="F3840" s="14"/>
      <c r="G3840" s="14"/>
      <c r="H3840" s="15"/>
      <c r="I3840" s="15"/>
      <c r="J3840" s="3"/>
      <c r="K3840" s="3"/>
      <c r="L3840" s="3"/>
      <c r="M3840" s="3"/>
      <c r="N3840" s="3"/>
      <c r="O3840" s="3"/>
      <c r="P3840" s="3"/>
      <c r="Q3840" s="3"/>
      <c r="R3840" s="3"/>
      <c r="S3840" s="3"/>
      <c r="T3840" s="3"/>
      <c r="U3840" s="3"/>
      <c r="V3840" s="3"/>
      <c r="W3840" s="3"/>
      <c r="X3840" s="3"/>
      <c r="Y3840" s="3"/>
      <c r="Z3840" s="3"/>
      <c r="AA3840" s="3"/>
    </row>
    <row r="3841" ht="105.75" customHeight="1">
      <c r="A3841" s="11"/>
      <c r="B3841" s="12"/>
      <c r="C3841" s="11"/>
      <c r="D3841" s="13"/>
      <c r="E3841" s="14"/>
      <c r="F3841" s="14"/>
      <c r="G3841" s="14"/>
      <c r="H3841" s="15"/>
      <c r="I3841" s="15"/>
      <c r="J3841" s="3"/>
      <c r="K3841" s="3"/>
      <c r="L3841" s="3"/>
      <c r="M3841" s="3"/>
      <c r="N3841" s="3"/>
      <c r="O3841" s="3"/>
      <c r="P3841" s="3"/>
      <c r="Q3841" s="3"/>
      <c r="R3841" s="3"/>
      <c r="S3841" s="3"/>
      <c r="T3841" s="3"/>
      <c r="U3841" s="3"/>
      <c r="V3841" s="3"/>
      <c r="W3841" s="3"/>
      <c r="X3841" s="3"/>
      <c r="Y3841" s="3"/>
      <c r="Z3841" s="3"/>
      <c r="AA3841" s="3"/>
    </row>
    <row r="3842" ht="105.75" customHeight="1">
      <c r="A3842" s="11"/>
      <c r="B3842" s="12"/>
      <c r="C3842" s="11"/>
      <c r="D3842" s="13"/>
      <c r="E3842" s="14"/>
      <c r="F3842" s="14"/>
      <c r="G3842" s="14"/>
      <c r="H3842" s="15"/>
      <c r="I3842" s="15"/>
      <c r="J3842" s="3"/>
      <c r="K3842" s="3"/>
      <c r="L3842" s="3"/>
      <c r="M3842" s="3"/>
      <c r="N3842" s="3"/>
      <c r="O3842" s="3"/>
      <c r="P3842" s="3"/>
      <c r="Q3842" s="3"/>
      <c r="R3842" s="3"/>
      <c r="S3842" s="3"/>
      <c r="T3842" s="3"/>
      <c r="U3842" s="3"/>
      <c r="V3842" s="3"/>
      <c r="W3842" s="3"/>
      <c r="X3842" s="3"/>
      <c r="Y3842" s="3"/>
      <c r="Z3842" s="3"/>
      <c r="AA3842" s="3"/>
    </row>
    <row r="3843" ht="105.75" customHeight="1">
      <c r="A3843" s="11"/>
      <c r="B3843" s="12"/>
      <c r="C3843" s="11"/>
      <c r="D3843" s="13"/>
      <c r="E3843" s="14"/>
      <c r="F3843" s="14"/>
      <c r="G3843" s="14"/>
      <c r="H3843" s="15"/>
      <c r="I3843" s="15"/>
      <c r="J3843" s="3"/>
      <c r="K3843" s="3"/>
      <c r="L3843" s="3"/>
      <c r="M3843" s="3"/>
      <c r="N3843" s="3"/>
      <c r="O3843" s="3"/>
      <c r="P3843" s="3"/>
      <c r="Q3843" s="3"/>
      <c r="R3843" s="3"/>
      <c r="S3843" s="3"/>
      <c r="T3843" s="3"/>
      <c r="U3843" s="3"/>
      <c r="V3843" s="3"/>
      <c r="W3843" s="3"/>
      <c r="X3843" s="3"/>
      <c r="Y3843" s="3"/>
      <c r="Z3843" s="3"/>
      <c r="AA3843" s="3"/>
    </row>
    <row r="3844" ht="105.75" customHeight="1">
      <c r="A3844" s="11"/>
      <c r="B3844" s="12"/>
      <c r="C3844" s="11"/>
      <c r="D3844" s="13"/>
      <c r="E3844" s="14"/>
      <c r="F3844" s="14"/>
      <c r="G3844" s="14"/>
      <c r="H3844" s="15"/>
      <c r="I3844" s="15"/>
      <c r="J3844" s="3"/>
      <c r="K3844" s="3"/>
      <c r="L3844" s="3"/>
      <c r="M3844" s="3"/>
      <c r="N3844" s="3"/>
      <c r="O3844" s="3"/>
      <c r="P3844" s="3"/>
      <c r="Q3844" s="3"/>
      <c r="R3844" s="3"/>
      <c r="S3844" s="3"/>
      <c r="T3844" s="3"/>
      <c r="U3844" s="3"/>
      <c r="V3844" s="3"/>
      <c r="W3844" s="3"/>
      <c r="X3844" s="3"/>
      <c r="Y3844" s="3"/>
      <c r="Z3844" s="3"/>
      <c r="AA3844" s="3"/>
    </row>
    <row r="3845" ht="105.75" customHeight="1">
      <c r="A3845" s="11"/>
      <c r="B3845" s="12"/>
      <c r="C3845" s="11"/>
      <c r="D3845" s="13"/>
      <c r="E3845" s="14"/>
      <c r="F3845" s="14"/>
      <c r="G3845" s="14"/>
      <c r="H3845" s="15"/>
      <c r="I3845" s="15"/>
      <c r="J3845" s="3"/>
      <c r="K3845" s="3"/>
      <c r="L3845" s="3"/>
      <c r="M3845" s="3"/>
      <c r="N3845" s="3"/>
      <c r="O3845" s="3"/>
      <c r="P3845" s="3"/>
      <c r="Q3845" s="3"/>
      <c r="R3845" s="3"/>
      <c r="S3845" s="3"/>
      <c r="T3845" s="3"/>
      <c r="U3845" s="3"/>
      <c r="V3845" s="3"/>
      <c r="W3845" s="3"/>
      <c r="X3845" s="3"/>
      <c r="Y3845" s="3"/>
      <c r="Z3845" s="3"/>
      <c r="AA3845" s="3"/>
    </row>
    <row r="3846" ht="105.75" customHeight="1">
      <c r="A3846" s="11"/>
      <c r="B3846" s="12"/>
      <c r="C3846" s="11"/>
      <c r="D3846" s="13"/>
      <c r="E3846" s="14"/>
      <c r="F3846" s="14"/>
      <c r="G3846" s="14"/>
      <c r="H3846" s="15"/>
      <c r="I3846" s="15"/>
      <c r="J3846" s="3"/>
      <c r="K3846" s="3"/>
      <c r="L3846" s="3"/>
      <c r="M3846" s="3"/>
      <c r="N3846" s="3"/>
      <c r="O3846" s="3"/>
      <c r="P3846" s="3"/>
      <c r="Q3846" s="3"/>
      <c r="R3846" s="3"/>
      <c r="S3846" s="3"/>
      <c r="T3846" s="3"/>
      <c r="U3846" s="3"/>
      <c r="V3846" s="3"/>
      <c r="W3846" s="3"/>
      <c r="X3846" s="3"/>
      <c r="Y3846" s="3"/>
      <c r="Z3846" s="3"/>
      <c r="AA3846" s="3"/>
    </row>
    <row r="3847" ht="105.75" customHeight="1">
      <c r="A3847" s="11"/>
      <c r="B3847" s="12"/>
      <c r="C3847" s="11"/>
      <c r="D3847" s="13"/>
      <c r="E3847" s="14"/>
      <c r="F3847" s="14"/>
      <c r="G3847" s="14"/>
      <c r="H3847" s="15"/>
      <c r="I3847" s="15"/>
      <c r="J3847" s="3"/>
      <c r="K3847" s="3"/>
      <c r="L3847" s="3"/>
      <c r="M3847" s="3"/>
      <c r="N3847" s="3"/>
      <c r="O3847" s="3"/>
      <c r="P3847" s="3"/>
      <c r="Q3847" s="3"/>
      <c r="R3847" s="3"/>
      <c r="S3847" s="3"/>
      <c r="T3847" s="3"/>
      <c r="U3847" s="3"/>
      <c r="V3847" s="3"/>
      <c r="W3847" s="3"/>
      <c r="X3847" s="3"/>
      <c r="Y3847" s="3"/>
      <c r="Z3847" s="3"/>
      <c r="AA3847" s="3"/>
    </row>
    <row r="3848" ht="105.75" customHeight="1">
      <c r="A3848" s="11"/>
      <c r="B3848" s="12"/>
      <c r="C3848" s="11"/>
      <c r="D3848" s="13"/>
      <c r="E3848" s="14"/>
      <c r="F3848" s="14"/>
      <c r="G3848" s="14"/>
      <c r="H3848" s="15"/>
      <c r="I3848" s="15"/>
      <c r="J3848" s="3"/>
      <c r="K3848" s="3"/>
      <c r="L3848" s="3"/>
      <c r="M3848" s="3"/>
      <c r="N3848" s="3"/>
      <c r="O3848" s="3"/>
      <c r="P3848" s="3"/>
      <c r="Q3848" s="3"/>
      <c r="R3848" s="3"/>
      <c r="S3848" s="3"/>
      <c r="T3848" s="3"/>
      <c r="U3848" s="3"/>
      <c r="V3848" s="3"/>
      <c r="W3848" s="3"/>
      <c r="X3848" s="3"/>
      <c r="Y3848" s="3"/>
      <c r="Z3848" s="3"/>
      <c r="AA3848" s="3"/>
    </row>
    <row r="3849" ht="105.75" customHeight="1">
      <c r="A3849" s="11"/>
      <c r="B3849" s="12"/>
      <c r="C3849" s="11"/>
      <c r="D3849" s="13"/>
      <c r="E3849" s="14"/>
      <c r="F3849" s="14"/>
      <c r="G3849" s="14"/>
      <c r="H3849" s="15"/>
      <c r="I3849" s="15"/>
      <c r="J3849" s="3"/>
      <c r="K3849" s="3"/>
      <c r="L3849" s="3"/>
      <c r="M3849" s="3"/>
      <c r="N3849" s="3"/>
      <c r="O3849" s="3"/>
      <c r="P3849" s="3"/>
      <c r="Q3849" s="3"/>
      <c r="R3849" s="3"/>
      <c r="S3849" s="3"/>
      <c r="T3849" s="3"/>
      <c r="U3849" s="3"/>
      <c r="V3849" s="3"/>
      <c r="W3849" s="3"/>
      <c r="X3849" s="3"/>
      <c r="Y3849" s="3"/>
      <c r="Z3849" s="3"/>
      <c r="AA3849" s="3"/>
    </row>
    <row r="3850" ht="105.75" customHeight="1">
      <c r="A3850" s="11"/>
      <c r="B3850" s="12"/>
      <c r="C3850" s="11"/>
      <c r="D3850" s="13"/>
      <c r="E3850" s="14"/>
      <c r="F3850" s="14"/>
      <c r="G3850" s="14"/>
      <c r="H3850" s="15"/>
      <c r="I3850" s="15"/>
      <c r="J3850" s="3"/>
      <c r="K3850" s="3"/>
      <c r="L3850" s="3"/>
      <c r="M3850" s="3"/>
      <c r="N3850" s="3"/>
      <c r="O3850" s="3"/>
      <c r="P3850" s="3"/>
      <c r="Q3850" s="3"/>
      <c r="R3850" s="3"/>
      <c r="S3850" s="3"/>
      <c r="T3850" s="3"/>
      <c r="U3850" s="3"/>
      <c r="V3850" s="3"/>
      <c r="W3850" s="3"/>
      <c r="X3850" s="3"/>
      <c r="Y3850" s="3"/>
      <c r="Z3850" s="3"/>
      <c r="AA3850" s="3"/>
    </row>
    <row r="3851" ht="105.75" customHeight="1">
      <c r="A3851" s="11"/>
      <c r="B3851" s="12"/>
      <c r="C3851" s="11"/>
      <c r="D3851" s="13"/>
      <c r="E3851" s="14"/>
      <c r="F3851" s="14"/>
      <c r="G3851" s="14"/>
      <c r="H3851" s="15"/>
      <c r="I3851" s="15"/>
      <c r="J3851" s="3"/>
      <c r="K3851" s="3"/>
      <c r="L3851" s="3"/>
      <c r="M3851" s="3"/>
      <c r="N3851" s="3"/>
      <c r="O3851" s="3"/>
      <c r="P3851" s="3"/>
      <c r="Q3851" s="3"/>
      <c r="R3851" s="3"/>
      <c r="S3851" s="3"/>
      <c r="T3851" s="3"/>
      <c r="U3851" s="3"/>
      <c r="V3851" s="3"/>
      <c r="W3851" s="3"/>
      <c r="X3851" s="3"/>
      <c r="Y3851" s="3"/>
      <c r="Z3851" s="3"/>
      <c r="AA3851" s="3"/>
    </row>
    <row r="3852" ht="105.75" customHeight="1">
      <c r="A3852" s="11"/>
      <c r="B3852" s="12"/>
      <c r="C3852" s="11"/>
      <c r="D3852" s="13"/>
      <c r="E3852" s="14"/>
      <c r="F3852" s="14"/>
      <c r="G3852" s="14"/>
      <c r="H3852" s="15"/>
      <c r="I3852" s="15"/>
      <c r="J3852" s="3"/>
      <c r="K3852" s="3"/>
      <c r="L3852" s="3"/>
      <c r="M3852" s="3"/>
      <c r="N3852" s="3"/>
      <c r="O3852" s="3"/>
      <c r="P3852" s="3"/>
      <c r="Q3852" s="3"/>
      <c r="R3852" s="3"/>
      <c r="S3852" s="3"/>
      <c r="T3852" s="3"/>
      <c r="U3852" s="3"/>
      <c r="V3852" s="3"/>
      <c r="W3852" s="3"/>
      <c r="X3852" s="3"/>
      <c r="Y3852" s="3"/>
      <c r="Z3852" s="3"/>
      <c r="AA3852" s="3"/>
    </row>
    <row r="3853" ht="105.75" customHeight="1">
      <c r="A3853" s="11"/>
      <c r="B3853" s="12"/>
      <c r="C3853" s="11"/>
      <c r="D3853" s="13"/>
      <c r="E3853" s="14"/>
      <c r="F3853" s="14"/>
      <c r="G3853" s="14"/>
      <c r="H3853" s="15"/>
      <c r="I3853" s="15"/>
      <c r="J3853" s="3"/>
      <c r="K3853" s="3"/>
      <c r="L3853" s="3"/>
      <c r="M3853" s="3"/>
      <c r="N3853" s="3"/>
      <c r="O3853" s="3"/>
      <c r="P3853" s="3"/>
      <c r="Q3853" s="3"/>
      <c r="R3853" s="3"/>
      <c r="S3853" s="3"/>
      <c r="T3853" s="3"/>
      <c r="U3853" s="3"/>
      <c r="V3853" s="3"/>
      <c r="W3853" s="3"/>
      <c r="X3853" s="3"/>
      <c r="Y3853" s="3"/>
      <c r="Z3853" s="3"/>
      <c r="AA3853" s="3"/>
    </row>
    <row r="3854" ht="105.75" customHeight="1">
      <c r="A3854" s="11"/>
      <c r="B3854" s="12"/>
      <c r="C3854" s="11"/>
      <c r="D3854" s="13"/>
      <c r="E3854" s="14"/>
      <c r="F3854" s="14"/>
      <c r="G3854" s="14"/>
      <c r="H3854" s="15"/>
      <c r="I3854" s="15"/>
      <c r="J3854" s="3"/>
      <c r="K3854" s="3"/>
      <c r="L3854" s="3"/>
      <c r="M3854" s="3"/>
      <c r="N3854" s="3"/>
      <c r="O3854" s="3"/>
      <c r="P3854" s="3"/>
      <c r="Q3854" s="3"/>
      <c r="R3854" s="3"/>
      <c r="S3854" s="3"/>
      <c r="T3854" s="3"/>
      <c r="U3854" s="3"/>
      <c r="V3854" s="3"/>
      <c r="W3854" s="3"/>
      <c r="X3854" s="3"/>
      <c r="Y3854" s="3"/>
      <c r="Z3854" s="3"/>
      <c r="AA3854" s="3"/>
    </row>
    <row r="3855" ht="105.75" customHeight="1">
      <c r="A3855" s="11"/>
      <c r="B3855" s="12"/>
      <c r="C3855" s="11"/>
      <c r="D3855" s="13"/>
      <c r="E3855" s="14"/>
      <c r="F3855" s="14"/>
      <c r="G3855" s="14"/>
      <c r="H3855" s="15"/>
      <c r="I3855" s="15"/>
      <c r="J3855" s="3"/>
      <c r="K3855" s="3"/>
      <c r="L3855" s="3"/>
      <c r="M3855" s="3"/>
      <c r="N3855" s="3"/>
      <c r="O3855" s="3"/>
      <c r="P3855" s="3"/>
      <c r="Q3855" s="3"/>
      <c r="R3855" s="3"/>
      <c r="S3855" s="3"/>
      <c r="T3855" s="3"/>
      <c r="U3855" s="3"/>
      <c r="V3855" s="3"/>
      <c r="W3855" s="3"/>
      <c r="X3855" s="3"/>
      <c r="Y3855" s="3"/>
      <c r="Z3855" s="3"/>
      <c r="AA3855" s="3"/>
    </row>
    <row r="3856" ht="105.75" customHeight="1">
      <c r="A3856" s="11"/>
      <c r="B3856" s="12"/>
      <c r="C3856" s="11"/>
      <c r="D3856" s="13"/>
      <c r="E3856" s="14"/>
      <c r="F3856" s="14"/>
      <c r="G3856" s="14"/>
      <c r="H3856" s="15"/>
      <c r="I3856" s="15"/>
      <c r="J3856" s="3"/>
      <c r="K3856" s="3"/>
      <c r="L3856" s="3"/>
      <c r="M3856" s="3"/>
      <c r="N3856" s="3"/>
      <c r="O3856" s="3"/>
      <c r="P3856" s="3"/>
      <c r="Q3856" s="3"/>
      <c r="R3856" s="3"/>
      <c r="S3856" s="3"/>
      <c r="T3856" s="3"/>
      <c r="U3856" s="3"/>
      <c r="V3856" s="3"/>
      <c r="W3856" s="3"/>
      <c r="X3856" s="3"/>
      <c r="Y3856" s="3"/>
      <c r="Z3856" s="3"/>
      <c r="AA3856" s="3"/>
    </row>
    <row r="3857" ht="105.75" customHeight="1">
      <c r="A3857" s="11"/>
      <c r="B3857" s="12"/>
      <c r="C3857" s="11"/>
      <c r="D3857" s="13"/>
      <c r="E3857" s="14"/>
      <c r="F3857" s="14"/>
      <c r="G3857" s="14"/>
      <c r="H3857" s="15"/>
      <c r="I3857" s="15"/>
      <c r="J3857" s="3"/>
      <c r="K3857" s="3"/>
      <c r="L3857" s="3"/>
      <c r="M3857" s="3"/>
      <c r="N3857" s="3"/>
      <c r="O3857" s="3"/>
      <c r="P3857" s="3"/>
      <c r="Q3857" s="3"/>
      <c r="R3857" s="3"/>
      <c r="S3857" s="3"/>
      <c r="T3857" s="3"/>
      <c r="U3857" s="3"/>
      <c r="V3857" s="3"/>
      <c r="W3857" s="3"/>
      <c r="X3857" s="3"/>
      <c r="Y3857" s="3"/>
      <c r="Z3857" s="3"/>
      <c r="AA3857" s="3"/>
    </row>
    <row r="3858" ht="105.75" customHeight="1">
      <c r="A3858" s="11"/>
      <c r="B3858" s="12"/>
      <c r="C3858" s="11"/>
      <c r="D3858" s="13"/>
      <c r="E3858" s="14"/>
      <c r="F3858" s="14"/>
      <c r="G3858" s="14"/>
      <c r="H3858" s="15"/>
      <c r="I3858" s="15"/>
      <c r="J3858" s="3"/>
      <c r="K3858" s="3"/>
      <c r="L3858" s="3"/>
      <c r="M3858" s="3"/>
      <c r="N3858" s="3"/>
      <c r="O3858" s="3"/>
      <c r="P3858" s="3"/>
      <c r="Q3858" s="3"/>
      <c r="R3858" s="3"/>
      <c r="S3858" s="3"/>
      <c r="T3858" s="3"/>
      <c r="U3858" s="3"/>
      <c r="V3858" s="3"/>
      <c r="W3858" s="3"/>
      <c r="X3858" s="3"/>
      <c r="Y3858" s="3"/>
      <c r="Z3858" s="3"/>
      <c r="AA3858" s="3"/>
    </row>
    <row r="3859" ht="105.75" customHeight="1">
      <c r="A3859" s="11"/>
      <c r="B3859" s="12"/>
      <c r="C3859" s="11"/>
      <c r="D3859" s="13"/>
      <c r="E3859" s="14"/>
      <c r="F3859" s="14"/>
      <c r="G3859" s="14"/>
      <c r="H3859" s="15"/>
      <c r="I3859" s="15"/>
      <c r="J3859" s="3"/>
      <c r="K3859" s="3"/>
      <c r="L3859" s="3"/>
      <c r="M3859" s="3"/>
      <c r="N3859" s="3"/>
      <c r="O3859" s="3"/>
      <c r="P3859" s="3"/>
      <c r="Q3859" s="3"/>
      <c r="R3859" s="3"/>
      <c r="S3859" s="3"/>
      <c r="T3859" s="3"/>
      <c r="U3859" s="3"/>
      <c r="V3859" s="3"/>
      <c r="W3859" s="3"/>
      <c r="X3859" s="3"/>
      <c r="Y3859" s="3"/>
      <c r="Z3859" s="3"/>
      <c r="AA3859" s="3"/>
    </row>
    <row r="3860" ht="105.75" customHeight="1">
      <c r="A3860" s="11"/>
      <c r="B3860" s="12"/>
      <c r="C3860" s="11"/>
      <c r="D3860" s="13"/>
      <c r="E3860" s="14"/>
      <c r="F3860" s="14"/>
      <c r="G3860" s="14"/>
      <c r="H3860" s="15"/>
      <c r="I3860" s="15"/>
      <c r="J3860" s="3"/>
      <c r="K3860" s="3"/>
      <c r="L3860" s="3"/>
      <c r="M3860" s="3"/>
      <c r="N3860" s="3"/>
      <c r="O3860" s="3"/>
      <c r="P3860" s="3"/>
      <c r="Q3860" s="3"/>
      <c r="R3860" s="3"/>
      <c r="S3860" s="3"/>
      <c r="T3860" s="3"/>
      <c r="U3860" s="3"/>
      <c r="V3860" s="3"/>
      <c r="W3860" s="3"/>
      <c r="X3860" s="3"/>
      <c r="Y3860" s="3"/>
      <c r="Z3860" s="3"/>
      <c r="AA3860" s="3"/>
    </row>
    <row r="3861" ht="105.75" customHeight="1">
      <c r="A3861" s="11"/>
      <c r="B3861" s="12"/>
      <c r="C3861" s="11"/>
      <c r="D3861" s="13"/>
      <c r="E3861" s="14"/>
      <c r="F3861" s="14"/>
      <c r="G3861" s="14"/>
      <c r="H3861" s="15"/>
      <c r="I3861" s="15"/>
      <c r="J3861" s="3"/>
      <c r="K3861" s="3"/>
      <c r="L3861" s="3"/>
      <c r="M3861" s="3"/>
      <c r="N3861" s="3"/>
      <c r="O3861" s="3"/>
      <c r="P3861" s="3"/>
      <c r="Q3861" s="3"/>
      <c r="R3861" s="3"/>
      <c r="S3861" s="3"/>
      <c r="T3861" s="3"/>
      <c r="U3861" s="3"/>
      <c r="V3861" s="3"/>
      <c r="W3861" s="3"/>
      <c r="X3861" s="3"/>
      <c r="Y3861" s="3"/>
      <c r="Z3861" s="3"/>
      <c r="AA3861" s="3"/>
    </row>
    <row r="3862" ht="105.75" customHeight="1">
      <c r="A3862" s="11"/>
      <c r="B3862" s="12"/>
      <c r="C3862" s="11"/>
      <c r="D3862" s="13"/>
      <c r="E3862" s="14"/>
      <c r="F3862" s="14"/>
      <c r="G3862" s="14"/>
      <c r="H3862" s="15"/>
      <c r="I3862" s="15"/>
      <c r="J3862" s="3"/>
      <c r="K3862" s="3"/>
      <c r="L3862" s="3"/>
      <c r="M3862" s="3"/>
      <c r="N3862" s="3"/>
      <c r="O3862" s="3"/>
      <c r="P3862" s="3"/>
      <c r="Q3862" s="3"/>
      <c r="R3862" s="3"/>
      <c r="S3862" s="3"/>
      <c r="T3862" s="3"/>
      <c r="U3862" s="3"/>
      <c r="V3862" s="3"/>
      <c r="W3862" s="3"/>
      <c r="X3862" s="3"/>
      <c r="Y3862" s="3"/>
      <c r="Z3862" s="3"/>
      <c r="AA3862" s="3"/>
    </row>
    <row r="3863" ht="105.75" customHeight="1">
      <c r="A3863" s="11"/>
      <c r="B3863" s="12"/>
      <c r="C3863" s="11"/>
      <c r="D3863" s="13"/>
      <c r="E3863" s="14"/>
      <c r="F3863" s="14"/>
      <c r="G3863" s="14"/>
      <c r="H3863" s="15"/>
      <c r="I3863" s="15"/>
      <c r="J3863" s="3"/>
      <c r="K3863" s="3"/>
      <c r="L3863" s="3"/>
      <c r="M3863" s="3"/>
      <c r="N3863" s="3"/>
      <c r="O3863" s="3"/>
      <c r="P3863" s="3"/>
      <c r="Q3863" s="3"/>
      <c r="R3863" s="3"/>
      <c r="S3863" s="3"/>
      <c r="T3863" s="3"/>
      <c r="U3863" s="3"/>
      <c r="V3863" s="3"/>
      <c r="W3863" s="3"/>
      <c r="X3863" s="3"/>
      <c r="Y3863" s="3"/>
      <c r="Z3863" s="3"/>
      <c r="AA3863" s="3"/>
    </row>
    <row r="3864" ht="105.75" customHeight="1">
      <c r="A3864" s="11"/>
      <c r="B3864" s="12"/>
      <c r="C3864" s="11"/>
      <c r="D3864" s="13"/>
      <c r="E3864" s="14"/>
      <c r="F3864" s="14"/>
      <c r="G3864" s="14"/>
      <c r="H3864" s="15"/>
      <c r="I3864" s="15"/>
      <c r="J3864" s="3"/>
      <c r="K3864" s="3"/>
      <c r="L3864" s="3"/>
      <c r="M3864" s="3"/>
      <c r="N3864" s="3"/>
      <c r="O3864" s="3"/>
      <c r="P3864" s="3"/>
      <c r="Q3864" s="3"/>
      <c r="R3864" s="3"/>
      <c r="S3864" s="3"/>
      <c r="T3864" s="3"/>
      <c r="U3864" s="3"/>
      <c r="V3864" s="3"/>
      <c r="W3864" s="3"/>
      <c r="X3864" s="3"/>
      <c r="Y3864" s="3"/>
      <c r="Z3864" s="3"/>
      <c r="AA3864" s="3"/>
    </row>
    <row r="3865" ht="105.75" customHeight="1">
      <c r="A3865" s="11"/>
      <c r="B3865" s="12"/>
      <c r="C3865" s="11"/>
      <c r="D3865" s="13"/>
      <c r="E3865" s="14"/>
      <c r="F3865" s="14"/>
      <c r="G3865" s="14"/>
      <c r="H3865" s="15"/>
      <c r="I3865" s="15"/>
      <c r="J3865" s="3"/>
      <c r="K3865" s="3"/>
      <c r="L3865" s="3"/>
      <c r="M3865" s="3"/>
      <c r="N3865" s="3"/>
      <c r="O3865" s="3"/>
      <c r="P3865" s="3"/>
      <c r="Q3865" s="3"/>
      <c r="R3865" s="3"/>
      <c r="S3865" s="3"/>
      <c r="T3865" s="3"/>
      <c r="U3865" s="3"/>
      <c r="V3865" s="3"/>
      <c r="W3865" s="3"/>
      <c r="X3865" s="3"/>
      <c r="Y3865" s="3"/>
      <c r="Z3865" s="3"/>
      <c r="AA3865" s="3"/>
    </row>
    <row r="3866" ht="105.75" customHeight="1">
      <c r="A3866" s="11"/>
      <c r="B3866" s="12"/>
      <c r="C3866" s="11"/>
      <c r="D3866" s="13"/>
      <c r="E3866" s="14"/>
      <c r="F3866" s="14"/>
      <c r="G3866" s="14"/>
      <c r="H3866" s="15"/>
      <c r="I3866" s="15"/>
      <c r="J3866" s="3"/>
      <c r="K3866" s="3"/>
      <c r="L3866" s="3"/>
      <c r="M3866" s="3"/>
      <c r="N3866" s="3"/>
      <c r="O3866" s="3"/>
      <c r="P3866" s="3"/>
      <c r="Q3866" s="3"/>
      <c r="R3866" s="3"/>
      <c r="S3866" s="3"/>
      <c r="T3866" s="3"/>
      <c r="U3866" s="3"/>
      <c r="V3866" s="3"/>
      <c r="W3866" s="3"/>
      <c r="X3866" s="3"/>
      <c r="Y3866" s="3"/>
      <c r="Z3866" s="3"/>
      <c r="AA3866" s="3"/>
    </row>
    <row r="3867" ht="105.75" customHeight="1">
      <c r="A3867" s="11"/>
      <c r="B3867" s="12"/>
      <c r="C3867" s="11"/>
      <c r="D3867" s="13"/>
      <c r="E3867" s="14"/>
      <c r="F3867" s="14"/>
      <c r="G3867" s="14"/>
      <c r="H3867" s="15"/>
      <c r="I3867" s="15"/>
      <c r="J3867" s="3"/>
      <c r="K3867" s="3"/>
      <c r="L3867" s="3"/>
      <c r="M3867" s="3"/>
      <c r="N3867" s="3"/>
      <c r="O3867" s="3"/>
      <c r="P3867" s="3"/>
      <c r="Q3867" s="3"/>
      <c r="R3867" s="3"/>
      <c r="S3867" s="3"/>
      <c r="T3867" s="3"/>
      <c r="U3867" s="3"/>
      <c r="V3867" s="3"/>
      <c r="W3867" s="3"/>
      <c r="X3867" s="3"/>
      <c r="Y3867" s="3"/>
      <c r="Z3867" s="3"/>
      <c r="AA3867" s="3"/>
    </row>
    <row r="3868" ht="105.75" customHeight="1">
      <c r="A3868" s="11"/>
      <c r="B3868" s="12"/>
      <c r="C3868" s="11"/>
      <c r="D3868" s="13"/>
      <c r="E3868" s="14"/>
      <c r="F3868" s="14"/>
      <c r="G3868" s="14"/>
      <c r="H3868" s="15"/>
      <c r="I3868" s="15"/>
      <c r="J3868" s="3"/>
      <c r="K3868" s="3"/>
      <c r="L3868" s="3"/>
      <c r="M3868" s="3"/>
      <c r="N3868" s="3"/>
      <c r="O3868" s="3"/>
      <c r="P3868" s="3"/>
      <c r="Q3868" s="3"/>
      <c r="R3868" s="3"/>
      <c r="S3868" s="3"/>
      <c r="T3868" s="3"/>
      <c r="U3868" s="3"/>
      <c r="V3868" s="3"/>
      <c r="W3868" s="3"/>
      <c r="X3868" s="3"/>
      <c r="Y3868" s="3"/>
      <c r="Z3868" s="3"/>
      <c r="AA3868" s="3"/>
    </row>
    <row r="3869" ht="105.75" customHeight="1">
      <c r="A3869" s="11"/>
      <c r="B3869" s="12"/>
      <c r="C3869" s="11"/>
      <c r="D3869" s="13"/>
      <c r="E3869" s="14"/>
      <c r="F3869" s="14"/>
      <c r="G3869" s="14"/>
      <c r="H3869" s="15"/>
      <c r="I3869" s="15"/>
      <c r="J3869" s="3"/>
      <c r="K3869" s="3"/>
      <c r="L3869" s="3"/>
      <c r="M3869" s="3"/>
      <c r="N3869" s="3"/>
      <c r="O3869" s="3"/>
      <c r="P3869" s="3"/>
      <c r="Q3869" s="3"/>
      <c r="R3869" s="3"/>
      <c r="S3869" s="3"/>
      <c r="T3869" s="3"/>
      <c r="U3869" s="3"/>
      <c r="V3869" s="3"/>
      <c r="W3869" s="3"/>
      <c r="X3869" s="3"/>
      <c r="Y3869" s="3"/>
      <c r="Z3869" s="3"/>
      <c r="AA3869" s="3"/>
    </row>
    <row r="3870" ht="105.75" customHeight="1">
      <c r="A3870" s="11"/>
      <c r="B3870" s="12"/>
      <c r="C3870" s="11"/>
      <c r="D3870" s="13"/>
      <c r="E3870" s="14"/>
      <c r="F3870" s="14"/>
      <c r="G3870" s="14"/>
      <c r="H3870" s="15"/>
      <c r="I3870" s="15"/>
      <c r="J3870" s="3"/>
      <c r="K3870" s="3"/>
      <c r="L3870" s="3"/>
      <c r="M3870" s="3"/>
      <c r="N3870" s="3"/>
      <c r="O3870" s="3"/>
      <c r="P3870" s="3"/>
      <c r="Q3870" s="3"/>
      <c r="R3870" s="3"/>
      <c r="S3870" s="3"/>
      <c r="T3870" s="3"/>
      <c r="U3870" s="3"/>
      <c r="V3870" s="3"/>
      <c r="W3870" s="3"/>
      <c r="X3870" s="3"/>
      <c r="Y3870" s="3"/>
      <c r="Z3870" s="3"/>
      <c r="AA3870" s="3"/>
    </row>
    <row r="3871" ht="105.75" customHeight="1">
      <c r="A3871" s="11"/>
      <c r="B3871" s="12"/>
      <c r="C3871" s="11"/>
      <c r="D3871" s="13"/>
      <c r="E3871" s="14"/>
      <c r="F3871" s="14"/>
      <c r="G3871" s="14"/>
      <c r="H3871" s="15"/>
      <c r="I3871" s="15"/>
      <c r="J3871" s="3"/>
      <c r="K3871" s="3"/>
      <c r="L3871" s="3"/>
      <c r="M3871" s="3"/>
      <c r="N3871" s="3"/>
      <c r="O3871" s="3"/>
      <c r="P3871" s="3"/>
      <c r="Q3871" s="3"/>
      <c r="R3871" s="3"/>
      <c r="S3871" s="3"/>
      <c r="T3871" s="3"/>
      <c r="U3871" s="3"/>
      <c r="V3871" s="3"/>
      <c r="W3871" s="3"/>
      <c r="X3871" s="3"/>
      <c r="Y3871" s="3"/>
      <c r="Z3871" s="3"/>
      <c r="AA3871" s="3"/>
    </row>
    <row r="3872" ht="105.75" customHeight="1">
      <c r="A3872" s="11"/>
      <c r="B3872" s="12"/>
      <c r="C3872" s="11"/>
      <c r="D3872" s="13"/>
      <c r="E3872" s="14"/>
      <c r="F3872" s="14"/>
      <c r="G3872" s="14"/>
      <c r="H3872" s="15"/>
      <c r="I3872" s="15"/>
      <c r="J3872" s="3"/>
      <c r="K3872" s="3"/>
      <c r="L3872" s="3"/>
      <c r="M3872" s="3"/>
      <c r="N3872" s="3"/>
      <c r="O3872" s="3"/>
      <c r="P3872" s="3"/>
      <c r="Q3872" s="3"/>
      <c r="R3872" s="3"/>
      <c r="S3872" s="3"/>
      <c r="T3872" s="3"/>
      <c r="U3872" s="3"/>
      <c r="V3872" s="3"/>
      <c r="W3872" s="3"/>
      <c r="X3872" s="3"/>
      <c r="Y3872" s="3"/>
      <c r="Z3872" s="3"/>
      <c r="AA3872" s="3"/>
    </row>
    <row r="3873" ht="105.75" customHeight="1">
      <c r="A3873" s="11"/>
      <c r="B3873" s="12"/>
      <c r="C3873" s="11"/>
      <c r="D3873" s="13"/>
      <c r="E3873" s="14"/>
      <c r="F3873" s="14"/>
      <c r="G3873" s="14"/>
      <c r="H3873" s="15"/>
      <c r="I3873" s="15"/>
      <c r="J3873" s="3"/>
      <c r="K3873" s="3"/>
      <c r="L3873" s="3"/>
      <c r="M3873" s="3"/>
      <c r="N3873" s="3"/>
      <c r="O3873" s="3"/>
      <c r="P3873" s="3"/>
      <c r="Q3873" s="3"/>
      <c r="R3873" s="3"/>
      <c r="S3873" s="3"/>
      <c r="T3873" s="3"/>
      <c r="U3873" s="3"/>
      <c r="V3873" s="3"/>
      <c r="W3873" s="3"/>
      <c r="X3873" s="3"/>
      <c r="Y3873" s="3"/>
      <c r="Z3873" s="3"/>
      <c r="AA3873" s="3"/>
    </row>
    <row r="3874" ht="105.75" customHeight="1">
      <c r="A3874" s="11"/>
      <c r="B3874" s="12"/>
      <c r="C3874" s="11"/>
      <c r="D3874" s="13"/>
      <c r="E3874" s="14"/>
      <c r="F3874" s="14"/>
      <c r="G3874" s="14"/>
      <c r="H3874" s="15"/>
      <c r="I3874" s="15"/>
      <c r="J3874" s="3"/>
      <c r="K3874" s="3"/>
      <c r="L3874" s="3"/>
      <c r="M3874" s="3"/>
      <c r="N3874" s="3"/>
      <c r="O3874" s="3"/>
      <c r="P3874" s="3"/>
      <c r="Q3874" s="3"/>
      <c r="R3874" s="3"/>
      <c r="S3874" s="3"/>
      <c r="T3874" s="3"/>
      <c r="U3874" s="3"/>
      <c r="V3874" s="3"/>
      <c r="W3874" s="3"/>
      <c r="X3874" s="3"/>
      <c r="Y3874" s="3"/>
      <c r="Z3874" s="3"/>
      <c r="AA3874" s="3"/>
    </row>
    <row r="3875" ht="105.75" customHeight="1">
      <c r="A3875" s="11"/>
      <c r="B3875" s="12"/>
      <c r="C3875" s="11"/>
      <c r="D3875" s="13"/>
      <c r="E3875" s="14"/>
      <c r="F3875" s="14"/>
      <c r="G3875" s="14"/>
      <c r="H3875" s="15"/>
      <c r="I3875" s="15"/>
      <c r="J3875" s="3"/>
      <c r="K3875" s="3"/>
      <c r="L3875" s="3"/>
      <c r="M3875" s="3"/>
      <c r="N3875" s="3"/>
      <c r="O3875" s="3"/>
      <c r="P3875" s="3"/>
      <c r="Q3875" s="3"/>
      <c r="R3875" s="3"/>
      <c r="S3875" s="3"/>
      <c r="T3875" s="3"/>
      <c r="U3875" s="3"/>
      <c r="V3875" s="3"/>
      <c r="W3875" s="3"/>
      <c r="X3875" s="3"/>
      <c r="Y3875" s="3"/>
      <c r="Z3875" s="3"/>
      <c r="AA3875" s="3"/>
    </row>
    <row r="3876" ht="105.75" customHeight="1">
      <c r="A3876" s="11"/>
      <c r="B3876" s="12"/>
      <c r="C3876" s="11"/>
      <c r="D3876" s="13"/>
      <c r="E3876" s="14"/>
      <c r="F3876" s="14"/>
      <c r="G3876" s="14"/>
      <c r="H3876" s="15"/>
      <c r="I3876" s="15"/>
      <c r="J3876" s="3"/>
      <c r="K3876" s="3"/>
      <c r="L3876" s="3"/>
      <c r="M3876" s="3"/>
      <c r="N3876" s="3"/>
      <c r="O3876" s="3"/>
      <c r="P3876" s="3"/>
      <c r="Q3876" s="3"/>
      <c r="R3876" s="3"/>
      <c r="S3876" s="3"/>
      <c r="T3876" s="3"/>
      <c r="U3876" s="3"/>
      <c r="V3876" s="3"/>
      <c r="W3876" s="3"/>
      <c r="X3876" s="3"/>
      <c r="Y3876" s="3"/>
      <c r="Z3876" s="3"/>
      <c r="AA3876" s="3"/>
    </row>
    <row r="3877" ht="105.75" customHeight="1">
      <c r="A3877" s="11"/>
      <c r="B3877" s="12"/>
      <c r="C3877" s="11"/>
      <c r="D3877" s="13"/>
      <c r="E3877" s="14"/>
      <c r="F3877" s="14"/>
      <c r="G3877" s="14"/>
      <c r="H3877" s="15"/>
      <c r="I3877" s="15"/>
      <c r="J3877" s="3"/>
      <c r="K3877" s="3"/>
      <c r="L3877" s="3"/>
      <c r="M3877" s="3"/>
      <c r="N3877" s="3"/>
      <c r="O3877" s="3"/>
      <c r="P3877" s="3"/>
      <c r="Q3877" s="3"/>
      <c r="R3877" s="3"/>
      <c r="S3877" s="3"/>
      <c r="T3877" s="3"/>
      <c r="U3877" s="3"/>
      <c r="V3877" s="3"/>
      <c r="W3877" s="3"/>
      <c r="X3877" s="3"/>
      <c r="Y3877" s="3"/>
      <c r="Z3877" s="3"/>
      <c r="AA3877" s="3"/>
    </row>
    <row r="3878" ht="105.75" customHeight="1">
      <c r="A3878" s="11"/>
      <c r="B3878" s="12"/>
      <c r="C3878" s="11"/>
      <c r="D3878" s="13"/>
      <c r="E3878" s="14"/>
      <c r="F3878" s="14"/>
      <c r="G3878" s="14"/>
      <c r="H3878" s="15"/>
      <c r="I3878" s="15"/>
      <c r="J3878" s="3"/>
      <c r="K3878" s="3"/>
      <c r="L3878" s="3"/>
      <c r="M3878" s="3"/>
      <c r="N3878" s="3"/>
      <c r="O3878" s="3"/>
      <c r="P3878" s="3"/>
      <c r="Q3878" s="3"/>
      <c r="R3878" s="3"/>
      <c r="S3878" s="3"/>
      <c r="T3878" s="3"/>
      <c r="U3878" s="3"/>
      <c r="V3878" s="3"/>
      <c r="W3878" s="3"/>
      <c r="X3878" s="3"/>
      <c r="Y3878" s="3"/>
      <c r="Z3878" s="3"/>
      <c r="AA3878" s="3"/>
    </row>
    <row r="3879" ht="105.75" customHeight="1">
      <c r="A3879" s="11"/>
      <c r="B3879" s="12"/>
      <c r="C3879" s="11"/>
      <c r="D3879" s="13"/>
      <c r="E3879" s="14"/>
      <c r="F3879" s="14"/>
      <c r="G3879" s="14"/>
      <c r="H3879" s="15"/>
      <c r="I3879" s="15"/>
      <c r="J3879" s="3"/>
      <c r="K3879" s="3"/>
      <c r="L3879" s="3"/>
      <c r="M3879" s="3"/>
      <c r="N3879" s="3"/>
      <c r="O3879" s="3"/>
      <c r="P3879" s="3"/>
      <c r="Q3879" s="3"/>
      <c r="R3879" s="3"/>
      <c r="S3879" s="3"/>
      <c r="T3879" s="3"/>
      <c r="U3879" s="3"/>
      <c r="V3879" s="3"/>
      <c r="W3879" s="3"/>
      <c r="X3879" s="3"/>
      <c r="Y3879" s="3"/>
      <c r="Z3879" s="3"/>
      <c r="AA3879" s="3"/>
    </row>
    <row r="3880" ht="105.75" customHeight="1">
      <c r="A3880" s="11"/>
      <c r="B3880" s="12"/>
      <c r="C3880" s="11"/>
      <c r="D3880" s="13"/>
      <c r="E3880" s="14"/>
      <c r="F3880" s="14"/>
      <c r="G3880" s="14"/>
      <c r="H3880" s="15"/>
      <c r="I3880" s="15"/>
      <c r="J3880" s="3"/>
      <c r="K3880" s="3"/>
      <c r="L3880" s="3"/>
      <c r="M3880" s="3"/>
      <c r="N3880" s="3"/>
      <c r="O3880" s="3"/>
      <c r="P3880" s="3"/>
      <c r="Q3880" s="3"/>
      <c r="R3880" s="3"/>
      <c r="S3880" s="3"/>
      <c r="T3880" s="3"/>
      <c r="U3880" s="3"/>
      <c r="V3880" s="3"/>
      <c r="W3880" s="3"/>
      <c r="X3880" s="3"/>
      <c r="Y3880" s="3"/>
      <c r="Z3880" s="3"/>
      <c r="AA3880" s="3"/>
    </row>
    <row r="3881" ht="105.75" customHeight="1">
      <c r="A3881" s="11"/>
      <c r="B3881" s="12"/>
      <c r="C3881" s="11"/>
      <c r="D3881" s="13"/>
      <c r="E3881" s="14"/>
      <c r="F3881" s="14"/>
      <c r="G3881" s="14"/>
      <c r="H3881" s="15"/>
      <c r="I3881" s="15"/>
      <c r="J3881" s="3"/>
      <c r="K3881" s="3"/>
      <c r="L3881" s="3"/>
      <c r="M3881" s="3"/>
      <c r="N3881" s="3"/>
      <c r="O3881" s="3"/>
      <c r="P3881" s="3"/>
      <c r="Q3881" s="3"/>
      <c r="R3881" s="3"/>
      <c r="S3881" s="3"/>
      <c r="T3881" s="3"/>
      <c r="U3881" s="3"/>
      <c r="V3881" s="3"/>
      <c r="W3881" s="3"/>
      <c r="X3881" s="3"/>
      <c r="Y3881" s="3"/>
      <c r="Z3881" s="3"/>
      <c r="AA3881" s="3"/>
    </row>
    <row r="3882" ht="105.75" customHeight="1">
      <c r="A3882" s="11"/>
      <c r="B3882" s="12"/>
      <c r="C3882" s="11"/>
      <c r="D3882" s="13"/>
      <c r="E3882" s="14"/>
      <c r="F3882" s="14"/>
      <c r="G3882" s="14"/>
      <c r="H3882" s="15"/>
      <c r="I3882" s="15"/>
      <c r="J3882" s="3"/>
      <c r="K3882" s="3"/>
      <c r="L3882" s="3"/>
      <c r="M3882" s="3"/>
      <c r="N3882" s="3"/>
      <c r="O3882" s="3"/>
      <c r="P3882" s="3"/>
      <c r="Q3882" s="3"/>
      <c r="R3882" s="3"/>
      <c r="S3882" s="3"/>
      <c r="T3882" s="3"/>
      <c r="U3882" s="3"/>
      <c r="V3882" s="3"/>
      <c r="W3882" s="3"/>
      <c r="X3882" s="3"/>
      <c r="Y3882" s="3"/>
      <c r="Z3882" s="3"/>
      <c r="AA3882" s="3"/>
    </row>
    <row r="3883" ht="105.75" customHeight="1">
      <c r="A3883" s="11"/>
      <c r="B3883" s="12"/>
      <c r="C3883" s="11"/>
      <c r="D3883" s="13"/>
      <c r="E3883" s="14"/>
      <c r="F3883" s="14"/>
      <c r="G3883" s="14"/>
      <c r="H3883" s="15"/>
      <c r="I3883" s="15"/>
      <c r="J3883" s="3"/>
      <c r="K3883" s="3"/>
      <c r="L3883" s="3"/>
      <c r="M3883" s="3"/>
      <c r="N3883" s="3"/>
      <c r="O3883" s="3"/>
      <c r="P3883" s="3"/>
      <c r="Q3883" s="3"/>
      <c r="R3883" s="3"/>
      <c r="S3883" s="3"/>
      <c r="T3883" s="3"/>
      <c r="U3883" s="3"/>
      <c r="V3883" s="3"/>
      <c r="W3883" s="3"/>
      <c r="X3883" s="3"/>
      <c r="Y3883" s="3"/>
      <c r="Z3883" s="3"/>
      <c r="AA3883" s="3"/>
    </row>
    <row r="3884" ht="105.75" customHeight="1">
      <c r="A3884" s="11"/>
      <c r="B3884" s="12"/>
      <c r="C3884" s="11"/>
      <c r="D3884" s="13"/>
      <c r="E3884" s="14"/>
      <c r="F3884" s="14"/>
      <c r="G3884" s="14"/>
      <c r="H3884" s="15"/>
      <c r="I3884" s="15"/>
      <c r="J3884" s="3"/>
      <c r="K3884" s="3"/>
      <c r="L3884" s="3"/>
      <c r="M3884" s="3"/>
      <c r="N3884" s="3"/>
      <c r="O3884" s="3"/>
      <c r="P3884" s="3"/>
      <c r="Q3884" s="3"/>
      <c r="R3884" s="3"/>
      <c r="S3884" s="3"/>
      <c r="T3884" s="3"/>
      <c r="U3884" s="3"/>
      <c r="V3884" s="3"/>
      <c r="W3884" s="3"/>
      <c r="X3884" s="3"/>
      <c r="Y3884" s="3"/>
      <c r="Z3884" s="3"/>
      <c r="AA3884" s="3"/>
    </row>
    <row r="3885" ht="105.75" customHeight="1">
      <c r="A3885" s="11"/>
      <c r="B3885" s="12"/>
      <c r="C3885" s="11"/>
      <c r="D3885" s="13"/>
      <c r="E3885" s="14"/>
      <c r="F3885" s="14"/>
      <c r="G3885" s="14"/>
      <c r="H3885" s="15"/>
      <c r="I3885" s="15"/>
      <c r="J3885" s="3"/>
      <c r="K3885" s="3"/>
      <c r="L3885" s="3"/>
      <c r="M3885" s="3"/>
      <c r="N3885" s="3"/>
      <c r="O3885" s="3"/>
      <c r="P3885" s="3"/>
      <c r="Q3885" s="3"/>
      <c r="R3885" s="3"/>
      <c r="S3885" s="3"/>
      <c r="T3885" s="3"/>
      <c r="U3885" s="3"/>
      <c r="V3885" s="3"/>
      <c r="W3885" s="3"/>
      <c r="X3885" s="3"/>
      <c r="Y3885" s="3"/>
      <c r="Z3885" s="3"/>
      <c r="AA3885" s="3"/>
    </row>
    <row r="3886" ht="105.75" customHeight="1">
      <c r="A3886" s="11"/>
      <c r="B3886" s="12"/>
      <c r="C3886" s="11"/>
      <c r="D3886" s="13"/>
      <c r="E3886" s="14"/>
      <c r="F3886" s="14"/>
      <c r="G3886" s="14"/>
      <c r="H3886" s="15"/>
      <c r="I3886" s="15"/>
      <c r="J3886" s="3"/>
      <c r="K3886" s="3"/>
      <c r="L3886" s="3"/>
      <c r="M3886" s="3"/>
      <c r="N3886" s="3"/>
      <c r="O3886" s="3"/>
      <c r="P3886" s="3"/>
      <c r="Q3886" s="3"/>
      <c r="R3886" s="3"/>
      <c r="S3886" s="3"/>
      <c r="T3886" s="3"/>
      <c r="U3886" s="3"/>
      <c r="V3886" s="3"/>
      <c r="W3886" s="3"/>
      <c r="X3886" s="3"/>
      <c r="Y3886" s="3"/>
      <c r="Z3886" s="3"/>
      <c r="AA3886" s="3"/>
    </row>
    <row r="3887" ht="105.75" customHeight="1">
      <c r="A3887" s="11"/>
      <c r="B3887" s="12"/>
      <c r="C3887" s="11"/>
      <c r="D3887" s="13"/>
      <c r="E3887" s="14"/>
      <c r="F3887" s="14"/>
      <c r="G3887" s="14"/>
      <c r="H3887" s="15"/>
      <c r="I3887" s="15"/>
      <c r="J3887" s="3"/>
      <c r="K3887" s="3"/>
      <c r="L3887" s="3"/>
      <c r="M3887" s="3"/>
      <c r="N3887" s="3"/>
      <c r="O3887" s="3"/>
      <c r="P3887" s="3"/>
      <c r="Q3887" s="3"/>
      <c r="R3887" s="3"/>
      <c r="S3887" s="3"/>
      <c r="T3887" s="3"/>
      <c r="U3887" s="3"/>
      <c r="V3887" s="3"/>
      <c r="W3887" s="3"/>
      <c r="X3887" s="3"/>
      <c r="Y3887" s="3"/>
      <c r="Z3887" s="3"/>
      <c r="AA3887" s="3"/>
    </row>
    <row r="3888" ht="105.75" customHeight="1">
      <c r="A3888" s="11"/>
      <c r="B3888" s="12"/>
      <c r="C3888" s="11"/>
      <c r="D3888" s="13"/>
      <c r="E3888" s="14"/>
      <c r="F3888" s="14"/>
      <c r="G3888" s="14"/>
      <c r="H3888" s="15"/>
      <c r="I3888" s="15"/>
      <c r="J3888" s="3"/>
      <c r="K3888" s="3"/>
      <c r="L3888" s="3"/>
      <c r="M3888" s="3"/>
      <c r="N3888" s="3"/>
      <c r="O3888" s="3"/>
      <c r="P3888" s="3"/>
      <c r="Q3888" s="3"/>
      <c r="R3888" s="3"/>
      <c r="S3888" s="3"/>
      <c r="T3888" s="3"/>
      <c r="U3888" s="3"/>
      <c r="V3888" s="3"/>
      <c r="W3888" s="3"/>
      <c r="X3888" s="3"/>
      <c r="Y3888" s="3"/>
      <c r="Z3888" s="3"/>
      <c r="AA3888" s="3"/>
    </row>
    <row r="3889" ht="105.75" customHeight="1">
      <c r="A3889" s="11"/>
      <c r="B3889" s="12"/>
      <c r="C3889" s="11"/>
      <c r="D3889" s="13"/>
      <c r="E3889" s="14"/>
      <c r="F3889" s="14"/>
      <c r="G3889" s="14"/>
      <c r="H3889" s="15"/>
      <c r="I3889" s="15"/>
      <c r="J3889" s="3"/>
      <c r="K3889" s="3"/>
      <c r="L3889" s="3"/>
      <c r="M3889" s="3"/>
      <c r="N3889" s="3"/>
      <c r="O3889" s="3"/>
      <c r="P3889" s="3"/>
      <c r="Q3889" s="3"/>
      <c r="R3889" s="3"/>
      <c r="S3889" s="3"/>
      <c r="T3889" s="3"/>
      <c r="U3889" s="3"/>
      <c r="V3889" s="3"/>
      <c r="W3889" s="3"/>
      <c r="X3889" s="3"/>
      <c r="Y3889" s="3"/>
      <c r="Z3889" s="3"/>
      <c r="AA3889" s="3"/>
    </row>
    <row r="3890" ht="105.75" customHeight="1">
      <c r="A3890" s="11"/>
      <c r="B3890" s="12"/>
      <c r="C3890" s="11"/>
      <c r="D3890" s="13"/>
      <c r="E3890" s="14"/>
      <c r="F3890" s="14"/>
      <c r="G3890" s="14"/>
      <c r="H3890" s="15"/>
      <c r="I3890" s="15"/>
      <c r="J3890" s="3"/>
      <c r="K3890" s="3"/>
      <c r="L3890" s="3"/>
      <c r="M3890" s="3"/>
      <c r="N3890" s="3"/>
      <c r="O3890" s="3"/>
      <c r="P3890" s="3"/>
      <c r="Q3890" s="3"/>
      <c r="R3890" s="3"/>
      <c r="S3890" s="3"/>
      <c r="T3890" s="3"/>
      <c r="U3890" s="3"/>
      <c r="V3890" s="3"/>
      <c r="W3890" s="3"/>
      <c r="X3890" s="3"/>
      <c r="Y3890" s="3"/>
      <c r="Z3890" s="3"/>
      <c r="AA3890" s="3"/>
    </row>
    <row r="3891" ht="105.75" customHeight="1">
      <c r="A3891" s="11"/>
      <c r="B3891" s="12"/>
      <c r="C3891" s="11"/>
      <c r="D3891" s="13"/>
      <c r="E3891" s="14"/>
      <c r="F3891" s="14"/>
      <c r="G3891" s="14"/>
      <c r="H3891" s="15"/>
      <c r="I3891" s="15"/>
      <c r="J3891" s="3"/>
      <c r="K3891" s="3"/>
      <c r="L3891" s="3"/>
      <c r="M3891" s="3"/>
      <c r="N3891" s="3"/>
      <c r="O3891" s="3"/>
      <c r="P3891" s="3"/>
      <c r="Q3891" s="3"/>
      <c r="R3891" s="3"/>
      <c r="S3891" s="3"/>
      <c r="T3891" s="3"/>
      <c r="U3891" s="3"/>
      <c r="V3891" s="3"/>
      <c r="W3891" s="3"/>
      <c r="X3891" s="3"/>
      <c r="Y3891" s="3"/>
      <c r="Z3891" s="3"/>
      <c r="AA3891" s="3"/>
    </row>
    <row r="3892" ht="105.75" customHeight="1">
      <c r="A3892" s="11"/>
      <c r="B3892" s="12"/>
      <c r="C3892" s="11"/>
      <c r="D3892" s="13"/>
      <c r="E3892" s="14"/>
      <c r="F3892" s="14"/>
      <c r="G3892" s="14"/>
      <c r="H3892" s="15"/>
      <c r="I3892" s="15"/>
      <c r="J3892" s="3"/>
      <c r="K3892" s="3"/>
      <c r="L3892" s="3"/>
      <c r="M3892" s="3"/>
      <c r="N3892" s="3"/>
      <c r="O3892" s="3"/>
      <c r="P3892" s="3"/>
      <c r="Q3892" s="3"/>
      <c r="R3892" s="3"/>
      <c r="S3892" s="3"/>
      <c r="T3892" s="3"/>
      <c r="U3892" s="3"/>
      <c r="V3892" s="3"/>
      <c r="W3892" s="3"/>
      <c r="X3892" s="3"/>
      <c r="Y3892" s="3"/>
      <c r="Z3892" s="3"/>
      <c r="AA3892" s="3"/>
    </row>
    <row r="3893" ht="105.75" customHeight="1">
      <c r="A3893" s="11"/>
      <c r="B3893" s="12"/>
      <c r="C3893" s="11"/>
      <c r="D3893" s="13"/>
      <c r="E3893" s="14"/>
      <c r="F3893" s="14"/>
      <c r="G3893" s="14"/>
      <c r="H3893" s="15"/>
      <c r="I3893" s="15"/>
      <c r="J3893" s="3"/>
      <c r="K3893" s="3"/>
      <c r="L3893" s="3"/>
      <c r="M3893" s="3"/>
      <c r="N3893" s="3"/>
      <c r="O3893" s="3"/>
      <c r="P3893" s="3"/>
      <c r="Q3893" s="3"/>
      <c r="R3893" s="3"/>
      <c r="S3893" s="3"/>
      <c r="T3893" s="3"/>
      <c r="U3893" s="3"/>
      <c r="V3893" s="3"/>
      <c r="W3893" s="3"/>
      <c r="X3893" s="3"/>
      <c r="Y3893" s="3"/>
      <c r="Z3893" s="3"/>
      <c r="AA3893" s="3"/>
    </row>
    <row r="3894" ht="105.75" customHeight="1">
      <c r="A3894" s="11"/>
      <c r="B3894" s="12"/>
      <c r="C3894" s="11"/>
      <c r="D3894" s="13"/>
      <c r="E3894" s="14"/>
      <c r="F3894" s="14"/>
      <c r="G3894" s="14"/>
      <c r="H3894" s="15"/>
      <c r="I3894" s="15"/>
      <c r="J3894" s="3"/>
      <c r="K3894" s="3"/>
      <c r="L3894" s="3"/>
      <c r="M3894" s="3"/>
      <c r="N3894" s="3"/>
      <c r="O3894" s="3"/>
      <c r="P3894" s="3"/>
      <c r="Q3894" s="3"/>
      <c r="R3894" s="3"/>
      <c r="S3894" s="3"/>
      <c r="T3894" s="3"/>
      <c r="U3894" s="3"/>
      <c r="V3894" s="3"/>
      <c r="W3894" s="3"/>
      <c r="X3894" s="3"/>
      <c r="Y3894" s="3"/>
      <c r="Z3894" s="3"/>
      <c r="AA3894" s="3"/>
    </row>
    <row r="3895" ht="105.75" customHeight="1">
      <c r="A3895" s="11"/>
      <c r="B3895" s="12"/>
      <c r="C3895" s="11"/>
      <c r="D3895" s="13"/>
      <c r="E3895" s="14"/>
      <c r="F3895" s="14"/>
      <c r="G3895" s="14"/>
      <c r="H3895" s="15"/>
      <c r="I3895" s="15"/>
      <c r="J3895" s="3"/>
      <c r="K3895" s="3"/>
      <c r="L3895" s="3"/>
      <c r="M3895" s="3"/>
      <c r="N3895" s="3"/>
      <c r="O3895" s="3"/>
      <c r="P3895" s="3"/>
      <c r="Q3895" s="3"/>
      <c r="R3895" s="3"/>
      <c r="S3895" s="3"/>
      <c r="T3895" s="3"/>
      <c r="U3895" s="3"/>
      <c r="V3895" s="3"/>
      <c r="W3895" s="3"/>
      <c r="X3895" s="3"/>
      <c r="Y3895" s="3"/>
      <c r="Z3895" s="3"/>
      <c r="AA3895" s="3"/>
    </row>
    <row r="3896" ht="105.75" customHeight="1">
      <c r="A3896" s="11"/>
      <c r="B3896" s="12"/>
      <c r="C3896" s="11"/>
      <c r="D3896" s="13"/>
      <c r="E3896" s="14"/>
      <c r="F3896" s="14"/>
      <c r="G3896" s="14"/>
      <c r="H3896" s="15"/>
      <c r="I3896" s="15"/>
      <c r="J3896" s="3"/>
      <c r="K3896" s="3"/>
      <c r="L3896" s="3"/>
      <c r="M3896" s="3"/>
      <c r="N3896" s="3"/>
      <c r="O3896" s="3"/>
      <c r="P3896" s="3"/>
      <c r="Q3896" s="3"/>
      <c r="R3896" s="3"/>
      <c r="S3896" s="3"/>
      <c r="T3896" s="3"/>
      <c r="U3896" s="3"/>
      <c r="V3896" s="3"/>
      <c r="W3896" s="3"/>
      <c r="X3896" s="3"/>
      <c r="Y3896" s="3"/>
      <c r="Z3896" s="3"/>
      <c r="AA3896" s="3"/>
    </row>
    <row r="3897" ht="105.75" customHeight="1">
      <c r="A3897" s="11"/>
      <c r="B3897" s="12"/>
      <c r="C3897" s="11"/>
      <c r="D3897" s="13"/>
      <c r="E3897" s="14"/>
      <c r="F3897" s="14"/>
      <c r="G3897" s="14"/>
      <c r="H3897" s="15"/>
      <c r="I3897" s="15"/>
      <c r="J3897" s="3"/>
      <c r="K3897" s="3"/>
      <c r="L3897" s="3"/>
      <c r="M3897" s="3"/>
      <c r="N3897" s="3"/>
      <c r="O3897" s="3"/>
      <c r="P3897" s="3"/>
      <c r="Q3897" s="3"/>
      <c r="R3897" s="3"/>
      <c r="S3897" s="3"/>
      <c r="T3897" s="3"/>
      <c r="U3897" s="3"/>
      <c r="V3897" s="3"/>
      <c r="W3897" s="3"/>
      <c r="X3897" s="3"/>
      <c r="Y3897" s="3"/>
      <c r="Z3897" s="3"/>
      <c r="AA3897" s="3"/>
    </row>
    <row r="3898" ht="105.75" customHeight="1">
      <c r="A3898" s="11"/>
      <c r="B3898" s="12"/>
      <c r="C3898" s="11"/>
      <c r="D3898" s="13"/>
      <c r="E3898" s="14"/>
      <c r="F3898" s="14"/>
      <c r="G3898" s="14"/>
      <c r="H3898" s="15"/>
      <c r="I3898" s="15"/>
      <c r="J3898" s="3"/>
      <c r="K3898" s="3"/>
      <c r="L3898" s="3"/>
      <c r="M3898" s="3"/>
      <c r="N3898" s="3"/>
      <c r="O3898" s="3"/>
      <c r="P3898" s="3"/>
      <c r="Q3898" s="3"/>
      <c r="R3898" s="3"/>
      <c r="S3898" s="3"/>
      <c r="T3898" s="3"/>
      <c r="U3898" s="3"/>
      <c r="V3898" s="3"/>
      <c r="W3898" s="3"/>
      <c r="X3898" s="3"/>
      <c r="Y3898" s="3"/>
      <c r="Z3898" s="3"/>
      <c r="AA3898" s="3"/>
    </row>
    <row r="3899" ht="105.75" customHeight="1">
      <c r="A3899" s="11"/>
      <c r="B3899" s="12"/>
      <c r="C3899" s="11"/>
      <c r="D3899" s="13"/>
      <c r="E3899" s="14"/>
      <c r="F3899" s="14"/>
      <c r="G3899" s="14"/>
      <c r="H3899" s="15"/>
      <c r="I3899" s="15"/>
      <c r="J3899" s="3"/>
      <c r="K3899" s="3"/>
      <c r="L3899" s="3"/>
      <c r="M3899" s="3"/>
      <c r="N3899" s="3"/>
      <c r="O3899" s="3"/>
      <c r="P3899" s="3"/>
      <c r="Q3899" s="3"/>
      <c r="R3899" s="3"/>
      <c r="S3899" s="3"/>
      <c r="T3899" s="3"/>
      <c r="U3899" s="3"/>
      <c r="V3899" s="3"/>
      <c r="W3899" s="3"/>
      <c r="X3899" s="3"/>
      <c r="Y3899" s="3"/>
      <c r="Z3899" s="3"/>
      <c r="AA3899" s="3"/>
    </row>
    <row r="3900" ht="105.75" customHeight="1">
      <c r="A3900" s="11"/>
      <c r="B3900" s="12"/>
      <c r="C3900" s="11"/>
      <c r="D3900" s="13"/>
      <c r="E3900" s="14"/>
      <c r="F3900" s="14"/>
      <c r="G3900" s="14"/>
      <c r="H3900" s="15"/>
      <c r="I3900" s="15"/>
      <c r="J3900" s="3"/>
      <c r="K3900" s="3"/>
      <c r="L3900" s="3"/>
      <c r="M3900" s="3"/>
      <c r="N3900" s="3"/>
      <c r="O3900" s="3"/>
      <c r="P3900" s="3"/>
      <c r="Q3900" s="3"/>
      <c r="R3900" s="3"/>
      <c r="S3900" s="3"/>
      <c r="T3900" s="3"/>
      <c r="U3900" s="3"/>
      <c r="V3900" s="3"/>
      <c r="W3900" s="3"/>
      <c r="X3900" s="3"/>
      <c r="Y3900" s="3"/>
      <c r="Z3900" s="3"/>
      <c r="AA3900" s="3"/>
    </row>
    <row r="3901" ht="105.75" customHeight="1">
      <c r="A3901" s="11"/>
      <c r="B3901" s="12"/>
      <c r="C3901" s="11"/>
      <c r="D3901" s="13"/>
      <c r="E3901" s="14"/>
      <c r="F3901" s="14"/>
      <c r="G3901" s="14"/>
      <c r="H3901" s="15"/>
      <c r="I3901" s="15"/>
      <c r="J3901" s="3"/>
      <c r="K3901" s="3"/>
      <c r="L3901" s="3"/>
      <c r="M3901" s="3"/>
      <c r="N3901" s="3"/>
      <c r="O3901" s="3"/>
      <c r="P3901" s="3"/>
      <c r="Q3901" s="3"/>
      <c r="R3901" s="3"/>
      <c r="S3901" s="3"/>
      <c r="T3901" s="3"/>
      <c r="U3901" s="3"/>
      <c r="V3901" s="3"/>
      <c r="W3901" s="3"/>
      <c r="X3901" s="3"/>
      <c r="Y3901" s="3"/>
      <c r="Z3901" s="3"/>
      <c r="AA3901" s="3"/>
    </row>
    <row r="3902" ht="105.75" customHeight="1">
      <c r="A3902" s="11"/>
      <c r="B3902" s="12"/>
      <c r="C3902" s="11"/>
      <c r="D3902" s="13"/>
      <c r="E3902" s="14"/>
      <c r="F3902" s="14"/>
      <c r="G3902" s="14"/>
      <c r="H3902" s="15"/>
      <c r="I3902" s="15"/>
      <c r="J3902" s="3"/>
      <c r="K3902" s="3"/>
      <c r="L3902" s="3"/>
      <c r="M3902" s="3"/>
      <c r="N3902" s="3"/>
      <c r="O3902" s="3"/>
      <c r="P3902" s="3"/>
      <c r="Q3902" s="3"/>
      <c r="R3902" s="3"/>
      <c r="S3902" s="3"/>
      <c r="T3902" s="3"/>
      <c r="U3902" s="3"/>
      <c r="V3902" s="3"/>
      <c r="W3902" s="3"/>
      <c r="X3902" s="3"/>
      <c r="Y3902" s="3"/>
      <c r="Z3902" s="3"/>
      <c r="AA3902" s="3"/>
    </row>
    <row r="3903" ht="105.75" customHeight="1">
      <c r="A3903" s="11"/>
      <c r="B3903" s="12"/>
      <c r="C3903" s="11"/>
      <c r="D3903" s="13"/>
      <c r="E3903" s="14"/>
      <c r="F3903" s="14"/>
      <c r="G3903" s="14"/>
      <c r="H3903" s="15"/>
      <c r="I3903" s="15"/>
      <c r="J3903" s="3"/>
      <c r="K3903" s="3"/>
      <c r="L3903" s="3"/>
      <c r="M3903" s="3"/>
      <c r="N3903" s="3"/>
      <c r="O3903" s="3"/>
      <c r="P3903" s="3"/>
      <c r="Q3903" s="3"/>
      <c r="R3903" s="3"/>
      <c r="S3903" s="3"/>
      <c r="T3903" s="3"/>
      <c r="U3903" s="3"/>
      <c r="V3903" s="3"/>
      <c r="W3903" s="3"/>
      <c r="X3903" s="3"/>
      <c r="Y3903" s="3"/>
      <c r="Z3903" s="3"/>
      <c r="AA3903" s="3"/>
    </row>
    <row r="3904" ht="105.75" customHeight="1">
      <c r="A3904" s="11"/>
      <c r="B3904" s="12"/>
      <c r="C3904" s="11"/>
      <c r="D3904" s="13"/>
      <c r="E3904" s="14"/>
      <c r="F3904" s="14"/>
      <c r="G3904" s="14"/>
      <c r="H3904" s="15"/>
      <c r="I3904" s="15"/>
      <c r="J3904" s="3"/>
      <c r="K3904" s="3"/>
      <c r="L3904" s="3"/>
      <c r="M3904" s="3"/>
      <c r="N3904" s="3"/>
      <c r="O3904" s="3"/>
      <c r="P3904" s="3"/>
      <c r="Q3904" s="3"/>
      <c r="R3904" s="3"/>
      <c r="S3904" s="3"/>
      <c r="T3904" s="3"/>
      <c r="U3904" s="3"/>
      <c r="V3904" s="3"/>
      <c r="W3904" s="3"/>
      <c r="X3904" s="3"/>
      <c r="Y3904" s="3"/>
      <c r="Z3904" s="3"/>
      <c r="AA3904" s="3"/>
    </row>
    <row r="3905" ht="105.75" customHeight="1">
      <c r="A3905" s="11"/>
      <c r="B3905" s="12"/>
      <c r="C3905" s="11"/>
      <c r="D3905" s="13"/>
      <c r="E3905" s="14"/>
      <c r="F3905" s="14"/>
      <c r="G3905" s="14"/>
      <c r="H3905" s="15"/>
      <c r="I3905" s="15"/>
      <c r="J3905" s="3"/>
      <c r="K3905" s="3"/>
      <c r="L3905" s="3"/>
      <c r="M3905" s="3"/>
      <c r="N3905" s="3"/>
      <c r="O3905" s="3"/>
      <c r="P3905" s="3"/>
      <c r="Q3905" s="3"/>
      <c r="R3905" s="3"/>
      <c r="S3905" s="3"/>
      <c r="T3905" s="3"/>
      <c r="U3905" s="3"/>
      <c r="V3905" s="3"/>
      <c r="W3905" s="3"/>
      <c r="X3905" s="3"/>
      <c r="Y3905" s="3"/>
      <c r="Z3905" s="3"/>
      <c r="AA3905" s="3"/>
    </row>
    <row r="3906" ht="105.75" customHeight="1">
      <c r="A3906" s="11"/>
      <c r="B3906" s="12"/>
      <c r="C3906" s="11"/>
      <c r="D3906" s="13"/>
      <c r="E3906" s="14"/>
      <c r="F3906" s="14"/>
      <c r="G3906" s="14"/>
      <c r="H3906" s="15"/>
      <c r="I3906" s="15"/>
      <c r="J3906" s="3"/>
      <c r="K3906" s="3"/>
      <c r="L3906" s="3"/>
      <c r="M3906" s="3"/>
      <c r="N3906" s="3"/>
      <c r="O3906" s="3"/>
      <c r="P3906" s="3"/>
      <c r="Q3906" s="3"/>
      <c r="R3906" s="3"/>
      <c r="S3906" s="3"/>
      <c r="T3906" s="3"/>
      <c r="U3906" s="3"/>
      <c r="V3906" s="3"/>
      <c r="W3906" s="3"/>
      <c r="X3906" s="3"/>
      <c r="Y3906" s="3"/>
      <c r="Z3906" s="3"/>
      <c r="AA3906" s="3"/>
    </row>
    <row r="3907" ht="105.75" customHeight="1">
      <c r="A3907" s="11"/>
      <c r="B3907" s="12"/>
      <c r="C3907" s="11"/>
      <c r="D3907" s="13"/>
      <c r="E3907" s="14"/>
      <c r="F3907" s="14"/>
      <c r="G3907" s="14"/>
      <c r="H3907" s="15"/>
      <c r="I3907" s="15"/>
      <c r="J3907" s="3"/>
      <c r="K3907" s="3"/>
      <c r="L3907" s="3"/>
      <c r="M3907" s="3"/>
      <c r="N3907" s="3"/>
      <c r="O3907" s="3"/>
      <c r="P3907" s="3"/>
      <c r="Q3907" s="3"/>
      <c r="R3907" s="3"/>
      <c r="S3907" s="3"/>
      <c r="T3907" s="3"/>
      <c r="U3907" s="3"/>
      <c r="V3907" s="3"/>
      <c r="W3907" s="3"/>
      <c r="X3907" s="3"/>
      <c r="Y3907" s="3"/>
      <c r="Z3907" s="3"/>
      <c r="AA3907" s="3"/>
    </row>
    <row r="3908" ht="105.75" customHeight="1">
      <c r="A3908" s="11"/>
      <c r="B3908" s="12"/>
      <c r="C3908" s="11"/>
      <c r="D3908" s="13"/>
      <c r="E3908" s="14"/>
      <c r="F3908" s="14"/>
      <c r="G3908" s="14"/>
      <c r="H3908" s="15"/>
      <c r="I3908" s="15"/>
      <c r="J3908" s="3"/>
      <c r="K3908" s="3"/>
      <c r="L3908" s="3"/>
      <c r="M3908" s="3"/>
      <c r="N3908" s="3"/>
      <c r="O3908" s="3"/>
      <c r="P3908" s="3"/>
      <c r="Q3908" s="3"/>
      <c r="R3908" s="3"/>
      <c r="S3908" s="3"/>
      <c r="T3908" s="3"/>
      <c r="U3908" s="3"/>
      <c r="V3908" s="3"/>
      <c r="W3908" s="3"/>
      <c r="X3908" s="3"/>
      <c r="Y3908" s="3"/>
      <c r="Z3908" s="3"/>
      <c r="AA3908" s="3"/>
    </row>
    <row r="3909" ht="105.75" customHeight="1">
      <c r="A3909" s="11"/>
      <c r="B3909" s="12"/>
      <c r="C3909" s="11"/>
      <c r="D3909" s="13"/>
      <c r="E3909" s="14"/>
      <c r="F3909" s="14"/>
      <c r="G3909" s="14"/>
      <c r="H3909" s="15"/>
      <c r="I3909" s="15"/>
      <c r="J3909" s="3"/>
      <c r="K3909" s="3"/>
      <c r="L3909" s="3"/>
      <c r="M3909" s="3"/>
      <c r="N3909" s="3"/>
      <c r="O3909" s="3"/>
      <c r="P3909" s="3"/>
      <c r="Q3909" s="3"/>
      <c r="R3909" s="3"/>
      <c r="S3909" s="3"/>
      <c r="T3909" s="3"/>
      <c r="U3909" s="3"/>
      <c r="V3909" s="3"/>
      <c r="W3909" s="3"/>
      <c r="X3909" s="3"/>
      <c r="Y3909" s="3"/>
      <c r="Z3909" s="3"/>
      <c r="AA3909" s="3"/>
    </row>
    <row r="3910" ht="105.75" customHeight="1">
      <c r="A3910" s="11"/>
      <c r="B3910" s="12"/>
      <c r="C3910" s="11"/>
      <c r="D3910" s="13"/>
      <c r="E3910" s="14"/>
      <c r="F3910" s="14"/>
      <c r="G3910" s="14"/>
      <c r="H3910" s="15"/>
      <c r="I3910" s="15"/>
      <c r="J3910" s="3"/>
      <c r="K3910" s="3"/>
      <c r="L3910" s="3"/>
      <c r="M3910" s="3"/>
      <c r="N3910" s="3"/>
      <c r="O3910" s="3"/>
      <c r="P3910" s="3"/>
      <c r="Q3910" s="3"/>
      <c r="R3910" s="3"/>
      <c r="S3910" s="3"/>
      <c r="T3910" s="3"/>
      <c r="U3910" s="3"/>
      <c r="V3910" s="3"/>
      <c r="W3910" s="3"/>
      <c r="X3910" s="3"/>
      <c r="Y3910" s="3"/>
      <c r="Z3910" s="3"/>
      <c r="AA3910" s="3"/>
    </row>
    <row r="3911" ht="105.75" customHeight="1">
      <c r="A3911" s="11"/>
      <c r="B3911" s="12"/>
      <c r="C3911" s="11"/>
      <c r="D3911" s="13"/>
      <c r="E3911" s="14"/>
      <c r="F3911" s="14"/>
      <c r="G3911" s="14"/>
      <c r="H3911" s="15"/>
      <c r="I3911" s="15"/>
      <c r="J3911" s="3"/>
      <c r="K3911" s="3"/>
      <c r="L3911" s="3"/>
      <c r="M3911" s="3"/>
      <c r="N3911" s="3"/>
      <c r="O3911" s="3"/>
      <c r="P3911" s="3"/>
      <c r="Q3911" s="3"/>
      <c r="R3911" s="3"/>
      <c r="S3911" s="3"/>
      <c r="T3911" s="3"/>
      <c r="U3911" s="3"/>
      <c r="V3911" s="3"/>
      <c r="W3911" s="3"/>
      <c r="X3911" s="3"/>
      <c r="Y3911" s="3"/>
      <c r="Z3911" s="3"/>
      <c r="AA3911" s="3"/>
    </row>
    <row r="3912" ht="105.75" customHeight="1">
      <c r="A3912" s="11"/>
      <c r="B3912" s="12"/>
      <c r="C3912" s="11"/>
      <c r="D3912" s="13"/>
      <c r="E3912" s="14"/>
      <c r="F3912" s="14"/>
      <c r="G3912" s="14"/>
      <c r="H3912" s="15"/>
      <c r="I3912" s="15"/>
      <c r="J3912" s="3"/>
      <c r="K3912" s="3"/>
      <c r="L3912" s="3"/>
      <c r="M3912" s="3"/>
      <c r="N3912" s="3"/>
      <c r="O3912" s="3"/>
      <c r="P3912" s="3"/>
      <c r="Q3912" s="3"/>
      <c r="R3912" s="3"/>
      <c r="S3912" s="3"/>
      <c r="T3912" s="3"/>
      <c r="U3912" s="3"/>
      <c r="V3912" s="3"/>
      <c r="W3912" s="3"/>
      <c r="X3912" s="3"/>
      <c r="Y3912" s="3"/>
      <c r="Z3912" s="3"/>
      <c r="AA3912" s="3"/>
    </row>
    <row r="3913" ht="105.75" customHeight="1">
      <c r="A3913" s="11"/>
      <c r="B3913" s="12"/>
      <c r="C3913" s="11"/>
      <c r="D3913" s="13"/>
      <c r="E3913" s="14"/>
      <c r="F3913" s="14"/>
      <c r="G3913" s="14"/>
      <c r="H3913" s="15"/>
      <c r="I3913" s="15"/>
      <c r="J3913" s="3"/>
      <c r="K3913" s="3"/>
      <c r="L3913" s="3"/>
      <c r="M3913" s="3"/>
      <c r="N3913" s="3"/>
      <c r="O3913" s="3"/>
      <c r="P3913" s="3"/>
      <c r="Q3913" s="3"/>
      <c r="R3913" s="3"/>
      <c r="S3913" s="3"/>
      <c r="T3913" s="3"/>
      <c r="U3913" s="3"/>
      <c r="V3913" s="3"/>
      <c r="W3913" s="3"/>
      <c r="X3913" s="3"/>
      <c r="Y3913" s="3"/>
      <c r="Z3913" s="3"/>
      <c r="AA3913" s="3"/>
    </row>
    <row r="3914" ht="105.75" customHeight="1">
      <c r="A3914" s="11"/>
      <c r="B3914" s="12"/>
      <c r="C3914" s="11"/>
      <c r="D3914" s="13"/>
      <c r="E3914" s="14"/>
      <c r="F3914" s="14"/>
      <c r="G3914" s="14"/>
      <c r="H3914" s="15"/>
      <c r="I3914" s="15"/>
      <c r="J3914" s="3"/>
      <c r="K3914" s="3"/>
      <c r="L3914" s="3"/>
      <c r="M3914" s="3"/>
      <c r="N3914" s="3"/>
      <c r="O3914" s="3"/>
      <c r="P3914" s="3"/>
      <c r="Q3914" s="3"/>
      <c r="R3914" s="3"/>
      <c r="S3914" s="3"/>
      <c r="T3914" s="3"/>
      <c r="U3914" s="3"/>
      <c r="V3914" s="3"/>
      <c r="W3914" s="3"/>
      <c r="X3914" s="3"/>
      <c r="Y3914" s="3"/>
      <c r="Z3914" s="3"/>
      <c r="AA3914" s="3"/>
    </row>
    <row r="3915" ht="105.75" customHeight="1">
      <c r="A3915" s="11"/>
      <c r="B3915" s="12"/>
      <c r="C3915" s="11"/>
      <c r="D3915" s="13"/>
      <c r="E3915" s="14"/>
      <c r="F3915" s="14"/>
      <c r="G3915" s="14"/>
      <c r="H3915" s="15"/>
      <c r="I3915" s="15"/>
      <c r="J3915" s="3"/>
      <c r="K3915" s="3"/>
      <c r="L3915" s="3"/>
      <c r="M3915" s="3"/>
      <c r="N3915" s="3"/>
      <c r="O3915" s="3"/>
      <c r="P3915" s="3"/>
      <c r="Q3915" s="3"/>
      <c r="R3915" s="3"/>
      <c r="S3915" s="3"/>
      <c r="T3915" s="3"/>
      <c r="U3915" s="3"/>
      <c r="V3915" s="3"/>
      <c r="W3915" s="3"/>
      <c r="X3915" s="3"/>
      <c r="Y3915" s="3"/>
      <c r="Z3915" s="3"/>
      <c r="AA3915" s="3"/>
    </row>
    <row r="3916" ht="105.75" customHeight="1">
      <c r="A3916" s="11"/>
      <c r="B3916" s="12"/>
      <c r="C3916" s="11"/>
      <c r="D3916" s="13"/>
      <c r="E3916" s="14"/>
      <c r="F3916" s="14"/>
      <c r="G3916" s="14"/>
      <c r="H3916" s="15"/>
      <c r="I3916" s="15"/>
      <c r="J3916" s="3"/>
      <c r="K3916" s="3"/>
      <c r="L3916" s="3"/>
      <c r="M3916" s="3"/>
      <c r="N3916" s="3"/>
      <c r="O3916" s="3"/>
      <c r="P3916" s="3"/>
      <c r="Q3916" s="3"/>
      <c r="R3916" s="3"/>
      <c r="S3916" s="3"/>
      <c r="T3916" s="3"/>
      <c r="U3916" s="3"/>
      <c r="V3916" s="3"/>
      <c r="W3916" s="3"/>
      <c r="X3916" s="3"/>
      <c r="Y3916" s="3"/>
      <c r="Z3916" s="3"/>
      <c r="AA3916" s="3"/>
    </row>
    <row r="3917" ht="105.75" customHeight="1">
      <c r="A3917" s="11"/>
      <c r="B3917" s="12"/>
      <c r="C3917" s="11"/>
      <c r="D3917" s="13"/>
      <c r="E3917" s="14"/>
      <c r="F3917" s="14"/>
      <c r="G3917" s="14"/>
      <c r="H3917" s="15"/>
      <c r="I3917" s="15"/>
      <c r="J3917" s="3"/>
      <c r="K3917" s="3"/>
      <c r="L3917" s="3"/>
      <c r="M3917" s="3"/>
      <c r="N3917" s="3"/>
      <c r="O3917" s="3"/>
      <c r="P3917" s="3"/>
      <c r="Q3917" s="3"/>
      <c r="R3917" s="3"/>
      <c r="S3917" s="3"/>
      <c r="T3917" s="3"/>
      <c r="U3917" s="3"/>
      <c r="V3917" s="3"/>
      <c r="W3917" s="3"/>
      <c r="X3917" s="3"/>
      <c r="Y3917" s="3"/>
      <c r="Z3917" s="3"/>
      <c r="AA3917" s="3"/>
    </row>
    <row r="3918" ht="105.75" customHeight="1">
      <c r="A3918" s="11"/>
      <c r="B3918" s="12"/>
      <c r="C3918" s="11"/>
      <c r="D3918" s="13"/>
      <c r="E3918" s="14"/>
      <c r="F3918" s="14"/>
      <c r="G3918" s="14"/>
      <c r="H3918" s="15"/>
      <c r="I3918" s="15"/>
      <c r="J3918" s="3"/>
      <c r="K3918" s="3"/>
      <c r="L3918" s="3"/>
      <c r="M3918" s="3"/>
      <c r="N3918" s="3"/>
      <c r="O3918" s="3"/>
      <c r="P3918" s="3"/>
      <c r="Q3918" s="3"/>
      <c r="R3918" s="3"/>
      <c r="S3918" s="3"/>
      <c r="T3918" s="3"/>
      <c r="U3918" s="3"/>
      <c r="V3918" s="3"/>
      <c r="W3918" s="3"/>
      <c r="X3918" s="3"/>
      <c r="Y3918" s="3"/>
      <c r="Z3918" s="3"/>
      <c r="AA3918" s="3"/>
    </row>
    <row r="3919" ht="105.75" customHeight="1">
      <c r="A3919" s="11"/>
      <c r="B3919" s="12"/>
      <c r="C3919" s="11"/>
      <c r="D3919" s="13"/>
      <c r="E3919" s="14"/>
      <c r="F3919" s="14"/>
      <c r="G3919" s="14"/>
      <c r="H3919" s="15"/>
      <c r="I3919" s="15"/>
      <c r="J3919" s="3"/>
      <c r="K3919" s="3"/>
      <c r="L3919" s="3"/>
      <c r="M3919" s="3"/>
      <c r="N3919" s="3"/>
      <c r="O3919" s="3"/>
      <c r="P3919" s="3"/>
      <c r="Q3919" s="3"/>
      <c r="R3919" s="3"/>
      <c r="S3919" s="3"/>
      <c r="T3919" s="3"/>
      <c r="U3919" s="3"/>
      <c r="V3919" s="3"/>
      <c r="W3919" s="3"/>
      <c r="X3919" s="3"/>
      <c r="Y3919" s="3"/>
      <c r="Z3919" s="3"/>
      <c r="AA3919" s="3"/>
    </row>
    <row r="3920" ht="105.75" customHeight="1">
      <c r="A3920" s="11"/>
      <c r="B3920" s="12"/>
      <c r="C3920" s="11"/>
      <c r="D3920" s="13"/>
      <c r="E3920" s="14"/>
      <c r="F3920" s="14"/>
      <c r="G3920" s="14"/>
      <c r="H3920" s="15"/>
      <c r="I3920" s="15"/>
      <c r="J3920" s="3"/>
      <c r="K3920" s="3"/>
      <c r="L3920" s="3"/>
      <c r="M3920" s="3"/>
      <c r="N3920" s="3"/>
      <c r="O3920" s="3"/>
      <c r="P3920" s="3"/>
      <c r="Q3920" s="3"/>
      <c r="R3920" s="3"/>
      <c r="S3920" s="3"/>
      <c r="T3920" s="3"/>
      <c r="U3920" s="3"/>
      <c r="V3920" s="3"/>
      <c r="W3920" s="3"/>
      <c r="X3920" s="3"/>
      <c r="Y3920" s="3"/>
      <c r="Z3920" s="3"/>
      <c r="AA3920" s="3"/>
    </row>
    <row r="3921" ht="105.75" customHeight="1">
      <c r="A3921" s="11"/>
      <c r="B3921" s="12"/>
      <c r="C3921" s="11"/>
      <c r="D3921" s="13"/>
      <c r="E3921" s="14"/>
      <c r="F3921" s="14"/>
      <c r="G3921" s="14"/>
      <c r="H3921" s="15"/>
      <c r="I3921" s="15"/>
      <c r="J3921" s="3"/>
      <c r="K3921" s="3"/>
      <c r="L3921" s="3"/>
      <c r="M3921" s="3"/>
      <c r="N3921" s="3"/>
      <c r="O3921" s="3"/>
      <c r="P3921" s="3"/>
      <c r="Q3921" s="3"/>
      <c r="R3921" s="3"/>
      <c r="S3921" s="3"/>
      <c r="T3921" s="3"/>
      <c r="U3921" s="3"/>
      <c r="V3921" s="3"/>
      <c r="W3921" s="3"/>
      <c r="X3921" s="3"/>
      <c r="Y3921" s="3"/>
      <c r="Z3921" s="3"/>
      <c r="AA3921" s="3"/>
    </row>
    <row r="3922" ht="105.75" customHeight="1">
      <c r="A3922" s="11"/>
      <c r="B3922" s="12"/>
      <c r="C3922" s="11"/>
      <c r="D3922" s="13"/>
      <c r="E3922" s="14"/>
      <c r="F3922" s="14"/>
      <c r="G3922" s="14"/>
      <c r="H3922" s="15"/>
      <c r="I3922" s="15"/>
      <c r="J3922" s="3"/>
      <c r="K3922" s="3"/>
      <c r="L3922" s="3"/>
      <c r="M3922" s="3"/>
      <c r="N3922" s="3"/>
      <c r="O3922" s="3"/>
      <c r="P3922" s="3"/>
      <c r="Q3922" s="3"/>
      <c r="R3922" s="3"/>
      <c r="S3922" s="3"/>
      <c r="T3922" s="3"/>
      <c r="U3922" s="3"/>
      <c r="V3922" s="3"/>
      <c r="W3922" s="3"/>
      <c r="X3922" s="3"/>
      <c r="Y3922" s="3"/>
      <c r="Z3922" s="3"/>
      <c r="AA3922" s="3"/>
    </row>
    <row r="3923" ht="105.75" customHeight="1">
      <c r="A3923" s="11"/>
      <c r="B3923" s="12"/>
      <c r="C3923" s="11"/>
      <c r="D3923" s="13"/>
      <c r="E3923" s="14"/>
      <c r="F3923" s="14"/>
      <c r="G3923" s="14"/>
      <c r="H3923" s="15"/>
      <c r="I3923" s="15"/>
      <c r="J3923" s="3"/>
      <c r="K3923" s="3"/>
      <c r="L3923" s="3"/>
      <c r="M3923" s="3"/>
      <c r="N3923" s="3"/>
      <c r="O3923" s="3"/>
      <c r="P3923" s="3"/>
      <c r="Q3923" s="3"/>
      <c r="R3923" s="3"/>
      <c r="S3923" s="3"/>
      <c r="T3923" s="3"/>
      <c r="U3923" s="3"/>
      <c r="V3923" s="3"/>
      <c r="W3923" s="3"/>
      <c r="X3923" s="3"/>
      <c r="Y3923" s="3"/>
      <c r="Z3923" s="3"/>
      <c r="AA3923" s="3"/>
    </row>
    <row r="3924" ht="105.75" customHeight="1">
      <c r="A3924" s="11"/>
      <c r="B3924" s="12"/>
      <c r="C3924" s="11"/>
      <c r="D3924" s="13"/>
      <c r="E3924" s="14"/>
      <c r="F3924" s="14"/>
      <c r="G3924" s="14"/>
      <c r="H3924" s="15"/>
      <c r="I3924" s="15"/>
      <c r="J3924" s="3"/>
      <c r="K3924" s="3"/>
      <c r="L3924" s="3"/>
      <c r="M3924" s="3"/>
      <c r="N3924" s="3"/>
      <c r="O3924" s="3"/>
      <c r="P3924" s="3"/>
      <c r="Q3924" s="3"/>
      <c r="R3924" s="3"/>
      <c r="S3924" s="3"/>
      <c r="T3924" s="3"/>
      <c r="U3924" s="3"/>
      <c r="V3924" s="3"/>
      <c r="W3924" s="3"/>
      <c r="X3924" s="3"/>
      <c r="Y3924" s="3"/>
      <c r="Z3924" s="3"/>
      <c r="AA3924" s="3"/>
    </row>
    <row r="3925" ht="105.75" customHeight="1">
      <c r="A3925" s="11"/>
      <c r="B3925" s="12"/>
      <c r="C3925" s="11"/>
      <c r="D3925" s="13"/>
      <c r="E3925" s="14"/>
      <c r="F3925" s="14"/>
      <c r="G3925" s="14"/>
      <c r="H3925" s="15"/>
      <c r="I3925" s="15"/>
      <c r="J3925" s="3"/>
      <c r="K3925" s="3"/>
      <c r="L3925" s="3"/>
      <c r="M3925" s="3"/>
      <c r="N3925" s="3"/>
      <c r="O3925" s="3"/>
      <c r="P3925" s="3"/>
      <c r="Q3925" s="3"/>
      <c r="R3925" s="3"/>
      <c r="S3925" s="3"/>
      <c r="T3925" s="3"/>
      <c r="U3925" s="3"/>
      <c r="V3925" s="3"/>
      <c r="W3925" s="3"/>
      <c r="X3925" s="3"/>
      <c r="Y3925" s="3"/>
      <c r="Z3925" s="3"/>
      <c r="AA3925" s="3"/>
    </row>
    <row r="3926" ht="105.75" customHeight="1">
      <c r="A3926" s="11"/>
      <c r="B3926" s="12"/>
      <c r="C3926" s="11"/>
      <c r="D3926" s="13"/>
      <c r="E3926" s="14"/>
      <c r="F3926" s="14"/>
      <c r="G3926" s="14"/>
      <c r="H3926" s="15"/>
      <c r="I3926" s="15"/>
      <c r="J3926" s="3"/>
      <c r="K3926" s="3"/>
      <c r="L3926" s="3"/>
      <c r="M3926" s="3"/>
      <c r="N3926" s="3"/>
      <c r="O3926" s="3"/>
      <c r="P3926" s="3"/>
      <c r="Q3926" s="3"/>
      <c r="R3926" s="3"/>
      <c r="S3926" s="3"/>
      <c r="T3926" s="3"/>
      <c r="U3926" s="3"/>
      <c r="V3926" s="3"/>
      <c r="W3926" s="3"/>
      <c r="X3926" s="3"/>
      <c r="Y3926" s="3"/>
      <c r="Z3926" s="3"/>
      <c r="AA3926" s="3"/>
    </row>
    <row r="3927" ht="105.75" customHeight="1">
      <c r="A3927" s="11"/>
      <c r="B3927" s="12"/>
      <c r="C3927" s="11"/>
      <c r="D3927" s="13"/>
      <c r="E3927" s="14"/>
      <c r="F3927" s="14"/>
      <c r="G3927" s="14"/>
      <c r="H3927" s="15"/>
      <c r="I3927" s="15"/>
      <c r="J3927" s="3"/>
      <c r="K3927" s="3"/>
      <c r="L3927" s="3"/>
      <c r="M3927" s="3"/>
      <c r="N3927" s="3"/>
      <c r="O3927" s="3"/>
      <c r="P3927" s="3"/>
      <c r="Q3927" s="3"/>
      <c r="R3927" s="3"/>
      <c r="S3927" s="3"/>
      <c r="T3927" s="3"/>
      <c r="U3927" s="3"/>
      <c r="V3927" s="3"/>
      <c r="W3927" s="3"/>
      <c r="X3927" s="3"/>
      <c r="Y3927" s="3"/>
      <c r="Z3927" s="3"/>
      <c r="AA3927" s="3"/>
    </row>
    <row r="3928" ht="105.75" customHeight="1">
      <c r="A3928" s="11"/>
      <c r="B3928" s="12"/>
      <c r="C3928" s="11"/>
      <c r="D3928" s="13"/>
      <c r="E3928" s="14"/>
      <c r="F3928" s="14"/>
      <c r="G3928" s="14"/>
      <c r="H3928" s="15"/>
      <c r="I3928" s="15"/>
      <c r="J3928" s="3"/>
      <c r="K3928" s="3"/>
      <c r="L3928" s="3"/>
      <c r="M3928" s="3"/>
      <c r="N3928" s="3"/>
      <c r="O3928" s="3"/>
      <c r="P3928" s="3"/>
      <c r="Q3928" s="3"/>
      <c r="R3928" s="3"/>
      <c r="S3928" s="3"/>
      <c r="T3928" s="3"/>
      <c r="U3928" s="3"/>
      <c r="V3928" s="3"/>
      <c r="W3928" s="3"/>
      <c r="X3928" s="3"/>
      <c r="Y3928" s="3"/>
      <c r="Z3928" s="3"/>
      <c r="AA3928" s="3"/>
    </row>
    <row r="3929" ht="105.75" customHeight="1">
      <c r="A3929" s="11"/>
      <c r="B3929" s="12"/>
      <c r="C3929" s="11"/>
      <c r="D3929" s="13"/>
      <c r="E3929" s="14"/>
      <c r="F3929" s="14"/>
      <c r="G3929" s="14"/>
      <c r="H3929" s="15"/>
      <c r="I3929" s="15"/>
      <c r="J3929" s="3"/>
      <c r="K3929" s="3"/>
      <c r="L3929" s="3"/>
      <c r="M3929" s="3"/>
      <c r="N3929" s="3"/>
      <c r="O3929" s="3"/>
      <c r="P3929" s="3"/>
      <c r="Q3929" s="3"/>
      <c r="R3929" s="3"/>
      <c r="S3929" s="3"/>
      <c r="T3929" s="3"/>
      <c r="U3929" s="3"/>
      <c r="V3929" s="3"/>
      <c r="W3929" s="3"/>
      <c r="X3929" s="3"/>
      <c r="Y3929" s="3"/>
      <c r="Z3929" s="3"/>
      <c r="AA3929" s="3"/>
    </row>
    <row r="3930" ht="105.75" customHeight="1">
      <c r="A3930" s="11"/>
      <c r="B3930" s="12"/>
      <c r="C3930" s="11"/>
      <c r="D3930" s="13"/>
      <c r="E3930" s="14"/>
      <c r="F3930" s="14"/>
      <c r="G3930" s="14"/>
      <c r="H3930" s="15"/>
      <c r="I3930" s="15"/>
      <c r="J3930" s="3"/>
      <c r="K3930" s="3"/>
      <c r="L3930" s="3"/>
      <c r="M3930" s="3"/>
      <c r="N3930" s="3"/>
      <c r="O3930" s="3"/>
      <c r="P3930" s="3"/>
      <c r="Q3930" s="3"/>
      <c r="R3930" s="3"/>
      <c r="S3930" s="3"/>
      <c r="T3930" s="3"/>
      <c r="U3930" s="3"/>
      <c r="V3930" s="3"/>
      <c r="W3930" s="3"/>
      <c r="X3930" s="3"/>
      <c r="Y3930" s="3"/>
      <c r="Z3930" s="3"/>
      <c r="AA3930" s="3"/>
    </row>
    <row r="3931" ht="105.75" customHeight="1">
      <c r="A3931" s="11"/>
      <c r="B3931" s="12"/>
      <c r="C3931" s="11"/>
      <c r="D3931" s="13"/>
      <c r="E3931" s="14"/>
      <c r="F3931" s="14"/>
      <c r="G3931" s="14"/>
      <c r="H3931" s="15"/>
      <c r="I3931" s="15"/>
      <c r="J3931" s="3"/>
      <c r="K3931" s="3"/>
      <c r="L3931" s="3"/>
      <c r="M3931" s="3"/>
      <c r="N3931" s="3"/>
      <c r="O3931" s="3"/>
      <c r="P3931" s="3"/>
      <c r="Q3931" s="3"/>
      <c r="R3931" s="3"/>
      <c r="S3931" s="3"/>
      <c r="T3931" s="3"/>
      <c r="U3931" s="3"/>
      <c r="V3931" s="3"/>
      <c r="W3931" s="3"/>
      <c r="X3931" s="3"/>
      <c r="Y3931" s="3"/>
      <c r="Z3931" s="3"/>
      <c r="AA3931" s="3"/>
    </row>
    <row r="3932" ht="105.75" customHeight="1">
      <c r="A3932" s="11"/>
      <c r="B3932" s="12"/>
      <c r="C3932" s="11"/>
      <c r="D3932" s="13"/>
      <c r="E3932" s="14"/>
      <c r="F3932" s="14"/>
      <c r="G3932" s="14"/>
      <c r="H3932" s="15"/>
      <c r="I3932" s="15"/>
      <c r="J3932" s="3"/>
      <c r="K3932" s="3"/>
      <c r="L3932" s="3"/>
      <c r="M3932" s="3"/>
      <c r="N3932" s="3"/>
      <c r="O3932" s="3"/>
      <c r="P3932" s="3"/>
      <c r="Q3932" s="3"/>
      <c r="R3932" s="3"/>
      <c r="S3932" s="3"/>
      <c r="T3932" s="3"/>
      <c r="U3932" s="3"/>
      <c r="V3932" s="3"/>
      <c r="W3932" s="3"/>
      <c r="X3932" s="3"/>
      <c r="Y3932" s="3"/>
      <c r="Z3932" s="3"/>
      <c r="AA3932" s="3"/>
    </row>
    <row r="3933" ht="105.75" customHeight="1">
      <c r="A3933" s="11"/>
      <c r="B3933" s="12"/>
      <c r="C3933" s="11"/>
      <c r="D3933" s="13"/>
      <c r="E3933" s="14"/>
      <c r="F3933" s="14"/>
      <c r="G3933" s="14"/>
      <c r="H3933" s="15"/>
      <c r="I3933" s="15"/>
      <c r="J3933" s="3"/>
      <c r="K3933" s="3"/>
      <c r="L3933" s="3"/>
      <c r="M3933" s="3"/>
      <c r="N3933" s="3"/>
      <c r="O3933" s="3"/>
      <c r="P3933" s="3"/>
      <c r="Q3933" s="3"/>
      <c r="R3933" s="3"/>
      <c r="S3933" s="3"/>
      <c r="T3933" s="3"/>
      <c r="U3933" s="3"/>
      <c r="V3933" s="3"/>
      <c r="W3933" s="3"/>
      <c r="X3933" s="3"/>
      <c r="Y3933" s="3"/>
      <c r="Z3933" s="3"/>
      <c r="AA3933" s="3"/>
    </row>
    <row r="3934" ht="105.75" customHeight="1">
      <c r="A3934" s="11"/>
      <c r="B3934" s="12"/>
      <c r="C3934" s="11"/>
      <c r="D3934" s="13"/>
      <c r="E3934" s="14"/>
      <c r="F3934" s="14"/>
      <c r="G3934" s="14"/>
      <c r="H3934" s="15"/>
      <c r="I3934" s="15"/>
      <c r="J3934" s="3"/>
      <c r="K3934" s="3"/>
      <c r="L3934" s="3"/>
      <c r="M3934" s="3"/>
      <c r="N3934" s="3"/>
      <c r="O3934" s="3"/>
      <c r="P3934" s="3"/>
      <c r="Q3934" s="3"/>
      <c r="R3934" s="3"/>
      <c r="S3934" s="3"/>
      <c r="T3934" s="3"/>
      <c r="U3934" s="3"/>
      <c r="V3934" s="3"/>
      <c r="W3934" s="3"/>
      <c r="X3934" s="3"/>
      <c r="Y3934" s="3"/>
      <c r="Z3934" s="3"/>
      <c r="AA3934" s="3"/>
    </row>
    <row r="3935" ht="105.75" customHeight="1">
      <c r="A3935" s="11"/>
      <c r="B3935" s="12"/>
      <c r="C3935" s="11"/>
      <c r="D3935" s="13"/>
      <c r="E3935" s="14"/>
      <c r="F3935" s="14"/>
      <c r="G3935" s="14"/>
      <c r="H3935" s="15"/>
      <c r="I3935" s="15"/>
      <c r="J3935" s="3"/>
      <c r="K3935" s="3"/>
      <c r="L3935" s="3"/>
      <c r="M3935" s="3"/>
      <c r="N3935" s="3"/>
      <c r="O3935" s="3"/>
      <c r="P3935" s="3"/>
      <c r="Q3935" s="3"/>
      <c r="R3935" s="3"/>
      <c r="S3935" s="3"/>
      <c r="T3935" s="3"/>
      <c r="U3935" s="3"/>
      <c r="V3935" s="3"/>
      <c r="W3935" s="3"/>
      <c r="X3935" s="3"/>
      <c r="Y3935" s="3"/>
      <c r="Z3935" s="3"/>
      <c r="AA3935" s="3"/>
    </row>
    <row r="3936" ht="105.75" customHeight="1">
      <c r="A3936" s="11"/>
      <c r="B3936" s="12"/>
      <c r="C3936" s="11"/>
      <c r="D3936" s="13"/>
      <c r="E3936" s="14"/>
      <c r="F3936" s="14"/>
      <c r="G3936" s="14"/>
      <c r="H3936" s="15"/>
      <c r="I3936" s="15"/>
      <c r="J3936" s="3"/>
      <c r="K3936" s="3"/>
      <c r="L3936" s="3"/>
      <c r="M3936" s="3"/>
      <c r="N3936" s="3"/>
      <c r="O3936" s="3"/>
      <c r="P3936" s="3"/>
      <c r="Q3936" s="3"/>
      <c r="R3936" s="3"/>
      <c r="S3936" s="3"/>
      <c r="T3936" s="3"/>
      <c r="U3936" s="3"/>
      <c r="V3936" s="3"/>
      <c r="W3936" s="3"/>
      <c r="X3936" s="3"/>
      <c r="Y3936" s="3"/>
      <c r="Z3936" s="3"/>
      <c r="AA3936" s="3"/>
    </row>
    <row r="3937" ht="105.75" customHeight="1">
      <c r="A3937" s="11"/>
      <c r="B3937" s="12"/>
      <c r="C3937" s="11"/>
      <c r="D3937" s="13"/>
      <c r="E3937" s="14"/>
      <c r="F3937" s="14"/>
      <c r="G3937" s="14"/>
      <c r="H3937" s="15"/>
      <c r="I3937" s="15"/>
      <c r="J3937" s="3"/>
      <c r="K3937" s="3"/>
      <c r="L3937" s="3"/>
      <c r="M3937" s="3"/>
      <c r="N3937" s="3"/>
      <c r="O3937" s="3"/>
      <c r="P3937" s="3"/>
      <c r="Q3937" s="3"/>
      <c r="R3937" s="3"/>
      <c r="S3937" s="3"/>
      <c r="T3937" s="3"/>
      <c r="U3937" s="3"/>
      <c r="V3937" s="3"/>
      <c r="W3937" s="3"/>
      <c r="X3937" s="3"/>
      <c r="Y3937" s="3"/>
      <c r="Z3937" s="3"/>
      <c r="AA3937" s="3"/>
    </row>
    <row r="3938" ht="105.75" customHeight="1">
      <c r="A3938" s="11"/>
      <c r="B3938" s="12"/>
      <c r="C3938" s="11"/>
      <c r="D3938" s="13"/>
      <c r="E3938" s="14"/>
      <c r="F3938" s="14"/>
      <c r="G3938" s="14"/>
      <c r="H3938" s="15"/>
      <c r="I3938" s="15"/>
      <c r="J3938" s="3"/>
      <c r="K3938" s="3"/>
      <c r="L3938" s="3"/>
      <c r="M3938" s="3"/>
      <c r="N3938" s="3"/>
      <c r="O3938" s="3"/>
      <c r="P3938" s="3"/>
      <c r="Q3938" s="3"/>
      <c r="R3938" s="3"/>
      <c r="S3938" s="3"/>
      <c r="T3938" s="3"/>
      <c r="U3938" s="3"/>
      <c r="V3938" s="3"/>
      <c r="W3938" s="3"/>
      <c r="X3938" s="3"/>
      <c r="Y3938" s="3"/>
      <c r="Z3938" s="3"/>
      <c r="AA3938" s="3"/>
    </row>
    <row r="3939" ht="105.75" customHeight="1">
      <c r="A3939" s="11"/>
      <c r="B3939" s="12"/>
      <c r="C3939" s="11"/>
      <c r="D3939" s="13"/>
      <c r="E3939" s="14"/>
      <c r="F3939" s="14"/>
      <c r="G3939" s="14"/>
      <c r="H3939" s="15"/>
      <c r="I3939" s="15"/>
      <c r="J3939" s="3"/>
      <c r="K3939" s="3"/>
      <c r="L3939" s="3"/>
      <c r="M3939" s="3"/>
      <c r="N3939" s="3"/>
      <c r="O3939" s="3"/>
      <c r="P3939" s="3"/>
      <c r="Q3939" s="3"/>
      <c r="R3939" s="3"/>
      <c r="S3939" s="3"/>
      <c r="T3939" s="3"/>
      <c r="U3939" s="3"/>
      <c r="V3939" s="3"/>
      <c r="W3939" s="3"/>
      <c r="X3939" s="3"/>
      <c r="Y3939" s="3"/>
      <c r="Z3939" s="3"/>
      <c r="AA3939" s="3"/>
    </row>
    <row r="3940" ht="105.75" customHeight="1">
      <c r="A3940" s="11"/>
      <c r="B3940" s="12"/>
      <c r="C3940" s="11"/>
      <c r="D3940" s="13"/>
      <c r="E3940" s="14"/>
      <c r="F3940" s="14"/>
      <c r="G3940" s="14"/>
      <c r="H3940" s="15"/>
      <c r="I3940" s="15"/>
      <c r="J3940" s="3"/>
      <c r="K3940" s="3"/>
      <c r="L3940" s="3"/>
      <c r="M3940" s="3"/>
      <c r="N3940" s="3"/>
      <c r="O3940" s="3"/>
      <c r="P3940" s="3"/>
      <c r="Q3940" s="3"/>
      <c r="R3940" s="3"/>
      <c r="S3940" s="3"/>
      <c r="T3940" s="3"/>
      <c r="U3940" s="3"/>
      <c r="V3940" s="3"/>
      <c r="W3940" s="3"/>
      <c r="X3940" s="3"/>
      <c r="Y3940" s="3"/>
      <c r="Z3940" s="3"/>
      <c r="AA3940" s="3"/>
    </row>
    <row r="3941" ht="105.75" customHeight="1">
      <c r="A3941" s="11"/>
      <c r="B3941" s="12"/>
      <c r="C3941" s="11"/>
      <c r="D3941" s="13"/>
      <c r="E3941" s="14"/>
      <c r="F3941" s="14"/>
      <c r="G3941" s="14"/>
      <c r="H3941" s="15"/>
      <c r="I3941" s="15"/>
      <c r="J3941" s="3"/>
      <c r="K3941" s="3"/>
      <c r="L3941" s="3"/>
      <c r="M3941" s="3"/>
      <c r="N3941" s="3"/>
      <c r="O3941" s="3"/>
      <c r="P3941" s="3"/>
      <c r="Q3941" s="3"/>
      <c r="R3941" s="3"/>
      <c r="S3941" s="3"/>
      <c r="T3941" s="3"/>
      <c r="U3941" s="3"/>
      <c r="V3941" s="3"/>
      <c r="W3941" s="3"/>
      <c r="X3941" s="3"/>
      <c r="Y3941" s="3"/>
      <c r="Z3941" s="3"/>
      <c r="AA3941" s="3"/>
    </row>
    <row r="3942" ht="105.75" customHeight="1">
      <c r="A3942" s="11"/>
      <c r="B3942" s="12"/>
      <c r="C3942" s="11"/>
      <c r="D3942" s="13"/>
      <c r="E3942" s="14"/>
      <c r="F3942" s="14"/>
      <c r="G3942" s="14"/>
      <c r="H3942" s="15"/>
      <c r="I3942" s="15"/>
      <c r="J3942" s="3"/>
      <c r="K3942" s="3"/>
      <c r="L3942" s="3"/>
      <c r="M3942" s="3"/>
      <c r="N3942" s="3"/>
      <c r="O3942" s="3"/>
      <c r="P3942" s="3"/>
      <c r="Q3942" s="3"/>
      <c r="R3942" s="3"/>
      <c r="S3942" s="3"/>
      <c r="T3942" s="3"/>
      <c r="U3942" s="3"/>
      <c r="V3942" s="3"/>
      <c r="W3942" s="3"/>
      <c r="X3942" s="3"/>
      <c r="Y3942" s="3"/>
      <c r="Z3942" s="3"/>
      <c r="AA3942" s="3"/>
    </row>
    <row r="3943" ht="105.75" customHeight="1">
      <c r="A3943" s="11"/>
      <c r="B3943" s="12"/>
      <c r="C3943" s="11"/>
      <c r="D3943" s="13"/>
      <c r="E3943" s="14"/>
      <c r="F3943" s="14"/>
      <c r="G3943" s="14"/>
      <c r="H3943" s="15"/>
      <c r="I3943" s="15"/>
      <c r="J3943" s="3"/>
      <c r="K3943" s="3"/>
      <c r="L3943" s="3"/>
      <c r="M3943" s="3"/>
      <c r="N3943" s="3"/>
      <c r="O3943" s="3"/>
      <c r="P3943" s="3"/>
      <c r="Q3943" s="3"/>
      <c r="R3943" s="3"/>
      <c r="S3943" s="3"/>
      <c r="T3943" s="3"/>
      <c r="U3943" s="3"/>
      <c r="V3943" s="3"/>
      <c r="W3943" s="3"/>
      <c r="X3943" s="3"/>
      <c r="Y3943" s="3"/>
      <c r="Z3943" s="3"/>
      <c r="AA3943" s="3"/>
    </row>
    <row r="3944" ht="105.75" customHeight="1">
      <c r="A3944" s="11"/>
      <c r="B3944" s="12"/>
      <c r="C3944" s="11"/>
      <c r="D3944" s="13"/>
      <c r="E3944" s="14"/>
      <c r="F3944" s="14"/>
      <c r="G3944" s="14"/>
      <c r="H3944" s="15"/>
      <c r="I3944" s="15"/>
      <c r="J3944" s="3"/>
      <c r="K3944" s="3"/>
      <c r="L3944" s="3"/>
      <c r="M3944" s="3"/>
      <c r="N3944" s="3"/>
      <c r="O3944" s="3"/>
      <c r="P3944" s="3"/>
      <c r="Q3944" s="3"/>
      <c r="R3944" s="3"/>
      <c r="S3944" s="3"/>
      <c r="T3944" s="3"/>
      <c r="U3944" s="3"/>
      <c r="V3944" s="3"/>
      <c r="W3944" s="3"/>
      <c r="X3944" s="3"/>
      <c r="Y3944" s="3"/>
      <c r="Z3944" s="3"/>
      <c r="AA3944" s="3"/>
    </row>
    <row r="3945" ht="105.75" customHeight="1">
      <c r="A3945" s="11"/>
      <c r="B3945" s="12"/>
      <c r="C3945" s="11"/>
      <c r="D3945" s="13"/>
      <c r="E3945" s="14"/>
      <c r="F3945" s="14"/>
      <c r="G3945" s="14"/>
      <c r="H3945" s="15"/>
      <c r="I3945" s="15"/>
      <c r="J3945" s="3"/>
      <c r="K3945" s="3"/>
      <c r="L3945" s="3"/>
      <c r="M3945" s="3"/>
      <c r="N3945" s="3"/>
      <c r="O3945" s="3"/>
      <c r="P3945" s="3"/>
      <c r="Q3945" s="3"/>
      <c r="R3945" s="3"/>
      <c r="S3945" s="3"/>
      <c r="T3945" s="3"/>
      <c r="U3945" s="3"/>
      <c r="V3945" s="3"/>
      <c r="W3945" s="3"/>
      <c r="X3945" s="3"/>
      <c r="Y3945" s="3"/>
      <c r="Z3945" s="3"/>
      <c r="AA3945" s="3"/>
    </row>
    <row r="3946" ht="105.75" customHeight="1">
      <c r="A3946" s="11"/>
      <c r="B3946" s="12"/>
      <c r="C3946" s="11"/>
      <c r="D3946" s="13"/>
      <c r="E3946" s="14"/>
      <c r="F3946" s="14"/>
      <c r="G3946" s="14"/>
      <c r="H3946" s="15"/>
      <c r="I3946" s="15"/>
      <c r="J3946" s="3"/>
      <c r="K3946" s="3"/>
      <c r="L3946" s="3"/>
      <c r="M3946" s="3"/>
      <c r="N3946" s="3"/>
      <c r="O3946" s="3"/>
      <c r="P3946" s="3"/>
      <c r="Q3946" s="3"/>
      <c r="R3946" s="3"/>
      <c r="S3946" s="3"/>
      <c r="T3946" s="3"/>
      <c r="U3946" s="3"/>
      <c r="V3946" s="3"/>
      <c r="W3946" s="3"/>
      <c r="X3946" s="3"/>
      <c r="Y3946" s="3"/>
      <c r="Z3946" s="3"/>
      <c r="AA3946" s="3"/>
    </row>
    <row r="3947" ht="105.75" customHeight="1">
      <c r="A3947" s="11"/>
      <c r="B3947" s="12"/>
      <c r="C3947" s="11"/>
      <c r="D3947" s="13"/>
      <c r="E3947" s="14"/>
      <c r="F3947" s="14"/>
      <c r="G3947" s="14"/>
      <c r="H3947" s="15"/>
      <c r="I3947" s="15"/>
      <c r="J3947" s="3"/>
      <c r="K3947" s="3"/>
      <c r="L3947" s="3"/>
      <c r="M3947" s="3"/>
      <c r="N3947" s="3"/>
      <c r="O3947" s="3"/>
      <c r="P3947" s="3"/>
      <c r="Q3947" s="3"/>
      <c r="R3947" s="3"/>
      <c r="S3947" s="3"/>
      <c r="T3947" s="3"/>
      <c r="U3947" s="3"/>
      <c r="V3947" s="3"/>
      <c r="W3947" s="3"/>
      <c r="X3947" s="3"/>
      <c r="Y3947" s="3"/>
      <c r="Z3947" s="3"/>
      <c r="AA3947" s="3"/>
    </row>
    <row r="3948" ht="105.75" customHeight="1">
      <c r="A3948" s="11"/>
      <c r="B3948" s="12"/>
      <c r="C3948" s="11"/>
      <c r="D3948" s="13"/>
      <c r="E3948" s="14"/>
      <c r="F3948" s="14"/>
      <c r="G3948" s="14"/>
      <c r="H3948" s="15"/>
      <c r="I3948" s="15"/>
      <c r="J3948" s="3"/>
      <c r="K3948" s="3"/>
      <c r="L3948" s="3"/>
      <c r="M3948" s="3"/>
      <c r="N3948" s="3"/>
      <c r="O3948" s="3"/>
      <c r="P3948" s="3"/>
      <c r="Q3948" s="3"/>
      <c r="R3948" s="3"/>
      <c r="S3948" s="3"/>
      <c r="T3948" s="3"/>
      <c r="U3948" s="3"/>
      <c r="V3948" s="3"/>
      <c r="W3948" s="3"/>
      <c r="X3948" s="3"/>
      <c r="Y3948" s="3"/>
      <c r="Z3948" s="3"/>
      <c r="AA3948" s="3"/>
    </row>
    <row r="3949" ht="105.75" customHeight="1">
      <c r="A3949" s="11"/>
      <c r="B3949" s="12"/>
      <c r="C3949" s="11"/>
      <c r="D3949" s="13"/>
      <c r="E3949" s="14"/>
      <c r="F3949" s="14"/>
      <c r="G3949" s="14"/>
      <c r="H3949" s="15"/>
      <c r="I3949" s="15"/>
      <c r="J3949" s="3"/>
      <c r="K3949" s="3"/>
      <c r="L3949" s="3"/>
      <c r="M3949" s="3"/>
      <c r="N3949" s="3"/>
      <c r="O3949" s="3"/>
      <c r="P3949" s="3"/>
      <c r="Q3949" s="3"/>
      <c r="R3949" s="3"/>
      <c r="S3949" s="3"/>
      <c r="T3949" s="3"/>
      <c r="U3949" s="3"/>
      <c r="V3949" s="3"/>
      <c r="W3949" s="3"/>
      <c r="X3949" s="3"/>
      <c r="Y3949" s="3"/>
      <c r="Z3949" s="3"/>
      <c r="AA3949" s="3"/>
    </row>
    <row r="3950" ht="105.75" customHeight="1">
      <c r="A3950" s="11"/>
      <c r="B3950" s="12"/>
      <c r="C3950" s="11"/>
      <c r="D3950" s="13"/>
      <c r="E3950" s="14"/>
      <c r="F3950" s="14"/>
      <c r="G3950" s="14"/>
      <c r="H3950" s="15"/>
      <c r="I3950" s="15"/>
      <c r="J3950" s="3"/>
      <c r="K3950" s="3"/>
      <c r="L3950" s="3"/>
      <c r="M3950" s="3"/>
      <c r="N3950" s="3"/>
      <c r="O3950" s="3"/>
      <c r="P3950" s="3"/>
      <c r="Q3950" s="3"/>
      <c r="R3950" s="3"/>
      <c r="S3950" s="3"/>
      <c r="T3950" s="3"/>
      <c r="U3950" s="3"/>
      <c r="V3950" s="3"/>
      <c r="W3950" s="3"/>
      <c r="X3950" s="3"/>
      <c r="Y3950" s="3"/>
      <c r="Z3950" s="3"/>
      <c r="AA3950" s="3"/>
    </row>
    <row r="3951" ht="105.75" customHeight="1">
      <c r="A3951" s="11"/>
      <c r="B3951" s="12"/>
      <c r="C3951" s="11"/>
      <c r="D3951" s="13"/>
      <c r="E3951" s="14"/>
      <c r="F3951" s="14"/>
      <c r="G3951" s="14"/>
      <c r="H3951" s="15"/>
      <c r="I3951" s="15"/>
      <c r="J3951" s="3"/>
      <c r="K3951" s="3"/>
      <c r="L3951" s="3"/>
      <c r="M3951" s="3"/>
      <c r="N3951" s="3"/>
      <c r="O3951" s="3"/>
      <c r="P3951" s="3"/>
      <c r="Q3951" s="3"/>
      <c r="R3951" s="3"/>
      <c r="S3951" s="3"/>
      <c r="T3951" s="3"/>
      <c r="U3951" s="3"/>
      <c r="V3951" s="3"/>
      <c r="W3951" s="3"/>
      <c r="X3951" s="3"/>
      <c r="Y3951" s="3"/>
      <c r="Z3951" s="3"/>
      <c r="AA3951" s="3"/>
    </row>
    <row r="3952" ht="105.75" customHeight="1">
      <c r="A3952" s="11"/>
      <c r="B3952" s="12"/>
      <c r="C3952" s="11"/>
      <c r="D3952" s="13"/>
      <c r="E3952" s="14"/>
      <c r="F3952" s="14"/>
      <c r="G3952" s="14"/>
      <c r="H3952" s="15"/>
      <c r="I3952" s="15"/>
      <c r="J3952" s="3"/>
      <c r="K3952" s="3"/>
      <c r="L3952" s="3"/>
      <c r="M3952" s="3"/>
      <c r="N3952" s="3"/>
      <c r="O3952" s="3"/>
      <c r="P3952" s="3"/>
      <c r="Q3952" s="3"/>
      <c r="R3952" s="3"/>
      <c r="S3952" s="3"/>
      <c r="T3952" s="3"/>
      <c r="U3952" s="3"/>
      <c r="V3952" s="3"/>
      <c r="W3952" s="3"/>
      <c r="X3952" s="3"/>
      <c r="Y3952" s="3"/>
      <c r="Z3952" s="3"/>
      <c r="AA3952" s="3"/>
    </row>
    <row r="3953" ht="105.75" customHeight="1">
      <c r="A3953" s="11"/>
      <c r="B3953" s="12"/>
      <c r="C3953" s="11"/>
      <c r="D3953" s="13"/>
      <c r="E3953" s="14"/>
      <c r="F3953" s="14"/>
      <c r="G3953" s="14"/>
      <c r="H3953" s="15"/>
      <c r="I3953" s="15"/>
      <c r="J3953" s="3"/>
      <c r="K3953" s="3"/>
      <c r="L3953" s="3"/>
      <c r="M3953" s="3"/>
      <c r="N3953" s="3"/>
      <c r="O3953" s="3"/>
      <c r="P3953" s="3"/>
      <c r="Q3953" s="3"/>
      <c r="R3953" s="3"/>
      <c r="S3953" s="3"/>
      <c r="T3953" s="3"/>
      <c r="U3953" s="3"/>
      <c r="V3953" s="3"/>
      <c r="W3953" s="3"/>
      <c r="X3953" s="3"/>
      <c r="Y3953" s="3"/>
      <c r="Z3953" s="3"/>
      <c r="AA3953" s="3"/>
    </row>
    <row r="3954" ht="105.75" customHeight="1">
      <c r="A3954" s="11"/>
      <c r="B3954" s="12"/>
      <c r="C3954" s="11"/>
      <c r="D3954" s="13"/>
      <c r="E3954" s="14"/>
      <c r="F3954" s="14"/>
      <c r="G3954" s="14"/>
      <c r="H3954" s="15"/>
      <c r="I3954" s="15"/>
      <c r="J3954" s="3"/>
      <c r="K3954" s="3"/>
      <c r="L3954" s="3"/>
      <c r="M3954" s="3"/>
      <c r="N3954" s="3"/>
      <c r="O3954" s="3"/>
      <c r="P3954" s="3"/>
      <c r="Q3954" s="3"/>
      <c r="R3954" s="3"/>
      <c r="S3954" s="3"/>
      <c r="T3954" s="3"/>
      <c r="U3954" s="3"/>
      <c r="V3954" s="3"/>
      <c r="W3954" s="3"/>
      <c r="X3954" s="3"/>
      <c r="Y3954" s="3"/>
      <c r="Z3954" s="3"/>
      <c r="AA3954" s="3"/>
    </row>
    <row r="3955" ht="105.75" customHeight="1">
      <c r="A3955" s="11"/>
      <c r="B3955" s="12"/>
      <c r="C3955" s="11"/>
      <c r="D3955" s="13"/>
      <c r="E3955" s="14"/>
      <c r="F3955" s="14"/>
      <c r="G3955" s="14"/>
      <c r="H3955" s="15"/>
      <c r="I3955" s="15"/>
      <c r="J3955" s="3"/>
      <c r="K3955" s="3"/>
      <c r="L3955" s="3"/>
      <c r="M3955" s="3"/>
      <c r="N3955" s="3"/>
      <c r="O3955" s="3"/>
      <c r="P3955" s="3"/>
      <c r="Q3955" s="3"/>
      <c r="R3955" s="3"/>
      <c r="S3955" s="3"/>
      <c r="T3955" s="3"/>
      <c r="U3955" s="3"/>
      <c r="V3955" s="3"/>
      <c r="W3955" s="3"/>
      <c r="X3955" s="3"/>
      <c r="Y3955" s="3"/>
      <c r="Z3955" s="3"/>
      <c r="AA3955" s="3"/>
    </row>
    <row r="3956" ht="105.75" customHeight="1">
      <c r="A3956" s="11"/>
      <c r="B3956" s="12"/>
      <c r="C3956" s="11"/>
      <c r="D3956" s="13"/>
      <c r="E3956" s="14"/>
      <c r="F3956" s="14"/>
      <c r="G3956" s="14"/>
      <c r="H3956" s="15"/>
      <c r="I3956" s="15"/>
      <c r="J3956" s="3"/>
      <c r="K3956" s="3"/>
      <c r="L3956" s="3"/>
      <c r="M3956" s="3"/>
      <c r="N3956" s="3"/>
      <c r="O3956" s="3"/>
      <c r="P3956" s="3"/>
      <c r="Q3956" s="3"/>
      <c r="R3956" s="3"/>
      <c r="S3956" s="3"/>
      <c r="T3956" s="3"/>
      <c r="U3956" s="3"/>
      <c r="V3956" s="3"/>
      <c r="W3956" s="3"/>
      <c r="X3956" s="3"/>
      <c r="Y3956" s="3"/>
      <c r="Z3956" s="3"/>
      <c r="AA3956" s="3"/>
    </row>
    <row r="3957" ht="105.75" customHeight="1">
      <c r="A3957" s="11"/>
      <c r="B3957" s="12"/>
      <c r="C3957" s="11"/>
      <c r="D3957" s="13"/>
      <c r="E3957" s="14"/>
      <c r="F3957" s="14"/>
      <c r="G3957" s="14"/>
      <c r="H3957" s="15"/>
      <c r="I3957" s="15"/>
      <c r="J3957" s="3"/>
      <c r="K3957" s="3"/>
      <c r="L3957" s="3"/>
      <c r="M3957" s="3"/>
      <c r="N3957" s="3"/>
      <c r="O3957" s="3"/>
      <c r="P3957" s="3"/>
      <c r="Q3957" s="3"/>
      <c r="R3957" s="3"/>
      <c r="S3957" s="3"/>
      <c r="T3957" s="3"/>
      <c r="U3957" s="3"/>
      <c r="V3957" s="3"/>
      <c r="W3957" s="3"/>
      <c r="X3957" s="3"/>
      <c r="Y3957" s="3"/>
      <c r="Z3957" s="3"/>
      <c r="AA3957" s="3"/>
    </row>
    <row r="3958" ht="105.75" customHeight="1">
      <c r="A3958" s="11"/>
      <c r="B3958" s="12"/>
      <c r="C3958" s="11"/>
      <c r="D3958" s="13"/>
      <c r="E3958" s="14"/>
      <c r="F3958" s="14"/>
      <c r="G3958" s="14"/>
      <c r="H3958" s="15"/>
      <c r="I3958" s="15"/>
      <c r="J3958" s="3"/>
      <c r="K3958" s="3"/>
      <c r="L3958" s="3"/>
      <c r="M3958" s="3"/>
      <c r="N3958" s="3"/>
      <c r="O3958" s="3"/>
      <c r="P3958" s="3"/>
      <c r="Q3958" s="3"/>
      <c r="R3958" s="3"/>
      <c r="S3958" s="3"/>
      <c r="T3958" s="3"/>
      <c r="U3958" s="3"/>
      <c r="V3958" s="3"/>
      <c r="W3958" s="3"/>
      <c r="X3958" s="3"/>
      <c r="Y3958" s="3"/>
      <c r="Z3958" s="3"/>
      <c r="AA3958" s="3"/>
    </row>
    <row r="3959" ht="105.75" customHeight="1">
      <c r="A3959" s="11"/>
      <c r="B3959" s="12"/>
      <c r="C3959" s="11"/>
      <c r="D3959" s="13"/>
      <c r="E3959" s="14"/>
      <c r="F3959" s="14"/>
      <c r="G3959" s="14"/>
      <c r="H3959" s="15"/>
      <c r="I3959" s="15"/>
      <c r="J3959" s="3"/>
      <c r="K3959" s="3"/>
      <c r="L3959" s="3"/>
      <c r="M3959" s="3"/>
      <c r="N3959" s="3"/>
      <c r="O3959" s="3"/>
      <c r="P3959" s="3"/>
      <c r="Q3959" s="3"/>
      <c r="R3959" s="3"/>
      <c r="S3959" s="3"/>
      <c r="T3959" s="3"/>
      <c r="U3959" s="3"/>
      <c r="V3959" s="3"/>
      <c r="W3959" s="3"/>
      <c r="X3959" s="3"/>
      <c r="Y3959" s="3"/>
      <c r="Z3959" s="3"/>
      <c r="AA3959" s="3"/>
    </row>
    <row r="3960" ht="105.75" customHeight="1">
      <c r="A3960" s="11"/>
      <c r="B3960" s="12"/>
      <c r="C3960" s="11"/>
      <c r="D3960" s="13"/>
      <c r="E3960" s="14"/>
      <c r="F3960" s="14"/>
      <c r="G3960" s="14"/>
      <c r="H3960" s="15"/>
      <c r="I3960" s="15"/>
      <c r="J3960" s="3"/>
      <c r="K3960" s="3"/>
      <c r="L3960" s="3"/>
      <c r="M3960" s="3"/>
      <c r="N3960" s="3"/>
      <c r="O3960" s="3"/>
      <c r="P3960" s="3"/>
      <c r="Q3960" s="3"/>
      <c r="R3960" s="3"/>
      <c r="S3960" s="3"/>
      <c r="T3960" s="3"/>
      <c r="U3960" s="3"/>
      <c r="V3960" s="3"/>
      <c r="W3960" s="3"/>
      <c r="X3960" s="3"/>
      <c r="Y3960" s="3"/>
      <c r="Z3960" s="3"/>
      <c r="AA3960" s="3"/>
    </row>
    <row r="3961" ht="105.75" customHeight="1">
      <c r="A3961" s="11"/>
      <c r="B3961" s="12"/>
      <c r="C3961" s="11"/>
      <c r="D3961" s="13"/>
      <c r="E3961" s="14"/>
      <c r="F3961" s="14"/>
      <c r="G3961" s="14"/>
      <c r="H3961" s="15"/>
      <c r="I3961" s="15"/>
      <c r="J3961" s="3"/>
      <c r="K3961" s="3"/>
      <c r="L3961" s="3"/>
      <c r="M3961" s="3"/>
      <c r="N3961" s="3"/>
      <c r="O3961" s="3"/>
      <c r="P3961" s="3"/>
      <c r="Q3961" s="3"/>
      <c r="R3961" s="3"/>
      <c r="S3961" s="3"/>
      <c r="T3961" s="3"/>
      <c r="U3961" s="3"/>
      <c r="V3961" s="3"/>
      <c r="W3961" s="3"/>
      <c r="X3961" s="3"/>
      <c r="Y3961" s="3"/>
      <c r="Z3961" s="3"/>
      <c r="AA3961" s="3"/>
    </row>
    <row r="3962" ht="105.75" customHeight="1">
      <c r="A3962" s="11"/>
      <c r="B3962" s="12"/>
      <c r="C3962" s="11"/>
      <c r="D3962" s="13"/>
      <c r="E3962" s="14"/>
      <c r="F3962" s="14"/>
      <c r="G3962" s="14"/>
      <c r="H3962" s="15"/>
      <c r="I3962" s="15"/>
      <c r="J3962" s="3"/>
      <c r="K3962" s="3"/>
      <c r="L3962" s="3"/>
      <c r="M3962" s="3"/>
      <c r="N3962" s="3"/>
      <c r="O3962" s="3"/>
      <c r="P3962" s="3"/>
      <c r="Q3962" s="3"/>
      <c r="R3962" s="3"/>
      <c r="S3962" s="3"/>
      <c r="T3962" s="3"/>
      <c r="U3962" s="3"/>
      <c r="V3962" s="3"/>
      <c r="W3962" s="3"/>
      <c r="X3962" s="3"/>
      <c r="Y3962" s="3"/>
      <c r="Z3962" s="3"/>
      <c r="AA3962" s="3"/>
    </row>
    <row r="3963" ht="105.75" customHeight="1">
      <c r="A3963" s="11"/>
      <c r="B3963" s="12"/>
      <c r="C3963" s="11"/>
      <c r="D3963" s="13"/>
      <c r="E3963" s="14"/>
      <c r="F3963" s="14"/>
      <c r="G3963" s="14"/>
      <c r="H3963" s="15"/>
      <c r="I3963" s="15"/>
      <c r="J3963" s="3"/>
      <c r="K3963" s="3"/>
      <c r="L3963" s="3"/>
      <c r="M3963" s="3"/>
      <c r="N3963" s="3"/>
      <c r="O3963" s="3"/>
      <c r="P3963" s="3"/>
      <c r="Q3963" s="3"/>
      <c r="R3963" s="3"/>
      <c r="S3963" s="3"/>
      <c r="T3963" s="3"/>
      <c r="U3963" s="3"/>
      <c r="V3963" s="3"/>
      <c r="W3963" s="3"/>
      <c r="X3963" s="3"/>
      <c r="Y3963" s="3"/>
      <c r="Z3963" s="3"/>
      <c r="AA3963" s="3"/>
    </row>
    <row r="3964" ht="105.75" customHeight="1">
      <c r="A3964" s="11"/>
      <c r="B3964" s="12"/>
      <c r="C3964" s="11"/>
      <c r="D3964" s="13"/>
      <c r="E3964" s="14"/>
      <c r="F3964" s="14"/>
      <c r="G3964" s="14"/>
      <c r="H3964" s="15"/>
      <c r="I3964" s="15"/>
      <c r="J3964" s="3"/>
      <c r="K3964" s="3"/>
      <c r="L3964" s="3"/>
      <c r="M3964" s="3"/>
      <c r="N3964" s="3"/>
      <c r="O3964" s="3"/>
      <c r="P3964" s="3"/>
      <c r="Q3964" s="3"/>
      <c r="R3964" s="3"/>
      <c r="S3964" s="3"/>
      <c r="T3964" s="3"/>
      <c r="U3964" s="3"/>
      <c r="V3964" s="3"/>
      <c r="W3964" s="3"/>
      <c r="X3964" s="3"/>
      <c r="Y3964" s="3"/>
      <c r="Z3964" s="3"/>
      <c r="AA3964" s="3"/>
    </row>
    <row r="3965" ht="105.75" customHeight="1">
      <c r="A3965" s="11"/>
      <c r="B3965" s="12"/>
      <c r="C3965" s="11"/>
      <c r="D3965" s="13"/>
      <c r="E3965" s="14"/>
      <c r="F3965" s="14"/>
      <c r="G3965" s="14"/>
      <c r="H3965" s="15"/>
      <c r="I3965" s="15"/>
      <c r="J3965" s="3"/>
      <c r="K3965" s="3"/>
      <c r="L3965" s="3"/>
      <c r="M3965" s="3"/>
      <c r="N3965" s="3"/>
      <c r="O3965" s="3"/>
      <c r="P3965" s="3"/>
      <c r="Q3965" s="3"/>
      <c r="R3965" s="3"/>
      <c r="S3965" s="3"/>
      <c r="T3965" s="3"/>
      <c r="U3965" s="3"/>
      <c r="V3965" s="3"/>
      <c r="W3965" s="3"/>
      <c r="X3965" s="3"/>
      <c r="Y3965" s="3"/>
      <c r="Z3965" s="3"/>
      <c r="AA3965" s="3"/>
    </row>
    <row r="3966" ht="105.75" customHeight="1">
      <c r="A3966" s="11"/>
      <c r="B3966" s="12"/>
      <c r="C3966" s="11"/>
      <c r="D3966" s="13"/>
      <c r="E3966" s="14"/>
      <c r="F3966" s="14"/>
      <c r="G3966" s="14"/>
      <c r="H3966" s="15"/>
      <c r="I3966" s="15"/>
      <c r="J3966" s="3"/>
      <c r="K3966" s="3"/>
      <c r="L3966" s="3"/>
      <c r="M3966" s="3"/>
      <c r="N3966" s="3"/>
      <c r="O3966" s="3"/>
      <c r="P3966" s="3"/>
      <c r="Q3966" s="3"/>
      <c r="R3966" s="3"/>
      <c r="S3966" s="3"/>
      <c r="T3966" s="3"/>
      <c r="U3966" s="3"/>
      <c r="V3966" s="3"/>
      <c r="W3966" s="3"/>
      <c r="X3966" s="3"/>
      <c r="Y3966" s="3"/>
      <c r="Z3966" s="3"/>
      <c r="AA3966" s="3"/>
    </row>
    <row r="3967" ht="105.75" customHeight="1">
      <c r="A3967" s="11"/>
      <c r="B3967" s="12"/>
      <c r="C3967" s="11"/>
      <c r="D3967" s="13"/>
      <c r="E3967" s="14"/>
      <c r="F3967" s="14"/>
      <c r="G3967" s="14"/>
      <c r="H3967" s="15"/>
      <c r="I3967" s="15"/>
      <c r="J3967" s="3"/>
      <c r="K3967" s="3"/>
      <c r="L3967" s="3"/>
      <c r="M3967" s="3"/>
      <c r="N3967" s="3"/>
      <c r="O3967" s="3"/>
      <c r="P3967" s="3"/>
      <c r="Q3967" s="3"/>
      <c r="R3967" s="3"/>
      <c r="S3967" s="3"/>
      <c r="T3967" s="3"/>
      <c r="U3967" s="3"/>
      <c r="V3967" s="3"/>
      <c r="W3967" s="3"/>
      <c r="X3967" s="3"/>
      <c r="Y3967" s="3"/>
      <c r="Z3967" s="3"/>
      <c r="AA3967" s="3"/>
    </row>
    <row r="3968" ht="105.75" customHeight="1">
      <c r="A3968" s="11"/>
      <c r="B3968" s="12"/>
      <c r="C3968" s="11"/>
      <c r="D3968" s="13"/>
      <c r="E3968" s="14"/>
      <c r="F3968" s="14"/>
      <c r="G3968" s="14"/>
      <c r="H3968" s="15"/>
      <c r="I3968" s="15"/>
      <c r="J3968" s="3"/>
      <c r="K3968" s="3"/>
      <c r="L3968" s="3"/>
      <c r="M3968" s="3"/>
      <c r="N3968" s="3"/>
      <c r="O3968" s="3"/>
      <c r="P3968" s="3"/>
      <c r="Q3968" s="3"/>
      <c r="R3968" s="3"/>
      <c r="S3968" s="3"/>
      <c r="T3968" s="3"/>
      <c r="U3968" s="3"/>
      <c r="V3968" s="3"/>
      <c r="W3968" s="3"/>
      <c r="X3968" s="3"/>
      <c r="Y3968" s="3"/>
      <c r="Z3968" s="3"/>
      <c r="AA3968" s="3"/>
    </row>
    <row r="3969" ht="105.75" customHeight="1">
      <c r="A3969" s="11"/>
      <c r="B3969" s="12"/>
      <c r="C3969" s="11"/>
      <c r="D3969" s="13"/>
      <c r="E3969" s="14"/>
      <c r="F3969" s="14"/>
      <c r="G3969" s="14"/>
      <c r="H3969" s="15"/>
      <c r="I3969" s="15"/>
      <c r="J3969" s="3"/>
      <c r="K3969" s="3"/>
      <c r="L3969" s="3"/>
      <c r="M3969" s="3"/>
      <c r="N3969" s="3"/>
      <c r="O3969" s="3"/>
      <c r="P3969" s="3"/>
      <c r="Q3969" s="3"/>
      <c r="R3969" s="3"/>
      <c r="S3969" s="3"/>
      <c r="T3969" s="3"/>
      <c r="U3969" s="3"/>
      <c r="V3969" s="3"/>
      <c r="W3969" s="3"/>
      <c r="X3969" s="3"/>
      <c r="Y3969" s="3"/>
      <c r="Z3969" s="3"/>
      <c r="AA3969" s="3"/>
    </row>
    <row r="3970" ht="105.75" customHeight="1">
      <c r="A3970" s="11"/>
      <c r="B3970" s="12"/>
      <c r="C3970" s="11"/>
      <c r="D3970" s="13"/>
      <c r="E3970" s="14"/>
      <c r="F3970" s="14"/>
      <c r="G3970" s="14"/>
      <c r="H3970" s="15"/>
      <c r="I3970" s="15"/>
      <c r="J3970" s="3"/>
      <c r="K3970" s="3"/>
      <c r="L3970" s="3"/>
      <c r="M3970" s="3"/>
      <c r="N3970" s="3"/>
      <c r="O3970" s="3"/>
      <c r="P3970" s="3"/>
      <c r="Q3970" s="3"/>
      <c r="R3970" s="3"/>
      <c r="S3970" s="3"/>
      <c r="T3970" s="3"/>
      <c r="U3970" s="3"/>
      <c r="V3970" s="3"/>
      <c r="W3970" s="3"/>
      <c r="X3970" s="3"/>
      <c r="Y3970" s="3"/>
      <c r="Z3970" s="3"/>
      <c r="AA3970" s="3"/>
    </row>
    <row r="3971" ht="105.75" customHeight="1">
      <c r="A3971" s="11"/>
      <c r="B3971" s="12"/>
      <c r="C3971" s="11"/>
      <c r="D3971" s="13"/>
      <c r="E3971" s="14"/>
      <c r="F3971" s="14"/>
      <c r="G3971" s="14"/>
      <c r="H3971" s="15"/>
      <c r="I3971" s="15"/>
      <c r="J3971" s="3"/>
      <c r="K3971" s="3"/>
      <c r="L3971" s="3"/>
      <c r="M3971" s="3"/>
      <c r="N3971" s="3"/>
      <c r="O3971" s="3"/>
      <c r="P3971" s="3"/>
      <c r="Q3971" s="3"/>
      <c r="R3971" s="3"/>
      <c r="S3971" s="3"/>
      <c r="T3971" s="3"/>
      <c r="U3971" s="3"/>
      <c r="V3971" s="3"/>
      <c r="W3971" s="3"/>
      <c r="X3971" s="3"/>
      <c r="Y3971" s="3"/>
      <c r="Z3971" s="3"/>
      <c r="AA3971" s="3"/>
    </row>
    <row r="3972" ht="105.75" customHeight="1">
      <c r="A3972" s="11"/>
      <c r="B3972" s="12"/>
      <c r="C3972" s="11"/>
      <c r="D3972" s="13"/>
      <c r="E3972" s="14"/>
      <c r="F3972" s="14"/>
      <c r="G3972" s="14"/>
      <c r="H3972" s="15"/>
      <c r="I3972" s="15"/>
      <c r="J3972" s="3"/>
      <c r="K3972" s="3"/>
      <c r="L3972" s="3"/>
      <c r="M3972" s="3"/>
      <c r="N3972" s="3"/>
      <c r="O3972" s="3"/>
      <c r="P3972" s="3"/>
      <c r="Q3972" s="3"/>
      <c r="R3972" s="3"/>
      <c r="S3972" s="3"/>
      <c r="T3972" s="3"/>
      <c r="U3972" s="3"/>
      <c r="V3972" s="3"/>
      <c r="W3972" s="3"/>
      <c r="X3972" s="3"/>
      <c r="Y3972" s="3"/>
      <c r="Z3972" s="3"/>
      <c r="AA3972" s="3"/>
    </row>
    <row r="3973" ht="105.75" customHeight="1">
      <c r="A3973" s="11"/>
      <c r="B3973" s="12"/>
      <c r="C3973" s="11"/>
      <c r="D3973" s="13"/>
      <c r="E3973" s="14"/>
      <c r="F3973" s="14"/>
      <c r="G3973" s="14"/>
      <c r="H3973" s="15"/>
      <c r="I3973" s="15"/>
      <c r="J3973" s="3"/>
      <c r="K3973" s="3"/>
      <c r="L3973" s="3"/>
      <c r="M3973" s="3"/>
      <c r="N3973" s="3"/>
      <c r="O3973" s="3"/>
      <c r="P3973" s="3"/>
      <c r="Q3973" s="3"/>
      <c r="R3973" s="3"/>
      <c r="S3973" s="3"/>
      <c r="T3973" s="3"/>
      <c r="U3973" s="3"/>
      <c r="V3973" s="3"/>
      <c r="W3973" s="3"/>
      <c r="X3973" s="3"/>
      <c r="Y3973" s="3"/>
      <c r="Z3973" s="3"/>
      <c r="AA3973" s="3"/>
    </row>
    <row r="3974" ht="105.75" customHeight="1">
      <c r="A3974" s="11"/>
      <c r="B3974" s="12"/>
      <c r="C3974" s="11"/>
      <c r="D3974" s="13"/>
      <c r="E3974" s="14"/>
      <c r="F3974" s="14"/>
      <c r="G3974" s="14"/>
      <c r="H3974" s="15"/>
      <c r="I3974" s="15"/>
      <c r="J3974" s="3"/>
      <c r="K3974" s="3"/>
      <c r="L3974" s="3"/>
      <c r="M3974" s="3"/>
      <c r="N3974" s="3"/>
      <c r="O3974" s="3"/>
      <c r="P3974" s="3"/>
      <c r="Q3974" s="3"/>
      <c r="R3974" s="3"/>
      <c r="S3974" s="3"/>
      <c r="T3974" s="3"/>
      <c r="U3974" s="3"/>
      <c r="V3974" s="3"/>
      <c r="W3974" s="3"/>
      <c r="X3974" s="3"/>
      <c r="Y3974" s="3"/>
      <c r="Z3974" s="3"/>
      <c r="AA3974" s="3"/>
    </row>
    <row r="3975" ht="105.75" customHeight="1">
      <c r="A3975" s="11"/>
      <c r="B3975" s="12"/>
      <c r="C3975" s="11"/>
      <c r="D3975" s="13"/>
      <c r="E3975" s="14"/>
      <c r="F3975" s="14"/>
      <c r="G3975" s="14"/>
      <c r="H3975" s="15"/>
      <c r="I3975" s="15"/>
      <c r="J3975" s="3"/>
      <c r="K3975" s="3"/>
      <c r="L3975" s="3"/>
      <c r="M3975" s="3"/>
      <c r="N3975" s="3"/>
      <c r="O3975" s="3"/>
      <c r="P3975" s="3"/>
      <c r="Q3975" s="3"/>
      <c r="R3975" s="3"/>
      <c r="S3975" s="3"/>
      <c r="T3975" s="3"/>
      <c r="U3975" s="3"/>
      <c r="V3975" s="3"/>
      <c r="W3975" s="3"/>
      <c r="X3975" s="3"/>
      <c r="Y3975" s="3"/>
      <c r="Z3975" s="3"/>
      <c r="AA3975" s="3"/>
    </row>
    <row r="3976" ht="105.75" customHeight="1">
      <c r="A3976" s="11"/>
      <c r="B3976" s="12"/>
      <c r="C3976" s="11"/>
      <c r="D3976" s="13"/>
      <c r="E3976" s="14"/>
      <c r="F3976" s="14"/>
      <c r="G3976" s="14"/>
      <c r="H3976" s="15"/>
      <c r="I3976" s="15"/>
      <c r="J3976" s="3"/>
      <c r="K3976" s="3"/>
      <c r="L3976" s="3"/>
      <c r="M3976" s="3"/>
      <c r="N3976" s="3"/>
      <c r="O3976" s="3"/>
      <c r="P3976" s="3"/>
      <c r="Q3976" s="3"/>
      <c r="R3976" s="3"/>
      <c r="S3976" s="3"/>
      <c r="T3976" s="3"/>
      <c r="U3976" s="3"/>
      <c r="V3976" s="3"/>
      <c r="W3976" s="3"/>
      <c r="X3976" s="3"/>
      <c r="Y3976" s="3"/>
      <c r="Z3976" s="3"/>
      <c r="AA3976" s="3"/>
    </row>
    <row r="3977" ht="105.75" customHeight="1">
      <c r="A3977" s="11"/>
      <c r="B3977" s="12"/>
      <c r="C3977" s="11"/>
      <c r="D3977" s="13"/>
      <c r="E3977" s="14"/>
      <c r="F3977" s="14"/>
      <c r="G3977" s="14"/>
      <c r="H3977" s="15"/>
      <c r="I3977" s="15"/>
      <c r="J3977" s="3"/>
      <c r="K3977" s="3"/>
      <c r="L3977" s="3"/>
      <c r="M3977" s="3"/>
      <c r="N3977" s="3"/>
      <c r="O3977" s="3"/>
      <c r="P3977" s="3"/>
      <c r="Q3977" s="3"/>
      <c r="R3977" s="3"/>
      <c r="S3977" s="3"/>
      <c r="T3977" s="3"/>
      <c r="U3977" s="3"/>
      <c r="V3977" s="3"/>
      <c r="W3977" s="3"/>
      <c r="X3977" s="3"/>
      <c r="Y3977" s="3"/>
      <c r="Z3977" s="3"/>
      <c r="AA3977" s="3"/>
    </row>
    <row r="3978" ht="105.75" customHeight="1">
      <c r="A3978" s="11"/>
      <c r="B3978" s="12"/>
      <c r="C3978" s="11"/>
      <c r="D3978" s="13"/>
      <c r="E3978" s="14"/>
      <c r="F3978" s="14"/>
      <c r="G3978" s="14"/>
      <c r="H3978" s="15"/>
      <c r="I3978" s="15"/>
      <c r="J3978" s="3"/>
      <c r="K3978" s="3"/>
      <c r="L3978" s="3"/>
      <c r="M3978" s="3"/>
      <c r="N3978" s="3"/>
      <c r="O3978" s="3"/>
      <c r="P3978" s="3"/>
      <c r="Q3978" s="3"/>
      <c r="R3978" s="3"/>
      <c r="S3978" s="3"/>
      <c r="T3978" s="3"/>
      <c r="U3978" s="3"/>
      <c r="V3978" s="3"/>
      <c r="W3978" s="3"/>
      <c r="X3978" s="3"/>
      <c r="Y3978" s="3"/>
      <c r="Z3978" s="3"/>
      <c r="AA3978" s="3"/>
    </row>
    <row r="3979" ht="105.75" customHeight="1">
      <c r="A3979" s="11"/>
      <c r="B3979" s="12"/>
      <c r="C3979" s="11"/>
      <c r="D3979" s="13"/>
      <c r="E3979" s="14"/>
      <c r="F3979" s="14"/>
      <c r="G3979" s="14"/>
      <c r="H3979" s="15"/>
      <c r="I3979" s="15"/>
      <c r="J3979" s="3"/>
      <c r="K3979" s="3"/>
      <c r="L3979" s="3"/>
      <c r="M3979" s="3"/>
      <c r="N3979" s="3"/>
      <c r="O3979" s="3"/>
      <c r="P3979" s="3"/>
      <c r="Q3979" s="3"/>
      <c r="R3979" s="3"/>
      <c r="S3979" s="3"/>
      <c r="T3979" s="3"/>
      <c r="U3979" s="3"/>
      <c r="V3979" s="3"/>
      <c r="W3979" s="3"/>
      <c r="X3979" s="3"/>
      <c r="Y3979" s="3"/>
      <c r="Z3979" s="3"/>
      <c r="AA3979" s="3"/>
    </row>
    <row r="3980" ht="105.75" customHeight="1">
      <c r="A3980" s="11"/>
      <c r="B3980" s="12"/>
      <c r="C3980" s="11"/>
      <c r="D3980" s="13"/>
      <c r="E3980" s="14"/>
      <c r="F3980" s="14"/>
      <c r="G3980" s="14"/>
      <c r="H3980" s="15"/>
      <c r="I3980" s="15"/>
      <c r="J3980" s="3"/>
      <c r="K3980" s="3"/>
      <c r="L3980" s="3"/>
      <c r="M3980" s="3"/>
      <c r="N3980" s="3"/>
      <c r="O3980" s="3"/>
      <c r="P3980" s="3"/>
      <c r="Q3980" s="3"/>
      <c r="R3980" s="3"/>
      <c r="S3980" s="3"/>
      <c r="T3980" s="3"/>
      <c r="U3980" s="3"/>
      <c r="V3980" s="3"/>
      <c r="W3980" s="3"/>
      <c r="X3980" s="3"/>
      <c r="Y3980" s="3"/>
      <c r="Z3980" s="3"/>
      <c r="AA3980" s="3"/>
    </row>
    <row r="3981" ht="105.75" customHeight="1">
      <c r="A3981" s="11"/>
      <c r="B3981" s="12"/>
      <c r="C3981" s="11"/>
      <c r="D3981" s="13"/>
      <c r="E3981" s="14"/>
      <c r="F3981" s="14"/>
      <c r="G3981" s="14"/>
      <c r="H3981" s="15"/>
      <c r="I3981" s="15"/>
      <c r="J3981" s="3"/>
      <c r="K3981" s="3"/>
      <c r="L3981" s="3"/>
      <c r="M3981" s="3"/>
      <c r="N3981" s="3"/>
      <c r="O3981" s="3"/>
      <c r="P3981" s="3"/>
      <c r="Q3981" s="3"/>
      <c r="R3981" s="3"/>
      <c r="S3981" s="3"/>
      <c r="T3981" s="3"/>
      <c r="U3981" s="3"/>
      <c r="V3981" s="3"/>
      <c r="W3981" s="3"/>
      <c r="X3981" s="3"/>
      <c r="Y3981" s="3"/>
      <c r="Z3981" s="3"/>
      <c r="AA3981" s="3"/>
    </row>
    <row r="3982" ht="105.75" customHeight="1">
      <c r="A3982" s="11"/>
      <c r="B3982" s="12"/>
      <c r="C3982" s="11"/>
      <c r="D3982" s="13"/>
      <c r="E3982" s="14"/>
      <c r="F3982" s="14"/>
      <c r="G3982" s="14"/>
      <c r="H3982" s="15"/>
      <c r="I3982" s="15"/>
      <c r="J3982" s="3"/>
      <c r="K3982" s="3"/>
      <c r="L3982" s="3"/>
      <c r="M3982" s="3"/>
      <c r="N3982" s="3"/>
      <c r="O3982" s="3"/>
      <c r="P3982" s="3"/>
      <c r="Q3982" s="3"/>
      <c r="R3982" s="3"/>
      <c r="S3982" s="3"/>
      <c r="T3982" s="3"/>
      <c r="U3982" s="3"/>
      <c r="V3982" s="3"/>
      <c r="W3982" s="3"/>
      <c r="X3982" s="3"/>
      <c r="Y3982" s="3"/>
      <c r="Z3982" s="3"/>
      <c r="AA3982" s="3"/>
    </row>
    <row r="3983" ht="105.75" customHeight="1">
      <c r="A3983" s="11"/>
      <c r="B3983" s="12"/>
      <c r="C3983" s="11"/>
      <c r="D3983" s="13"/>
      <c r="E3983" s="14"/>
      <c r="F3983" s="14"/>
      <c r="G3983" s="14"/>
      <c r="H3983" s="15"/>
      <c r="I3983" s="15"/>
      <c r="J3983" s="3"/>
      <c r="K3983" s="3"/>
      <c r="L3983" s="3"/>
      <c r="M3983" s="3"/>
      <c r="N3983" s="3"/>
      <c r="O3983" s="3"/>
      <c r="P3983" s="3"/>
      <c r="Q3983" s="3"/>
      <c r="R3983" s="3"/>
      <c r="S3983" s="3"/>
      <c r="T3983" s="3"/>
      <c r="U3983" s="3"/>
      <c r="V3983" s="3"/>
      <c r="W3983" s="3"/>
      <c r="X3983" s="3"/>
      <c r="Y3983" s="3"/>
      <c r="Z3983" s="3"/>
      <c r="AA3983" s="3"/>
    </row>
    <row r="3984" ht="105.75" customHeight="1">
      <c r="A3984" s="11"/>
      <c r="B3984" s="12"/>
      <c r="C3984" s="11"/>
      <c r="D3984" s="13"/>
      <c r="E3984" s="14"/>
      <c r="F3984" s="14"/>
      <c r="G3984" s="14"/>
      <c r="H3984" s="15"/>
      <c r="I3984" s="15"/>
      <c r="J3984" s="3"/>
      <c r="K3984" s="3"/>
      <c r="L3984" s="3"/>
      <c r="M3984" s="3"/>
      <c r="N3984" s="3"/>
      <c r="O3984" s="3"/>
      <c r="P3984" s="3"/>
      <c r="Q3984" s="3"/>
      <c r="R3984" s="3"/>
      <c r="S3984" s="3"/>
      <c r="T3984" s="3"/>
      <c r="U3984" s="3"/>
      <c r="V3984" s="3"/>
      <c r="W3984" s="3"/>
      <c r="X3984" s="3"/>
      <c r="Y3984" s="3"/>
      <c r="Z3984" s="3"/>
      <c r="AA3984" s="3"/>
    </row>
    <row r="3985" ht="105.75" customHeight="1">
      <c r="A3985" s="11"/>
      <c r="B3985" s="12"/>
      <c r="C3985" s="11"/>
      <c r="D3985" s="13"/>
      <c r="E3985" s="14"/>
      <c r="F3985" s="14"/>
      <c r="G3985" s="14"/>
      <c r="H3985" s="15"/>
      <c r="I3985" s="15"/>
      <c r="J3985" s="3"/>
      <c r="K3985" s="3"/>
      <c r="L3985" s="3"/>
      <c r="M3985" s="3"/>
      <c r="N3985" s="3"/>
      <c r="O3985" s="3"/>
      <c r="P3985" s="3"/>
      <c r="Q3985" s="3"/>
      <c r="R3985" s="3"/>
      <c r="S3985" s="3"/>
      <c r="T3985" s="3"/>
      <c r="U3985" s="3"/>
      <c r="V3985" s="3"/>
      <c r="W3985" s="3"/>
      <c r="X3985" s="3"/>
      <c r="Y3985" s="3"/>
      <c r="Z3985" s="3"/>
      <c r="AA3985" s="3"/>
    </row>
    <row r="3986" ht="105.75" customHeight="1">
      <c r="A3986" s="11"/>
      <c r="B3986" s="12"/>
      <c r="C3986" s="11"/>
      <c r="D3986" s="13"/>
      <c r="E3986" s="14"/>
      <c r="F3986" s="14"/>
      <c r="G3986" s="14"/>
      <c r="H3986" s="15"/>
      <c r="I3986" s="15"/>
      <c r="J3986" s="3"/>
      <c r="K3986" s="3"/>
      <c r="L3986" s="3"/>
      <c r="M3986" s="3"/>
      <c r="N3986" s="3"/>
      <c r="O3986" s="3"/>
      <c r="P3986" s="3"/>
      <c r="Q3986" s="3"/>
      <c r="R3986" s="3"/>
      <c r="S3986" s="3"/>
      <c r="T3986" s="3"/>
      <c r="U3986" s="3"/>
      <c r="V3986" s="3"/>
      <c r="W3986" s="3"/>
      <c r="X3986" s="3"/>
      <c r="Y3986" s="3"/>
      <c r="Z3986" s="3"/>
      <c r="AA3986" s="3"/>
    </row>
    <row r="3987" ht="105.75" customHeight="1">
      <c r="A3987" s="11"/>
      <c r="B3987" s="12"/>
      <c r="C3987" s="11"/>
      <c r="D3987" s="13"/>
      <c r="E3987" s="14"/>
      <c r="F3987" s="14"/>
      <c r="G3987" s="14"/>
      <c r="H3987" s="15"/>
      <c r="I3987" s="15"/>
      <c r="J3987" s="3"/>
      <c r="K3987" s="3"/>
      <c r="L3987" s="3"/>
      <c r="M3987" s="3"/>
      <c r="N3987" s="3"/>
      <c r="O3987" s="3"/>
      <c r="P3987" s="3"/>
      <c r="Q3987" s="3"/>
      <c r="R3987" s="3"/>
      <c r="S3987" s="3"/>
      <c r="T3987" s="3"/>
      <c r="U3987" s="3"/>
      <c r="V3987" s="3"/>
      <c r="W3987" s="3"/>
      <c r="X3987" s="3"/>
      <c r="Y3987" s="3"/>
      <c r="Z3987" s="3"/>
      <c r="AA3987" s="3"/>
    </row>
    <row r="3988" ht="105.75" customHeight="1">
      <c r="A3988" s="11"/>
      <c r="B3988" s="12"/>
      <c r="C3988" s="11"/>
      <c r="D3988" s="13"/>
      <c r="E3988" s="14"/>
      <c r="F3988" s="14"/>
      <c r="G3988" s="14"/>
      <c r="H3988" s="15"/>
      <c r="I3988" s="15"/>
      <c r="J3988" s="3"/>
      <c r="K3988" s="3"/>
      <c r="L3988" s="3"/>
      <c r="M3988" s="3"/>
      <c r="N3988" s="3"/>
      <c r="O3988" s="3"/>
      <c r="P3988" s="3"/>
      <c r="Q3988" s="3"/>
      <c r="R3988" s="3"/>
      <c r="S3988" s="3"/>
      <c r="T3988" s="3"/>
      <c r="U3988" s="3"/>
      <c r="V3988" s="3"/>
      <c r="W3988" s="3"/>
      <c r="X3988" s="3"/>
      <c r="Y3988" s="3"/>
      <c r="Z3988" s="3"/>
      <c r="AA3988" s="3"/>
    </row>
    <row r="3989" ht="105.75" customHeight="1">
      <c r="A3989" s="11"/>
      <c r="B3989" s="12"/>
      <c r="C3989" s="11"/>
      <c r="D3989" s="13"/>
      <c r="E3989" s="14"/>
      <c r="F3989" s="14"/>
      <c r="G3989" s="14"/>
      <c r="H3989" s="15"/>
      <c r="I3989" s="15"/>
      <c r="J3989" s="3"/>
      <c r="K3989" s="3"/>
      <c r="L3989" s="3"/>
      <c r="M3989" s="3"/>
      <c r="N3989" s="3"/>
      <c r="O3989" s="3"/>
      <c r="P3989" s="3"/>
      <c r="Q3989" s="3"/>
      <c r="R3989" s="3"/>
      <c r="S3989" s="3"/>
      <c r="T3989" s="3"/>
      <c r="U3989" s="3"/>
      <c r="V3989" s="3"/>
      <c r="W3989" s="3"/>
      <c r="X3989" s="3"/>
      <c r="Y3989" s="3"/>
      <c r="Z3989" s="3"/>
      <c r="AA3989" s="3"/>
    </row>
    <row r="3990" ht="105.75" customHeight="1">
      <c r="A3990" s="11"/>
      <c r="B3990" s="12"/>
      <c r="C3990" s="11"/>
      <c r="D3990" s="13"/>
      <c r="E3990" s="14"/>
      <c r="F3990" s="14"/>
      <c r="G3990" s="14"/>
      <c r="H3990" s="15"/>
      <c r="I3990" s="15"/>
      <c r="J3990" s="3"/>
      <c r="K3990" s="3"/>
      <c r="L3990" s="3"/>
      <c r="M3990" s="3"/>
      <c r="N3990" s="3"/>
      <c r="O3990" s="3"/>
      <c r="P3990" s="3"/>
      <c r="Q3990" s="3"/>
      <c r="R3990" s="3"/>
      <c r="S3990" s="3"/>
      <c r="T3990" s="3"/>
      <c r="U3990" s="3"/>
      <c r="V3990" s="3"/>
      <c r="W3990" s="3"/>
      <c r="X3990" s="3"/>
      <c r="Y3990" s="3"/>
      <c r="Z3990" s="3"/>
      <c r="AA3990" s="3"/>
    </row>
    <row r="3991" ht="105.75" customHeight="1">
      <c r="A3991" s="11"/>
      <c r="B3991" s="12"/>
      <c r="C3991" s="11"/>
      <c r="D3991" s="13"/>
      <c r="E3991" s="14"/>
      <c r="F3991" s="14"/>
      <c r="G3991" s="14"/>
      <c r="H3991" s="15"/>
      <c r="I3991" s="15"/>
      <c r="J3991" s="3"/>
      <c r="K3991" s="3"/>
      <c r="L3991" s="3"/>
      <c r="M3991" s="3"/>
      <c r="N3991" s="3"/>
      <c r="O3991" s="3"/>
      <c r="P3991" s="3"/>
      <c r="Q3991" s="3"/>
      <c r="R3991" s="3"/>
      <c r="S3991" s="3"/>
      <c r="T3991" s="3"/>
      <c r="U3991" s="3"/>
      <c r="V3991" s="3"/>
      <c r="W3991" s="3"/>
      <c r="X3991" s="3"/>
      <c r="Y3991" s="3"/>
      <c r="Z3991" s="3"/>
      <c r="AA3991" s="3"/>
    </row>
    <row r="3992" ht="105.75" customHeight="1">
      <c r="A3992" s="11"/>
      <c r="B3992" s="12"/>
      <c r="C3992" s="11"/>
      <c r="D3992" s="13"/>
      <c r="E3992" s="14"/>
      <c r="F3992" s="14"/>
      <c r="G3992" s="14"/>
      <c r="H3992" s="15"/>
      <c r="I3992" s="15"/>
      <c r="J3992" s="3"/>
      <c r="K3992" s="3"/>
      <c r="L3992" s="3"/>
      <c r="M3992" s="3"/>
      <c r="N3992" s="3"/>
      <c r="O3992" s="3"/>
      <c r="P3992" s="3"/>
      <c r="Q3992" s="3"/>
      <c r="R3992" s="3"/>
      <c r="S3992" s="3"/>
      <c r="T3992" s="3"/>
      <c r="U3992" s="3"/>
      <c r="V3992" s="3"/>
      <c r="W3992" s="3"/>
      <c r="X3992" s="3"/>
      <c r="Y3992" s="3"/>
      <c r="Z3992" s="3"/>
      <c r="AA3992" s="3"/>
    </row>
    <row r="3993" ht="105.75" customHeight="1">
      <c r="A3993" s="11"/>
      <c r="B3993" s="12"/>
      <c r="C3993" s="11"/>
      <c r="D3993" s="13"/>
      <c r="E3993" s="14"/>
      <c r="F3993" s="14"/>
      <c r="G3993" s="14"/>
      <c r="H3993" s="15"/>
      <c r="I3993" s="15"/>
      <c r="J3993" s="3"/>
      <c r="K3993" s="3"/>
      <c r="L3993" s="3"/>
      <c r="M3993" s="3"/>
      <c r="N3993" s="3"/>
      <c r="O3993" s="3"/>
      <c r="P3993" s="3"/>
      <c r="Q3993" s="3"/>
      <c r="R3993" s="3"/>
      <c r="S3993" s="3"/>
      <c r="T3993" s="3"/>
      <c r="U3993" s="3"/>
      <c r="V3993" s="3"/>
      <c r="W3993" s="3"/>
      <c r="X3993" s="3"/>
      <c r="Y3993" s="3"/>
      <c r="Z3993" s="3"/>
      <c r="AA3993" s="3"/>
    </row>
    <row r="3994" ht="105.75" customHeight="1">
      <c r="A3994" s="11"/>
      <c r="B3994" s="12"/>
      <c r="C3994" s="11"/>
      <c r="D3994" s="13"/>
      <c r="E3994" s="14"/>
      <c r="F3994" s="14"/>
      <c r="G3994" s="14"/>
      <c r="H3994" s="15"/>
      <c r="I3994" s="15"/>
      <c r="J3994" s="3"/>
      <c r="K3994" s="3"/>
      <c r="L3994" s="3"/>
      <c r="M3994" s="3"/>
      <c r="N3994" s="3"/>
      <c r="O3994" s="3"/>
      <c r="P3994" s="3"/>
      <c r="Q3994" s="3"/>
      <c r="R3994" s="3"/>
      <c r="S3994" s="3"/>
      <c r="T3994" s="3"/>
      <c r="U3994" s="3"/>
      <c r="V3994" s="3"/>
      <c r="W3994" s="3"/>
      <c r="X3994" s="3"/>
      <c r="Y3994" s="3"/>
      <c r="Z3994" s="3"/>
      <c r="AA3994" s="3"/>
    </row>
    <row r="3995" ht="105.75" customHeight="1">
      <c r="A3995" s="11"/>
      <c r="B3995" s="12"/>
      <c r="C3995" s="11"/>
      <c r="D3995" s="13"/>
      <c r="E3995" s="14"/>
      <c r="F3995" s="14"/>
      <c r="G3995" s="14"/>
      <c r="H3995" s="15"/>
      <c r="I3995" s="15"/>
      <c r="J3995" s="3"/>
      <c r="K3995" s="3"/>
      <c r="L3995" s="3"/>
      <c r="M3995" s="3"/>
      <c r="N3995" s="3"/>
      <c r="O3995" s="3"/>
      <c r="P3995" s="3"/>
      <c r="Q3995" s="3"/>
      <c r="R3995" s="3"/>
      <c r="S3995" s="3"/>
      <c r="T3995" s="3"/>
      <c r="U3995" s="3"/>
      <c r="V3995" s="3"/>
      <c r="W3995" s="3"/>
      <c r="X3995" s="3"/>
      <c r="Y3995" s="3"/>
      <c r="Z3995" s="3"/>
      <c r="AA3995" s="3"/>
    </row>
    <row r="3996" ht="105.75" customHeight="1">
      <c r="A3996" s="11"/>
      <c r="B3996" s="12"/>
      <c r="C3996" s="11"/>
      <c r="D3996" s="13"/>
      <c r="E3996" s="14"/>
      <c r="F3996" s="14"/>
      <c r="G3996" s="14"/>
      <c r="H3996" s="15"/>
      <c r="I3996" s="15"/>
      <c r="J3996" s="3"/>
      <c r="K3996" s="3"/>
      <c r="L3996" s="3"/>
      <c r="M3996" s="3"/>
      <c r="N3996" s="3"/>
      <c r="O3996" s="3"/>
      <c r="P3996" s="3"/>
      <c r="Q3996" s="3"/>
      <c r="R3996" s="3"/>
      <c r="S3996" s="3"/>
      <c r="T3996" s="3"/>
      <c r="U3996" s="3"/>
      <c r="V3996" s="3"/>
      <c r="W3996" s="3"/>
      <c r="X3996" s="3"/>
      <c r="Y3996" s="3"/>
      <c r="Z3996" s="3"/>
      <c r="AA3996" s="3"/>
    </row>
    <row r="3997" ht="105.75" customHeight="1">
      <c r="A3997" s="11"/>
      <c r="B3997" s="12"/>
      <c r="C3997" s="11"/>
      <c r="D3997" s="13"/>
      <c r="E3997" s="14"/>
      <c r="F3997" s="14"/>
      <c r="G3997" s="14"/>
      <c r="H3997" s="15"/>
      <c r="I3997" s="15"/>
      <c r="J3997" s="3"/>
      <c r="K3997" s="3"/>
      <c r="L3997" s="3"/>
      <c r="M3997" s="3"/>
      <c r="N3997" s="3"/>
      <c r="O3997" s="3"/>
      <c r="P3997" s="3"/>
      <c r="Q3997" s="3"/>
      <c r="R3997" s="3"/>
      <c r="S3997" s="3"/>
      <c r="T3997" s="3"/>
      <c r="U3997" s="3"/>
      <c r="V3997" s="3"/>
      <c r="W3997" s="3"/>
      <c r="X3997" s="3"/>
      <c r="Y3997" s="3"/>
      <c r="Z3997" s="3"/>
      <c r="AA3997" s="3"/>
    </row>
    <row r="3998" ht="105.75" customHeight="1">
      <c r="A3998" s="11"/>
      <c r="B3998" s="12"/>
      <c r="C3998" s="11"/>
      <c r="D3998" s="13"/>
      <c r="E3998" s="14"/>
      <c r="F3998" s="14"/>
      <c r="G3998" s="14"/>
      <c r="H3998" s="15"/>
      <c r="I3998" s="15"/>
      <c r="J3998" s="3"/>
      <c r="K3998" s="3"/>
      <c r="L3998" s="3"/>
      <c r="M3998" s="3"/>
      <c r="N3998" s="3"/>
      <c r="O3998" s="3"/>
      <c r="P3998" s="3"/>
      <c r="Q3998" s="3"/>
      <c r="R3998" s="3"/>
      <c r="S3998" s="3"/>
      <c r="T3998" s="3"/>
      <c r="U3998" s="3"/>
      <c r="V3998" s="3"/>
      <c r="W3998" s="3"/>
      <c r="X3998" s="3"/>
      <c r="Y3998" s="3"/>
      <c r="Z3998" s="3"/>
      <c r="AA3998" s="3"/>
    </row>
    <row r="3999" ht="105.75" customHeight="1">
      <c r="A3999" s="11"/>
      <c r="B3999" s="12"/>
      <c r="C3999" s="11"/>
      <c r="D3999" s="13"/>
      <c r="E3999" s="14"/>
      <c r="F3999" s="14"/>
      <c r="G3999" s="14"/>
      <c r="H3999" s="15"/>
      <c r="I3999" s="15"/>
      <c r="J3999" s="3"/>
      <c r="K3999" s="3"/>
      <c r="L3999" s="3"/>
      <c r="M3999" s="3"/>
      <c r="N3999" s="3"/>
      <c r="O3999" s="3"/>
      <c r="P3999" s="3"/>
      <c r="Q3999" s="3"/>
      <c r="R3999" s="3"/>
      <c r="S3999" s="3"/>
      <c r="T3999" s="3"/>
      <c r="U3999" s="3"/>
      <c r="V3999" s="3"/>
      <c r="W3999" s="3"/>
      <c r="X3999" s="3"/>
      <c r="Y3999" s="3"/>
      <c r="Z3999" s="3"/>
      <c r="AA3999" s="3"/>
    </row>
    <row r="4000" ht="105.75" customHeight="1">
      <c r="A4000" s="11"/>
      <c r="B4000" s="12"/>
      <c r="C4000" s="11"/>
      <c r="D4000" s="13"/>
      <c r="E4000" s="14"/>
      <c r="F4000" s="14"/>
      <c r="G4000" s="14"/>
      <c r="H4000" s="15"/>
      <c r="I4000" s="15"/>
      <c r="J4000" s="3"/>
      <c r="K4000" s="3"/>
      <c r="L4000" s="3"/>
      <c r="M4000" s="3"/>
      <c r="N4000" s="3"/>
      <c r="O4000" s="3"/>
      <c r="P4000" s="3"/>
      <c r="Q4000" s="3"/>
      <c r="R4000" s="3"/>
      <c r="S4000" s="3"/>
      <c r="T4000" s="3"/>
      <c r="U4000" s="3"/>
      <c r="V4000" s="3"/>
      <c r="W4000" s="3"/>
      <c r="X4000" s="3"/>
      <c r="Y4000" s="3"/>
      <c r="Z4000" s="3"/>
      <c r="AA4000" s="3"/>
    </row>
    <row r="4001" ht="105.75" customHeight="1">
      <c r="A4001" s="11"/>
      <c r="B4001" s="12"/>
      <c r="C4001" s="11"/>
      <c r="D4001" s="13"/>
      <c r="E4001" s="14"/>
      <c r="F4001" s="14"/>
      <c r="G4001" s="14"/>
      <c r="H4001" s="15"/>
      <c r="I4001" s="15"/>
      <c r="J4001" s="3"/>
      <c r="K4001" s="3"/>
      <c r="L4001" s="3"/>
      <c r="M4001" s="3"/>
      <c r="N4001" s="3"/>
      <c r="O4001" s="3"/>
      <c r="P4001" s="3"/>
      <c r="Q4001" s="3"/>
      <c r="R4001" s="3"/>
      <c r="S4001" s="3"/>
      <c r="T4001" s="3"/>
      <c r="U4001" s="3"/>
      <c r="V4001" s="3"/>
      <c r="W4001" s="3"/>
      <c r="X4001" s="3"/>
      <c r="Y4001" s="3"/>
      <c r="Z4001" s="3"/>
      <c r="AA4001" s="3"/>
    </row>
    <row r="4002" ht="105.75" customHeight="1">
      <c r="A4002" s="11"/>
      <c r="B4002" s="12"/>
      <c r="C4002" s="11"/>
      <c r="D4002" s="13"/>
      <c r="E4002" s="14"/>
      <c r="F4002" s="14"/>
      <c r="G4002" s="14"/>
      <c r="H4002" s="15"/>
      <c r="I4002" s="15"/>
      <c r="J4002" s="3"/>
      <c r="K4002" s="3"/>
      <c r="L4002" s="3"/>
      <c r="M4002" s="3"/>
      <c r="N4002" s="3"/>
      <c r="O4002" s="3"/>
      <c r="P4002" s="3"/>
      <c r="Q4002" s="3"/>
      <c r="R4002" s="3"/>
      <c r="S4002" s="3"/>
      <c r="T4002" s="3"/>
      <c r="U4002" s="3"/>
      <c r="V4002" s="3"/>
      <c r="W4002" s="3"/>
      <c r="X4002" s="3"/>
      <c r="Y4002" s="3"/>
      <c r="Z4002" s="3"/>
      <c r="AA4002" s="3"/>
    </row>
    <row r="4003" ht="105.75" customHeight="1">
      <c r="A4003" s="11"/>
      <c r="B4003" s="12"/>
      <c r="C4003" s="11"/>
      <c r="D4003" s="13"/>
      <c r="E4003" s="14"/>
      <c r="F4003" s="14"/>
      <c r="G4003" s="14"/>
      <c r="H4003" s="15"/>
      <c r="I4003" s="15"/>
      <c r="J4003" s="3"/>
      <c r="K4003" s="3"/>
      <c r="L4003" s="3"/>
      <c r="M4003" s="3"/>
      <c r="N4003" s="3"/>
      <c r="O4003" s="3"/>
      <c r="P4003" s="3"/>
      <c r="Q4003" s="3"/>
      <c r="R4003" s="3"/>
      <c r="S4003" s="3"/>
      <c r="T4003" s="3"/>
      <c r="U4003" s="3"/>
      <c r="V4003" s="3"/>
      <c r="W4003" s="3"/>
      <c r="X4003" s="3"/>
      <c r="Y4003" s="3"/>
      <c r="Z4003" s="3"/>
      <c r="AA4003" s="3"/>
    </row>
    <row r="4004" ht="105.75" customHeight="1">
      <c r="A4004" s="11"/>
      <c r="B4004" s="12"/>
      <c r="C4004" s="11"/>
      <c r="D4004" s="13"/>
      <c r="E4004" s="14"/>
      <c r="F4004" s="14"/>
      <c r="G4004" s="14"/>
      <c r="H4004" s="15"/>
      <c r="I4004" s="15"/>
      <c r="J4004" s="3"/>
      <c r="K4004" s="3"/>
      <c r="L4004" s="3"/>
      <c r="M4004" s="3"/>
      <c r="N4004" s="3"/>
      <c r="O4004" s="3"/>
      <c r="P4004" s="3"/>
      <c r="Q4004" s="3"/>
      <c r="R4004" s="3"/>
      <c r="S4004" s="3"/>
      <c r="T4004" s="3"/>
      <c r="U4004" s="3"/>
      <c r="V4004" s="3"/>
      <c r="W4004" s="3"/>
      <c r="X4004" s="3"/>
      <c r="Y4004" s="3"/>
      <c r="Z4004" s="3"/>
      <c r="AA4004" s="3"/>
    </row>
    <row r="4005" ht="105.75" customHeight="1">
      <c r="A4005" s="11"/>
      <c r="B4005" s="12"/>
      <c r="C4005" s="11"/>
      <c r="D4005" s="13"/>
      <c r="E4005" s="14"/>
      <c r="F4005" s="14"/>
      <c r="G4005" s="14"/>
      <c r="H4005" s="15"/>
      <c r="I4005" s="15"/>
      <c r="J4005" s="3"/>
      <c r="K4005" s="3"/>
      <c r="L4005" s="3"/>
      <c r="M4005" s="3"/>
      <c r="N4005" s="3"/>
      <c r="O4005" s="3"/>
      <c r="P4005" s="3"/>
      <c r="Q4005" s="3"/>
      <c r="R4005" s="3"/>
      <c r="S4005" s="3"/>
      <c r="T4005" s="3"/>
      <c r="U4005" s="3"/>
      <c r="V4005" s="3"/>
      <c r="W4005" s="3"/>
      <c r="X4005" s="3"/>
      <c r="Y4005" s="3"/>
      <c r="Z4005" s="3"/>
      <c r="AA4005" s="3"/>
    </row>
    <row r="4006" ht="105.75" customHeight="1">
      <c r="A4006" s="11"/>
      <c r="B4006" s="12"/>
      <c r="C4006" s="11"/>
      <c r="D4006" s="13"/>
      <c r="E4006" s="14"/>
      <c r="F4006" s="14"/>
      <c r="G4006" s="14"/>
      <c r="H4006" s="15"/>
      <c r="I4006" s="15"/>
      <c r="J4006" s="3"/>
      <c r="K4006" s="3"/>
      <c r="L4006" s="3"/>
      <c r="M4006" s="3"/>
      <c r="N4006" s="3"/>
      <c r="O4006" s="3"/>
      <c r="P4006" s="3"/>
      <c r="Q4006" s="3"/>
      <c r="R4006" s="3"/>
      <c r="S4006" s="3"/>
      <c r="T4006" s="3"/>
      <c r="U4006" s="3"/>
      <c r="V4006" s="3"/>
      <c r="W4006" s="3"/>
      <c r="X4006" s="3"/>
      <c r="Y4006" s="3"/>
      <c r="Z4006" s="3"/>
      <c r="AA4006" s="3"/>
    </row>
    <row r="4007" ht="105.75" customHeight="1">
      <c r="A4007" s="11"/>
      <c r="B4007" s="12"/>
      <c r="C4007" s="11"/>
      <c r="D4007" s="13"/>
      <c r="E4007" s="14"/>
      <c r="F4007" s="14"/>
      <c r="G4007" s="14"/>
      <c r="H4007" s="15"/>
      <c r="I4007" s="15"/>
      <c r="J4007" s="3"/>
      <c r="K4007" s="3"/>
      <c r="L4007" s="3"/>
      <c r="M4007" s="3"/>
      <c r="N4007" s="3"/>
      <c r="O4007" s="3"/>
      <c r="P4007" s="3"/>
      <c r="Q4007" s="3"/>
      <c r="R4007" s="3"/>
      <c r="S4007" s="3"/>
      <c r="T4007" s="3"/>
      <c r="U4007" s="3"/>
      <c r="V4007" s="3"/>
      <c r="W4007" s="3"/>
      <c r="X4007" s="3"/>
      <c r="Y4007" s="3"/>
      <c r="Z4007" s="3"/>
      <c r="AA4007" s="3"/>
    </row>
    <row r="4008" ht="105.75" customHeight="1">
      <c r="A4008" s="11"/>
      <c r="B4008" s="12"/>
      <c r="C4008" s="11"/>
      <c r="D4008" s="13"/>
      <c r="E4008" s="14"/>
      <c r="F4008" s="14"/>
      <c r="G4008" s="14"/>
      <c r="H4008" s="15"/>
      <c r="I4008" s="15"/>
      <c r="J4008" s="3"/>
      <c r="K4008" s="3"/>
      <c r="L4008" s="3"/>
      <c r="M4008" s="3"/>
      <c r="N4008" s="3"/>
      <c r="O4008" s="3"/>
      <c r="P4008" s="3"/>
      <c r="Q4008" s="3"/>
      <c r="R4008" s="3"/>
      <c r="S4008" s="3"/>
      <c r="T4008" s="3"/>
      <c r="U4008" s="3"/>
      <c r="V4008" s="3"/>
      <c r="W4008" s="3"/>
      <c r="X4008" s="3"/>
      <c r="Y4008" s="3"/>
      <c r="Z4008" s="3"/>
      <c r="AA4008" s="3"/>
    </row>
    <row r="4009" ht="105.75" customHeight="1">
      <c r="A4009" s="11"/>
      <c r="B4009" s="12"/>
      <c r="C4009" s="11"/>
      <c r="D4009" s="13"/>
      <c r="E4009" s="14"/>
      <c r="F4009" s="14"/>
      <c r="G4009" s="14"/>
      <c r="H4009" s="15"/>
      <c r="I4009" s="15"/>
      <c r="J4009" s="3"/>
      <c r="K4009" s="3"/>
      <c r="L4009" s="3"/>
      <c r="M4009" s="3"/>
      <c r="N4009" s="3"/>
      <c r="O4009" s="3"/>
      <c r="P4009" s="3"/>
      <c r="Q4009" s="3"/>
      <c r="R4009" s="3"/>
      <c r="S4009" s="3"/>
      <c r="T4009" s="3"/>
      <c r="U4009" s="3"/>
      <c r="V4009" s="3"/>
      <c r="W4009" s="3"/>
      <c r="X4009" s="3"/>
      <c r="Y4009" s="3"/>
      <c r="Z4009" s="3"/>
      <c r="AA4009" s="3"/>
    </row>
    <row r="4010" ht="105.75" customHeight="1">
      <c r="A4010" s="11"/>
      <c r="B4010" s="12"/>
      <c r="C4010" s="11"/>
      <c r="D4010" s="13"/>
      <c r="E4010" s="14"/>
      <c r="F4010" s="14"/>
      <c r="G4010" s="14"/>
      <c r="H4010" s="15"/>
      <c r="I4010" s="15"/>
      <c r="J4010" s="3"/>
      <c r="K4010" s="3"/>
      <c r="L4010" s="3"/>
      <c r="M4010" s="3"/>
      <c r="N4010" s="3"/>
      <c r="O4010" s="3"/>
      <c r="P4010" s="3"/>
      <c r="Q4010" s="3"/>
      <c r="R4010" s="3"/>
      <c r="S4010" s="3"/>
      <c r="T4010" s="3"/>
      <c r="U4010" s="3"/>
      <c r="V4010" s="3"/>
      <c r="W4010" s="3"/>
      <c r="X4010" s="3"/>
      <c r="Y4010" s="3"/>
      <c r="Z4010" s="3"/>
      <c r="AA4010" s="3"/>
    </row>
    <row r="4011" ht="105.75" customHeight="1">
      <c r="A4011" s="11"/>
      <c r="B4011" s="12"/>
      <c r="C4011" s="11"/>
      <c r="D4011" s="13"/>
      <c r="E4011" s="14"/>
      <c r="F4011" s="14"/>
      <c r="G4011" s="14"/>
      <c r="H4011" s="15"/>
      <c r="I4011" s="15"/>
      <c r="J4011" s="3"/>
      <c r="K4011" s="3"/>
      <c r="L4011" s="3"/>
      <c r="M4011" s="3"/>
      <c r="N4011" s="3"/>
      <c r="O4011" s="3"/>
      <c r="P4011" s="3"/>
      <c r="Q4011" s="3"/>
      <c r="R4011" s="3"/>
      <c r="S4011" s="3"/>
      <c r="T4011" s="3"/>
      <c r="U4011" s="3"/>
      <c r="V4011" s="3"/>
      <c r="W4011" s="3"/>
      <c r="X4011" s="3"/>
      <c r="Y4011" s="3"/>
      <c r="Z4011" s="3"/>
      <c r="AA4011" s="3"/>
    </row>
    <row r="4012" ht="105.75" customHeight="1">
      <c r="A4012" s="11"/>
      <c r="B4012" s="12"/>
      <c r="C4012" s="11"/>
      <c r="D4012" s="13"/>
      <c r="E4012" s="14"/>
      <c r="F4012" s="14"/>
      <c r="G4012" s="14"/>
      <c r="H4012" s="15"/>
      <c r="I4012" s="15"/>
      <c r="J4012" s="3"/>
      <c r="K4012" s="3"/>
      <c r="L4012" s="3"/>
      <c r="M4012" s="3"/>
      <c r="N4012" s="3"/>
      <c r="O4012" s="3"/>
      <c r="P4012" s="3"/>
      <c r="Q4012" s="3"/>
      <c r="R4012" s="3"/>
      <c r="S4012" s="3"/>
      <c r="T4012" s="3"/>
      <c r="U4012" s="3"/>
      <c r="V4012" s="3"/>
      <c r="W4012" s="3"/>
      <c r="X4012" s="3"/>
      <c r="Y4012" s="3"/>
      <c r="Z4012" s="3"/>
      <c r="AA4012" s="3"/>
    </row>
    <row r="4013" ht="105.75" customHeight="1">
      <c r="A4013" s="11"/>
      <c r="B4013" s="12"/>
      <c r="C4013" s="11"/>
      <c r="D4013" s="13"/>
      <c r="E4013" s="14"/>
      <c r="F4013" s="14"/>
      <c r="G4013" s="14"/>
      <c r="H4013" s="15"/>
      <c r="I4013" s="15"/>
      <c r="J4013" s="3"/>
      <c r="K4013" s="3"/>
      <c r="L4013" s="3"/>
      <c r="M4013" s="3"/>
      <c r="N4013" s="3"/>
      <c r="O4013" s="3"/>
      <c r="P4013" s="3"/>
      <c r="Q4013" s="3"/>
      <c r="R4013" s="3"/>
      <c r="S4013" s="3"/>
      <c r="T4013" s="3"/>
      <c r="U4013" s="3"/>
      <c r="V4013" s="3"/>
      <c r="W4013" s="3"/>
      <c r="X4013" s="3"/>
      <c r="Y4013" s="3"/>
      <c r="Z4013" s="3"/>
      <c r="AA4013" s="3"/>
    </row>
    <row r="4014" ht="105.75" customHeight="1">
      <c r="A4014" s="11"/>
      <c r="B4014" s="12"/>
      <c r="C4014" s="11"/>
      <c r="D4014" s="13"/>
      <c r="E4014" s="14"/>
      <c r="F4014" s="14"/>
      <c r="G4014" s="14"/>
      <c r="H4014" s="15"/>
      <c r="I4014" s="15"/>
      <c r="J4014" s="3"/>
      <c r="K4014" s="3"/>
      <c r="L4014" s="3"/>
      <c r="M4014" s="3"/>
      <c r="N4014" s="3"/>
      <c r="O4014" s="3"/>
      <c r="P4014" s="3"/>
      <c r="Q4014" s="3"/>
      <c r="R4014" s="3"/>
      <c r="S4014" s="3"/>
      <c r="T4014" s="3"/>
      <c r="U4014" s="3"/>
      <c r="V4014" s="3"/>
      <c r="W4014" s="3"/>
      <c r="X4014" s="3"/>
      <c r="Y4014" s="3"/>
      <c r="Z4014" s="3"/>
      <c r="AA4014" s="3"/>
    </row>
    <row r="4015" ht="105.75" customHeight="1">
      <c r="A4015" s="11"/>
      <c r="B4015" s="12"/>
      <c r="C4015" s="11"/>
      <c r="D4015" s="13"/>
      <c r="E4015" s="14"/>
      <c r="F4015" s="14"/>
      <c r="G4015" s="14"/>
      <c r="H4015" s="15"/>
      <c r="I4015" s="15"/>
      <c r="J4015" s="3"/>
      <c r="K4015" s="3"/>
      <c r="L4015" s="3"/>
      <c r="M4015" s="3"/>
      <c r="N4015" s="3"/>
      <c r="O4015" s="3"/>
      <c r="P4015" s="3"/>
      <c r="Q4015" s="3"/>
      <c r="R4015" s="3"/>
      <c r="S4015" s="3"/>
      <c r="T4015" s="3"/>
      <c r="U4015" s="3"/>
      <c r="V4015" s="3"/>
      <c r="W4015" s="3"/>
      <c r="X4015" s="3"/>
      <c r="Y4015" s="3"/>
      <c r="Z4015" s="3"/>
      <c r="AA4015" s="3"/>
    </row>
    <row r="4016" ht="105.75" customHeight="1">
      <c r="A4016" s="11"/>
      <c r="B4016" s="12"/>
      <c r="C4016" s="11"/>
      <c r="D4016" s="13"/>
      <c r="E4016" s="14"/>
      <c r="F4016" s="14"/>
      <c r="G4016" s="14"/>
      <c r="H4016" s="15"/>
      <c r="I4016" s="15"/>
      <c r="J4016" s="3"/>
      <c r="K4016" s="3"/>
      <c r="L4016" s="3"/>
      <c r="M4016" s="3"/>
      <c r="N4016" s="3"/>
      <c r="O4016" s="3"/>
      <c r="P4016" s="3"/>
      <c r="Q4016" s="3"/>
      <c r="R4016" s="3"/>
      <c r="S4016" s="3"/>
      <c r="T4016" s="3"/>
      <c r="U4016" s="3"/>
      <c r="V4016" s="3"/>
      <c r="W4016" s="3"/>
      <c r="X4016" s="3"/>
      <c r="Y4016" s="3"/>
      <c r="Z4016" s="3"/>
      <c r="AA4016" s="3"/>
    </row>
    <row r="4017" ht="105.75" customHeight="1">
      <c r="A4017" s="11"/>
      <c r="B4017" s="12"/>
      <c r="C4017" s="11"/>
      <c r="D4017" s="13"/>
      <c r="E4017" s="14"/>
      <c r="F4017" s="14"/>
      <c r="G4017" s="14"/>
      <c r="H4017" s="15"/>
      <c r="I4017" s="15"/>
      <c r="J4017" s="3"/>
      <c r="K4017" s="3"/>
      <c r="L4017" s="3"/>
      <c r="M4017" s="3"/>
      <c r="N4017" s="3"/>
      <c r="O4017" s="3"/>
      <c r="P4017" s="3"/>
      <c r="Q4017" s="3"/>
      <c r="R4017" s="3"/>
      <c r="S4017" s="3"/>
      <c r="T4017" s="3"/>
      <c r="U4017" s="3"/>
      <c r="V4017" s="3"/>
      <c r="W4017" s="3"/>
      <c r="X4017" s="3"/>
      <c r="Y4017" s="3"/>
      <c r="Z4017" s="3"/>
      <c r="AA4017" s="3"/>
    </row>
    <row r="4018" ht="105.75" customHeight="1">
      <c r="A4018" s="11"/>
      <c r="B4018" s="12"/>
      <c r="C4018" s="11"/>
      <c r="D4018" s="13"/>
      <c r="E4018" s="14"/>
      <c r="F4018" s="14"/>
      <c r="G4018" s="14"/>
      <c r="H4018" s="15"/>
      <c r="I4018" s="15"/>
      <c r="J4018" s="3"/>
      <c r="K4018" s="3"/>
      <c r="L4018" s="3"/>
      <c r="M4018" s="3"/>
      <c r="N4018" s="3"/>
      <c r="O4018" s="3"/>
      <c r="P4018" s="3"/>
      <c r="Q4018" s="3"/>
      <c r="R4018" s="3"/>
      <c r="S4018" s="3"/>
      <c r="T4018" s="3"/>
      <c r="U4018" s="3"/>
      <c r="V4018" s="3"/>
      <c r="W4018" s="3"/>
      <c r="X4018" s="3"/>
      <c r="Y4018" s="3"/>
      <c r="Z4018" s="3"/>
      <c r="AA4018" s="3"/>
    </row>
    <row r="4019" ht="105.75" customHeight="1">
      <c r="A4019" s="11"/>
      <c r="B4019" s="12"/>
      <c r="C4019" s="11"/>
      <c r="D4019" s="13"/>
      <c r="E4019" s="14"/>
      <c r="F4019" s="14"/>
      <c r="G4019" s="14"/>
      <c r="H4019" s="15"/>
      <c r="I4019" s="15"/>
      <c r="J4019" s="3"/>
      <c r="K4019" s="3"/>
      <c r="L4019" s="3"/>
      <c r="M4019" s="3"/>
      <c r="N4019" s="3"/>
      <c r="O4019" s="3"/>
      <c r="P4019" s="3"/>
      <c r="Q4019" s="3"/>
      <c r="R4019" s="3"/>
      <c r="S4019" s="3"/>
      <c r="T4019" s="3"/>
      <c r="U4019" s="3"/>
      <c r="V4019" s="3"/>
      <c r="W4019" s="3"/>
      <c r="X4019" s="3"/>
      <c r="Y4019" s="3"/>
      <c r="Z4019" s="3"/>
      <c r="AA4019" s="3"/>
    </row>
    <row r="4020" ht="105.75" customHeight="1">
      <c r="A4020" s="11"/>
      <c r="B4020" s="12"/>
      <c r="C4020" s="11"/>
      <c r="D4020" s="13"/>
      <c r="E4020" s="14"/>
      <c r="F4020" s="14"/>
      <c r="G4020" s="14"/>
      <c r="H4020" s="15"/>
      <c r="I4020" s="15"/>
      <c r="J4020" s="3"/>
      <c r="K4020" s="3"/>
      <c r="L4020" s="3"/>
      <c r="M4020" s="3"/>
      <c r="N4020" s="3"/>
      <c r="O4020" s="3"/>
      <c r="P4020" s="3"/>
      <c r="Q4020" s="3"/>
      <c r="R4020" s="3"/>
      <c r="S4020" s="3"/>
      <c r="T4020" s="3"/>
      <c r="U4020" s="3"/>
      <c r="V4020" s="3"/>
      <c r="W4020" s="3"/>
      <c r="X4020" s="3"/>
      <c r="Y4020" s="3"/>
      <c r="Z4020" s="3"/>
      <c r="AA4020" s="3"/>
    </row>
    <row r="4021" ht="105.75" customHeight="1">
      <c r="A4021" s="11"/>
      <c r="B4021" s="12"/>
      <c r="C4021" s="11"/>
      <c r="D4021" s="13"/>
      <c r="E4021" s="14"/>
      <c r="F4021" s="14"/>
      <c r="G4021" s="14"/>
      <c r="H4021" s="15"/>
      <c r="I4021" s="15"/>
      <c r="J4021" s="3"/>
      <c r="K4021" s="3"/>
      <c r="L4021" s="3"/>
      <c r="M4021" s="3"/>
      <c r="N4021" s="3"/>
      <c r="O4021" s="3"/>
      <c r="P4021" s="3"/>
      <c r="Q4021" s="3"/>
      <c r="R4021" s="3"/>
      <c r="S4021" s="3"/>
      <c r="T4021" s="3"/>
      <c r="U4021" s="3"/>
      <c r="V4021" s="3"/>
      <c r="W4021" s="3"/>
      <c r="X4021" s="3"/>
      <c r="Y4021" s="3"/>
      <c r="Z4021" s="3"/>
      <c r="AA4021" s="3"/>
    </row>
    <row r="4022" ht="105.75" customHeight="1">
      <c r="A4022" s="11"/>
      <c r="B4022" s="12"/>
      <c r="C4022" s="11"/>
      <c r="D4022" s="13"/>
      <c r="E4022" s="14"/>
      <c r="F4022" s="14"/>
      <c r="G4022" s="14"/>
      <c r="H4022" s="15"/>
      <c r="I4022" s="15"/>
      <c r="J4022" s="3"/>
      <c r="K4022" s="3"/>
      <c r="L4022" s="3"/>
      <c r="M4022" s="3"/>
      <c r="N4022" s="3"/>
      <c r="O4022" s="3"/>
      <c r="P4022" s="3"/>
      <c r="Q4022" s="3"/>
      <c r="R4022" s="3"/>
      <c r="S4022" s="3"/>
      <c r="T4022" s="3"/>
      <c r="U4022" s="3"/>
      <c r="V4022" s="3"/>
      <c r="W4022" s="3"/>
      <c r="X4022" s="3"/>
      <c r="Y4022" s="3"/>
      <c r="Z4022" s="3"/>
      <c r="AA4022" s="3"/>
    </row>
    <row r="4023" ht="105.75" customHeight="1">
      <c r="A4023" s="11"/>
      <c r="B4023" s="12"/>
      <c r="C4023" s="11"/>
      <c r="D4023" s="13"/>
      <c r="E4023" s="14"/>
      <c r="F4023" s="14"/>
      <c r="G4023" s="14"/>
      <c r="H4023" s="15"/>
      <c r="I4023" s="15"/>
      <c r="J4023" s="3"/>
      <c r="K4023" s="3"/>
      <c r="L4023" s="3"/>
      <c r="M4023" s="3"/>
      <c r="N4023" s="3"/>
      <c r="O4023" s="3"/>
      <c r="P4023" s="3"/>
      <c r="Q4023" s="3"/>
      <c r="R4023" s="3"/>
      <c r="S4023" s="3"/>
      <c r="T4023" s="3"/>
      <c r="U4023" s="3"/>
      <c r="V4023" s="3"/>
      <c r="W4023" s="3"/>
      <c r="X4023" s="3"/>
      <c r="Y4023" s="3"/>
      <c r="Z4023" s="3"/>
      <c r="AA4023" s="3"/>
    </row>
    <row r="4024" ht="105.75" customHeight="1">
      <c r="A4024" s="11"/>
      <c r="B4024" s="12"/>
      <c r="C4024" s="11"/>
      <c r="D4024" s="13"/>
      <c r="E4024" s="14"/>
      <c r="F4024" s="14"/>
      <c r="G4024" s="14"/>
      <c r="H4024" s="15"/>
      <c r="I4024" s="15"/>
      <c r="J4024" s="3"/>
      <c r="K4024" s="3"/>
      <c r="L4024" s="3"/>
      <c r="M4024" s="3"/>
      <c r="N4024" s="3"/>
      <c r="O4024" s="3"/>
      <c r="P4024" s="3"/>
      <c r="Q4024" s="3"/>
      <c r="R4024" s="3"/>
      <c r="S4024" s="3"/>
      <c r="T4024" s="3"/>
      <c r="U4024" s="3"/>
      <c r="V4024" s="3"/>
      <c r="W4024" s="3"/>
      <c r="X4024" s="3"/>
      <c r="Y4024" s="3"/>
      <c r="Z4024" s="3"/>
      <c r="AA4024" s="3"/>
    </row>
    <row r="4025" ht="105.75" customHeight="1">
      <c r="A4025" s="11"/>
      <c r="B4025" s="12"/>
      <c r="C4025" s="11"/>
      <c r="D4025" s="13"/>
      <c r="E4025" s="14"/>
      <c r="F4025" s="14"/>
      <c r="G4025" s="14"/>
      <c r="H4025" s="15"/>
      <c r="I4025" s="15"/>
      <c r="J4025" s="3"/>
      <c r="K4025" s="3"/>
      <c r="L4025" s="3"/>
      <c r="M4025" s="3"/>
      <c r="N4025" s="3"/>
      <c r="O4025" s="3"/>
      <c r="P4025" s="3"/>
      <c r="Q4025" s="3"/>
      <c r="R4025" s="3"/>
      <c r="S4025" s="3"/>
      <c r="T4025" s="3"/>
      <c r="U4025" s="3"/>
      <c r="V4025" s="3"/>
      <c r="W4025" s="3"/>
      <c r="X4025" s="3"/>
      <c r="Y4025" s="3"/>
      <c r="Z4025" s="3"/>
      <c r="AA4025" s="3"/>
    </row>
    <row r="4026" ht="105.75" customHeight="1">
      <c r="A4026" s="11"/>
      <c r="B4026" s="12"/>
      <c r="C4026" s="11"/>
      <c r="D4026" s="13"/>
      <c r="E4026" s="14"/>
      <c r="F4026" s="14"/>
      <c r="G4026" s="14"/>
      <c r="H4026" s="15"/>
      <c r="I4026" s="15"/>
      <c r="J4026" s="3"/>
      <c r="K4026" s="3"/>
      <c r="L4026" s="3"/>
      <c r="M4026" s="3"/>
      <c r="N4026" s="3"/>
      <c r="O4026" s="3"/>
      <c r="P4026" s="3"/>
      <c r="Q4026" s="3"/>
      <c r="R4026" s="3"/>
      <c r="S4026" s="3"/>
      <c r="T4026" s="3"/>
      <c r="U4026" s="3"/>
      <c r="V4026" s="3"/>
      <c r="W4026" s="3"/>
      <c r="X4026" s="3"/>
      <c r="Y4026" s="3"/>
      <c r="Z4026" s="3"/>
      <c r="AA4026" s="3"/>
    </row>
    <row r="4027" ht="105.75" customHeight="1">
      <c r="A4027" s="11"/>
      <c r="B4027" s="12"/>
      <c r="C4027" s="11"/>
      <c r="D4027" s="13"/>
      <c r="E4027" s="14"/>
      <c r="F4027" s="14"/>
      <c r="G4027" s="14"/>
      <c r="H4027" s="15"/>
      <c r="I4027" s="15"/>
      <c r="J4027" s="3"/>
      <c r="K4027" s="3"/>
      <c r="L4027" s="3"/>
      <c r="M4027" s="3"/>
      <c r="N4027" s="3"/>
      <c r="O4027" s="3"/>
      <c r="P4027" s="3"/>
      <c r="Q4027" s="3"/>
      <c r="R4027" s="3"/>
      <c r="S4027" s="3"/>
      <c r="T4027" s="3"/>
      <c r="U4027" s="3"/>
      <c r="V4027" s="3"/>
      <c r="W4027" s="3"/>
      <c r="X4027" s="3"/>
      <c r="Y4027" s="3"/>
      <c r="Z4027" s="3"/>
      <c r="AA4027" s="3"/>
    </row>
    <row r="4028" ht="105.75" customHeight="1">
      <c r="A4028" s="11"/>
      <c r="B4028" s="12"/>
      <c r="C4028" s="11"/>
      <c r="D4028" s="13"/>
      <c r="E4028" s="14"/>
      <c r="F4028" s="14"/>
      <c r="G4028" s="14"/>
      <c r="H4028" s="15"/>
      <c r="I4028" s="15"/>
      <c r="J4028" s="3"/>
      <c r="K4028" s="3"/>
      <c r="L4028" s="3"/>
      <c r="M4028" s="3"/>
      <c r="N4028" s="3"/>
      <c r="O4028" s="3"/>
      <c r="P4028" s="3"/>
      <c r="Q4028" s="3"/>
      <c r="R4028" s="3"/>
      <c r="S4028" s="3"/>
      <c r="T4028" s="3"/>
      <c r="U4028" s="3"/>
      <c r="V4028" s="3"/>
      <c r="W4028" s="3"/>
      <c r="X4028" s="3"/>
      <c r="Y4028" s="3"/>
      <c r="Z4028" s="3"/>
      <c r="AA4028" s="3"/>
    </row>
    <row r="4029" ht="105.75" customHeight="1">
      <c r="A4029" s="11"/>
      <c r="B4029" s="12"/>
      <c r="C4029" s="11"/>
      <c r="D4029" s="13"/>
      <c r="E4029" s="14"/>
      <c r="F4029" s="14"/>
      <c r="G4029" s="14"/>
      <c r="H4029" s="15"/>
      <c r="I4029" s="15"/>
      <c r="J4029" s="3"/>
      <c r="K4029" s="3"/>
      <c r="L4029" s="3"/>
      <c r="M4029" s="3"/>
      <c r="N4029" s="3"/>
      <c r="O4029" s="3"/>
      <c r="P4029" s="3"/>
      <c r="Q4029" s="3"/>
      <c r="R4029" s="3"/>
      <c r="S4029" s="3"/>
      <c r="T4029" s="3"/>
      <c r="U4029" s="3"/>
      <c r="V4029" s="3"/>
      <c r="W4029" s="3"/>
      <c r="X4029" s="3"/>
      <c r="Y4029" s="3"/>
      <c r="Z4029" s="3"/>
      <c r="AA4029" s="3"/>
    </row>
    <row r="4030" ht="105.75" customHeight="1">
      <c r="A4030" s="11"/>
      <c r="B4030" s="12"/>
      <c r="C4030" s="11"/>
      <c r="D4030" s="13"/>
      <c r="E4030" s="14"/>
      <c r="F4030" s="14"/>
      <c r="G4030" s="14"/>
      <c r="H4030" s="15"/>
      <c r="I4030" s="15"/>
      <c r="J4030" s="3"/>
      <c r="K4030" s="3"/>
      <c r="L4030" s="3"/>
      <c r="M4030" s="3"/>
      <c r="N4030" s="3"/>
      <c r="O4030" s="3"/>
      <c r="P4030" s="3"/>
      <c r="Q4030" s="3"/>
      <c r="R4030" s="3"/>
      <c r="S4030" s="3"/>
      <c r="T4030" s="3"/>
      <c r="U4030" s="3"/>
      <c r="V4030" s="3"/>
      <c r="W4030" s="3"/>
      <c r="X4030" s="3"/>
      <c r="Y4030" s="3"/>
      <c r="Z4030" s="3"/>
      <c r="AA4030" s="3"/>
    </row>
    <row r="4031" ht="105.75" customHeight="1">
      <c r="A4031" s="11"/>
      <c r="B4031" s="12"/>
      <c r="C4031" s="11"/>
      <c r="D4031" s="13"/>
      <c r="E4031" s="14"/>
      <c r="F4031" s="14"/>
      <c r="G4031" s="14"/>
      <c r="H4031" s="15"/>
      <c r="I4031" s="15"/>
      <c r="J4031" s="3"/>
      <c r="K4031" s="3"/>
      <c r="L4031" s="3"/>
      <c r="M4031" s="3"/>
      <c r="N4031" s="3"/>
      <c r="O4031" s="3"/>
      <c r="P4031" s="3"/>
      <c r="Q4031" s="3"/>
      <c r="R4031" s="3"/>
      <c r="S4031" s="3"/>
      <c r="T4031" s="3"/>
      <c r="U4031" s="3"/>
      <c r="V4031" s="3"/>
      <c r="W4031" s="3"/>
      <c r="X4031" s="3"/>
      <c r="Y4031" s="3"/>
      <c r="Z4031" s="3"/>
      <c r="AA4031" s="3"/>
    </row>
    <row r="4032" ht="105.75" customHeight="1">
      <c r="A4032" s="11"/>
      <c r="B4032" s="12"/>
      <c r="C4032" s="11"/>
      <c r="D4032" s="13"/>
      <c r="E4032" s="14"/>
      <c r="F4032" s="14"/>
      <c r="G4032" s="14"/>
      <c r="H4032" s="15"/>
      <c r="I4032" s="15"/>
      <c r="J4032" s="3"/>
      <c r="K4032" s="3"/>
      <c r="L4032" s="3"/>
      <c r="M4032" s="3"/>
      <c r="N4032" s="3"/>
      <c r="O4032" s="3"/>
      <c r="P4032" s="3"/>
      <c r="Q4032" s="3"/>
      <c r="R4032" s="3"/>
      <c r="S4032" s="3"/>
      <c r="T4032" s="3"/>
      <c r="U4032" s="3"/>
      <c r="V4032" s="3"/>
      <c r="W4032" s="3"/>
      <c r="X4032" s="3"/>
      <c r="Y4032" s="3"/>
      <c r="Z4032" s="3"/>
      <c r="AA4032" s="3"/>
    </row>
    <row r="4033" ht="105.75" customHeight="1">
      <c r="A4033" s="11"/>
      <c r="B4033" s="12"/>
      <c r="C4033" s="11"/>
      <c r="D4033" s="13"/>
      <c r="E4033" s="14"/>
      <c r="F4033" s="14"/>
      <c r="G4033" s="14"/>
      <c r="H4033" s="15"/>
      <c r="I4033" s="15"/>
      <c r="J4033" s="3"/>
      <c r="K4033" s="3"/>
      <c r="L4033" s="3"/>
      <c r="M4033" s="3"/>
      <c r="N4033" s="3"/>
      <c r="O4033" s="3"/>
      <c r="P4033" s="3"/>
      <c r="Q4033" s="3"/>
      <c r="R4033" s="3"/>
      <c r="S4033" s="3"/>
      <c r="T4033" s="3"/>
      <c r="U4033" s="3"/>
      <c r="V4033" s="3"/>
      <c r="W4033" s="3"/>
      <c r="X4033" s="3"/>
      <c r="Y4033" s="3"/>
      <c r="Z4033" s="3"/>
      <c r="AA4033" s="3"/>
    </row>
    <row r="4034" ht="105.75" customHeight="1">
      <c r="A4034" s="11"/>
      <c r="B4034" s="12"/>
      <c r="C4034" s="11"/>
      <c r="D4034" s="13"/>
      <c r="E4034" s="14"/>
      <c r="F4034" s="14"/>
      <c r="G4034" s="14"/>
      <c r="H4034" s="15"/>
      <c r="I4034" s="15"/>
      <c r="J4034" s="3"/>
      <c r="K4034" s="3"/>
      <c r="L4034" s="3"/>
      <c r="M4034" s="3"/>
      <c r="N4034" s="3"/>
      <c r="O4034" s="3"/>
      <c r="P4034" s="3"/>
      <c r="Q4034" s="3"/>
      <c r="R4034" s="3"/>
      <c r="S4034" s="3"/>
      <c r="T4034" s="3"/>
      <c r="U4034" s="3"/>
      <c r="V4034" s="3"/>
      <c r="W4034" s="3"/>
      <c r="X4034" s="3"/>
      <c r="Y4034" s="3"/>
      <c r="Z4034" s="3"/>
      <c r="AA4034" s="3"/>
    </row>
    <row r="4035" ht="105.75" customHeight="1">
      <c r="A4035" s="11"/>
      <c r="B4035" s="12"/>
      <c r="C4035" s="11"/>
      <c r="D4035" s="13"/>
      <c r="E4035" s="14"/>
      <c r="F4035" s="14"/>
      <c r="G4035" s="14"/>
      <c r="H4035" s="15"/>
      <c r="I4035" s="15"/>
      <c r="J4035" s="3"/>
      <c r="K4035" s="3"/>
      <c r="L4035" s="3"/>
      <c r="M4035" s="3"/>
      <c r="N4035" s="3"/>
      <c r="O4035" s="3"/>
      <c r="P4035" s="3"/>
      <c r="Q4035" s="3"/>
      <c r="R4035" s="3"/>
      <c r="S4035" s="3"/>
      <c r="T4035" s="3"/>
      <c r="U4035" s="3"/>
      <c r="V4035" s="3"/>
      <c r="W4035" s="3"/>
      <c r="X4035" s="3"/>
      <c r="Y4035" s="3"/>
      <c r="Z4035" s="3"/>
      <c r="AA4035" s="3"/>
    </row>
    <row r="4036" ht="105.75" customHeight="1">
      <c r="A4036" s="11"/>
      <c r="B4036" s="12"/>
      <c r="C4036" s="11"/>
      <c r="D4036" s="13"/>
      <c r="E4036" s="14"/>
      <c r="F4036" s="14"/>
      <c r="G4036" s="14"/>
      <c r="H4036" s="15"/>
      <c r="I4036" s="15"/>
      <c r="J4036" s="3"/>
      <c r="K4036" s="3"/>
      <c r="L4036" s="3"/>
      <c r="M4036" s="3"/>
      <c r="N4036" s="3"/>
      <c r="O4036" s="3"/>
      <c r="P4036" s="3"/>
      <c r="Q4036" s="3"/>
      <c r="R4036" s="3"/>
      <c r="S4036" s="3"/>
      <c r="T4036" s="3"/>
      <c r="U4036" s="3"/>
      <c r="V4036" s="3"/>
      <c r="W4036" s="3"/>
      <c r="X4036" s="3"/>
      <c r="Y4036" s="3"/>
      <c r="Z4036" s="3"/>
      <c r="AA4036" s="3"/>
    </row>
    <row r="4037" ht="105.75" customHeight="1">
      <c r="A4037" s="11"/>
      <c r="B4037" s="12"/>
      <c r="C4037" s="11"/>
      <c r="D4037" s="13"/>
      <c r="E4037" s="14"/>
      <c r="F4037" s="14"/>
      <c r="G4037" s="14"/>
      <c r="H4037" s="15"/>
      <c r="I4037" s="15"/>
      <c r="J4037" s="3"/>
      <c r="K4037" s="3"/>
      <c r="L4037" s="3"/>
      <c r="M4037" s="3"/>
      <c r="N4037" s="3"/>
      <c r="O4037" s="3"/>
      <c r="P4037" s="3"/>
      <c r="Q4037" s="3"/>
      <c r="R4037" s="3"/>
      <c r="S4037" s="3"/>
      <c r="T4037" s="3"/>
      <c r="U4037" s="3"/>
      <c r="V4037" s="3"/>
      <c r="W4037" s="3"/>
      <c r="X4037" s="3"/>
      <c r="Y4037" s="3"/>
      <c r="Z4037" s="3"/>
      <c r="AA4037" s="3"/>
    </row>
    <row r="4038" ht="105.75" customHeight="1">
      <c r="A4038" s="11"/>
      <c r="B4038" s="12"/>
      <c r="C4038" s="11"/>
      <c r="D4038" s="13"/>
      <c r="E4038" s="14"/>
      <c r="F4038" s="14"/>
      <c r="G4038" s="14"/>
      <c r="H4038" s="15"/>
      <c r="I4038" s="15"/>
      <c r="J4038" s="3"/>
      <c r="K4038" s="3"/>
      <c r="L4038" s="3"/>
      <c r="M4038" s="3"/>
      <c r="N4038" s="3"/>
      <c r="O4038" s="3"/>
      <c r="P4038" s="3"/>
      <c r="Q4038" s="3"/>
      <c r="R4038" s="3"/>
      <c r="S4038" s="3"/>
      <c r="T4038" s="3"/>
      <c r="U4038" s="3"/>
      <c r="V4038" s="3"/>
      <c r="W4038" s="3"/>
      <c r="X4038" s="3"/>
      <c r="Y4038" s="3"/>
      <c r="Z4038" s="3"/>
      <c r="AA4038" s="3"/>
    </row>
    <row r="4039" ht="105.75" customHeight="1">
      <c r="A4039" s="11"/>
      <c r="B4039" s="12"/>
      <c r="C4039" s="11"/>
      <c r="D4039" s="13"/>
      <c r="E4039" s="14"/>
      <c r="F4039" s="14"/>
      <c r="G4039" s="14"/>
      <c r="H4039" s="15"/>
      <c r="I4039" s="15"/>
      <c r="J4039" s="3"/>
      <c r="K4039" s="3"/>
      <c r="L4039" s="3"/>
      <c r="M4039" s="3"/>
      <c r="N4039" s="3"/>
      <c r="O4039" s="3"/>
      <c r="P4039" s="3"/>
      <c r="Q4039" s="3"/>
      <c r="R4039" s="3"/>
      <c r="S4039" s="3"/>
      <c r="T4039" s="3"/>
      <c r="U4039" s="3"/>
      <c r="V4039" s="3"/>
      <c r="W4039" s="3"/>
      <c r="X4039" s="3"/>
      <c r="Y4039" s="3"/>
      <c r="Z4039" s="3"/>
      <c r="AA4039" s="3"/>
    </row>
    <row r="4040" ht="105.75" customHeight="1">
      <c r="A4040" s="11"/>
      <c r="B4040" s="12"/>
      <c r="C4040" s="11"/>
      <c r="D4040" s="13"/>
      <c r="E4040" s="14"/>
      <c r="F4040" s="14"/>
      <c r="G4040" s="14"/>
      <c r="H4040" s="15"/>
      <c r="I4040" s="15"/>
      <c r="J4040" s="3"/>
      <c r="K4040" s="3"/>
      <c r="L4040" s="3"/>
      <c r="M4040" s="3"/>
      <c r="N4040" s="3"/>
      <c r="O4040" s="3"/>
      <c r="P4040" s="3"/>
      <c r="Q4040" s="3"/>
      <c r="R4040" s="3"/>
      <c r="S4040" s="3"/>
      <c r="T4040" s="3"/>
      <c r="U4040" s="3"/>
      <c r="V4040" s="3"/>
      <c r="W4040" s="3"/>
      <c r="X4040" s="3"/>
      <c r="Y4040" s="3"/>
      <c r="Z4040" s="3"/>
      <c r="AA4040" s="3"/>
    </row>
    <row r="4041" ht="105.75" customHeight="1">
      <c r="A4041" s="11"/>
      <c r="B4041" s="12"/>
      <c r="C4041" s="11"/>
      <c r="D4041" s="13"/>
      <c r="E4041" s="14"/>
      <c r="F4041" s="14"/>
      <c r="G4041" s="14"/>
      <c r="H4041" s="15"/>
      <c r="I4041" s="15"/>
      <c r="J4041" s="3"/>
      <c r="K4041" s="3"/>
      <c r="L4041" s="3"/>
      <c r="M4041" s="3"/>
      <c r="N4041" s="3"/>
      <c r="O4041" s="3"/>
      <c r="P4041" s="3"/>
      <c r="Q4041" s="3"/>
      <c r="R4041" s="3"/>
      <c r="S4041" s="3"/>
      <c r="T4041" s="3"/>
      <c r="U4041" s="3"/>
      <c r="V4041" s="3"/>
      <c r="W4041" s="3"/>
      <c r="X4041" s="3"/>
      <c r="Y4041" s="3"/>
      <c r="Z4041" s="3"/>
      <c r="AA4041" s="3"/>
    </row>
    <row r="4042" ht="105.75" customHeight="1">
      <c r="A4042" s="11"/>
      <c r="B4042" s="12"/>
      <c r="C4042" s="11"/>
      <c r="D4042" s="13"/>
      <c r="E4042" s="14"/>
      <c r="F4042" s="14"/>
      <c r="G4042" s="14"/>
      <c r="H4042" s="15"/>
      <c r="I4042" s="15"/>
      <c r="J4042" s="3"/>
      <c r="K4042" s="3"/>
      <c r="L4042" s="3"/>
      <c r="M4042" s="3"/>
      <c r="N4042" s="3"/>
      <c r="O4042" s="3"/>
      <c r="P4042" s="3"/>
      <c r="Q4042" s="3"/>
      <c r="R4042" s="3"/>
      <c r="S4042" s="3"/>
      <c r="T4042" s="3"/>
      <c r="U4042" s="3"/>
      <c r="V4042" s="3"/>
      <c r="W4042" s="3"/>
      <c r="X4042" s="3"/>
      <c r="Y4042" s="3"/>
      <c r="Z4042" s="3"/>
      <c r="AA4042" s="3"/>
    </row>
    <row r="4043" ht="105.75" customHeight="1">
      <c r="A4043" s="11"/>
      <c r="B4043" s="12"/>
      <c r="C4043" s="11"/>
      <c r="D4043" s="13"/>
      <c r="E4043" s="14"/>
      <c r="F4043" s="14"/>
      <c r="G4043" s="14"/>
      <c r="H4043" s="15"/>
      <c r="I4043" s="15"/>
      <c r="J4043" s="3"/>
      <c r="K4043" s="3"/>
      <c r="L4043" s="3"/>
      <c r="M4043" s="3"/>
      <c r="N4043" s="3"/>
      <c r="O4043" s="3"/>
      <c r="P4043" s="3"/>
      <c r="Q4043" s="3"/>
      <c r="R4043" s="3"/>
      <c r="S4043" s="3"/>
      <c r="T4043" s="3"/>
      <c r="U4043" s="3"/>
      <c r="V4043" s="3"/>
      <c r="W4043" s="3"/>
      <c r="X4043" s="3"/>
      <c r="Y4043" s="3"/>
      <c r="Z4043" s="3"/>
      <c r="AA4043" s="3"/>
    </row>
    <row r="4044" ht="105.75" customHeight="1">
      <c r="A4044" s="11"/>
      <c r="B4044" s="12"/>
      <c r="C4044" s="11"/>
      <c r="D4044" s="13"/>
      <c r="E4044" s="14"/>
      <c r="F4044" s="14"/>
      <c r="G4044" s="14"/>
      <c r="H4044" s="15"/>
      <c r="I4044" s="15"/>
      <c r="J4044" s="3"/>
      <c r="K4044" s="3"/>
      <c r="L4044" s="3"/>
      <c r="M4044" s="3"/>
      <c r="N4044" s="3"/>
      <c r="O4044" s="3"/>
      <c r="P4044" s="3"/>
      <c r="Q4044" s="3"/>
      <c r="R4044" s="3"/>
      <c r="S4044" s="3"/>
      <c r="T4044" s="3"/>
      <c r="U4044" s="3"/>
      <c r="V4044" s="3"/>
      <c r="W4044" s="3"/>
      <c r="X4044" s="3"/>
      <c r="Y4044" s="3"/>
      <c r="Z4044" s="3"/>
      <c r="AA4044" s="3"/>
    </row>
    <row r="4045" ht="105.75" customHeight="1">
      <c r="A4045" s="11"/>
      <c r="B4045" s="12"/>
      <c r="C4045" s="11"/>
      <c r="D4045" s="13"/>
      <c r="E4045" s="14"/>
      <c r="F4045" s="14"/>
      <c r="G4045" s="14"/>
      <c r="H4045" s="15"/>
      <c r="I4045" s="15"/>
      <c r="J4045" s="3"/>
      <c r="K4045" s="3"/>
      <c r="L4045" s="3"/>
      <c r="M4045" s="3"/>
      <c r="N4045" s="3"/>
      <c r="O4045" s="3"/>
      <c r="P4045" s="3"/>
      <c r="Q4045" s="3"/>
      <c r="R4045" s="3"/>
      <c r="S4045" s="3"/>
      <c r="T4045" s="3"/>
      <c r="U4045" s="3"/>
      <c r="V4045" s="3"/>
      <c r="W4045" s="3"/>
      <c r="X4045" s="3"/>
      <c r="Y4045" s="3"/>
      <c r="Z4045" s="3"/>
      <c r="AA4045" s="3"/>
    </row>
    <row r="4046" ht="105.75" customHeight="1">
      <c r="A4046" s="11"/>
      <c r="B4046" s="12"/>
      <c r="C4046" s="11"/>
      <c r="D4046" s="13"/>
      <c r="E4046" s="14"/>
      <c r="F4046" s="14"/>
      <c r="G4046" s="14"/>
      <c r="H4046" s="15"/>
      <c r="I4046" s="15"/>
      <c r="J4046" s="3"/>
      <c r="K4046" s="3"/>
      <c r="L4046" s="3"/>
      <c r="M4046" s="3"/>
      <c r="N4046" s="3"/>
      <c r="O4046" s="3"/>
      <c r="P4046" s="3"/>
      <c r="Q4046" s="3"/>
      <c r="R4046" s="3"/>
      <c r="S4046" s="3"/>
      <c r="T4046" s="3"/>
      <c r="U4046" s="3"/>
      <c r="V4046" s="3"/>
      <c r="W4046" s="3"/>
      <c r="X4046" s="3"/>
      <c r="Y4046" s="3"/>
      <c r="Z4046" s="3"/>
      <c r="AA4046" s="3"/>
    </row>
    <row r="4047" ht="105.75" customHeight="1">
      <c r="A4047" s="11"/>
      <c r="B4047" s="12"/>
      <c r="C4047" s="11"/>
      <c r="D4047" s="13"/>
      <c r="E4047" s="14"/>
      <c r="F4047" s="14"/>
      <c r="G4047" s="14"/>
      <c r="H4047" s="15"/>
      <c r="I4047" s="15"/>
      <c r="J4047" s="3"/>
      <c r="K4047" s="3"/>
      <c r="L4047" s="3"/>
      <c r="M4047" s="3"/>
      <c r="N4047" s="3"/>
      <c r="O4047" s="3"/>
      <c r="P4047" s="3"/>
      <c r="Q4047" s="3"/>
      <c r="R4047" s="3"/>
      <c r="S4047" s="3"/>
      <c r="T4047" s="3"/>
      <c r="U4047" s="3"/>
      <c r="V4047" s="3"/>
      <c r="W4047" s="3"/>
      <c r="X4047" s="3"/>
      <c r="Y4047" s="3"/>
      <c r="Z4047" s="3"/>
      <c r="AA4047" s="3"/>
    </row>
    <row r="4048" ht="105.75" customHeight="1">
      <c r="A4048" s="11"/>
      <c r="B4048" s="12"/>
      <c r="C4048" s="11"/>
      <c r="D4048" s="13"/>
      <c r="E4048" s="14"/>
      <c r="F4048" s="14"/>
      <c r="G4048" s="14"/>
      <c r="H4048" s="15"/>
      <c r="I4048" s="15"/>
      <c r="J4048" s="3"/>
      <c r="K4048" s="3"/>
      <c r="L4048" s="3"/>
      <c r="M4048" s="3"/>
      <c r="N4048" s="3"/>
      <c r="O4048" s="3"/>
      <c r="P4048" s="3"/>
      <c r="Q4048" s="3"/>
      <c r="R4048" s="3"/>
      <c r="S4048" s="3"/>
      <c r="T4048" s="3"/>
      <c r="U4048" s="3"/>
      <c r="V4048" s="3"/>
      <c r="W4048" s="3"/>
      <c r="X4048" s="3"/>
      <c r="Y4048" s="3"/>
      <c r="Z4048" s="3"/>
      <c r="AA4048" s="3"/>
    </row>
    <row r="4049" ht="105.75" customHeight="1">
      <c r="A4049" s="11"/>
      <c r="B4049" s="12"/>
      <c r="C4049" s="11"/>
      <c r="D4049" s="13"/>
      <c r="E4049" s="14"/>
      <c r="F4049" s="14"/>
      <c r="G4049" s="14"/>
      <c r="H4049" s="15"/>
      <c r="I4049" s="15"/>
      <c r="J4049" s="3"/>
      <c r="K4049" s="3"/>
      <c r="L4049" s="3"/>
      <c r="M4049" s="3"/>
      <c r="N4049" s="3"/>
      <c r="O4049" s="3"/>
      <c r="P4049" s="3"/>
      <c r="Q4049" s="3"/>
      <c r="R4049" s="3"/>
      <c r="S4049" s="3"/>
      <c r="T4049" s="3"/>
      <c r="U4049" s="3"/>
      <c r="V4049" s="3"/>
      <c r="W4049" s="3"/>
      <c r="X4049" s="3"/>
      <c r="Y4049" s="3"/>
      <c r="Z4049" s="3"/>
      <c r="AA4049" s="3"/>
    </row>
    <row r="4050" ht="105.75" customHeight="1">
      <c r="A4050" s="11"/>
      <c r="B4050" s="12"/>
      <c r="C4050" s="11"/>
      <c r="D4050" s="13"/>
      <c r="E4050" s="14"/>
      <c r="F4050" s="14"/>
      <c r="G4050" s="14"/>
      <c r="H4050" s="15"/>
      <c r="I4050" s="15"/>
      <c r="J4050" s="3"/>
      <c r="K4050" s="3"/>
      <c r="L4050" s="3"/>
      <c r="M4050" s="3"/>
      <c r="N4050" s="3"/>
      <c r="O4050" s="3"/>
      <c r="P4050" s="3"/>
      <c r="Q4050" s="3"/>
      <c r="R4050" s="3"/>
      <c r="S4050" s="3"/>
      <c r="T4050" s="3"/>
      <c r="U4050" s="3"/>
      <c r="V4050" s="3"/>
      <c r="W4050" s="3"/>
      <c r="X4050" s="3"/>
      <c r="Y4050" s="3"/>
      <c r="Z4050" s="3"/>
      <c r="AA4050" s="3"/>
    </row>
    <row r="4051" ht="105.75" customHeight="1">
      <c r="A4051" s="11"/>
      <c r="B4051" s="12"/>
      <c r="C4051" s="11"/>
      <c r="D4051" s="13"/>
      <c r="E4051" s="14"/>
      <c r="F4051" s="14"/>
      <c r="G4051" s="14"/>
      <c r="H4051" s="15"/>
      <c r="I4051" s="15"/>
      <c r="J4051" s="3"/>
      <c r="K4051" s="3"/>
      <c r="L4051" s="3"/>
      <c r="M4051" s="3"/>
      <c r="N4051" s="3"/>
      <c r="O4051" s="3"/>
      <c r="P4051" s="3"/>
      <c r="Q4051" s="3"/>
      <c r="R4051" s="3"/>
      <c r="S4051" s="3"/>
      <c r="T4051" s="3"/>
      <c r="U4051" s="3"/>
      <c r="V4051" s="3"/>
      <c r="W4051" s="3"/>
      <c r="X4051" s="3"/>
      <c r="Y4051" s="3"/>
      <c r="Z4051" s="3"/>
      <c r="AA4051" s="3"/>
    </row>
    <row r="4052" ht="105.75" customHeight="1">
      <c r="A4052" s="11"/>
      <c r="B4052" s="12"/>
      <c r="C4052" s="11"/>
      <c r="D4052" s="13"/>
      <c r="E4052" s="14"/>
      <c r="F4052" s="14"/>
      <c r="G4052" s="14"/>
      <c r="H4052" s="15"/>
      <c r="I4052" s="15"/>
      <c r="J4052" s="3"/>
      <c r="K4052" s="3"/>
      <c r="L4052" s="3"/>
      <c r="M4052" s="3"/>
      <c r="N4052" s="3"/>
      <c r="O4052" s="3"/>
      <c r="P4052" s="3"/>
      <c r="Q4052" s="3"/>
      <c r="R4052" s="3"/>
      <c r="S4052" s="3"/>
      <c r="T4052" s="3"/>
      <c r="U4052" s="3"/>
      <c r="V4052" s="3"/>
      <c r="W4052" s="3"/>
      <c r="X4052" s="3"/>
      <c r="Y4052" s="3"/>
      <c r="Z4052" s="3"/>
      <c r="AA4052" s="3"/>
    </row>
    <row r="4053" ht="105.75" customHeight="1">
      <c r="A4053" s="11"/>
      <c r="B4053" s="12"/>
      <c r="C4053" s="11"/>
      <c r="D4053" s="13"/>
      <c r="E4053" s="14"/>
      <c r="F4053" s="14"/>
      <c r="G4053" s="14"/>
      <c r="H4053" s="15"/>
      <c r="I4053" s="15"/>
      <c r="J4053" s="3"/>
      <c r="K4053" s="3"/>
      <c r="L4053" s="3"/>
      <c r="M4053" s="3"/>
      <c r="N4053" s="3"/>
      <c r="O4053" s="3"/>
      <c r="P4053" s="3"/>
      <c r="Q4053" s="3"/>
      <c r="R4053" s="3"/>
      <c r="S4053" s="3"/>
      <c r="T4053" s="3"/>
      <c r="U4053" s="3"/>
      <c r="V4053" s="3"/>
      <c r="W4053" s="3"/>
      <c r="X4053" s="3"/>
      <c r="Y4053" s="3"/>
      <c r="Z4053" s="3"/>
      <c r="AA4053" s="3"/>
    </row>
    <row r="4054" ht="105.75" customHeight="1">
      <c r="A4054" s="11"/>
      <c r="B4054" s="12"/>
      <c r="C4054" s="11"/>
      <c r="D4054" s="13"/>
      <c r="E4054" s="14"/>
      <c r="F4054" s="14"/>
      <c r="G4054" s="14"/>
      <c r="H4054" s="15"/>
      <c r="I4054" s="15"/>
      <c r="J4054" s="3"/>
      <c r="K4054" s="3"/>
      <c r="L4054" s="3"/>
      <c r="M4054" s="3"/>
      <c r="N4054" s="3"/>
      <c r="O4054" s="3"/>
      <c r="P4054" s="3"/>
      <c r="Q4054" s="3"/>
      <c r="R4054" s="3"/>
      <c r="S4054" s="3"/>
      <c r="T4054" s="3"/>
      <c r="U4054" s="3"/>
      <c r="V4054" s="3"/>
      <c r="W4054" s="3"/>
      <c r="X4054" s="3"/>
      <c r="Y4054" s="3"/>
      <c r="Z4054" s="3"/>
      <c r="AA4054" s="3"/>
    </row>
    <row r="4055" ht="105.75" customHeight="1">
      <c r="A4055" s="11"/>
      <c r="B4055" s="12"/>
      <c r="C4055" s="11"/>
      <c r="D4055" s="13"/>
      <c r="E4055" s="14"/>
      <c r="F4055" s="14"/>
      <c r="G4055" s="14"/>
      <c r="H4055" s="15"/>
      <c r="I4055" s="15"/>
      <c r="J4055" s="3"/>
      <c r="K4055" s="3"/>
      <c r="L4055" s="3"/>
      <c r="M4055" s="3"/>
      <c r="N4055" s="3"/>
      <c r="O4055" s="3"/>
      <c r="P4055" s="3"/>
      <c r="Q4055" s="3"/>
      <c r="R4055" s="3"/>
      <c r="S4055" s="3"/>
      <c r="T4055" s="3"/>
      <c r="U4055" s="3"/>
      <c r="V4055" s="3"/>
      <c r="W4055" s="3"/>
      <c r="X4055" s="3"/>
      <c r="Y4055" s="3"/>
      <c r="Z4055" s="3"/>
      <c r="AA4055" s="3"/>
    </row>
    <row r="4056" ht="105.75" customHeight="1">
      <c r="A4056" s="11"/>
      <c r="B4056" s="12"/>
      <c r="C4056" s="11"/>
      <c r="D4056" s="13"/>
      <c r="E4056" s="14"/>
      <c r="F4056" s="14"/>
      <c r="G4056" s="14"/>
      <c r="H4056" s="15"/>
      <c r="I4056" s="15"/>
      <c r="J4056" s="3"/>
      <c r="K4056" s="3"/>
      <c r="L4056" s="3"/>
      <c r="M4056" s="3"/>
      <c r="N4056" s="3"/>
      <c r="O4056" s="3"/>
      <c r="P4056" s="3"/>
      <c r="Q4056" s="3"/>
      <c r="R4056" s="3"/>
      <c r="S4056" s="3"/>
      <c r="T4056" s="3"/>
      <c r="U4056" s="3"/>
      <c r="V4056" s="3"/>
      <c r="W4056" s="3"/>
      <c r="X4056" s="3"/>
      <c r="Y4056" s="3"/>
      <c r="Z4056" s="3"/>
      <c r="AA4056" s="3"/>
    </row>
    <row r="4057" ht="105.75" customHeight="1">
      <c r="A4057" s="11"/>
      <c r="B4057" s="12"/>
      <c r="C4057" s="11"/>
      <c r="D4057" s="13"/>
      <c r="E4057" s="14"/>
      <c r="F4057" s="14"/>
      <c r="G4057" s="14"/>
      <c r="H4057" s="15"/>
      <c r="I4057" s="15"/>
      <c r="J4057" s="3"/>
      <c r="K4057" s="3"/>
      <c r="L4057" s="3"/>
      <c r="M4057" s="3"/>
      <c r="N4057" s="3"/>
      <c r="O4057" s="3"/>
      <c r="P4057" s="3"/>
      <c r="Q4057" s="3"/>
      <c r="R4057" s="3"/>
      <c r="S4057" s="3"/>
      <c r="T4057" s="3"/>
      <c r="U4057" s="3"/>
      <c r="V4057" s="3"/>
      <c r="W4057" s="3"/>
      <c r="X4057" s="3"/>
      <c r="Y4057" s="3"/>
      <c r="Z4057" s="3"/>
      <c r="AA4057" s="3"/>
    </row>
    <row r="4058" ht="105.75" customHeight="1">
      <c r="A4058" s="11"/>
      <c r="B4058" s="12"/>
      <c r="C4058" s="11"/>
      <c r="D4058" s="13"/>
      <c r="E4058" s="14"/>
      <c r="F4058" s="14"/>
      <c r="G4058" s="14"/>
      <c r="H4058" s="15"/>
      <c r="I4058" s="15"/>
      <c r="J4058" s="3"/>
      <c r="K4058" s="3"/>
      <c r="L4058" s="3"/>
      <c r="M4058" s="3"/>
      <c r="N4058" s="3"/>
      <c r="O4058" s="3"/>
      <c r="P4058" s="3"/>
      <c r="Q4058" s="3"/>
      <c r="R4058" s="3"/>
      <c r="S4058" s="3"/>
      <c r="T4058" s="3"/>
      <c r="U4058" s="3"/>
      <c r="V4058" s="3"/>
      <c r="W4058" s="3"/>
      <c r="X4058" s="3"/>
      <c r="Y4058" s="3"/>
      <c r="Z4058" s="3"/>
      <c r="AA4058" s="3"/>
    </row>
    <row r="4059" ht="105.75" customHeight="1">
      <c r="A4059" s="11"/>
      <c r="B4059" s="12"/>
      <c r="C4059" s="11"/>
      <c r="D4059" s="13"/>
      <c r="E4059" s="14"/>
      <c r="F4059" s="14"/>
      <c r="G4059" s="14"/>
      <c r="H4059" s="15"/>
      <c r="I4059" s="15"/>
      <c r="J4059" s="3"/>
      <c r="K4059" s="3"/>
      <c r="L4059" s="3"/>
      <c r="M4059" s="3"/>
      <c r="N4059" s="3"/>
      <c r="O4059" s="3"/>
      <c r="P4059" s="3"/>
      <c r="Q4059" s="3"/>
      <c r="R4059" s="3"/>
      <c r="S4059" s="3"/>
      <c r="T4059" s="3"/>
      <c r="U4059" s="3"/>
      <c r="V4059" s="3"/>
      <c r="W4059" s="3"/>
      <c r="X4059" s="3"/>
      <c r="Y4059" s="3"/>
      <c r="Z4059" s="3"/>
      <c r="AA4059" s="3"/>
    </row>
    <row r="4060" ht="105.75" customHeight="1">
      <c r="A4060" s="11"/>
      <c r="B4060" s="12"/>
      <c r="C4060" s="11"/>
      <c r="D4060" s="13"/>
      <c r="E4060" s="14"/>
      <c r="F4060" s="14"/>
      <c r="G4060" s="14"/>
      <c r="H4060" s="15"/>
      <c r="I4060" s="15"/>
      <c r="J4060" s="3"/>
      <c r="K4060" s="3"/>
      <c r="L4060" s="3"/>
      <c r="M4060" s="3"/>
      <c r="N4060" s="3"/>
      <c r="O4060" s="3"/>
      <c r="P4060" s="3"/>
      <c r="Q4060" s="3"/>
      <c r="R4060" s="3"/>
      <c r="S4060" s="3"/>
      <c r="T4060" s="3"/>
      <c r="U4060" s="3"/>
      <c r="V4060" s="3"/>
      <c r="W4060" s="3"/>
      <c r="X4060" s="3"/>
      <c r="Y4060" s="3"/>
      <c r="Z4060" s="3"/>
      <c r="AA4060" s="3"/>
    </row>
    <row r="4061" ht="105.75" customHeight="1">
      <c r="A4061" s="11"/>
      <c r="B4061" s="12"/>
      <c r="C4061" s="11"/>
      <c r="D4061" s="13"/>
      <c r="E4061" s="14"/>
      <c r="F4061" s="14"/>
      <c r="G4061" s="14"/>
      <c r="H4061" s="15"/>
      <c r="I4061" s="15"/>
      <c r="J4061" s="3"/>
      <c r="K4061" s="3"/>
      <c r="L4061" s="3"/>
      <c r="M4061" s="3"/>
      <c r="N4061" s="3"/>
      <c r="O4061" s="3"/>
      <c r="P4061" s="3"/>
      <c r="Q4061" s="3"/>
      <c r="R4061" s="3"/>
      <c r="S4061" s="3"/>
      <c r="T4061" s="3"/>
      <c r="U4061" s="3"/>
      <c r="V4061" s="3"/>
      <c r="W4061" s="3"/>
      <c r="X4061" s="3"/>
      <c r="Y4061" s="3"/>
      <c r="Z4061" s="3"/>
      <c r="AA4061" s="3"/>
    </row>
    <row r="4062" ht="105.75" customHeight="1">
      <c r="A4062" s="11"/>
      <c r="B4062" s="12"/>
      <c r="C4062" s="11"/>
      <c r="D4062" s="13"/>
      <c r="E4062" s="14"/>
      <c r="F4062" s="14"/>
      <c r="G4062" s="14"/>
      <c r="H4062" s="15"/>
      <c r="I4062" s="15"/>
      <c r="J4062" s="3"/>
      <c r="K4062" s="3"/>
      <c r="L4062" s="3"/>
      <c r="M4062" s="3"/>
      <c r="N4062" s="3"/>
      <c r="O4062" s="3"/>
      <c r="P4062" s="3"/>
      <c r="Q4062" s="3"/>
      <c r="R4062" s="3"/>
      <c r="S4062" s="3"/>
      <c r="T4062" s="3"/>
      <c r="U4062" s="3"/>
      <c r="V4062" s="3"/>
      <c r="W4062" s="3"/>
      <c r="X4062" s="3"/>
      <c r="Y4062" s="3"/>
      <c r="Z4062" s="3"/>
      <c r="AA4062" s="3"/>
    </row>
    <row r="4063" ht="105.75" customHeight="1">
      <c r="A4063" s="11"/>
      <c r="B4063" s="12"/>
      <c r="C4063" s="11"/>
      <c r="D4063" s="13"/>
      <c r="E4063" s="14"/>
      <c r="F4063" s="14"/>
      <c r="G4063" s="14"/>
      <c r="H4063" s="15"/>
      <c r="I4063" s="15"/>
      <c r="J4063" s="3"/>
      <c r="K4063" s="3"/>
      <c r="L4063" s="3"/>
      <c r="M4063" s="3"/>
      <c r="N4063" s="3"/>
      <c r="O4063" s="3"/>
      <c r="P4063" s="3"/>
      <c r="Q4063" s="3"/>
      <c r="R4063" s="3"/>
      <c r="S4063" s="3"/>
      <c r="T4063" s="3"/>
      <c r="U4063" s="3"/>
      <c r="V4063" s="3"/>
      <c r="W4063" s="3"/>
      <c r="X4063" s="3"/>
      <c r="Y4063" s="3"/>
      <c r="Z4063" s="3"/>
      <c r="AA4063" s="3"/>
    </row>
    <row r="4064" ht="105.75" customHeight="1">
      <c r="A4064" s="11"/>
      <c r="B4064" s="12"/>
      <c r="C4064" s="11"/>
      <c r="D4064" s="13"/>
      <c r="E4064" s="14"/>
      <c r="F4064" s="14"/>
      <c r="G4064" s="14"/>
      <c r="H4064" s="15"/>
      <c r="I4064" s="15"/>
      <c r="J4064" s="3"/>
      <c r="K4064" s="3"/>
      <c r="L4064" s="3"/>
      <c r="M4064" s="3"/>
      <c r="N4064" s="3"/>
      <c r="O4064" s="3"/>
      <c r="P4064" s="3"/>
      <c r="Q4064" s="3"/>
      <c r="R4064" s="3"/>
      <c r="S4064" s="3"/>
      <c r="T4064" s="3"/>
      <c r="U4064" s="3"/>
      <c r="V4064" s="3"/>
      <c r="W4064" s="3"/>
      <c r="X4064" s="3"/>
      <c r="Y4064" s="3"/>
      <c r="Z4064" s="3"/>
      <c r="AA4064" s="3"/>
    </row>
    <row r="4065" ht="105.75" customHeight="1">
      <c r="A4065" s="11"/>
      <c r="B4065" s="12"/>
      <c r="C4065" s="11"/>
      <c r="D4065" s="13"/>
      <c r="E4065" s="14"/>
      <c r="F4065" s="14"/>
      <c r="G4065" s="14"/>
      <c r="H4065" s="15"/>
      <c r="I4065" s="15"/>
      <c r="J4065" s="3"/>
      <c r="K4065" s="3"/>
      <c r="L4065" s="3"/>
      <c r="M4065" s="3"/>
      <c r="N4065" s="3"/>
      <c r="O4065" s="3"/>
      <c r="P4065" s="3"/>
      <c r="Q4065" s="3"/>
      <c r="R4065" s="3"/>
      <c r="S4065" s="3"/>
      <c r="T4065" s="3"/>
      <c r="U4065" s="3"/>
      <c r="V4065" s="3"/>
      <c r="W4065" s="3"/>
      <c r="X4065" s="3"/>
      <c r="Y4065" s="3"/>
      <c r="Z4065" s="3"/>
      <c r="AA4065" s="3"/>
    </row>
    <row r="4066" ht="105.75" customHeight="1">
      <c r="A4066" s="11"/>
      <c r="B4066" s="12"/>
      <c r="C4066" s="11"/>
      <c r="D4066" s="13"/>
      <c r="E4066" s="14"/>
      <c r="F4066" s="14"/>
      <c r="G4066" s="14"/>
      <c r="H4066" s="15"/>
      <c r="I4066" s="15"/>
      <c r="J4066" s="3"/>
      <c r="K4066" s="3"/>
      <c r="L4066" s="3"/>
      <c r="M4066" s="3"/>
      <c r="N4066" s="3"/>
      <c r="O4066" s="3"/>
      <c r="P4066" s="3"/>
      <c r="Q4066" s="3"/>
      <c r="R4066" s="3"/>
      <c r="S4066" s="3"/>
      <c r="T4066" s="3"/>
      <c r="U4066" s="3"/>
      <c r="V4066" s="3"/>
      <c r="W4066" s="3"/>
      <c r="X4066" s="3"/>
      <c r="Y4066" s="3"/>
      <c r="Z4066" s="3"/>
      <c r="AA4066" s="3"/>
    </row>
    <row r="4067" ht="105.75" customHeight="1">
      <c r="A4067" s="11"/>
      <c r="B4067" s="12"/>
      <c r="C4067" s="11"/>
      <c r="D4067" s="13"/>
      <c r="E4067" s="14"/>
      <c r="F4067" s="14"/>
      <c r="G4067" s="14"/>
      <c r="H4067" s="15"/>
      <c r="I4067" s="15"/>
      <c r="J4067" s="3"/>
      <c r="K4067" s="3"/>
      <c r="L4067" s="3"/>
      <c r="M4067" s="3"/>
      <c r="N4067" s="3"/>
      <c r="O4067" s="3"/>
      <c r="P4067" s="3"/>
      <c r="Q4067" s="3"/>
      <c r="R4067" s="3"/>
      <c r="S4067" s="3"/>
      <c r="T4067" s="3"/>
      <c r="U4067" s="3"/>
      <c r="V4067" s="3"/>
      <c r="W4067" s="3"/>
      <c r="X4067" s="3"/>
      <c r="Y4067" s="3"/>
      <c r="Z4067" s="3"/>
      <c r="AA4067" s="3"/>
    </row>
    <row r="4068" ht="105.75" customHeight="1">
      <c r="A4068" s="11"/>
      <c r="B4068" s="12"/>
      <c r="C4068" s="11"/>
      <c r="D4068" s="13"/>
      <c r="E4068" s="14"/>
      <c r="F4068" s="14"/>
      <c r="G4068" s="14"/>
      <c r="H4068" s="15"/>
      <c r="I4068" s="15"/>
      <c r="J4068" s="3"/>
      <c r="K4068" s="3"/>
      <c r="L4068" s="3"/>
      <c r="M4068" s="3"/>
      <c r="N4068" s="3"/>
      <c r="O4068" s="3"/>
      <c r="P4068" s="3"/>
      <c r="Q4068" s="3"/>
      <c r="R4068" s="3"/>
      <c r="S4068" s="3"/>
      <c r="T4068" s="3"/>
      <c r="U4068" s="3"/>
      <c r="V4068" s="3"/>
      <c r="W4068" s="3"/>
      <c r="X4068" s="3"/>
      <c r="Y4068" s="3"/>
      <c r="Z4068" s="3"/>
      <c r="AA4068" s="3"/>
    </row>
    <row r="4069" ht="105.75" customHeight="1">
      <c r="A4069" s="11"/>
      <c r="B4069" s="12"/>
      <c r="C4069" s="11"/>
      <c r="D4069" s="13"/>
      <c r="E4069" s="14"/>
      <c r="F4069" s="14"/>
      <c r="G4069" s="14"/>
      <c r="H4069" s="15"/>
      <c r="I4069" s="15"/>
      <c r="J4069" s="3"/>
      <c r="K4069" s="3"/>
      <c r="L4069" s="3"/>
      <c r="M4069" s="3"/>
      <c r="N4069" s="3"/>
      <c r="O4069" s="3"/>
      <c r="P4069" s="3"/>
      <c r="Q4069" s="3"/>
      <c r="R4069" s="3"/>
      <c r="S4069" s="3"/>
      <c r="T4069" s="3"/>
      <c r="U4069" s="3"/>
      <c r="V4069" s="3"/>
      <c r="W4069" s="3"/>
      <c r="X4069" s="3"/>
      <c r="Y4069" s="3"/>
      <c r="Z4069" s="3"/>
      <c r="AA4069" s="3"/>
    </row>
    <row r="4070" ht="105.75" customHeight="1">
      <c r="A4070" s="11"/>
      <c r="B4070" s="12"/>
      <c r="C4070" s="11"/>
      <c r="D4070" s="13"/>
      <c r="E4070" s="14"/>
      <c r="F4070" s="14"/>
      <c r="G4070" s="14"/>
      <c r="H4070" s="15"/>
      <c r="I4070" s="15"/>
      <c r="J4070" s="3"/>
      <c r="K4070" s="3"/>
      <c r="L4070" s="3"/>
      <c r="M4070" s="3"/>
      <c r="N4070" s="3"/>
      <c r="O4070" s="3"/>
      <c r="P4070" s="3"/>
      <c r="Q4070" s="3"/>
      <c r="R4070" s="3"/>
      <c r="S4070" s="3"/>
      <c r="T4070" s="3"/>
      <c r="U4070" s="3"/>
      <c r="V4070" s="3"/>
      <c r="W4070" s="3"/>
      <c r="X4070" s="3"/>
      <c r="Y4070" s="3"/>
      <c r="Z4070" s="3"/>
      <c r="AA4070" s="3"/>
    </row>
    <row r="4071" ht="105.75" customHeight="1">
      <c r="A4071" s="11"/>
      <c r="B4071" s="12"/>
      <c r="C4071" s="11"/>
      <c r="D4071" s="13"/>
      <c r="E4071" s="14"/>
      <c r="F4071" s="14"/>
      <c r="G4071" s="14"/>
      <c r="H4071" s="15"/>
      <c r="I4071" s="15"/>
      <c r="J4071" s="3"/>
      <c r="K4071" s="3"/>
      <c r="L4071" s="3"/>
      <c r="M4071" s="3"/>
      <c r="N4071" s="3"/>
      <c r="O4071" s="3"/>
      <c r="P4071" s="3"/>
      <c r="Q4071" s="3"/>
      <c r="R4071" s="3"/>
      <c r="S4071" s="3"/>
      <c r="T4071" s="3"/>
      <c r="U4071" s="3"/>
      <c r="V4071" s="3"/>
      <c r="W4071" s="3"/>
      <c r="X4071" s="3"/>
      <c r="Y4071" s="3"/>
      <c r="Z4071" s="3"/>
      <c r="AA4071" s="3"/>
    </row>
    <row r="4072" ht="105.75" customHeight="1">
      <c r="A4072" s="11"/>
      <c r="B4072" s="12"/>
      <c r="C4072" s="11"/>
      <c r="D4072" s="13"/>
      <c r="E4072" s="14"/>
      <c r="F4072" s="14"/>
      <c r="G4072" s="14"/>
      <c r="H4072" s="15"/>
      <c r="I4072" s="15"/>
      <c r="J4072" s="3"/>
      <c r="K4072" s="3"/>
      <c r="L4072" s="3"/>
      <c r="M4072" s="3"/>
      <c r="N4072" s="3"/>
      <c r="O4072" s="3"/>
      <c r="P4072" s="3"/>
      <c r="Q4072" s="3"/>
      <c r="R4072" s="3"/>
      <c r="S4072" s="3"/>
      <c r="T4072" s="3"/>
      <c r="U4072" s="3"/>
      <c r="V4072" s="3"/>
      <c r="W4072" s="3"/>
      <c r="X4072" s="3"/>
      <c r="Y4072" s="3"/>
      <c r="Z4072" s="3"/>
      <c r="AA4072" s="3"/>
    </row>
    <row r="4073" ht="105.75" customHeight="1">
      <c r="A4073" s="11"/>
      <c r="B4073" s="12"/>
      <c r="C4073" s="11"/>
      <c r="D4073" s="13"/>
      <c r="E4073" s="14"/>
      <c r="F4073" s="14"/>
      <c r="G4073" s="14"/>
      <c r="H4073" s="15"/>
      <c r="I4073" s="15"/>
      <c r="J4073" s="3"/>
      <c r="K4073" s="3"/>
      <c r="L4073" s="3"/>
      <c r="M4073" s="3"/>
      <c r="N4073" s="3"/>
      <c r="O4073" s="3"/>
      <c r="P4073" s="3"/>
      <c r="Q4073" s="3"/>
      <c r="R4073" s="3"/>
      <c r="S4073" s="3"/>
      <c r="T4073" s="3"/>
      <c r="U4073" s="3"/>
      <c r="V4073" s="3"/>
      <c r="W4073" s="3"/>
      <c r="X4073" s="3"/>
      <c r="Y4073" s="3"/>
      <c r="Z4073" s="3"/>
      <c r="AA4073" s="3"/>
    </row>
    <row r="4074" ht="105.75" customHeight="1">
      <c r="A4074" s="11"/>
      <c r="B4074" s="12"/>
      <c r="C4074" s="11"/>
      <c r="D4074" s="13"/>
      <c r="E4074" s="14"/>
      <c r="F4074" s="14"/>
      <c r="G4074" s="14"/>
      <c r="H4074" s="15"/>
      <c r="I4074" s="15"/>
      <c r="J4074" s="3"/>
      <c r="K4074" s="3"/>
      <c r="L4074" s="3"/>
      <c r="M4074" s="3"/>
      <c r="N4074" s="3"/>
      <c r="O4074" s="3"/>
      <c r="P4074" s="3"/>
      <c r="Q4074" s="3"/>
      <c r="R4074" s="3"/>
      <c r="S4074" s="3"/>
      <c r="T4074" s="3"/>
      <c r="U4074" s="3"/>
      <c r="V4074" s="3"/>
      <c r="W4074" s="3"/>
      <c r="X4074" s="3"/>
      <c r="Y4074" s="3"/>
      <c r="Z4074" s="3"/>
      <c r="AA4074" s="3"/>
    </row>
    <row r="4075" ht="105.75" customHeight="1">
      <c r="A4075" s="11"/>
      <c r="B4075" s="12"/>
      <c r="C4075" s="11"/>
      <c r="D4075" s="13"/>
      <c r="E4075" s="14"/>
      <c r="F4075" s="14"/>
      <c r="G4075" s="14"/>
      <c r="H4075" s="15"/>
      <c r="I4075" s="15"/>
      <c r="J4075" s="3"/>
      <c r="K4075" s="3"/>
      <c r="L4075" s="3"/>
      <c r="M4075" s="3"/>
      <c r="N4075" s="3"/>
      <c r="O4075" s="3"/>
      <c r="P4075" s="3"/>
      <c r="Q4075" s="3"/>
      <c r="R4075" s="3"/>
      <c r="S4075" s="3"/>
      <c r="T4075" s="3"/>
      <c r="U4075" s="3"/>
      <c r="V4075" s="3"/>
      <c r="W4075" s="3"/>
      <c r="X4075" s="3"/>
      <c r="Y4075" s="3"/>
      <c r="Z4075" s="3"/>
      <c r="AA4075" s="3"/>
    </row>
    <row r="4076" ht="105.75" customHeight="1">
      <c r="A4076" s="11"/>
      <c r="B4076" s="12"/>
      <c r="C4076" s="11"/>
      <c r="D4076" s="13"/>
      <c r="E4076" s="14"/>
      <c r="F4076" s="14"/>
      <c r="G4076" s="14"/>
      <c r="H4076" s="15"/>
      <c r="I4076" s="15"/>
      <c r="J4076" s="3"/>
      <c r="K4076" s="3"/>
      <c r="L4076" s="3"/>
      <c r="M4076" s="3"/>
      <c r="N4076" s="3"/>
      <c r="O4076" s="3"/>
      <c r="P4076" s="3"/>
      <c r="Q4076" s="3"/>
      <c r="R4076" s="3"/>
      <c r="S4076" s="3"/>
      <c r="T4076" s="3"/>
      <c r="U4076" s="3"/>
      <c r="V4076" s="3"/>
      <c r="W4076" s="3"/>
      <c r="X4076" s="3"/>
      <c r="Y4076" s="3"/>
      <c r="Z4076" s="3"/>
      <c r="AA4076" s="3"/>
    </row>
    <row r="4077" ht="105.75" customHeight="1">
      <c r="A4077" s="11"/>
      <c r="B4077" s="12"/>
      <c r="C4077" s="11"/>
      <c r="D4077" s="13"/>
      <c r="E4077" s="14"/>
      <c r="F4077" s="14"/>
      <c r="G4077" s="14"/>
      <c r="H4077" s="15"/>
      <c r="I4077" s="15"/>
      <c r="J4077" s="3"/>
      <c r="K4077" s="3"/>
      <c r="L4077" s="3"/>
      <c r="M4077" s="3"/>
      <c r="N4077" s="3"/>
      <c r="O4077" s="3"/>
      <c r="P4077" s="3"/>
      <c r="Q4077" s="3"/>
      <c r="R4077" s="3"/>
      <c r="S4077" s="3"/>
      <c r="T4077" s="3"/>
      <c r="U4077" s="3"/>
      <c r="V4077" s="3"/>
      <c r="W4077" s="3"/>
      <c r="X4077" s="3"/>
      <c r="Y4077" s="3"/>
      <c r="Z4077" s="3"/>
      <c r="AA4077" s="3"/>
    </row>
    <row r="4078" ht="105.75" customHeight="1">
      <c r="A4078" s="11"/>
      <c r="B4078" s="12"/>
      <c r="C4078" s="11"/>
      <c r="D4078" s="13"/>
      <c r="E4078" s="14"/>
      <c r="F4078" s="14"/>
      <c r="G4078" s="14"/>
      <c r="H4078" s="15"/>
      <c r="I4078" s="15"/>
      <c r="J4078" s="3"/>
      <c r="K4078" s="3"/>
      <c r="L4078" s="3"/>
      <c r="M4078" s="3"/>
      <c r="N4078" s="3"/>
      <c r="O4078" s="3"/>
      <c r="P4078" s="3"/>
      <c r="Q4078" s="3"/>
      <c r="R4078" s="3"/>
      <c r="S4078" s="3"/>
      <c r="T4078" s="3"/>
      <c r="U4078" s="3"/>
      <c r="V4078" s="3"/>
      <c r="W4078" s="3"/>
      <c r="X4078" s="3"/>
      <c r="Y4078" s="3"/>
      <c r="Z4078" s="3"/>
      <c r="AA4078" s="3"/>
    </row>
    <row r="4079" ht="105.75" customHeight="1">
      <c r="A4079" s="11"/>
      <c r="B4079" s="12"/>
      <c r="C4079" s="11"/>
      <c r="D4079" s="13"/>
      <c r="E4079" s="14"/>
      <c r="F4079" s="14"/>
      <c r="G4079" s="14"/>
      <c r="H4079" s="15"/>
      <c r="I4079" s="15"/>
      <c r="J4079" s="3"/>
      <c r="K4079" s="3"/>
      <c r="L4079" s="3"/>
      <c r="M4079" s="3"/>
      <c r="N4079" s="3"/>
      <c r="O4079" s="3"/>
      <c r="P4079" s="3"/>
      <c r="Q4079" s="3"/>
      <c r="R4079" s="3"/>
      <c r="S4079" s="3"/>
      <c r="T4079" s="3"/>
      <c r="U4079" s="3"/>
      <c r="V4079" s="3"/>
      <c r="W4079" s="3"/>
      <c r="X4079" s="3"/>
      <c r="Y4079" s="3"/>
      <c r="Z4079" s="3"/>
      <c r="AA4079" s="3"/>
    </row>
    <row r="4080" ht="105.75" customHeight="1">
      <c r="A4080" s="11"/>
      <c r="B4080" s="12"/>
      <c r="C4080" s="11"/>
      <c r="D4080" s="13"/>
      <c r="E4080" s="14"/>
      <c r="F4080" s="14"/>
      <c r="G4080" s="14"/>
      <c r="H4080" s="15"/>
      <c r="I4080" s="15"/>
      <c r="J4080" s="3"/>
      <c r="K4080" s="3"/>
      <c r="L4080" s="3"/>
      <c r="M4080" s="3"/>
      <c r="N4080" s="3"/>
      <c r="O4080" s="3"/>
      <c r="P4080" s="3"/>
      <c r="Q4080" s="3"/>
      <c r="R4080" s="3"/>
      <c r="S4080" s="3"/>
      <c r="T4080" s="3"/>
      <c r="U4080" s="3"/>
      <c r="V4080" s="3"/>
      <c r="W4080" s="3"/>
      <c r="X4080" s="3"/>
      <c r="Y4080" s="3"/>
      <c r="Z4080" s="3"/>
      <c r="AA4080" s="3"/>
    </row>
    <row r="4081" ht="105.75" customHeight="1">
      <c r="A4081" s="11"/>
      <c r="B4081" s="12"/>
      <c r="C4081" s="11"/>
      <c r="D4081" s="13"/>
      <c r="E4081" s="14"/>
      <c r="F4081" s="14"/>
      <c r="G4081" s="14"/>
      <c r="H4081" s="15"/>
      <c r="I4081" s="15"/>
      <c r="J4081" s="3"/>
      <c r="K4081" s="3"/>
      <c r="L4081" s="3"/>
      <c r="M4081" s="3"/>
      <c r="N4081" s="3"/>
      <c r="O4081" s="3"/>
      <c r="P4081" s="3"/>
      <c r="Q4081" s="3"/>
      <c r="R4081" s="3"/>
      <c r="S4081" s="3"/>
      <c r="T4081" s="3"/>
      <c r="U4081" s="3"/>
      <c r="V4081" s="3"/>
      <c r="W4081" s="3"/>
      <c r="X4081" s="3"/>
      <c r="Y4081" s="3"/>
      <c r="Z4081" s="3"/>
      <c r="AA4081" s="3"/>
    </row>
    <row r="4082" ht="105.75" customHeight="1">
      <c r="A4082" s="11"/>
      <c r="B4082" s="12"/>
      <c r="C4082" s="11"/>
      <c r="D4082" s="13"/>
      <c r="E4082" s="14"/>
      <c r="F4082" s="14"/>
      <c r="G4082" s="14"/>
      <c r="H4082" s="15"/>
      <c r="I4082" s="15"/>
      <c r="J4082" s="3"/>
      <c r="K4082" s="3"/>
      <c r="L4082" s="3"/>
      <c r="M4082" s="3"/>
      <c r="N4082" s="3"/>
      <c r="O4082" s="3"/>
      <c r="P4082" s="3"/>
      <c r="Q4082" s="3"/>
      <c r="R4082" s="3"/>
      <c r="S4082" s="3"/>
      <c r="T4082" s="3"/>
      <c r="U4082" s="3"/>
      <c r="V4082" s="3"/>
      <c r="W4082" s="3"/>
      <c r="X4082" s="3"/>
      <c r="Y4082" s="3"/>
      <c r="Z4082" s="3"/>
      <c r="AA4082" s="3"/>
    </row>
    <row r="4083" ht="105.75" customHeight="1">
      <c r="A4083" s="11"/>
      <c r="B4083" s="12"/>
      <c r="C4083" s="11"/>
      <c r="D4083" s="13"/>
      <c r="E4083" s="14"/>
      <c r="F4083" s="14"/>
      <c r="G4083" s="14"/>
      <c r="H4083" s="15"/>
      <c r="I4083" s="15"/>
      <c r="J4083" s="3"/>
      <c r="K4083" s="3"/>
      <c r="L4083" s="3"/>
      <c r="M4083" s="3"/>
      <c r="N4083" s="3"/>
      <c r="O4083" s="3"/>
      <c r="P4083" s="3"/>
      <c r="Q4083" s="3"/>
      <c r="R4083" s="3"/>
      <c r="S4083" s="3"/>
      <c r="T4083" s="3"/>
      <c r="U4083" s="3"/>
      <c r="V4083" s="3"/>
      <c r="W4083" s="3"/>
      <c r="X4083" s="3"/>
      <c r="Y4083" s="3"/>
      <c r="Z4083" s="3"/>
      <c r="AA4083" s="3"/>
    </row>
    <row r="4084" ht="105.75" customHeight="1">
      <c r="A4084" s="11"/>
      <c r="B4084" s="12"/>
      <c r="C4084" s="11"/>
      <c r="D4084" s="13"/>
      <c r="E4084" s="14"/>
      <c r="F4084" s="14"/>
      <c r="G4084" s="14"/>
      <c r="H4084" s="15"/>
      <c r="I4084" s="15"/>
      <c r="J4084" s="3"/>
      <c r="K4084" s="3"/>
      <c r="L4084" s="3"/>
      <c r="M4084" s="3"/>
      <c r="N4084" s="3"/>
      <c r="O4084" s="3"/>
      <c r="P4084" s="3"/>
      <c r="Q4084" s="3"/>
      <c r="R4084" s="3"/>
      <c r="S4084" s="3"/>
      <c r="T4084" s="3"/>
      <c r="U4084" s="3"/>
      <c r="V4084" s="3"/>
      <c r="W4084" s="3"/>
      <c r="X4084" s="3"/>
      <c r="Y4084" s="3"/>
      <c r="Z4084" s="3"/>
      <c r="AA4084" s="3"/>
    </row>
    <row r="4085" ht="105.75" customHeight="1">
      <c r="A4085" s="11"/>
      <c r="B4085" s="12"/>
      <c r="C4085" s="11"/>
      <c r="D4085" s="13"/>
      <c r="E4085" s="14"/>
      <c r="F4085" s="14"/>
      <c r="G4085" s="14"/>
      <c r="H4085" s="15"/>
      <c r="I4085" s="15"/>
      <c r="J4085" s="3"/>
      <c r="K4085" s="3"/>
      <c r="L4085" s="3"/>
      <c r="M4085" s="3"/>
      <c r="N4085" s="3"/>
      <c r="O4085" s="3"/>
      <c r="P4085" s="3"/>
      <c r="Q4085" s="3"/>
      <c r="R4085" s="3"/>
      <c r="S4085" s="3"/>
      <c r="T4085" s="3"/>
      <c r="U4085" s="3"/>
      <c r="V4085" s="3"/>
      <c r="W4085" s="3"/>
      <c r="X4085" s="3"/>
      <c r="Y4085" s="3"/>
      <c r="Z4085" s="3"/>
      <c r="AA4085" s="3"/>
    </row>
    <row r="4086" ht="105.75" customHeight="1">
      <c r="A4086" s="11"/>
      <c r="B4086" s="12"/>
      <c r="C4086" s="11"/>
      <c r="D4086" s="13"/>
      <c r="E4086" s="14"/>
      <c r="F4086" s="14"/>
      <c r="G4086" s="14"/>
      <c r="H4086" s="15"/>
      <c r="I4086" s="15"/>
      <c r="J4086" s="3"/>
      <c r="K4086" s="3"/>
      <c r="L4086" s="3"/>
      <c r="M4086" s="3"/>
      <c r="N4086" s="3"/>
      <c r="O4086" s="3"/>
      <c r="P4086" s="3"/>
      <c r="Q4086" s="3"/>
      <c r="R4086" s="3"/>
      <c r="S4086" s="3"/>
      <c r="T4086" s="3"/>
      <c r="U4086" s="3"/>
      <c r="V4086" s="3"/>
      <c r="W4086" s="3"/>
      <c r="X4086" s="3"/>
      <c r="Y4086" s="3"/>
      <c r="Z4086" s="3"/>
      <c r="AA4086" s="3"/>
    </row>
    <row r="4087" ht="105.75" customHeight="1">
      <c r="A4087" s="11"/>
      <c r="B4087" s="12"/>
      <c r="C4087" s="11"/>
      <c r="D4087" s="13"/>
      <c r="E4087" s="14"/>
      <c r="F4087" s="14"/>
      <c r="G4087" s="14"/>
      <c r="H4087" s="15"/>
      <c r="I4087" s="15"/>
      <c r="J4087" s="3"/>
      <c r="K4087" s="3"/>
      <c r="L4087" s="3"/>
      <c r="M4087" s="3"/>
      <c r="N4087" s="3"/>
      <c r="O4087" s="3"/>
      <c r="P4087" s="3"/>
      <c r="Q4087" s="3"/>
      <c r="R4087" s="3"/>
      <c r="S4087" s="3"/>
      <c r="T4087" s="3"/>
      <c r="U4087" s="3"/>
      <c r="V4087" s="3"/>
      <c r="W4087" s="3"/>
      <c r="X4087" s="3"/>
      <c r="Y4087" s="3"/>
      <c r="Z4087" s="3"/>
      <c r="AA4087" s="3"/>
    </row>
    <row r="4088" ht="105.75" customHeight="1">
      <c r="A4088" s="11"/>
      <c r="B4088" s="12"/>
      <c r="C4088" s="11"/>
      <c r="D4088" s="13"/>
      <c r="E4088" s="14"/>
      <c r="F4088" s="14"/>
      <c r="G4088" s="14"/>
      <c r="H4088" s="15"/>
      <c r="I4088" s="15"/>
      <c r="J4088" s="3"/>
      <c r="K4088" s="3"/>
      <c r="L4088" s="3"/>
      <c r="M4088" s="3"/>
      <c r="N4088" s="3"/>
      <c r="O4088" s="3"/>
      <c r="P4088" s="3"/>
      <c r="Q4088" s="3"/>
      <c r="R4088" s="3"/>
      <c r="S4088" s="3"/>
      <c r="T4088" s="3"/>
      <c r="U4088" s="3"/>
      <c r="V4088" s="3"/>
      <c r="W4088" s="3"/>
      <c r="X4088" s="3"/>
      <c r="Y4088" s="3"/>
      <c r="Z4088" s="3"/>
      <c r="AA4088" s="3"/>
    </row>
    <row r="4089" ht="105.75" customHeight="1">
      <c r="A4089" s="11"/>
      <c r="B4089" s="12"/>
      <c r="C4089" s="11"/>
      <c r="D4089" s="13"/>
      <c r="E4089" s="14"/>
      <c r="F4089" s="14"/>
      <c r="G4089" s="14"/>
      <c r="H4089" s="15"/>
      <c r="I4089" s="15"/>
      <c r="J4089" s="3"/>
      <c r="K4089" s="3"/>
      <c r="L4089" s="3"/>
      <c r="M4089" s="3"/>
      <c r="N4089" s="3"/>
      <c r="O4089" s="3"/>
      <c r="P4089" s="3"/>
      <c r="Q4089" s="3"/>
      <c r="R4089" s="3"/>
      <c r="S4089" s="3"/>
      <c r="T4089" s="3"/>
      <c r="U4089" s="3"/>
      <c r="V4089" s="3"/>
      <c r="W4089" s="3"/>
      <c r="X4089" s="3"/>
      <c r="Y4089" s="3"/>
      <c r="Z4089" s="3"/>
      <c r="AA4089" s="3"/>
    </row>
    <row r="4090" ht="105.75" customHeight="1">
      <c r="A4090" s="11"/>
      <c r="B4090" s="12"/>
      <c r="C4090" s="11"/>
      <c r="D4090" s="13"/>
      <c r="E4090" s="14"/>
      <c r="F4090" s="14"/>
      <c r="G4090" s="14"/>
      <c r="H4090" s="15"/>
      <c r="I4090" s="15"/>
      <c r="J4090" s="3"/>
      <c r="K4090" s="3"/>
      <c r="L4090" s="3"/>
      <c r="M4090" s="3"/>
      <c r="N4090" s="3"/>
      <c r="O4090" s="3"/>
      <c r="P4090" s="3"/>
      <c r="Q4090" s="3"/>
      <c r="R4090" s="3"/>
      <c r="S4090" s="3"/>
      <c r="T4090" s="3"/>
      <c r="U4090" s="3"/>
      <c r="V4090" s="3"/>
      <c r="W4090" s="3"/>
      <c r="X4090" s="3"/>
      <c r="Y4090" s="3"/>
      <c r="Z4090" s="3"/>
      <c r="AA4090" s="3"/>
    </row>
    <row r="4091" ht="105.75" customHeight="1">
      <c r="A4091" s="11"/>
      <c r="B4091" s="12"/>
      <c r="C4091" s="11"/>
      <c r="D4091" s="13"/>
      <c r="E4091" s="14"/>
      <c r="F4091" s="14"/>
      <c r="G4091" s="14"/>
      <c r="H4091" s="15"/>
      <c r="I4091" s="15"/>
      <c r="J4091" s="3"/>
      <c r="K4091" s="3"/>
      <c r="L4091" s="3"/>
      <c r="M4091" s="3"/>
      <c r="N4091" s="3"/>
      <c r="O4091" s="3"/>
      <c r="P4091" s="3"/>
      <c r="Q4091" s="3"/>
      <c r="R4091" s="3"/>
      <c r="S4091" s="3"/>
      <c r="T4091" s="3"/>
      <c r="U4091" s="3"/>
      <c r="V4091" s="3"/>
      <c r="W4091" s="3"/>
      <c r="X4091" s="3"/>
      <c r="Y4091" s="3"/>
      <c r="Z4091" s="3"/>
      <c r="AA4091" s="3"/>
    </row>
    <row r="4092" ht="105.75" customHeight="1">
      <c r="A4092" s="11"/>
      <c r="B4092" s="12"/>
      <c r="C4092" s="11"/>
      <c r="D4092" s="13"/>
      <c r="E4092" s="14"/>
      <c r="F4092" s="14"/>
      <c r="G4092" s="14"/>
      <c r="H4092" s="15"/>
      <c r="I4092" s="15"/>
      <c r="J4092" s="3"/>
      <c r="K4092" s="3"/>
      <c r="L4092" s="3"/>
      <c r="M4092" s="3"/>
      <c r="N4092" s="3"/>
      <c r="O4092" s="3"/>
      <c r="P4092" s="3"/>
      <c r="Q4092" s="3"/>
      <c r="R4092" s="3"/>
      <c r="S4092" s="3"/>
      <c r="T4092" s="3"/>
      <c r="U4092" s="3"/>
      <c r="V4092" s="3"/>
      <c r="W4092" s="3"/>
      <c r="X4092" s="3"/>
      <c r="Y4092" s="3"/>
      <c r="Z4092" s="3"/>
      <c r="AA4092" s="3"/>
    </row>
    <row r="4093" ht="105.75" customHeight="1">
      <c r="A4093" s="11"/>
      <c r="B4093" s="12"/>
      <c r="C4093" s="11"/>
      <c r="D4093" s="13"/>
      <c r="E4093" s="14"/>
      <c r="F4093" s="14"/>
      <c r="G4093" s="14"/>
      <c r="H4093" s="15"/>
      <c r="I4093" s="15"/>
      <c r="J4093" s="3"/>
      <c r="K4093" s="3"/>
      <c r="L4093" s="3"/>
      <c r="M4093" s="3"/>
      <c r="N4093" s="3"/>
      <c r="O4093" s="3"/>
      <c r="P4093" s="3"/>
      <c r="Q4093" s="3"/>
      <c r="R4093" s="3"/>
      <c r="S4093" s="3"/>
      <c r="T4093" s="3"/>
      <c r="U4093" s="3"/>
      <c r="V4093" s="3"/>
      <c r="W4093" s="3"/>
      <c r="X4093" s="3"/>
      <c r="Y4093" s="3"/>
      <c r="Z4093" s="3"/>
      <c r="AA4093" s="3"/>
    </row>
    <row r="4094" ht="105.75" customHeight="1">
      <c r="A4094" s="11"/>
      <c r="B4094" s="12"/>
      <c r="C4094" s="11"/>
      <c r="D4094" s="13"/>
      <c r="E4094" s="14"/>
      <c r="F4094" s="14"/>
      <c r="G4094" s="14"/>
      <c r="H4094" s="15"/>
      <c r="I4094" s="15"/>
      <c r="J4094" s="3"/>
      <c r="K4094" s="3"/>
      <c r="L4094" s="3"/>
      <c r="M4094" s="3"/>
      <c r="N4094" s="3"/>
      <c r="O4094" s="3"/>
      <c r="P4094" s="3"/>
      <c r="Q4094" s="3"/>
      <c r="R4094" s="3"/>
      <c r="S4094" s="3"/>
      <c r="T4094" s="3"/>
      <c r="U4094" s="3"/>
      <c r="V4094" s="3"/>
      <c r="W4094" s="3"/>
      <c r="X4094" s="3"/>
      <c r="Y4094" s="3"/>
      <c r="Z4094" s="3"/>
      <c r="AA4094" s="3"/>
    </row>
    <row r="4095" ht="105.75" customHeight="1">
      <c r="A4095" s="11"/>
      <c r="B4095" s="12"/>
      <c r="C4095" s="11"/>
      <c r="D4095" s="13"/>
      <c r="E4095" s="14"/>
      <c r="F4095" s="14"/>
      <c r="G4095" s="14"/>
      <c r="H4095" s="15"/>
      <c r="I4095" s="15"/>
      <c r="J4095" s="3"/>
      <c r="K4095" s="3"/>
      <c r="L4095" s="3"/>
      <c r="M4095" s="3"/>
      <c r="N4095" s="3"/>
      <c r="O4095" s="3"/>
      <c r="P4095" s="3"/>
      <c r="Q4095" s="3"/>
      <c r="R4095" s="3"/>
      <c r="S4095" s="3"/>
      <c r="T4095" s="3"/>
      <c r="U4095" s="3"/>
      <c r="V4095" s="3"/>
      <c r="W4095" s="3"/>
      <c r="X4095" s="3"/>
      <c r="Y4095" s="3"/>
      <c r="Z4095" s="3"/>
      <c r="AA4095" s="3"/>
    </row>
    <row r="4096" ht="105.75" customHeight="1">
      <c r="A4096" s="11"/>
      <c r="B4096" s="12"/>
      <c r="C4096" s="11"/>
      <c r="D4096" s="13"/>
      <c r="E4096" s="14"/>
      <c r="F4096" s="14"/>
      <c r="G4096" s="14"/>
      <c r="H4096" s="15"/>
      <c r="I4096" s="15"/>
      <c r="J4096" s="3"/>
      <c r="K4096" s="3"/>
      <c r="L4096" s="3"/>
      <c r="M4096" s="3"/>
      <c r="N4096" s="3"/>
      <c r="O4096" s="3"/>
      <c r="P4096" s="3"/>
      <c r="Q4096" s="3"/>
      <c r="R4096" s="3"/>
      <c r="S4096" s="3"/>
      <c r="T4096" s="3"/>
      <c r="U4096" s="3"/>
      <c r="V4096" s="3"/>
      <c r="W4096" s="3"/>
      <c r="X4096" s="3"/>
      <c r="Y4096" s="3"/>
      <c r="Z4096" s="3"/>
      <c r="AA4096" s="3"/>
    </row>
    <row r="4097" ht="105.75" customHeight="1">
      <c r="A4097" s="11"/>
      <c r="B4097" s="12"/>
      <c r="C4097" s="11"/>
      <c r="D4097" s="13"/>
      <c r="E4097" s="14"/>
      <c r="F4097" s="14"/>
      <c r="G4097" s="14"/>
      <c r="H4097" s="15"/>
      <c r="I4097" s="15"/>
      <c r="J4097" s="3"/>
      <c r="K4097" s="3"/>
      <c r="L4097" s="3"/>
      <c r="M4097" s="3"/>
      <c r="N4097" s="3"/>
      <c r="O4097" s="3"/>
      <c r="P4097" s="3"/>
      <c r="Q4097" s="3"/>
      <c r="R4097" s="3"/>
      <c r="S4097" s="3"/>
      <c r="T4097" s="3"/>
      <c r="U4097" s="3"/>
      <c r="V4097" s="3"/>
      <c r="W4097" s="3"/>
      <c r="X4097" s="3"/>
      <c r="Y4097" s="3"/>
      <c r="Z4097" s="3"/>
      <c r="AA4097" s="3"/>
    </row>
    <row r="4098" ht="105.75" customHeight="1">
      <c r="A4098" s="11"/>
      <c r="B4098" s="12"/>
      <c r="C4098" s="11"/>
      <c r="D4098" s="13"/>
      <c r="E4098" s="14"/>
      <c r="F4098" s="14"/>
      <c r="G4098" s="14"/>
      <c r="H4098" s="15"/>
      <c r="I4098" s="15"/>
      <c r="J4098" s="3"/>
      <c r="K4098" s="3"/>
      <c r="L4098" s="3"/>
      <c r="M4098" s="3"/>
      <c r="N4098" s="3"/>
      <c r="O4098" s="3"/>
      <c r="P4098" s="3"/>
      <c r="Q4098" s="3"/>
      <c r="R4098" s="3"/>
      <c r="S4098" s="3"/>
      <c r="T4098" s="3"/>
      <c r="U4098" s="3"/>
      <c r="V4098" s="3"/>
      <c r="W4098" s="3"/>
      <c r="X4098" s="3"/>
      <c r="Y4098" s="3"/>
      <c r="Z4098" s="3"/>
      <c r="AA4098" s="3"/>
    </row>
    <row r="4099" ht="105.75" customHeight="1">
      <c r="A4099" s="11"/>
      <c r="B4099" s="12"/>
      <c r="C4099" s="11"/>
      <c r="D4099" s="13"/>
      <c r="E4099" s="14"/>
      <c r="F4099" s="14"/>
      <c r="G4099" s="14"/>
      <c r="H4099" s="15"/>
      <c r="I4099" s="15"/>
      <c r="J4099" s="3"/>
      <c r="K4099" s="3"/>
      <c r="L4099" s="3"/>
      <c r="M4099" s="3"/>
      <c r="N4099" s="3"/>
      <c r="O4099" s="3"/>
      <c r="P4099" s="3"/>
      <c r="Q4099" s="3"/>
      <c r="R4099" s="3"/>
      <c r="S4099" s="3"/>
      <c r="T4099" s="3"/>
      <c r="U4099" s="3"/>
      <c r="V4099" s="3"/>
      <c r="W4099" s="3"/>
      <c r="X4099" s="3"/>
      <c r="Y4099" s="3"/>
      <c r="Z4099" s="3"/>
      <c r="AA4099" s="3"/>
    </row>
    <row r="4100" ht="105.75" customHeight="1">
      <c r="A4100" s="11"/>
      <c r="B4100" s="12"/>
      <c r="C4100" s="11"/>
      <c r="D4100" s="13"/>
      <c r="E4100" s="14"/>
      <c r="F4100" s="14"/>
      <c r="G4100" s="14"/>
      <c r="H4100" s="15"/>
      <c r="I4100" s="15"/>
      <c r="J4100" s="3"/>
      <c r="K4100" s="3"/>
      <c r="L4100" s="3"/>
      <c r="M4100" s="3"/>
      <c r="N4100" s="3"/>
      <c r="O4100" s="3"/>
      <c r="P4100" s="3"/>
      <c r="Q4100" s="3"/>
      <c r="R4100" s="3"/>
      <c r="S4100" s="3"/>
      <c r="T4100" s="3"/>
      <c r="U4100" s="3"/>
      <c r="V4100" s="3"/>
      <c r="W4100" s="3"/>
      <c r="X4100" s="3"/>
      <c r="Y4100" s="3"/>
      <c r="Z4100" s="3"/>
      <c r="AA4100" s="3"/>
    </row>
    <row r="4101" ht="105.75" customHeight="1">
      <c r="A4101" s="11"/>
      <c r="B4101" s="12"/>
      <c r="C4101" s="11"/>
      <c r="D4101" s="13"/>
      <c r="E4101" s="14"/>
      <c r="F4101" s="14"/>
      <c r="G4101" s="14"/>
      <c r="H4101" s="15"/>
      <c r="I4101" s="15"/>
      <c r="J4101" s="3"/>
      <c r="K4101" s="3"/>
      <c r="L4101" s="3"/>
      <c r="M4101" s="3"/>
      <c r="N4101" s="3"/>
      <c r="O4101" s="3"/>
      <c r="P4101" s="3"/>
      <c r="Q4101" s="3"/>
      <c r="R4101" s="3"/>
      <c r="S4101" s="3"/>
      <c r="T4101" s="3"/>
      <c r="U4101" s="3"/>
      <c r="V4101" s="3"/>
      <c r="W4101" s="3"/>
      <c r="X4101" s="3"/>
      <c r="Y4101" s="3"/>
      <c r="Z4101" s="3"/>
      <c r="AA4101" s="3"/>
    </row>
    <row r="4102" ht="105.75" customHeight="1">
      <c r="A4102" s="11"/>
      <c r="B4102" s="12"/>
      <c r="C4102" s="11"/>
      <c r="D4102" s="13"/>
      <c r="E4102" s="14"/>
      <c r="F4102" s="14"/>
      <c r="G4102" s="14"/>
      <c r="H4102" s="15"/>
      <c r="I4102" s="15"/>
      <c r="J4102" s="3"/>
      <c r="K4102" s="3"/>
      <c r="L4102" s="3"/>
      <c r="M4102" s="3"/>
      <c r="N4102" s="3"/>
      <c r="O4102" s="3"/>
      <c r="P4102" s="3"/>
      <c r="Q4102" s="3"/>
      <c r="R4102" s="3"/>
      <c r="S4102" s="3"/>
      <c r="T4102" s="3"/>
      <c r="U4102" s="3"/>
      <c r="V4102" s="3"/>
      <c r="W4102" s="3"/>
      <c r="X4102" s="3"/>
      <c r="Y4102" s="3"/>
      <c r="Z4102" s="3"/>
      <c r="AA4102" s="3"/>
    </row>
    <row r="4103" ht="105.75" customHeight="1">
      <c r="A4103" s="11"/>
      <c r="B4103" s="12"/>
      <c r="C4103" s="11"/>
      <c r="D4103" s="13"/>
      <c r="E4103" s="14"/>
      <c r="F4103" s="14"/>
      <c r="G4103" s="14"/>
      <c r="H4103" s="15"/>
      <c r="I4103" s="15"/>
      <c r="J4103" s="3"/>
      <c r="K4103" s="3"/>
      <c r="L4103" s="3"/>
      <c r="M4103" s="3"/>
      <c r="N4103" s="3"/>
      <c r="O4103" s="3"/>
      <c r="P4103" s="3"/>
      <c r="Q4103" s="3"/>
      <c r="R4103" s="3"/>
      <c r="S4103" s="3"/>
      <c r="T4103" s="3"/>
      <c r="U4103" s="3"/>
      <c r="V4103" s="3"/>
      <c r="W4103" s="3"/>
      <c r="X4103" s="3"/>
      <c r="Y4103" s="3"/>
      <c r="Z4103" s="3"/>
      <c r="AA4103" s="3"/>
    </row>
    <row r="4104" ht="105.75" customHeight="1">
      <c r="A4104" s="11"/>
      <c r="B4104" s="12"/>
      <c r="C4104" s="11"/>
      <c r="D4104" s="13"/>
      <c r="E4104" s="14"/>
      <c r="F4104" s="14"/>
      <c r="G4104" s="14"/>
      <c r="H4104" s="15"/>
      <c r="I4104" s="15"/>
      <c r="J4104" s="3"/>
      <c r="K4104" s="3"/>
      <c r="L4104" s="3"/>
      <c r="M4104" s="3"/>
      <c r="N4104" s="3"/>
      <c r="O4104" s="3"/>
      <c r="P4104" s="3"/>
      <c r="Q4104" s="3"/>
      <c r="R4104" s="3"/>
      <c r="S4104" s="3"/>
      <c r="T4104" s="3"/>
      <c r="U4104" s="3"/>
      <c r="V4104" s="3"/>
      <c r="W4104" s="3"/>
      <c r="X4104" s="3"/>
      <c r="Y4104" s="3"/>
      <c r="Z4104" s="3"/>
      <c r="AA4104" s="3"/>
    </row>
    <row r="4105" ht="105.75" customHeight="1">
      <c r="A4105" s="11"/>
      <c r="B4105" s="12"/>
      <c r="C4105" s="11"/>
      <c r="D4105" s="13"/>
      <c r="E4105" s="14"/>
      <c r="F4105" s="14"/>
      <c r="G4105" s="14"/>
      <c r="H4105" s="15"/>
      <c r="I4105" s="15"/>
      <c r="J4105" s="3"/>
      <c r="K4105" s="3"/>
      <c r="L4105" s="3"/>
      <c r="M4105" s="3"/>
      <c r="N4105" s="3"/>
      <c r="O4105" s="3"/>
      <c r="P4105" s="3"/>
      <c r="Q4105" s="3"/>
      <c r="R4105" s="3"/>
      <c r="S4105" s="3"/>
      <c r="T4105" s="3"/>
      <c r="U4105" s="3"/>
      <c r="V4105" s="3"/>
      <c r="W4105" s="3"/>
      <c r="X4105" s="3"/>
      <c r="Y4105" s="3"/>
      <c r="Z4105" s="3"/>
      <c r="AA4105" s="3"/>
    </row>
    <row r="4106" ht="105.75" customHeight="1">
      <c r="A4106" s="11"/>
      <c r="B4106" s="12"/>
      <c r="C4106" s="11"/>
      <c r="D4106" s="13"/>
      <c r="E4106" s="14"/>
      <c r="F4106" s="14"/>
      <c r="G4106" s="14"/>
      <c r="H4106" s="15"/>
      <c r="I4106" s="15"/>
      <c r="J4106" s="3"/>
      <c r="K4106" s="3"/>
      <c r="L4106" s="3"/>
      <c r="M4106" s="3"/>
      <c r="N4106" s="3"/>
      <c r="O4106" s="3"/>
      <c r="P4106" s="3"/>
      <c r="Q4106" s="3"/>
      <c r="R4106" s="3"/>
      <c r="S4106" s="3"/>
      <c r="T4106" s="3"/>
      <c r="U4106" s="3"/>
      <c r="V4106" s="3"/>
      <c r="W4106" s="3"/>
      <c r="X4106" s="3"/>
      <c r="Y4106" s="3"/>
      <c r="Z4106" s="3"/>
      <c r="AA4106" s="3"/>
    </row>
    <row r="4107" ht="105.75" customHeight="1">
      <c r="A4107" s="11"/>
      <c r="B4107" s="12"/>
      <c r="C4107" s="11"/>
      <c r="D4107" s="13"/>
      <c r="E4107" s="14"/>
      <c r="F4107" s="14"/>
      <c r="G4107" s="14"/>
      <c r="H4107" s="15"/>
      <c r="I4107" s="15"/>
      <c r="J4107" s="3"/>
      <c r="K4107" s="3"/>
      <c r="L4107" s="3"/>
      <c r="M4107" s="3"/>
      <c r="N4107" s="3"/>
      <c r="O4107" s="3"/>
      <c r="P4107" s="3"/>
      <c r="Q4107" s="3"/>
      <c r="R4107" s="3"/>
      <c r="S4107" s="3"/>
      <c r="T4107" s="3"/>
      <c r="U4107" s="3"/>
      <c r="V4107" s="3"/>
      <c r="W4107" s="3"/>
      <c r="X4107" s="3"/>
      <c r="Y4107" s="3"/>
      <c r="Z4107" s="3"/>
      <c r="AA4107" s="3"/>
    </row>
    <row r="4108" ht="105.75" customHeight="1">
      <c r="A4108" s="11"/>
      <c r="B4108" s="12"/>
      <c r="C4108" s="11"/>
      <c r="D4108" s="13"/>
      <c r="E4108" s="14"/>
      <c r="F4108" s="14"/>
      <c r="G4108" s="14"/>
      <c r="H4108" s="15"/>
      <c r="I4108" s="15"/>
      <c r="J4108" s="3"/>
      <c r="K4108" s="3"/>
      <c r="L4108" s="3"/>
      <c r="M4108" s="3"/>
      <c r="N4108" s="3"/>
      <c r="O4108" s="3"/>
      <c r="P4108" s="3"/>
      <c r="Q4108" s="3"/>
      <c r="R4108" s="3"/>
      <c r="S4108" s="3"/>
      <c r="T4108" s="3"/>
      <c r="U4108" s="3"/>
      <c r="V4108" s="3"/>
      <c r="W4108" s="3"/>
      <c r="X4108" s="3"/>
      <c r="Y4108" s="3"/>
      <c r="Z4108" s="3"/>
      <c r="AA4108" s="3"/>
    </row>
    <row r="4109" ht="105.75" customHeight="1">
      <c r="A4109" s="11"/>
      <c r="B4109" s="12"/>
      <c r="C4109" s="11"/>
      <c r="D4109" s="13"/>
      <c r="E4109" s="14"/>
      <c r="F4109" s="14"/>
      <c r="G4109" s="14"/>
      <c r="H4109" s="15"/>
      <c r="I4109" s="15"/>
      <c r="J4109" s="3"/>
      <c r="K4109" s="3"/>
      <c r="L4109" s="3"/>
      <c r="M4109" s="3"/>
      <c r="N4109" s="3"/>
      <c r="O4109" s="3"/>
      <c r="P4109" s="3"/>
      <c r="Q4109" s="3"/>
      <c r="R4109" s="3"/>
      <c r="S4109" s="3"/>
      <c r="T4109" s="3"/>
      <c r="U4109" s="3"/>
      <c r="V4109" s="3"/>
      <c r="W4109" s="3"/>
      <c r="X4109" s="3"/>
      <c r="Y4109" s="3"/>
      <c r="Z4109" s="3"/>
      <c r="AA4109" s="3"/>
    </row>
    <row r="4110" ht="105.75" customHeight="1">
      <c r="A4110" s="11"/>
      <c r="B4110" s="12"/>
      <c r="C4110" s="11"/>
      <c r="D4110" s="13"/>
      <c r="E4110" s="14"/>
      <c r="F4110" s="14"/>
      <c r="G4110" s="14"/>
      <c r="H4110" s="15"/>
      <c r="I4110" s="15"/>
      <c r="J4110" s="3"/>
      <c r="K4110" s="3"/>
      <c r="L4110" s="3"/>
      <c r="M4110" s="3"/>
      <c r="N4110" s="3"/>
      <c r="O4110" s="3"/>
      <c r="P4110" s="3"/>
      <c r="Q4110" s="3"/>
      <c r="R4110" s="3"/>
      <c r="S4110" s="3"/>
      <c r="T4110" s="3"/>
      <c r="U4110" s="3"/>
      <c r="V4110" s="3"/>
      <c r="W4110" s="3"/>
      <c r="X4110" s="3"/>
      <c r="Y4110" s="3"/>
      <c r="Z4110" s="3"/>
      <c r="AA4110" s="3"/>
    </row>
    <row r="4111" ht="105.75" customHeight="1">
      <c r="A4111" s="11"/>
      <c r="B4111" s="12"/>
      <c r="C4111" s="11"/>
      <c r="D4111" s="13"/>
      <c r="E4111" s="14"/>
      <c r="F4111" s="14"/>
      <c r="G4111" s="14"/>
      <c r="H4111" s="15"/>
      <c r="I4111" s="15"/>
      <c r="J4111" s="3"/>
      <c r="K4111" s="3"/>
      <c r="L4111" s="3"/>
      <c r="M4111" s="3"/>
      <c r="N4111" s="3"/>
      <c r="O4111" s="3"/>
      <c r="P4111" s="3"/>
      <c r="Q4111" s="3"/>
      <c r="R4111" s="3"/>
      <c r="S4111" s="3"/>
      <c r="T4111" s="3"/>
      <c r="U4111" s="3"/>
      <c r="V4111" s="3"/>
      <c r="W4111" s="3"/>
      <c r="X4111" s="3"/>
      <c r="Y4111" s="3"/>
      <c r="Z4111" s="3"/>
      <c r="AA4111" s="3"/>
    </row>
    <row r="4112" ht="105.75" customHeight="1">
      <c r="A4112" s="11"/>
      <c r="B4112" s="12"/>
      <c r="C4112" s="11"/>
      <c r="D4112" s="13"/>
      <c r="E4112" s="14"/>
      <c r="F4112" s="14"/>
      <c r="G4112" s="14"/>
      <c r="H4112" s="15"/>
      <c r="I4112" s="15"/>
      <c r="J4112" s="3"/>
      <c r="K4112" s="3"/>
      <c r="L4112" s="3"/>
      <c r="M4112" s="3"/>
      <c r="N4112" s="3"/>
      <c r="O4112" s="3"/>
      <c r="P4112" s="3"/>
      <c r="Q4112" s="3"/>
      <c r="R4112" s="3"/>
      <c r="S4112" s="3"/>
      <c r="T4112" s="3"/>
      <c r="U4112" s="3"/>
      <c r="V4112" s="3"/>
      <c r="W4112" s="3"/>
      <c r="X4112" s="3"/>
      <c r="Y4112" s="3"/>
      <c r="Z4112" s="3"/>
      <c r="AA4112" s="3"/>
    </row>
    <row r="4113" ht="105.75" customHeight="1">
      <c r="A4113" s="11"/>
      <c r="B4113" s="12"/>
      <c r="C4113" s="11"/>
      <c r="D4113" s="13"/>
      <c r="E4113" s="14"/>
      <c r="F4113" s="14"/>
      <c r="G4113" s="14"/>
      <c r="H4113" s="15"/>
      <c r="I4113" s="15"/>
      <c r="J4113" s="3"/>
      <c r="K4113" s="3"/>
      <c r="L4113" s="3"/>
      <c r="M4113" s="3"/>
      <c r="N4113" s="3"/>
      <c r="O4113" s="3"/>
      <c r="P4113" s="3"/>
      <c r="Q4113" s="3"/>
      <c r="R4113" s="3"/>
      <c r="S4113" s="3"/>
      <c r="T4113" s="3"/>
      <c r="U4113" s="3"/>
      <c r="V4113" s="3"/>
      <c r="W4113" s="3"/>
      <c r="X4113" s="3"/>
      <c r="Y4113" s="3"/>
      <c r="Z4113" s="3"/>
      <c r="AA4113" s="3"/>
    </row>
    <row r="4114" ht="105.75" customHeight="1">
      <c r="A4114" s="11"/>
      <c r="B4114" s="12"/>
      <c r="C4114" s="11"/>
      <c r="D4114" s="13"/>
      <c r="E4114" s="14"/>
      <c r="F4114" s="14"/>
      <c r="G4114" s="14"/>
      <c r="H4114" s="15"/>
      <c r="I4114" s="15"/>
      <c r="J4114" s="3"/>
      <c r="K4114" s="3"/>
      <c r="L4114" s="3"/>
      <c r="M4114" s="3"/>
      <c r="N4114" s="3"/>
      <c r="O4114" s="3"/>
      <c r="P4114" s="3"/>
      <c r="Q4114" s="3"/>
      <c r="R4114" s="3"/>
      <c r="S4114" s="3"/>
      <c r="T4114" s="3"/>
      <c r="U4114" s="3"/>
      <c r="V4114" s="3"/>
      <c r="W4114" s="3"/>
      <c r="X4114" s="3"/>
      <c r="Y4114" s="3"/>
      <c r="Z4114" s="3"/>
      <c r="AA4114" s="3"/>
    </row>
    <row r="4115" ht="105.75" customHeight="1">
      <c r="A4115" s="11"/>
      <c r="B4115" s="12"/>
      <c r="C4115" s="11"/>
      <c r="D4115" s="13"/>
      <c r="E4115" s="14"/>
      <c r="F4115" s="14"/>
      <c r="G4115" s="14"/>
      <c r="H4115" s="15"/>
      <c r="I4115" s="15"/>
      <c r="J4115" s="3"/>
      <c r="K4115" s="3"/>
      <c r="L4115" s="3"/>
      <c r="M4115" s="3"/>
      <c r="N4115" s="3"/>
      <c r="O4115" s="3"/>
      <c r="P4115" s="3"/>
      <c r="Q4115" s="3"/>
      <c r="R4115" s="3"/>
      <c r="S4115" s="3"/>
      <c r="T4115" s="3"/>
      <c r="U4115" s="3"/>
      <c r="V4115" s="3"/>
      <c r="W4115" s="3"/>
      <c r="X4115" s="3"/>
      <c r="Y4115" s="3"/>
      <c r="Z4115" s="3"/>
      <c r="AA4115" s="3"/>
    </row>
    <row r="4116" ht="105.75" customHeight="1">
      <c r="A4116" s="11"/>
      <c r="B4116" s="12"/>
      <c r="C4116" s="11"/>
      <c r="D4116" s="13"/>
      <c r="E4116" s="14"/>
      <c r="F4116" s="14"/>
      <c r="G4116" s="14"/>
      <c r="H4116" s="15"/>
      <c r="I4116" s="15"/>
      <c r="J4116" s="3"/>
      <c r="K4116" s="3"/>
      <c r="L4116" s="3"/>
      <c r="M4116" s="3"/>
      <c r="N4116" s="3"/>
      <c r="O4116" s="3"/>
      <c r="P4116" s="3"/>
      <c r="Q4116" s="3"/>
      <c r="R4116" s="3"/>
      <c r="S4116" s="3"/>
      <c r="T4116" s="3"/>
      <c r="U4116" s="3"/>
      <c r="V4116" s="3"/>
      <c r="W4116" s="3"/>
      <c r="X4116" s="3"/>
      <c r="Y4116" s="3"/>
      <c r="Z4116" s="3"/>
      <c r="AA4116" s="3"/>
    </row>
    <row r="4117" ht="105.75" customHeight="1">
      <c r="A4117" s="11"/>
      <c r="B4117" s="12"/>
      <c r="C4117" s="11"/>
      <c r="D4117" s="13"/>
      <c r="E4117" s="14"/>
      <c r="F4117" s="14"/>
      <c r="G4117" s="14"/>
      <c r="H4117" s="15"/>
      <c r="I4117" s="15"/>
      <c r="J4117" s="3"/>
      <c r="K4117" s="3"/>
      <c r="L4117" s="3"/>
      <c r="M4117" s="3"/>
      <c r="N4117" s="3"/>
      <c r="O4117" s="3"/>
      <c r="P4117" s="3"/>
      <c r="Q4117" s="3"/>
      <c r="R4117" s="3"/>
      <c r="S4117" s="3"/>
      <c r="T4117" s="3"/>
      <c r="U4117" s="3"/>
      <c r="V4117" s="3"/>
      <c r="W4117" s="3"/>
      <c r="X4117" s="3"/>
      <c r="Y4117" s="3"/>
      <c r="Z4117" s="3"/>
      <c r="AA4117" s="3"/>
    </row>
    <row r="4118" ht="105.75" customHeight="1">
      <c r="A4118" s="11"/>
      <c r="B4118" s="12"/>
      <c r="C4118" s="11"/>
      <c r="D4118" s="13"/>
      <c r="E4118" s="14"/>
      <c r="F4118" s="14"/>
      <c r="G4118" s="14"/>
      <c r="H4118" s="15"/>
      <c r="I4118" s="15"/>
      <c r="J4118" s="3"/>
      <c r="K4118" s="3"/>
      <c r="L4118" s="3"/>
      <c r="M4118" s="3"/>
      <c r="N4118" s="3"/>
      <c r="O4118" s="3"/>
      <c r="P4118" s="3"/>
      <c r="Q4118" s="3"/>
      <c r="R4118" s="3"/>
      <c r="S4118" s="3"/>
      <c r="T4118" s="3"/>
      <c r="U4118" s="3"/>
      <c r="V4118" s="3"/>
      <c r="W4118" s="3"/>
      <c r="X4118" s="3"/>
      <c r="Y4118" s="3"/>
      <c r="Z4118" s="3"/>
      <c r="AA4118" s="3"/>
    </row>
    <row r="4119" ht="105.75" customHeight="1">
      <c r="A4119" s="11"/>
      <c r="B4119" s="12"/>
      <c r="C4119" s="11"/>
      <c r="D4119" s="13"/>
      <c r="E4119" s="14"/>
      <c r="F4119" s="14"/>
      <c r="G4119" s="14"/>
      <c r="H4119" s="15"/>
      <c r="I4119" s="15"/>
      <c r="J4119" s="3"/>
      <c r="K4119" s="3"/>
      <c r="L4119" s="3"/>
      <c r="M4119" s="3"/>
      <c r="N4119" s="3"/>
      <c r="O4119" s="3"/>
      <c r="P4119" s="3"/>
      <c r="Q4119" s="3"/>
      <c r="R4119" s="3"/>
      <c r="S4119" s="3"/>
      <c r="T4119" s="3"/>
      <c r="U4119" s="3"/>
      <c r="V4119" s="3"/>
      <c r="W4119" s="3"/>
      <c r="X4119" s="3"/>
      <c r="Y4119" s="3"/>
      <c r="Z4119" s="3"/>
      <c r="AA4119" s="3"/>
    </row>
    <row r="4120" ht="105.75" customHeight="1">
      <c r="A4120" s="11"/>
      <c r="B4120" s="12"/>
      <c r="C4120" s="11"/>
      <c r="D4120" s="13"/>
      <c r="E4120" s="14"/>
      <c r="F4120" s="14"/>
      <c r="G4120" s="14"/>
      <c r="H4120" s="15"/>
      <c r="I4120" s="15"/>
      <c r="J4120" s="3"/>
      <c r="K4120" s="3"/>
      <c r="L4120" s="3"/>
      <c r="M4120" s="3"/>
      <c r="N4120" s="3"/>
      <c r="O4120" s="3"/>
      <c r="P4120" s="3"/>
      <c r="Q4120" s="3"/>
      <c r="R4120" s="3"/>
      <c r="S4120" s="3"/>
      <c r="T4120" s="3"/>
      <c r="U4120" s="3"/>
      <c r="V4120" s="3"/>
      <c r="W4120" s="3"/>
      <c r="X4120" s="3"/>
      <c r="Y4120" s="3"/>
      <c r="Z4120" s="3"/>
      <c r="AA4120" s="3"/>
    </row>
    <row r="4121" ht="105.75" customHeight="1">
      <c r="A4121" s="11"/>
      <c r="B4121" s="12"/>
      <c r="C4121" s="11"/>
      <c r="D4121" s="13"/>
      <c r="E4121" s="14"/>
      <c r="F4121" s="14"/>
      <c r="G4121" s="14"/>
      <c r="H4121" s="15"/>
      <c r="I4121" s="15"/>
      <c r="J4121" s="3"/>
      <c r="K4121" s="3"/>
      <c r="L4121" s="3"/>
      <c r="M4121" s="3"/>
      <c r="N4121" s="3"/>
      <c r="O4121" s="3"/>
      <c r="P4121" s="3"/>
      <c r="Q4121" s="3"/>
      <c r="R4121" s="3"/>
      <c r="S4121" s="3"/>
      <c r="T4121" s="3"/>
      <c r="U4121" s="3"/>
      <c r="V4121" s="3"/>
      <c r="W4121" s="3"/>
      <c r="X4121" s="3"/>
      <c r="Y4121" s="3"/>
      <c r="Z4121" s="3"/>
      <c r="AA4121" s="3"/>
    </row>
    <row r="4122" ht="105.75" customHeight="1">
      <c r="A4122" s="11"/>
      <c r="B4122" s="12"/>
      <c r="C4122" s="11"/>
      <c r="D4122" s="13"/>
      <c r="E4122" s="14"/>
      <c r="F4122" s="14"/>
      <c r="G4122" s="14"/>
      <c r="H4122" s="15"/>
      <c r="I4122" s="15"/>
      <c r="J4122" s="3"/>
      <c r="K4122" s="3"/>
      <c r="L4122" s="3"/>
      <c r="M4122" s="3"/>
      <c r="N4122" s="3"/>
      <c r="O4122" s="3"/>
      <c r="P4122" s="3"/>
      <c r="Q4122" s="3"/>
      <c r="R4122" s="3"/>
      <c r="S4122" s="3"/>
      <c r="T4122" s="3"/>
      <c r="U4122" s="3"/>
      <c r="V4122" s="3"/>
      <c r="W4122" s="3"/>
      <c r="X4122" s="3"/>
      <c r="Y4122" s="3"/>
      <c r="Z4122" s="3"/>
      <c r="AA4122" s="3"/>
    </row>
    <row r="4123" ht="105.75" customHeight="1">
      <c r="A4123" s="11"/>
      <c r="B4123" s="12"/>
      <c r="C4123" s="11"/>
      <c r="D4123" s="13"/>
      <c r="E4123" s="14"/>
      <c r="F4123" s="14"/>
      <c r="G4123" s="14"/>
      <c r="H4123" s="15"/>
      <c r="I4123" s="15"/>
      <c r="J4123" s="3"/>
      <c r="K4123" s="3"/>
      <c r="L4123" s="3"/>
      <c r="M4123" s="3"/>
      <c r="N4123" s="3"/>
      <c r="O4123" s="3"/>
      <c r="P4123" s="3"/>
      <c r="Q4123" s="3"/>
      <c r="R4123" s="3"/>
      <c r="S4123" s="3"/>
      <c r="T4123" s="3"/>
      <c r="U4123" s="3"/>
      <c r="V4123" s="3"/>
      <c r="W4123" s="3"/>
      <c r="X4123" s="3"/>
      <c r="Y4123" s="3"/>
      <c r="Z4123" s="3"/>
      <c r="AA4123" s="3"/>
    </row>
    <row r="4124" ht="105.75" customHeight="1">
      <c r="A4124" s="11"/>
      <c r="B4124" s="12"/>
      <c r="C4124" s="11"/>
      <c r="D4124" s="13"/>
      <c r="E4124" s="14"/>
      <c r="F4124" s="14"/>
      <c r="G4124" s="14"/>
      <c r="H4124" s="15"/>
      <c r="I4124" s="15"/>
      <c r="J4124" s="3"/>
      <c r="K4124" s="3"/>
      <c r="L4124" s="3"/>
      <c r="M4124" s="3"/>
      <c r="N4124" s="3"/>
      <c r="O4124" s="3"/>
      <c r="P4124" s="3"/>
      <c r="Q4124" s="3"/>
      <c r="R4124" s="3"/>
      <c r="S4124" s="3"/>
      <c r="T4124" s="3"/>
      <c r="U4124" s="3"/>
      <c r="V4124" s="3"/>
      <c r="W4124" s="3"/>
      <c r="X4124" s="3"/>
      <c r="Y4124" s="3"/>
      <c r="Z4124" s="3"/>
      <c r="AA4124" s="3"/>
    </row>
    <row r="4125" ht="105.75" customHeight="1">
      <c r="A4125" s="11"/>
      <c r="B4125" s="12"/>
      <c r="C4125" s="11"/>
      <c r="D4125" s="13"/>
      <c r="E4125" s="14"/>
      <c r="F4125" s="14"/>
      <c r="G4125" s="14"/>
      <c r="H4125" s="15"/>
      <c r="I4125" s="15"/>
      <c r="J4125" s="3"/>
      <c r="K4125" s="3"/>
      <c r="L4125" s="3"/>
      <c r="M4125" s="3"/>
      <c r="N4125" s="3"/>
      <c r="O4125" s="3"/>
      <c r="P4125" s="3"/>
      <c r="Q4125" s="3"/>
      <c r="R4125" s="3"/>
      <c r="S4125" s="3"/>
      <c r="T4125" s="3"/>
      <c r="U4125" s="3"/>
      <c r="V4125" s="3"/>
      <c r="W4125" s="3"/>
      <c r="X4125" s="3"/>
      <c r="Y4125" s="3"/>
      <c r="Z4125" s="3"/>
      <c r="AA4125" s="3"/>
    </row>
    <row r="4126" ht="105.75" customHeight="1">
      <c r="A4126" s="11"/>
      <c r="B4126" s="12"/>
      <c r="C4126" s="11"/>
      <c r="D4126" s="13"/>
      <c r="E4126" s="14"/>
      <c r="F4126" s="14"/>
      <c r="G4126" s="14"/>
      <c r="H4126" s="15"/>
      <c r="I4126" s="15"/>
      <c r="J4126" s="3"/>
      <c r="K4126" s="3"/>
      <c r="L4126" s="3"/>
      <c r="M4126" s="3"/>
      <c r="N4126" s="3"/>
      <c r="O4126" s="3"/>
      <c r="P4126" s="3"/>
      <c r="Q4126" s="3"/>
      <c r="R4126" s="3"/>
      <c r="S4126" s="3"/>
      <c r="T4126" s="3"/>
      <c r="U4126" s="3"/>
      <c r="V4126" s="3"/>
      <c r="W4126" s="3"/>
      <c r="X4126" s="3"/>
      <c r="Y4126" s="3"/>
      <c r="Z4126" s="3"/>
      <c r="AA4126" s="3"/>
    </row>
    <row r="4127" ht="105.75" customHeight="1">
      <c r="A4127" s="11"/>
      <c r="B4127" s="12"/>
      <c r="C4127" s="11"/>
      <c r="D4127" s="13"/>
      <c r="E4127" s="14"/>
      <c r="F4127" s="14"/>
      <c r="G4127" s="14"/>
      <c r="H4127" s="15"/>
      <c r="I4127" s="15"/>
      <c r="J4127" s="3"/>
      <c r="K4127" s="3"/>
      <c r="L4127" s="3"/>
      <c r="M4127" s="3"/>
      <c r="N4127" s="3"/>
      <c r="O4127" s="3"/>
      <c r="P4127" s="3"/>
      <c r="Q4127" s="3"/>
      <c r="R4127" s="3"/>
      <c r="S4127" s="3"/>
      <c r="T4127" s="3"/>
      <c r="U4127" s="3"/>
      <c r="V4127" s="3"/>
      <c r="W4127" s="3"/>
      <c r="X4127" s="3"/>
      <c r="Y4127" s="3"/>
      <c r="Z4127" s="3"/>
      <c r="AA4127" s="3"/>
    </row>
    <row r="4128" ht="105.75" customHeight="1">
      <c r="A4128" s="11"/>
      <c r="B4128" s="12"/>
      <c r="C4128" s="11"/>
      <c r="D4128" s="13"/>
      <c r="E4128" s="14"/>
      <c r="F4128" s="14"/>
      <c r="G4128" s="14"/>
      <c r="H4128" s="15"/>
      <c r="I4128" s="15"/>
      <c r="J4128" s="3"/>
      <c r="K4128" s="3"/>
      <c r="L4128" s="3"/>
      <c r="M4128" s="3"/>
      <c r="N4128" s="3"/>
      <c r="O4128" s="3"/>
      <c r="P4128" s="3"/>
      <c r="Q4128" s="3"/>
      <c r="R4128" s="3"/>
      <c r="S4128" s="3"/>
      <c r="T4128" s="3"/>
      <c r="U4128" s="3"/>
      <c r="V4128" s="3"/>
      <c r="W4128" s="3"/>
      <c r="X4128" s="3"/>
      <c r="Y4128" s="3"/>
      <c r="Z4128" s="3"/>
      <c r="AA4128" s="3"/>
    </row>
    <row r="4129" ht="105.75" customHeight="1">
      <c r="A4129" s="11"/>
      <c r="B4129" s="12"/>
      <c r="C4129" s="11"/>
      <c r="D4129" s="13"/>
      <c r="E4129" s="14"/>
      <c r="F4129" s="14"/>
      <c r="G4129" s="14"/>
      <c r="H4129" s="15"/>
      <c r="I4129" s="15"/>
      <c r="J4129" s="3"/>
      <c r="K4129" s="3"/>
      <c r="L4129" s="3"/>
      <c r="M4129" s="3"/>
      <c r="N4129" s="3"/>
      <c r="O4129" s="3"/>
      <c r="P4129" s="3"/>
      <c r="Q4129" s="3"/>
      <c r="R4129" s="3"/>
      <c r="S4129" s="3"/>
      <c r="T4129" s="3"/>
      <c r="U4129" s="3"/>
      <c r="V4129" s="3"/>
      <c r="W4129" s="3"/>
      <c r="X4129" s="3"/>
      <c r="Y4129" s="3"/>
      <c r="Z4129" s="3"/>
      <c r="AA4129" s="3"/>
    </row>
    <row r="4130" ht="105.75" customHeight="1">
      <c r="A4130" s="11"/>
      <c r="B4130" s="12"/>
      <c r="C4130" s="11"/>
      <c r="D4130" s="13"/>
      <c r="E4130" s="14"/>
      <c r="F4130" s="14"/>
      <c r="G4130" s="14"/>
      <c r="H4130" s="15"/>
      <c r="I4130" s="15"/>
      <c r="J4130" s="3"/>
      <c r="K4130" s="3"/>
      <c r="L4130" s="3"/>
      <c r="M4130" s="3"/>
      <c r="N4130" s="3"/>
      <c r="O4130" s="3"/>
      <c r="P4130" s="3"/>
      <c r="Q4130" s="3"/>
      <c r="R4130" s="3"/>
      <c r="S4130" s="3"/>
      <c r="T4130" s="3"/>
      <c r="U4130" s="3"/>
      <c r="V4130" s="3"/>
      <c r="W4130" s="3"/>
      <c r="X4130" s="3"/>
      <c r="Y4130" s="3"/>
      <c r="Z4130" s="3"/>
      <c r="AA4130" s="3"/>
    </row>
    <row r="4131" ht="105.75" customHeight="1">
      <c r="A4131" s="11"/>
      <c r="B4131" s="12"/>
      <c r="C4131" s="11"/>
      <c r="D4131" s="13"/>
      <c r="E4131" s="14"/>
      <c r="F4131" s="14"/>
      <c r="G4131" s="14"/>
      <c r="H4131" s="15"/>
      <c r="I4131" s="15"/>
      <c r="J4131" s="3"/>
      <c r="K4131" s="3"/>
      <c r="L4131" s="3"/>
      <c r="M4131" s="3"/>
      <c r="N4131" s="3"/>
      <c r="O4131" s="3"/>
      <c r="P4131" s="3"/>
      <c r="Q4131" s="3"/>
      <c r="R4131" s="3"/>
      <c r="S4131" s="3"/>
      <c r="T4131" s="3"/>
      <c r="U4131" s="3"/>
      <c r="V4131" s="3"/>
      <c r="W4131" s="3"/>
      <c r="X4131" s="3"/>
      <c r="Y4131" s="3"/>
      <c r="Z4131" s="3"/>
      <c r="AA4131" s="3"/>
    </row>
    <row r="4132" ht="105.75" customHeight="1">
      <c r="A4132" s="11"/>
      <c r="B4132" s="12"/>
      <c r="C4132" s="11"/>
      <c r="D4132" s="13"/>
      <c r="E4132" s="14"/>
      <c r="F4132" s="14"/>
      <c r="G4132" s="14"/>
      <c r="H4132" s="15"/>
      <c r="I4132" s="15"/>
      <c r="J4132" s="3"/>
      <c r="K4132" s="3"/>
      <c r="L4132" s="3"/>
      <c r="M4132" s="3"/>
      <c r="N4132" s="3"/>
      <c r="O4132" s="3"/>
      <c r="P4132" s="3"/>
      <c r="Q4132" s="3"/>
      <c r="R4132" s="3"/>
      <c r="S4132" s="3"/>
      <c r="T4132" s="3"/>
      <c r="U4132" s="3"/>
      <c r="V4132" s="3"/>
      <c r="W4132" s="3"/>
      <c r="X4132" s="3"/>
      <c r="Y4132" s="3"/>
      <c r="Z4132" s="3"/>
      <c r="AA4132" s="3"/>
    </row>
    <row r="4133" ht="105.75" customHeight="1">
      <c r="A4133" s="11"/>
      <c r="B4133" s="12"/>
      <c r="C4133" s="11"/>
      <c r="D4133" s="13"/>
      <c r="E4133" s="14"/>
      <c r="F4133" s="14"/>
      <c r="G4133" s="14"/>
      <c r="H4133" s="15"/>
      <c r="I4133" s="15"/>
      <c r="J4133" s="3"/>
      <c r="K4133" s="3"/>
      <c r="L4133" s="3"/>
      <c r="M4133" s="3"/>
      <c r="N4133" s="3"/>
      <c r="O4133" s="3"/>
      <c r="P4133" s="3"/>
      <c r="Q4133" s="3"/>
      <c r="R4133" s="3"/>
      <c r="S4133" s="3"/>
      <c r="T4133" s="3"/>
      <c r="U4133" s="3"/>
      <c r="V4133" s="3"/>
      <c r="W4133" s="3"/>
      <c r="X4133" s="3"/>
      <c r="Y4133" s="3"/>
      <c r="Z4133" s="3"/>
      <c r="AA4133" s="3"/>
    </row>
    <row r="4134" ht="105.75" customHeight="1">
      <c r="A4134" s="11"/>
      <c r="B4134" s="12"/>
      <c r="C4134" s="11"/>
      <c r="D4134" s="13"/>
      <c r="E4134" s="14"/>
      <c r="F4134" s="14"/>
      <c r="G4134" s="14"/>
      <c r="H4134" s="15"/>
      <c r="I4134" s="15"/>
      <c r="J4134" s="3"/>
      <c r="K4134" s="3"/>
      <c r="L4134" s="3"/>
      <c r="M4134" s="3"/>
      <c r="N4134" s="3"/>
      <c r="O4134" s="3"/>
      <c r="P4134" s="3"/>
      <c r="Q4134" s="3"/>
      <c r="R4134" s="3"/>
      <c r="S4134" s="3"/>
      <c r="T4134" s="3"/>
      <c r="U4134" s="3"/>
      <c r="V4134" s="3"/>
      <c r="W4134" s="3"/>
      <c r="X4134" s="3"/>
      <c r="Y4134" s="3"/>
      <c r="Z4134" s="3"/>
      <c r="AA4134" s="3"/>
    </row>
    <row r="4135" ht="105.75" customHeight="1">
      <c r="A4135" s="11"/>
      <c r="B4135" s="12"/>
      <c r="C4135" s="11"/>
      <c r="D4135" s="13"/>
      <c r="E4135" s="14"/>
      <c r="F4135" s="14"/>
      <c r="G4135" s="14"/>
      <c r="H4135" s="15"/>
      <c r="I4135" s="15"/>
      <c r="J4135" s="3"/>
      <c r="K4135" s="3"/>
      <c r="L4135" s="3"/>
      <c r="M4135" s="3"/>
      <c r="N4135" s="3"/>
      <c r="O4135" s="3"/>
      <c r="P4135" s="3"/>
      <c r="Q4135" s="3"/>
      <c r="R4135" s="3"/>
      <c r="S4135" s="3"/>
      <c r="T4135" s="3"/>
      <c r="U4135" s="3"/>
      <c r="V4135" s="3"/>
      <c r="W4135" s="3"/>
      <c r="X4135" s="3"/>
      <c r="Y4135" s="3"/>
      <c r="Z4135" s="3"/>
      <c r="AA4135" s="3"/>
    </row>
    <row r="4136" ht="105.75" customHeight="1">
      <c r="A4136" s="11"/>
      <c r="B4136" s="12"/>
      <c r="C4136" s="11"/>
      <c r="D4136" s="13"/>
      <c r="E4136" s="14"/>
      <c r="F4136" s="14"/>
      <c r="G4136" s="14"/>
      <c r="H4136" s="15"/>
      <c r="I4136" s="15"/>
      <c r="J4136" s="3"/>
      <c r="K4136" s="3"/>
      <c r="L4136" s="3"/>
      <c r="M4136" s="3"/>
      <c r="N4136" s="3"/>
      <c r="O4136" s="3"/>
      <c r="P4136" s="3"/>
      <c r="Q4136" s="3"/>
      <c r="R4136" s="3"/>
      <c r="S4136" s="3"/>
      <c r="T4136" s="3"/>
      <c r="U4136" s="3"/>
      <c r="V4136" s="3"/>
      <c r="W4136" s="3"/>
      <c r="X4136" s="3"/>
      <c r="Y4136" s="3"/>
      <c r="Z4136" s="3"/>
      <c r="AA4136" s="3"/>
    </row>
    <row r="4137" ht="105.75" customHeight="1">
      <c r="A4137" s="11"/>
      <c r="B4137" s="12"/>
      <c r="C4137" s="11"/>
      <c r="D4137" s="13"/>
      <c r="E4137" s="14"/>
      <c r="F4137" s="14"/>
      <c r="G4137" s="14"/>
      <c r="H4137" s="15"/>
      <c r="I4137" s="15"/>
      <c r="J4137" s="3"/>
      <c r="K4137" s="3"/>
      <c r="L4137" s="3"/>
      <c r="M4137" s="3"/>
      <c r="N4137" s="3"/>
      <c r="O4137" s="3"/>
      <c r="P4137" s="3"/>
      <c r="Q4137" s="3"/>
      <c r="R4137" s="3"/>
      <c r="S4137" s="3"/>
      <c r="T4137" s="3"/>
      <c r="U4137" s="3"/>
      <c r="V4137" s="3"/>
      <c r="W4137" s="3"/>
      <c r="X4137" s="3"/>
      <c r="Y4137" s="3"/>
      <c r="Z4137" s="3"/>
      <c r="AA4137" s="3"/>
    </row>
    <row r="4138" ht="105.75" customHeight="1">
      <c r="A4138" s="11"/>
      <c r="B4138" s="12"/>
      <c r="C4138" s="11"/>
      <c r="D4138" s="13"/>
      <c r="E4138" s="14"/>
      <c r="F4138" s="14"/>
      <c r="G4138" s="14"/>
      <c r="H4138" s="15"/>
      <c r="I4138" s="15"/>
      <c r="J4138" s="3"/>
      <c r="K4138" s="3"/>
      <c r="L4138" s="3"/>
      <c r="M4138" s="3"/>
      <c r="N4138" s="3"/>
      <c r="O4138" s="3"/>
      <c r="P4138" s="3"/>
      <c r="Q4138" s="3"/>
      <c r="R4138" s="3"/>
      <c r="S4138" s="3"/>
      <c r="T4138" s="3"/>
      <c r="U4138" s="3"/>
      <c r="V4138" s="3"/>
      <c r="W4138" s="3"/>
      <c r="X4138" s="3"/>
      <c r="Y4138" s="3"/>
      <c r="Z4138" s="3"/>
      <c r="AA4138" s="3"/>
    </row>
    <row r="4139" ht="105.75" customHeight="1">
      <c r="A4139" s="11"/>
      <c r="B4139" s="12"/>
      <c r="C4139" s="11"/>
      <c r="D4139" s="13"/>
      <c r="E4139" s="14"/>
      <c r="F4139" s="14"/>
      <c r="G4139" s="14"/>
      <c r="H4139" s="15"/>
      <c r="I4139" s="15"/>
      <c r="J4139" s="3"/>
      <c r="K4139" s="3"/>
      <c r="L4139" s="3"/>
      <c r="M4139" s="3"/>
      <c r="N4139" s="3"/>
      <c r="O4139" s="3"/>
      <c r="P4139" s="3"/>
      <c r="Q4139" s="3"/>
      <c r="R4139" s="3"/>
      <c r="S4139" s="3"/>
      <c r="T4139" s="3"/>
      <c r="U4139" s="3"/>
      <c r="V4139" s="3"/>
      <c r="W4139" s="3"/>
      <c r="X4139" s="3"/>
      <c r="Y4139" s="3"/>
      <c r="Z4139" s="3"/>
      <c r="AA4139" s="3"/>
    </row>
    <row r="4140" ht="105.75" customHeight="1">
      <c r="A4140" s="11"/>
      <c r="B4140" s="12"/>
      <c r="C4140" s="11"/>
      <c r="D4140" s="13"/>
      <c r="E4140" s="14"/>
      <c r="F4140" s="14"/>
      <c r="G4140" s="14"/>
      <c r="H4140" s="15"/>
      <c r="I4140" s="15"/>
      <c r="J4140" s="3"/>
      <c r="K4140" s="3"/>
      <c r="L4140" s="3"/>
      <c r="M4140" s="3"/>
      <c r="N4140" s="3"/>
      <c r="O4140" s="3"/>
      <c r="P4140" s="3"/>
      <c r="Q4140" s="3"/>
      <c r="R4140" s="3"/>
      <c r="S4140" s="3"/>
      <c r="T4140" s="3"/>
      <c r="U4140" s="3"/>
      <c r="V4140" s="3"/>
      <c r="W4140" s="3"/>
      <c r="X4140" s="3"/>
      <c r="Y4140" s="3"/>
      <c r="Z4140" s="3"/>
      <c r="AA4140" s="3"/>
    </row>
    <row r="4141" ht="105.75" customHeight="1">
      <c r="A4141" s="11"/>
      <c r="B4141" s="12"/>
      <c r="C4141" s="11"/>
      <c r="D4141" s="13"/>
      <c r="E4141" s="14"/>
      <c r="F4141" s="14"/>
      <c r="G4141" s="14"/>
      <c r="H4141" s="15"/>
      <c r="I4141" s="15"/>
      <c r="J4141" s="3"/>
      <c r="K4141" s="3"/>
      <c r="L4141" s="3"/>
      <c r="M4141" s="3"/>
      <c r="N4141" s="3"/>
      <c r="O4141" s="3"/>
      <c r="P4141" s="3"/>
      <c r="Q4141" s="3"/>
      <c r="R4141" s="3"/>
      <c r="S4141" s="3"/>
      <c r="T4141" s="3"/>
      <c r="U4141" s="3"/>
      <c r="V4141" s="3"/>
      <c r="W4141" s="3"/>
      <c r="X4141" s="3"/>
      <c r="Y4141" s="3"/>
      <c r="Z4141" s="3"/>
      <c r="AA4141" s="3"/>
    </row>
    <row r="4142" ht="105.75" customHeight="1">
      <c r="A4142" s="11"/>
      <c r="B4142" s="12"/>
      <c r="C4142" s="11"/>
      <c r="D4142" s="13"/>
      <c r="E4142" s="14"/>
      <c r="F4142" s="14"/>
      <c r="G4142" s="14"/>
      <c r="H4142" s="15"/>
      <c r="I4142" s="15"/>
      <c r="J4142" s="3"/>
      <c r="K4142" s="3"/>
      <c r="L4142" s="3"/>
      <c r="M4142" s="3"/>
      <c r="N4142" s="3"/>
      <c r="O4142" s="3"/>
      <c r="P4142" s="3"/>
      <c r="Q4142" s="3"/>
      <c r="R4142" s="3"/>
      <c r="S4142" s="3"/>
      <c r="T4142" s="3"/>
      <c r="U4142" s="3"/>
      <c r="V4142" s="3"/>
      <c r="W4142" s="3"/>
      <c r="X4142" s="3"/>
      <c r="Y4142" s="3"/>
      <c r="Z4142" s="3"/>
      <c r="AA4142" s="3"/>
    </row>
    <row r="4143" ht="105.75" customHeight="1">
      <c r="A4143" s="11"/>
      <c r="B4143" s="12"/>
      <c r="C4143" s="11"/>
      <c r="D4143" s="13"/>
      <c r="E4143" s="14"/>
      <c r="F4143" s="14"/>
      <c r="G4143" s="14"/>
      <c r="H4143" s="15"/>
      <c r="I4143" s="15"/>
      <c r="J4143" s="3"/>
      <c r="K4143" s="3"/>
      <c r="L4143" s="3"/>
      <c r="M4143" s="3"/>
      <c r="N4143" s="3"/>
      <c r="O4143" s="3"/>
      <c r="P4143" s="3"/>
      <c r="Q4143" s="3"/>
      <c r="R4143" s="3"/>
      <c r="S4143" s="3"/>
      <c r="T4143" s="3"/>
      <c r="U4143" s="3"/>
      <c r="V4143" s="3"/>
      <c r="W4143" s="3"/>
      <c r="X4143" s="3"/>
      <c r="Y4143" s="3"/>
      <c r="Z4143" s="3"/>
      <c r="AA4143" s="3"/>
    </row>
    <row r="4144" ht="105.75" customHeight="1">
      <c r="A4144" s="11"/>
      <c r="B4144" s="12"/>
      <c r="C4144" s="11"/>
      <c r="D4144" s="13"/>
      <c r="E4144" s="14"/>
      <c r="F4144" s="14"/>
      <c r="G4144" s="14"/>
      <c r="H4144" s="15"/>
      <c r="I4144" s="15"/>
      <c r="J4144" s="3"/>
      <c r="K4144" s="3"/>
      <c r="L4144" s="3"/>
      <c r="M4144" s="3"/>
      <c r="N4144" s="3"/>
      <c r="O4144" s="3"/>
      <c r="P4144" s="3"/>
      <c r="Q4144" s="3"/>
      <c r="R4144" s="3"/>
      <c r="S4144" s="3"/>
      <c r="T4144" s="3"/>
      <c r="U4144" s="3"/>
      <c r="V4144" s="3"/>
      <c r="W4144" s="3"/>
      <c r="X4144" s="3"/>
      <c r="Y4144" s="3"/>
      <c r="Z4144" s="3"/>
      <c r="AA4144" s="3"/>
    </row>
    <row r="4145" ht="105.75" customHeight="1">
      <c r="A4145" s="11"/>
      <c r="B4145" s="12"/>
      <c r="C4145" s="11"/>
      <c r="D4145" s="13"/>
      <c r="E4145" s="14"/>
      <c r="F4145" s="14"/>
      <c r="G4145" s="14"/>
      <c r="H4145" s="15"/>
      <c r="I4145" s="15"/>
      <c r="J4145" s="3"/>
      <c r="K4145" s="3"/>
      <c r="L4145" s="3"/>
      <c r="M4145" s="3"/>
      <c r="N4145" s="3"/>
      <c r="O4145" s="3"/>
      <c r="P4145" s="3"/>
      <c r="Q4145" s="3"/>
      <c r="R4145" s="3"/>
      <c r="S4145" s="3"/>
      <c r="T4145" s="3"/>
      <c r="U4145" s="3"/>
      <c r="V4145" s="3"/>
      <c r="W4145" s="3"/>
      <c r="X4145" s="3"/>
      <c r="Y4145" s="3"/>
      <c r="Z4145" s="3"/>
      <c r="AA4145" s="3"/>
    </row>
    <row r="4146" ht="105.75" customHeight="1">
      <c r="A4146" s="11"/>
      <c r="B4146" s="12"/>
      <c r="C4146" s="11"/>
      <c r="D4146" s="13"/>
      <c r="E4146" s="14"/>
      <c r="F4146" s="14"/>
      <c r="G4146" s="14"/>
      <c r="H4146" s="15"/>
      <c r="I4146" s="15"/>
      <c r="J4146" s="3"/>
      <c r="K4146" s="3"/>
      <c r="L4146" s="3"/>
      <c r="M4146" s="3"/>
      <c r="N4146" s="3"/>
      <c r="O4146" s="3"/>
      <c r="P4146" s="3"/>
      <c r="Q4146" s="3"/>
      <c r="R4146" s="3"/>
      <c r="S4146" s="3"/>
      <c r="T4146" s="3"/>
      <c r="U4146" s="3"/>
      <c r="V4146" s="3"/>
      <c r="W4146" s="3"/>
      <c r="X4146" s="3"/>
      <c r="Y4146" s="3"/>
      <c r="Z4146" s="3"/>
      <c r="AA4146" s="3"/>
    </row>
    <row r="4147" ht="105.75" customHeight="1">
      <c r="A4147" s="11"/>
      <c r="B4147" s="12"/>
      <c r="C4147" s="11"/>
      <c r="D4147" s="13"/>
      <c r="E4147" s="14"/>
      <c r="F4147" s="14"/>
      <c r="G4147" s="14"/>
      <c r="H4147" s="15"/>
      <c r="I4147" s="15"/>
      <c r="J4147" s="3"/>
      <c r="K4147" s="3"/>
      <c r="L4147" s="3"/>
      <c r="M4147" s="3"/>
      <c r="N4147" s="3"/>
      <c r="O4147" s="3"/>
      <c r="P4147" s="3"/>
      <c r="Q4147" s="3"/>
      <c r="R4147" s="3"/>
      <c r="S4147" s="3"/>
      <c r="T4147" s="3"/>
      <c r="U4147" s="3"/>
      <c r="V4147" s="3"/>
      <c r="W4147" s="3"/>
      <c r="X4147" s="3"/>
      <c r="Y4147" s="3"/>
      <c r="Z4147" s="3"/>
      <c r="AA4147" s="3"/>
    </row>
    <row r="4148" ht="105.75" customHeight="1">
      <c r="A4148" s="11"/>
      <c r="B4148" s="12"/>
      <c r="C4148" s="11"/>
      <c r="D4148" s="13"/>
      <c r="E4148" s="14"/>
      <c r="F4148" s="14"/>
      <c r="G4148" s="14"/>
      <c r="H4148" s="15"/>
      <c r="I4148" s="15"/>
      <c r="J4148" s="3"/>
      <c r="K4148" s="3"/>
      <c r="L4148" s="3"/>
      <c r="M4148" s="3"/>
      <c r="N4148" s="3"/>
      <c r="O4148" s="3"/>
      <c r="P4148" s="3"/>
      <c r="Q4148" s="3"/>
      <c r="R4148" s="3"/>
      <c r="S4148" s="3"/>
      <c r="T4148" s="3"/>
      <c r="U4148" s="3"/>
      <c r="V4148" s="3"/>
      <c r="W4148" s="3"/>
      <c r="X4148" s="3"/>
      <c r="Y4148" s="3"/>
      <c r="Z4148" s="3"/>
      <c r="AA4148" s="3"/>
    </row>
    <row r="4149" ht="105.75" customHeight="1">
      <c r="A4149" s="11"/>
      <c r="B4149" s="12"/>
      <c r="C4149" s="11"/>
      <c r="D4149" s="13"/>
      <c r="E4149" s="14"/>
      <c r="F4149" s="14"/>
      <c r="G4149" s="14"/>
      <c r="H4149" s="15"/>
      <c r="I4149" s="15"/>
      <c r="J4149" s="3"/>
      <c r="K4149" s="3"/>
      <c r="L4149" s="3"/>
      <c r="M4149" s="3"/>
      <c r="N4149" s="3"/>
      <c r="O4149" s="3"/>
      <c r="P4149" s="3"/>
      <c r="Q4149" s="3"/>
      <c r="R4149" s="3"/>
      <c r="S4149" s="3"/>
      <c r="T4149" s="3"/>
      <c r="U4149" s="3"/>
      <c r="V4149" s="3"/>
      <c r="W4149" s="3"/>
      <c r="X4149" s="3"/>
      <c r="Y4149" s="3"/>
      <c r="Z4149" s="3"/>
      <c r="AA4149" s="3"/>
    </row>
    <row r="4150" ht="105.75" customHeight="1">
      <c r="A4150" s="11"/>
      <c r="B4150" s="12"/>
      <c r="C4150" s="11"/>
      <c r="D4150" s="13"/>
      <c r="E4150" s="14"/>
      <c r="F4150" s="14"/>
      <c r="G4150" s="14"/>
      <c r="H4150" s="15"/>
      <c r="I4150" s="15"/>
      <c r="J4150" s="3"/>
      <c r="K4150" s="3"/>
      <c r="L4150" s="3"/>
      <c r="M4150" s="3"/>
      <c r="N4150" s="3"/>
      <c r="O4150" s="3"/>
      <c r="P4150" s="3"/>
      <c r="Q4150" s="3"/>
      <c r="R4150" s="3"/>
      <c r="S4150" s="3"/>
      <c r="T4150" s="3"/>
      <c r="U4150" s="3"/>
      <c r="V4150" s="3"/>
      <c r="W4150" s="3"/>
      <c r="X4150" s="3"/>
      <c r="Y4150" s="3"/>
      <c r="Z4150" s="3"/>
      <c r="AA4150" s="3"/>
    </row>
    <row r="4151" ht="105.75" customHeight="1">
      <c r="A4151" s="11"/>
      <c r="B4151" s="12"/>
      <c r="C4151" s="11"/>
      <c r="D4151" s="13"/>
      <c r="E4151" s="14"/>
      <c r="F4151" s="14"/>
      <c r="G4151" s="14"/>
      <c r="H4151" s="15"/>
      <c r="I4151" s="15"/>
      <c r="J4151" s="3"/>
      <c r="K4151" s="3"/>
      <c r="L4151" s="3"/>
      <c r="M4151" s="3"/>
      <c r="N4151" s="3"/>
      <c r="O4151" s="3"/>
      <c r="P4151" s="3"/>
      <c r="Q4151" s="3"/>
      <c r="R4151" s="3"/>
      <c r="S4151" s="3"/>
      <c r="T4151" s="3"/>
      <c r="U4151" s="3"/>
      <c r="V4151" s="3"/>
      <c r="W4151" s="3"/>
      <c r="X4151" s="3"/>
      <c r="Y4151" s="3"/>
      <c r="Z4151" s="3"/>
      <c r="AA4151" s="3"/>
    </row>
    <row r="4152" ht="105.75" customHeight="1">
      <c r="A4152" s="11"/>
      <c r="B4152" s="12"/>
      <c r="C4152" s="11"/>
      <c r="D4152" s="13"/>
      <c r="E4152" s="14"/>
      <c r="F4152" s="14"/>
      <c r="G4152" s="14"/>
      <c r="H4152" s="15"/>
      <c r="I4152" s="15"/>
      <c r="J4152" s="3"/>
      <c r="K4152" s="3"/>
      <c r="L4152" s="3"/>
      <c r="M4152" s="3"/>
      <c r="N4152" s="3"/>
      <c r="O4152" s="3"/>
      <c r="P4152" s="3"/>
      <c r="Q4152" s="3"/>
      <c r="R4152" s="3"/>
      <c r="S4152" s="3"/>
      <c r="T4152" s="3"/>
      <c r="U4152" s="3"/>
      <c r="V4152" s="3"/>
      <c r="W4152" s="3"/>
      <c r="X4152" s="3"/>
      <c r="Y4152" s="3"/>
      <c r="Z4152" s="3"/>
      <c r="AA4152" s="3"/>
    </row>
    <row r="4153" ht="105.75" customHeight="1">
      <c r="A4153" s="11"/>
      <c r="B4153" s="12"/>
      <c r="C4153" s="11"/>
      <c r="D4153" s="13"/>
      <c r="E4153" s="14"/>
      <c r="F4153" s="14"/>
      <c r="G4153" s="14"/>
      <c r="H4153" s="15"/>
      <c r="I4153" s="15"/>
      <c r="J4153" s="3"/>
      <c r="K4153" s="3"/>
      <c r="L4153" s="3"/>
      <c r="M4153" s="3"/>
      <c r="N4153" s="3"/>
      <c r="O4153" s="3"/>
      <c r="P4153" s="3"/>
      <c r="Q4153" s="3"/>
      <c r="R4153" s="3"/>
      <c r="S4153" s="3"/>
      <c r="T4153" s="3"/>
      <c r="U4153" s="3"/>
      <c r="V4153" s="3"/>
      <c r="W4153" s="3"/>
      <c r="X4153" s="3"/>
      <c r="Y4153" s="3"/>
      <c r="Z4153" s="3"/>
      <c r="AA4153" s="3"/>
    </row>
    <row r="4154" ht="105.75" customHeight="1">
      <c r="A4154" s="11"/>
      <c r="B4154" s="12"/>
      <c r="C4154" s="11"/>
      <c r="D4154" s="13"/>
      <c r="E4154" s="14"/>
      <c r="F4154" s="14"/>
      <c r="G4154" s="14"/>
      <c r="H4154" s="15"/>
      <c r="I4154" s="15"/>
      <c r="J4154" s="3"/>
      <c r="K4154" s="3"/>
      <c r="L4154" s="3"/>
      <c r="M4154" s="3"/>
      <c r="N4154" s="3"/>
      <c r="O4154" s="3"/>
      <c r="P4154" s="3"/>
      <c r="Q4154" s="3"/>
      <c r="R4154" s="3"/>
      <c r="S4154" s="3"/>
      <c r="T4154" s="3"/>
      <c r="U4154" s="3"/>
      <c r="V4154" s="3"/>
      <c r="W4154" s="3"/>
      <c r="X4154" s="3"/>
      <c r="Y4154" s="3"/>
      <c r="Z4154" s="3"/>
      <c r="AA4154" s="3"/>
    </row>
    <row r="4155" ht="105.75" customHeight="1">
      <c r="A4155" s="11"/>
      <c r="B4155" s="12"/>
      <c r="C4155" s="11"/>
      <c r="D4155" s="13"/>
      <c r="E4155" s="14"/>
      <c r="F4155" s="14"/>
      <c r="G4155" s="14"/>
      <c r="H4155" s="15"/>
      <c r="I4155" s="15"/>
      <c r="J4155" s="3"/>
      <c r="K4155" s="3"/>
      <c r="L4155" s="3"/>
      <c r="M4155" s="3"/>
      <c r="N4155" s="3"/>
      <c r="O4155" s="3"/>
      <c r="P4155" s="3"/>
      <c r="Q4155" s="3"/>
      <c r="R4155" s="3"/>
      <c r="S4155" s="3"/>
      <c r="T4155" s="3"/>
      <c r="U4155" s="3"/>
      <c r="V4155" s="3"/>
      <c r="W4155" s="3"/>
      <c r="X4155" s="3"/>
      <c r="Y4155" s="3"/>
      <c r="Z4155" s="3"/>
      <c r="AA4155" s="3"/>
    </row>
    <row r="4156" ht="105.75" customHeight="1">
      <c r="A4156" s="11"/>
      <c r="B4156" s="12"/>
      <c r="C4156" s="11"/>
      <c r="D4156" s="13"/>
      <c r="E4156" s="14"/>
      <c r="F4156" s="14"/>
      <c r="G4156" s="14"/>
      <c r="H4156" s="15"/>
      <c r="I4156" s="15"/>
      <c r="J4156" s="3"/>
      <c r="K4156" s="3"/>
      <c r="L4156" s="3"/>
      <c r="M4156" s="3"/>
      <c r="N4156" s="3"/>
      <c r="O4156" s="3"/>
      <c r="P4156" s="3"/>
      <c r="Q4156" s="3"/>
      <c r="R4156" s="3"/>
      <c r="S4156" s="3"/>
      <c r="T4156" s="3"/>
      <c r="U4156" s="3"/>
      <c r="V4156" s="3"/>
      <c r="W4156" s="3"/>
      <c r="X4156" s="3"/>
      <c r="Y4156" s="3"/>
      <c r="Z4156" s="3"/>
      <c r="AA4156" s="3"/>
    </row>
    <row r="4157" ht="105.75" customHeight="1">
      <c r="A4157" s="11"/>
      <c r="B4157" s="12"/>
      <c r="C4157" s="11"/>
      <c r="D4157" s="13"/>
      <c r="E4157" s="14"/>
      <c r="F4157" s="14"/>
      <c r="G4157" s="14"/>
      <c r="H4157" s="15"/>
      <c r="I4157" s="15"/>
      <c r="J4157" s="3"/>
      <c r="K4157" s="3"/>
      <c r="L4157" s="3"/>
      <c r="M4157" s="3"/>
      <c r="N4157" s="3"/>
      <c r="O4157" s="3"/>
      <c r="P4157" s="3"/>
      <c r="Q4157" s="3"/>
      <c r="R4157" s="3"/>
      <c r="S4157" s="3"/>
      <c r="T4157" s="3"/>
      <c r="U4157" s="3"/>
      <c r="V4157" s="3"/>
      <c r="W4157" s="3"/>
      <c r="X4157" s="3"/>
      <c r="Y4157" s="3"/>
      <c r="Z4157" s="3"/>
      <c r="AA4157" s="3"/>
    </row>
    <row r="4158" ht="105.75" customHeight="1">
      <c r="A4158" s="11"/>
      <c r="B4158" s="12"/>
      <c r="C4158" s="11"/>
      <c r="D4158" s="13"/>
      <c r="E4158" s="14"/>
      <c r="F4158" s="14"/>
      <c r="G4158" s="14"/>
      <c r="H4158" s="15"/>
      <c r="I4158" s="15"/>
      <c r="J4158" s="3"/>
      <c r="K4158" s="3"/>
      <c r="L4158" s="3"/>
      <c r="M4158" s="3"/>
      <c r="N4158" s="3"/>
      <c r="O4158" s="3"/>
      <c r="P4158" s="3"/>
      <c r="Q4158" s="3"/>
      <c r="R4158" s="3"/>
      <c r="S4158" s="3"/>
      <c r="T4158" s="3"/>
      <c r="U4158" s="3"/>
      <c r="V4158" s="3"/>
      <c r="W4158" s="3"/>
      <c r="X4158" s="3"/>
      <c r="Y4158" s="3"/>
      <c r="Z4158" s="3"/>
      <c r="AA4158" s="3"/>
    </row>
    <row r="4159" ht="105.75" customHeight="1">
      <c r="A4159" s="11"/>
      <c r="B4159" s="12"/>
      <c r="C4159" s="11"/>
      <c r="D4159" s="13"/>
      <c r="E4159" s="14"/>
      <c r="F4159" s="14"/>
      <c r="G4159" s="14"/>
      <c r="H4159" s="15"/>
      <c r="I4159" s="15"/>
      <c r="J4159" s="3"/>
      <c r="K4159" s="3"/>
      <c r="L4159" s="3"/>
      <c r="M4159" s="3"/>
      <c r="N4159" s="3"/>
      <c r="O4159" s="3"/>
      <c r="P4159" s="3"/>
      <c r="Q4159" s="3"/>
      <c r="R4159" s="3"/>
      <c r="S4159" s="3"/>
      <c r="T4159" s="3"/>
      <c r="U4159" s="3"/>
      <c r="V4159" s="3"/>
      <c r="W4159" s="3"/>
      <c r="X4159" s="3"/>
      <c r="Y4159" s="3"/>
      <c r="Z4159" s="3"/>
      <c r="AA4159" s="3"/>
    </row>
    <row r="4160" ht="105.75" customHeight="1">
      <c r="A4160" s="11"/>
      <c r="B4160" s="12"/>
      <c r="C4160" s="11"/>
      <c r="D4160" s="13"/>
      <c r="E4160" s="14"/>
      <c r="F4160" s="14"/>
      <c r="G4160" s="14"/>
      <c r="H4160" s="15"/>
      <c r="I4160" s="15"/>
      <c r="J4160" s="3"/>
      <c r="K4160" s="3"/>
      <c r="L4160" s="3"/>
      <c r="M4160" s="3"/>
      <c r="N4160" s="3"/>
      <c r="O4160" s="3"/>
      <c r="P4160" s="3"/>
      <c r="Q4160" s="3"/>
      <c r="R4160" s="3"/>
      <c r="S4160" s="3"/>
      <c r="T4160" s="3"/>
      <c r="U4160" s="3"/>
      <c r="V4160" s="3"/>
      <c r="W4160" s="3"/>
      <c r="X4160" s="3"/>
      <c r="Y4160" s="3"/>
      <c r="Z4160" s="3"/>
      <c r="AA4160" s="3"/>
    </row>
    <row r="4161" ht="105.75" customHeight="1">
      <c r="A4161" s="11"/>
      <c r="B4161" s="12"/>
      <c r="C4161" s="11"/>
      <c r="D4161" s="13"/>
      <c r="E4161" s="14"/>
      <c r="F4161" s="14"/>
      <c r="G4161" s="14"/>
      <c r="H4161" s="15"/>
      <c r="I4161" s="15"/>
      <c r="J4161" s="3"/>
      <c r="K4161" s="3"/>
      <c r="L4161" s="3"/>
      <c r="M4161" s="3"/>
      <c r="N4161" s="3"/>
      <c r="O4161" s="3"/>
      <c r="P4161" s="3"/>
      <c r="Q4161" s="3"/>
      <c r="R4161" s="3"/>
      <c r="S4161" s="3"/>
      <c r="T4161" s="3"/>
      <c r="U4161" s="3"/>
      <c r="V4161" s="3"/>
      <c r="W4161" s="3"/>
      <c r="X4161" s="3"/>
      <c r="Y4161" s="3"/>
      <c r="Z4161" s="3"/>
      <c r="AA4161" s="3"/>
    </row>
    <row r="4162" ht="105.75" customHeight="1">
      <c r="A4162" s="11"/>
      <c r="B4162" s="12"/>
      <c r="C4162" s="11"/>
      <c r="D4162" s="13"/>
      <c r="E4162" s="14"/>
      <c r="F4162" s="14"/>
      <c r="G4162" s="14"/>
      <c r="H4162" s="15"/>
      <c r="I4162" s="15"/>
      <c r="J4162" s="3"/>
      <c r="K4162" s="3"/>
      <c r="L4162" s="3"/>
      <c r="M4162" s="3"/>
      <c r="N4162" s="3"/>
      <c r="O4162" s="3"/>
      <c r="P4162" s="3"/>
      <c r="Q4162" s="3"/>
      <c r="R4162" s="3"/>
      <c r="S4162" s="3"/>
      <c r="T4162" s="3"/>
      <c r="U4162" s="3"/>
      <c r="V4162" s="3"/>
      <c r="W4162" s="3"/>
      <c r="X4162" s="3"/>
      <c r="Y4162" s="3"/>
      <c r="Z4162" s="3"/>
      <c r="AA4162" s="3"/>
    </row>
    <row r="4163" ht="105.75" customHeight="1">
      <c r="A4163" s="11"/>
      <c r="B4163" s="12"/>
      <c r="C4163" s="11"/>
      <c r="D4163" s="13"/>
      <c r="E4163" s="14"/>
      <c r="F4163" s="14"/>
      <c r="G4163" s="14"/>
      <c r="H4163" s="15"/>
      <c r="I4163" s="15"/>
      <c r="J4163" s="3"/>
      <c r="K4163" s="3"/>
      <c r="L4163" s="3"/>
      <c r="M4163" s="3"/>
      <c r="N4163" s="3"/>
      <c r="O4163" s="3"/>
      <c r="P4163" s="3"/>
      <c r="Q4163" s="3"/>
      <c r="R4163" s="3"/>
      <c r="S4163" s="3"/>
      <c r="T4163" s="3"/>
      <c r="U4163" s="3"/>
      <c r="V4163" s="3"/>
      <c r="W4163" s="3"/>
      <c r="X4163" s="3"/>
      <c r="Y4163" s="3"/>
      <c r="Z4163" s="3"/>
      <c r="AA4163" s="3"/>
    </row>
    <row r="4164" ht="105.75" customHeight="1">
      <c r="A4164" s="11"/>
      <c r="B4164" s="12"/>
      <c r="C4164" s="11"/>
      <c r="D4164" s="13"/>
      <c r="E4164" s="14"/>
      <c r="F4164" s="14"/>
      <c r="G4164" s="14"/>
      <c r="H4164" s="15"/>
      <c r="I4164" s="15"/>
      <c r="J4164" s="3"/>
      <c r="K4164" s="3"/>
      <c r="L4164" s="3"/>
      <c r="M4164" s="3"/>
      <c r="N4164" s="3"/>
      <c r="O4164" s="3"/>
      <c r="P4164" s="3"/>
      <c r="Q4164" s="3"/>
      <c r="R4164" s="3"/>
      <c r="S4164" s="3"/>
      <c r="T4164" s="3"/>
      <c r="U4164" s="3"/>
      <c r="V4164" s="3"/>
      <c r="W4164" s="3"/>
      <c r="X4164" s="3"/>
      <c r="Y4164" s="3"/>
      <c r="Z4164" s="3"/>
      <c r="AA4164" s="3"/>
    </row>
    <row r="4165" ht="105.75" customHeight="1">
      <c r="A4165" s="11"/>
      <c r="B4165" s="12"/>
      <c r="C4165" s="11"/>
      <c r="D4165" s="13"/>
      <c r="E4165" s="14"/>
      <c r="F4165" s="14"/>
      <c r="G4165" s="14"/>
      <c r="H4165" s="15"/>
      <c r="I4165" s="15"/>
      <c r="J4165" s="3"/>
      <c r="K4165" s="3"/>
      <c r="L4165" s="3"/>
      <c r="M4165" s="3"/>
      <c r="N4165" s="3"/>
      <c r="O4165" s="3"/>
      <c r="P4165" s="3"/>
      <c r="Q4165" s="3"/>
      <c r="R4165" s="3"/>
      <c r="S4165" s="3"/>
      <c r="T4165" s="3"/>
      <c r="U4165" s="3"/>
      <c r="V4165" s="3"/>
      <c r="W4165" s="3"/>
      <c r="X4165" s="3"/>
      <c r="Y4165" s="3"/>
      <c r="Z4165" s="3"/>
      <c r="AA4165" s="3"/>
    </row>
    <row r="4166" ht="105.75" customHeight="1">
      <c r="A4166" s="11"/>
      <c r="B4166" s="12"/>
      <c r="C4166" s="11"/>
      <c r="D4166" s="13"/>
      <c r="E4166" s="14"/>
      <c r="F4166" s="14"/>
      <c r="G4166" s="14"/>
      <c r="H4166" s="15"/>
      <c r="I4166" s="15"/>
      <c r="J4166" s="3"/>
      <c r="K4166" s="3"/>
      <c r="L4166" s="3"/>
      <c r="M4166" s="3"/>
      <c r="N4166" s="3"/>
      <c r="O4166" s="3"/>
      <c r="P4166" s="3"/>
      <c r="Q4166" s="3"/>
      <c r="R4166" s="3"/>
      <c r="S4166" s="3"/>
      <c r="T4166" s="3"/>
      <c r="U4166" s="3"/>
      <c r="V4166" s="3"/>
      <c r="W4166" s="3"/>
      <c r="X4166" s="3"/>
      <c r="Y4166" s="3"/>
      <c r="Z4166" s="3"/>
      <c r="AA4166" s="3"/>
    </row>
    <row r="4167" ht="105.75" customHeight="1">
      <c r="A4167" s="11"/>
      <c r="B4167" s="12"/>
      <c r="C4167" s="11"/>
      <c r="D4167" s="13"/>
      <c r="E4167" s="14"/>
      <c r="F4167" s="14"/>
      <c r="G4167" s="14"/>
      <c r="H4167" s="15"/>
      <c r="I4167" s="15"/>
      <c r="J4167" s="3"/>
      <c r="K4167" s="3"/>
      <c r="L4167" s="3"/>
      <c r="M4167" s="3"/>
      <c r="N4167" s="3"/>
      <c r="O4167" s="3"/>
      <c r="P4167" s="3"/>
      <c r="Q4167" s="3"/>
      <c r="R4167" s="3"/>
      <c r="S4167" s="3"/>
      <c r="T4167" s="3"/>
      <c r="U4167" s="3"/>
      <c r="V4167" s="3"/>
      <c r="W4167" s="3"/>
      <c r="X4167" s="3"/>
      <c r="Y4167" s="3"/>
      <c r="Z4167" s="3"/>
      <c r="AA4167" s="3"/>
    </row>
    <row r="4168" ht="105.75" customHeight="1">
      <c r="A4168" s="11"/>
      <c r="B4168" s="12"/>
      <c r="C4168" s="11"/>
      <c r="D4168" s="13"/>
      <c r="E4168" s="14"/>
      <c r="F4168" s="14"/>
      <c r="G4168" s="14"/>
      <c r="H4168" s="15"/>
      <c r="I4168" s="15"/>
      <c r="J4168" s="3"/>
      <c r="K4168" s="3"/>
      <c r="L4168" s="3"/>
      <c r="M4168" s="3"/>
      <c r="N4168" s="3"/>
      <c r="O4168" s="3"/>
      <c r="P4168" s="3"/>
      <c r="Q4168" s="3"/>
      <c r="R4168" s="3"/>
      <c r="S4168" s="3"/>
      <c r="T4168" s="3"/>
      <c r="U4168" s="3"/>
      <c r="V4168" s="3"/>
      <c r="W4168" s="3"/>
      <c r="X4168" s="3"/>
      <c r="Y4168" s="3"/>
      <c r="Z4168" s="3"/>
      <c r="AA4168" s="3"/>
    </row>
    <row r="4169" ht="105.75" customHeight="1">
      <c r="A4169" s="11"/>
      <c r="B4169" s="12"/>
      <c r="C4169" s="11"/>
      <c r="D4169" s="13"/>
      <c r="E4169" s="14"/>
      <c r="F4169" s="14"/>
      <c r="G4169" s="14"/>
      <c r="H4169" s="15"/>
      <c r="I4169" s="15"/>
      <c r="J4169" s="3"/>
      <c r="K4169" s="3"/>
      <c r="L4169" s="3"/>
      <c r="M4169" s="3"/>
      <c r="N4169" s="3"/>
      <c r="O4169" s="3"/>
      <c r="P4169" s="3"/>
      <c r="Q4169" s="3"/>
      <c r="R4169" s="3"/>
      <c r="S4169" s="3"/>
      <c r="T4169" s="3"/>
      <c r="U4169" s="3"/>
      <c r="V4169" s="3"/>
      <c r="W4169" s="3"/>
      <c r="X4169" s="3"/>
      <c r="Y4169" s="3"/>
      <c r="Z4169" s="3"/>
      <c r="AA4169" s="3"/>
    </row>
    <row r="4170" ht="105.75" customHeight="1">
      <c r="A4170" s="11"/>
      <c r="B4170" s="12"/>
      <c r="C4170" s="11"/>
      <c r="D4170" s="13"/>
      <c r="E4170" s="14"/>
      <c r="F4170" s="14"/>
      <c r="G4170" s="14"/>
      <c r="H4170" s="15"/>
      <c r="I4170" s="15"/>
      <c r="J4170" s="3"/>
      <c r="K4170" s="3"/>
      <c r="L4170" s="3"/>
      <c r="M4170" s="3"/>
      <c r="N4170" s="3"/>
      <c r="O4170" s="3"/>
      <c r="P4170" s="3"/>
      <c r="Q4170" s="3"/>
      <c r="R4170" s="3"/>
      <c r="S4170" s="3"/>
      <c r="T4170" s="3"/>
      <c r="U4170" s="3"/>
      <c r="V4170" s="3"/>
      <c r="W4170" s="3"/>
      <c r="X4170" s="3"/>
      <c r="Y4170" s="3"/>
      <c r="Z4170" s="3"/>
      <c r="AA4170" s="3"/>
    </row>
    <row r="4171" ht="105.75" customHeight="1">
      <c r="A4171" s="11"/>
      <c r="B4171" s="12"/>
      <c r="C4171" s="11"/>
      <c r="D4171" s="13"/>
      <c r="E4171" s="14"/>
      <c r="F4171" s="14"/>
      <c r="G4171" s="14"/>
      <c r="H4171" s="15"/>
      <c r="I4171" s="15"/>
      <c r="J4171" s="3"/>
      <c r="K4171" s="3"/>
      <c r="L4171" s="3"/>
      <c r="M4171" s="3"/>
      <c r="N4171" s="3"/>
      <c r="O4171" s="3"/>
      <c r="P4171" s="3"/>
      <c r="Q4171" s="3"/>
      <c r="R4171" s="3"/>
      <c r="S4171" s="3"/>
      <c r="T4171" s="3"/>
      <c r="U4171" s="3"/>
      <c r="V4171" s="3"/>
      <c r="W4171" s="3"/>
      <c r="X4171" s="3"/>
      <c r="Y4171" s="3"/>
      <c r="Z4171" s="3"/>
      <c r="AA4171" s="3"/>
    </row>
    <row r="4172" ht="105.75" customHeight="1">
      <c r="A4172" s="11"/>
      <c r="B4172" s="12"/>
      <c r="C4172" s="11"/>
      <c r="D4172" s="13"/>
      <c r="E4172" s="14"/>
      <c r="F4172" s="14"/>
      <c r="G4172" s="14"/>
      <c r="H4172" s="15"/>
      <c r="I4172" s="15"/>
      <c r="J4172" s="3"/>
      <c r="K4172" s="3"/>
      <c r="L4172" s="3"/>
      <c r="M4172" s="3"/>
      <c r="N4172" s="3"/>
      <c r="O4172" s="3"/>
      <c r="P4172" s="3"/>
      <c r="Q4172" s="3"/>
      <c r="R4172" s="3"/>
      <c r="S4172" s="3"/>
      <c r="T4172" s="3"/>
      <c r="U4172" s="3"/>
      <c r="V4172" s="3"/>
      <c r="W4172" s="3"/>
      <c r="X4172" s="3"/>
      <c r="Y4172" s="3"/>
      <c r="Z4172" s="3"/>
      <c r="AA4172" s="3"/>
    </row>
    <row r="4173" ht="105.75" customHeight="1">
      <c r="A4173" s="11"/>
      <c r="B4173" s="12"/>
      <c r="C4173" s="11"/>
      <c r="D4173" s="13"/>
      <c r="E4173" s="14"/>
      <c r="F4173" s="14"/>
      <c r="G4173" s="14"/>
      <c r="H4173" s="15"/>
      <c r="I4173" s="15"/>
      <c r="J4173" s="3"/>
      <c r="K4173" s="3"/>
      <c r="L4173" s="3"/>
      <c r="M4173" s="3"/>
      <c r="N4173" s="3"/>
      <c r="O4173" s="3"/>
      <c r="P4173" s="3"/>
      <c r="Q4173" s="3"/>
      <c r="R4173" s="3"/>
      <c r="S4173" s="3"/>
      <c r="T4173" s="3"/>
      <c r="U4173" s="3"/>
      <c r="V4173" s="3"/>
      <c r="W4173" s="3"/>
      <c r="X4173" s="3"/>
      <c r="Y4173" s="3"/>
      <c r="Z4173" s="3"/>
      <c r="AA4173" s="3"/>
    </row>
    <row r="4174" ht="105.75" customHeight="1">
      <c r="A4174" s="11"/>
      <c r="B4174" s="12"/>
      <c r="C4174" s="11"/>
      <c r="D4174" s="13"/>
      <c r="E4174" s="14"/>
      <c r="F4174" s="14"/>
      <c r="G4174" s="14"/>
      <c r="H4174" s="15"/>
      <c r="I4174" s="15"/>
      <c r="J4174" s="3"/>
      <c r="K4174" s="3"/>
      <c r="L4174" s="3"/>
      <c r="M4174" s="3"/>
      <c r="N4174" s="3"/>
      <c r="O4174" s="3"/>
      <c r="P4174" s="3"/>
      <c r="Q4174" s="3"/>
      <c r="R4174" s="3"/>
      <c r="S4174" s="3"/>
      <c r="T4174" s="3"/>
      <c r="U4174" s="3"/>
      <c r="V4174" s="3"/>
      <c r="W4174" s="3"/>
      <c r="X4174" s="3"/>
      <c r="Y4174" s="3"/>
      <c r="Z4174" s="3"/>
      <c r="AA4174" s="3"/>
    </row>
    <row r="4175" ht="105.75" customHeight="1">
      <c r="A4175" s="11"/>
      <c r="B4175" s="12"/>
      <c r="C4175" s="11"/>
      <c r="D4175" s="13"/>
      <c r="E4175" s="14"/>
      <c r="F4175" s="14"/>
      <c r="G4175" s="14"/>
      <c r="H4175" s="15"/>
      <c r="I4175" s="15"/>
      <c r="J4175" s="3"/>
      <c r="K4175" s="3"/>
      <c r="L4175" s="3"/>
      <c r="M4175" s="3"/>
      <c r="N4175" s="3"/>
      <c r="O4175" s="3"/>
      <c r="P4175" s="3"/>
      <c r="Q4175" s="3"/>
      <c r="R4175" s="3"/>
      <c r="S4175" s="3"/>
      <c r="T4175" s="3"/>
      <c r="U4175" s="3"/>
      <c r="V4175" s="3"/>
      <c r="W4175" s="3"/>
      <c r="X4175" s="3"/>
      <c r="Y4175" s="3"/>
      <c r="Z4175" s="3"/>
      <c r="AA4175" s="3"/>
    </row>
    <row r="4176" ht="105.75" customHeight="1">
      <c r="A4176" s="11"/>
      <c r="B4176" s="12"/>
      <c r="C4176" s="11"/>
      <c r="D4176" s="13"/>
      <c r="E4176" s="14"/>
      <c r="F4176" s="14"/>
      <c r="G4176" s="14"/>
      <c r="H4176" s="15"/>
      <c r="I4176" s="15"/>
      <c r="J4176" s="3"/>
      <c r="K4176" s="3"/>
      <c r="L4176" s="3"/>
      <c r="M4176" s="3"/>
      <c r="N4176" s="3"/>
      <c r="O4176" s="3"/>
      <c r="P4176" s="3"/>
      <c r="Q4176" s="3"/>
      <c r="R4176" s="3"/>
      <c r="S4176" s="3"/>
      <c r="T4176" s="3"/>
      <c r="U4176" s="3"/>
      <c r="V4176" s="3"/>
      <c r="W4176" s="3"/>
      <c r="X4176" s="3"/>
      <c r="Y4176" s="3"/>
      <c r="Z4176" s="3"/>
      <c r="AA4176" s="3"/>
    </row>
    <row r="4177" ht="105.75" customHeight="1">
      <c r="A4177" s="11"/>
      <c r="B4177" s="12"/>
      <c r="C4177" s="11"/>
      <c r="D4177" s="13"/>
      <c r="E4177" s="14"/>
      <c r="F4177" s="14"/>
      <c r="G4177" s="14"/>
      <c r="H4177" s="15"/>
      <c r="I4177" s="15"/>
      <c r="J4177" s="3"/>
      <c r="K4177" s="3"/>
      <c r="L4177" s="3"/>
      <c r="M4177" s="3"/>
      <c r="N4177" s="3"/>
      <c r="O4177" s="3"/>
      <c r="P4177" s="3"/>
      <c r="Q4177" s="3"/>
      <c r="R4177" s="3"/>
      <c r="S4177" s="3"/>
      <c r="T4177" s="3"/>
      <c r="U4177" s="3"/>
      <c r="V4177" s="3"/>
      <c r="W4177" s="3"/>
      <c r="X4177" s="3"/>
      <c r="Y4177" s="3"/>
      <c r="Z4177" s="3"/>
      <c r="AA4177" s="3"/>
    </row>
    <row r="4178" ht="105.75" customHeight="1">
      <c r="A4178" s="11"/>
      <c r="B4178" s="12"/>
      <c r="C4178" s="11"/>
      <c r="D4178" s="13"/>
      <c r="E4178" s="14"/>
      <c r="F4178" s="14"/>
      <c r="G4178" s="14"/>
      <c r="H4178" s="15"/>
      <c r="I4178" s="15"/>
      <c r="J4178" s="3"/>
      <c r="K4178" s="3"/>
      <c r="L4178" s="3"/>
      <c r="M4178" s="3"/>
      <c r="N4178" s="3"/>
      <c r="O4178" s="3"/>
      <c r="P4178" s="3"/>
      <c r="Q4178" s="3"/>
      <c r="R4178" s="3"/>
      <c r="S4178" s="3"/>
      <c r="T4178" s="3"/>
      <c r="U4178" s="3"/>
      <c r="V4178" s="3"/>
      <c r="W4178" s="3"/>
      <c r="X4178" s="3"/>
      <c r="Y4178" s="3"/>
      <c r="Z4178" s="3"/>
      <c r="AA4178" s="3"/>
    </row>
    <row r="4179" ht="105.75" customHeight="1">
      <c r="A4179" s="11"/>
      <c r="B4179" s="12"/>
      <c r="C4179" s="11"/>
      <c r="D4179" s="13"/>
      <c r="E4179" s="14"/>
      <c r="F4179" s="14"/>
      <c r="G4179" s="14"/>
      <c r="H4179" s="15"/>
      <c r="I4179" s="15"/>
      <c r="J4179" s="3"/>
      <c r="K4179" s="3"/>
      <c r="L4179" s="3"/>
      <c r="M4179" s="3"/>
      <c r="N4179" s="3"/>
      <c r="O4179" s="3"/>
      <c r="P4179" s="3"/>
      <c r="Q4179" s="3"/>
      <c r="R4179" s="3"/>
      <c r="S4179" s="3"/>
      <c r="T4179" s="3"/>
      <c r="U4179" s="3"/>
      <c r="V4179" s="3"/>
      <c r="W4179" s="3"/>
      <c r="X4179" s="3"/>
      <c r="Y4179" s="3"/>
      <c r="Z4179" s="3"/>
      <c r="AA4179" s="3"/>
    </row>
    <row r="4180" ht="105.75" customHeight="1">
      <c r="A4180" s="11"/>
      <c r="B4180" s="12"/>
      <c r="C4180" s="11"/>
      <c r="D4180" s="13"/>
      <c r="E4180" s="14"/>
      <c r="F4180" s="14"/>
      <c r="G4180" s="14"/>
      <c r="H4180" s="15"/>
      <c r="I4180" s="15"/>
      <c r="J4180" s="3"/>
      <c r="K4180" s="3"/>
      <c r="L4180" s="3"/>
      <c r="M4180" s="3"/>
      <c r="N4180" s="3"/>
      <c r="O4180" s="3"/>
      <c r="P4180" s="3"/>
      <c r="Q4180" s="3"/>
      <c r="R4180" s="3"/>
      <c r="S4180" s="3"/>
      <c r="T4180" s="3"/>
      <c r="U4180" s="3"/>
      <c r="V4180" s="3"/>
      <c r="W4180" s="3"/>
      <c r="X4180" s="3"/>
      <c r="Y4180" s="3"/>
      <c r="Z4180" s="3"/>
      <c r="AA4180" s="3"/>
    </row>
    <row r="4181" ht="105.75" customHeight="1">
      <c r="A4181" s="11"/>
      <c r="B4181" s="12"/>
      <c r="C4181" s="11"/>
      <c r="D4181" s="13"/>
      <c r="E4181" s="14"/>
      <c r="F4181" s="14"/>
      <c r="G4181" s="14"/>
      <c r="H4181" s="15"/>
      <c r="I4181" s="15"/>
      <c r="J4181" s="3"/>
      <c r="K4181" s="3"/>
      <c r="L4181" s="3"/>
      <c r="M4181" s="3"/>
      <c r="N4181" s="3"/>
      <c r="O4181" s="3"/>
      <c r="P4181" s="3"/>
      <c r="Q4181" s="3"/>
      <c r="R4181" s="3"/>
      <c r="S4181" s="3"/>
      <c r="T4181" s="3"/>
      <c r="U4181" s="3"/>
      <c r="V4181" s="3"/>
      <c r="W4181" s="3"/>
      <c r="X4181" s="3"/>
      <c r="Y4181" s="3"/>
      <c r="Z4181" s="3"/>
      <c r="AA4181" s="3"/>
    </row>
    <row r="4182" ht="105.75" customHeight="1">
      <c r="A4182" s="11"/>
      <c r="B4182" s="12"/>
      <c r="C4182" s="11"/>
      <c r="D4182" s="13"/>
      <c r="E4182" s="14"/>
      <c r="F4182" s="14"/>
      <c r="G4182" s="14"/>
      <c r="H4182" s="15"/>
      <c r="I4182" s="15"/>
      <c r="J4182" s="3"/>
      <c r="K4182" s="3"/>
      <c r="L4182" s="3"/>
      <c r="M4182" s="3"/>
      <c r="N4182" s="3"/>
      <c r="O4182" s="3"/>
      <c r="P4182" s="3"/>
      <c r="Q4182" s="3"/>
      <c r="R4182" s="3"/>
      <c r="S4182" s="3"/>
      <c r="T4182" s="3"/>
      <c r="U4182" s="3"/>
      <c r="V4182" s="3"/>
      <c r="W4182" s="3"/>
      <c r="X4182" s="3"/>
      <c r="Y4182" s="3"/>
      <c r="Z4182" s="3"/>
      <c r="AA4182" s="3"/>
    </row>
    <row r="4183" ht="105.75" customHeight="1">
      <c r="A4183" s="11"/>
      <c r="B4183" s="12"/>
      <c r="C4183" s="11"/>
      <c r="D4183" s="13"/>
      <c r="E4183" s="14"/>
      <c r="F4183" s="14"/>
      <c r="G4183" s="14"/>
      <c r="H4183" s="15"/>
      <c r="I4183" s="15"/>
      <c r="J4183" s="3"/>
      <c r="K4183" s="3"/>
      <c r="L4183" s="3"/>
      <c r="M4183" s="3"/>
      <c r="N4183" s="3"/>
      <c r="O4183" s="3"/>
      <c r="P4183" s="3"/>
      <c r="Q4183" s="3"/>
      <c r="R4183" s="3"/>
      <c r="S4183" s="3"/>
      <c r="T4183" s="3"/>
      <c r="U4183" s="3"/>
      <c r="V4183" s="3"/>
      <c r="W4183" s="3"/>
      <c r="X4183" s="3"/>
      <c r="Y4183" s="3"/>
      <c r="Z4183" s="3"/>
      <c r="AA4183" s="3"/>
    </row>
    <row r="4184" ht="105.75" customHeight="1">
      <c r="A4184" s="11"/>
      <c r="B4184" s="12"/>
      <c r="C4184" s="11"/>
      <c r="D4184" s="13"/>
      <c r="E4184" s="14"/>
      <c r="F4184" s="14"/>
      <c r="G4184" s="14"/>
      <c r="H4184" s="15"/>
      <c r="I4184" s="15"/>
      <c r="J4184" s="3"/>
      <c r="K4184" s="3"/>
      <c r="L4184" s="3"/>
      <c r="M4184" s="3"/>
      <c r="N4184" s="3"/>
      <c r="O4184" s="3"/>
      <c r="P4184" s="3"/>
      <c r="Q4184" s="3"/>
      <c r="R4184" s="3"/>
      <c r="S4184" s="3"/>
      <c r="T4184" s="3"/>
      <c r="U4184" s="3"/>
      <c r="V4184" s="3"/>
      <c r="W4184" s="3"/>
      <c r="X4184" s="3"/>
      <c r="Y4184" s="3"/>
      <c r="Z4184" s="3"/>
      <c r="AA4184" s="3"/>
    </row>
    <row r="4185" ht="105.75" customHeight="1">
      <c r="A4185" s="11"/>
      <c r="B4185" s="12"/>
      <c r="C4185" s="11"/>
      <c r="D4185" s="13"/>
      <c r="E4185" s="14"/>
      <c r="F4185" s="14"/>
      <c r="G4185" s="14"/>
      <c r="H4185" s="15"/>
      <c r="I4185" s="15"/>
      <c r="J4185" s="3"/>
      <c r="K4185" s="3"/>
      <c r="L4185" s="3"/>
      <c r="M4185" s="3"/>
      <c r="N4185" s="3"/>
      <c r="O4185" s="3"/>
      <c r="P4185" s="3"/>
      <c r="Q4185" s="3"/>
      <c r="R4185" s="3"/>
      <c r="S4185" s="3"/>
      <c r="T4185" s="3"/>
      <c r="U4185" s="3"/>
      <c r="V4185" s="3"/>
      <c r="W4185" s="3"/>
      <c r="X4185" s="3"/>
      <c r="Y4185" s="3"/>
      <c r="Z4185" s="3"/>
      <c r="AA4185" s="3"/>
    </row>
    <row r="4186" ht="105.75" customHeight="1">
      <c r="A4186" s="11"/>
      <c r="B4186" s="12"/>
      <c r="C4186" s="11"/>
      <c r="D4186" s="13"/>
      <c r="E4186" s="14"/>
      <c r="F4186" s="14"/>
      <c r="G4186" s="14"/>
      <c r="H4186" s="15"/>
      <c r="I4186" s="15"/>
      <c r="J4186" s="3"/>
      <c r="K4186" s="3"/>
      <c r="L4186" s="3"/>
      <c r="M4186" s="3"/>
      <c r="N4186" s="3"/>
      <c r="O4186" s="3"/>
      <c r="P4186" s="3"/>
      <c r="Q4186" s="3"/>
      <c r="R4186" s="3"/>
      <c r="S4186" s="3"/>
      <c r="T4186" s="3"/>
      <c r="U4186" s="3"/>
      <c r="V4186" s="3"/>
      <c r="W4186" s="3"/>
      <c r="X4186" s="3"/>
      <c r="Y4186" s="3"/>
      <c r="Z4186" s="3"/>
      <c r="AA4186" s="3"/>
    </row>
    <row r="4187" ht="105.75" customHeight="1">
      <c r="A4187" s="11"/>
      <c r="B4187" s="12"/>
      <c r="C4187" s="11"/>
      <c r="D4187" s="13"/>
      <c r="E4187" s="14"/>
      <c r="F4187" s="14"/>
      <c r="G4187" s="14"/>
      <c r="H4187" s="15"/>
      <c r="I4187" s="15"/>
      <c r="J4187" s="3"/>
      <c r="K4187" s="3"/>
      <c r="L4187" s="3"/>
      <c r="M4187" s="3"/>
      <c r="N4187" s="3"/>
      <c r="O4187" s="3"/>
      <c r="P4187" s="3"/>
      <c r="Q4187" s="3"/>
      <c r="R4187" s="3"/>
      <c r="S4187" s="3"/>
      <c r="T4187" s="3"/>
      <c r="U4187" s="3"/>
      <c r="V4187" s="3"/>
      <c r="W4187" s="3"/>
      <c r="X4187" s="3"/>
      <c r="Y4187" s="3"/>
      <c r="Z4187" s="3"/>
      <c r="AA4187" s="3"/>
    </row>
    <row r="4188" ht="105.75" customHeight="1">
      <c r="A4188" s="11"/>
      <c r="B4188" s="12"/>
      <c r="C4188" s="11"/>
      <c r="D4188" s="13"/>
      <c r="E4188" s="14"/>
      <c r="F4188" s="14"/>
      <c r="G4188" s="14"/>
      <c r="H4188" s="15"/>
      <c r="I4188" s="15"/>
      <c r="J4188" s="3"/>
      <c r="K4188" s="3"/>
      <c r="L4188" s="3"/>
      <c r="M4188" s="3"/>
      <c r="N4188" s="3"/>
      <c r="O4188" s="3"/>
      <c r="P4188" s="3"/>
      <c r="Q4188" s="3"/>
      <c r="R4188" s="3"/>
      <c r="S4188" s="3"/>
      <c r="T4188" s="3"/>
      <c r="U4188" s="3"/>
      <c r="V4188" s="3"/>
      <c r="W4188" s="3"/>
      <c r="X4188" s="3"/>
      <c r="Y4188" s="3"/>
      <c r="Z4188" s="3"/>
      <c r="AA4188" s="3"/>
    </row>
    <row r="4189" ht="105.75" customHeight="1">
      <c r="A4189" s="11"/>
      <c r="B4189" s="12"/>
      <c r="C4189" s="11"/>
      <c r="D4189" s="13"/>
      <c r="E4189" s="14"/>
      <c r="F4189" s="14"/>
      <c r="G4189" s="14"/>
      <c r="H4189" s="15"/>
      <c r="I4189" s="15"/>
      <c r="J4189" s="3"/>
      <c r="K4189" s="3"/>
      <c r="L4189" s="3"/>
      <c r="M4189" s="3"/>
      <c r="N4189" s="3"/>
      <c r="O4189" s="3"/>
      <c r="P4189" s="3"/>
      <c r="Q4189" s="3"/>
      <c r="R4189" s="3"/>
      <c r="S4189" s="3"/>
      <c r="T4189" s="3"/>
      <c r="U4189" s="3"/>
      <c r="V4189" s="3"/>
      <c r="W4189" s="3"/>
      <c r="X4189" s="3"/>
      <c r="Y4189" s="3"/>
      <c r="Z4189" s="3"/>
      <c r="AA4189" s="3"/>
    </row>
    <row r="4190" ht="105.75" customHeight="1">
      <c r="A4190" s="11"/>
      <c r="B4190" s="12"/>
      <c r="C4190" s="11"/>
      <c r="D4190" s="13"/>
      <c r="E4190" s="14"/>
      <c r="F4190" s="14"/>
      <c r="G4190" s="14"/>
      <c r="H4190" s="15"/>
      <c r="I4190" s="15"/>
      <c r="J4190" s="3"/>
      <c r="K4190" s="3"/>
      <c r="L4190" s="3"/>
      <c r="M4190" s="3"/>
      <c r="N4190" s="3"/>
      <c r="O4190" s="3"/>
      <c r="P4190" s="3"/>
      <c r="Q4190" s="3"/>
      <c r="R4190" s="3"/>
      <c r="S4190" s="3"/>
      <c r="T4190" s="3"/>
      <c r="U4190" s="3"/>
      <c r="V4190" s="3"/>
      <c r="W4190" s="3"/>
      <c r="X4190" s="3"/>
      <c r="Y4190" s="3"/>
      <c r="Z4190" s="3"/>
      <c r="AA4190" s="3"/>
    </row>
    <row r="4191" ht="105.75" customHeight="1">
      <c r="A4191" s="11"/>
      <c r="B4191" s="12"/>
      <c r="C4191" s="11"/>
      <c r="D4191" s="13"/>
      <c r="E4191" s="14"/>
      <c r="F4191" s="14"/>
      <c r="G4191" s="14"/>
      <c r="H4191" s="15"/>
      <c r="I4191" s="15"/>
      <c r="J4191" s="3"/>
      <c r="K4191" s="3"/>
      <c r="L4191" s="3"/>
      <c r="M4191" s="3"/>
      <c r="N4191" s="3"/>
      <c r="O4191" s="3"/>
      <c r="P4191" s="3"/>
      <c r="Q4191" s="3"/>
      <c r="R4191" s="3"/>
      <c r="S4191" s="3"/>
      <c r="T4191" s="3"/>
      <c r="U4191" s="3"/>
      <c r="V4191" s="3"/>
      <c r="W4191" s="3"/>
      <c r="X4191" s="3"/>
      <c r="Y4191" s="3"/>
      <c r="Z4191" s="3"/>
      <c r="AA4191" s="3"/>
    </row>
    <row r="4192" ht="105.75" customHeight="1">
      <c r="A4192" s="11"/>
      <c r="B4192" s="12"/>
      <c r="C4192" s="11"/>
      <c r="D4192" s="13"/>
      <c r="E4192" s="14"/>
      <c r="F4192" s="14"/>
      <c r="G4192" s="14"/>
      <c r="H4192" s="15"/>
      <c r="I4192" s="15"/>
      <c r="J4192" s="3"/>
      <c r="K4192" s="3"/>
      <c r="L4192" s="3"/>
      <c r="M4192" s="3"/>
      <c r="N4192" s="3"/>
      <c r="O4192" s="3"/>
      <c r="P4192" s="3"/>
      <c r="Q4192" s="3"/>
      <c r="R4192" s="3"/>
      <c r="S4192" s="3"/>
      <c r="T4192" s="3"/>
      <c r="U4192" s="3"/>
      <c r="V4192" s="3"/>
      <c r="W4192" s="3"/>
      <c r="X4192" s="3"/>
      <c r="Y4192" s="3"/>
      <c r="Z4192" s="3"/>
      <c r="AA4192" s="3"/>
    </row>
    <row r="4193" ht="105.75" customHeight="1">
      <c r="A4193" s="11"/>
      <c r="B4193" s="12"/>
      <c r="C4193" s="11"/>
      <c r="D4193" s="13"/>
      <c r="E4193" s="14"/>
      <c r="F4193" s="14"/>
      <c r="G4193" s="14"/>
      <c r="H4193" s="15"/>
      <c r="I4193" s="15"/>
      <c r="J4193" s="3"/>
      <c r="K4193" s="3"/>
      <c r="L4193" s="3"/>
      <c r="M4193" s="3"/>
      <c r="N4193" s="3"/>
      <c r="O4193" s="3"/>
      <c r="P4193" s="3"/>
      <c r="Q4193" s="3"/>
      <c r="R4193" s="3"/>
      <c r="S4193" s="3"/>
      <c r="T4193" s="3"/>
      <c r="U4193" s="3"/>
      <c r="V4193" s="3"/>
      <c r="W4193" s="3"/>
      <c r="X4193" s="3"/>
      <c r="Y4193" s="3"/>
      <c r="Z4193" s="3"/>
      <c r="AA4193" s="3"/>
    </row>
    <row r="4194" ht="105.75" customHeight="1">
      <c r="A4194" s="11"/>
      <c r="B4194" s="12"/>
      <c r="C4194" s="11"/>
      <c r="D4194" s="13"/>
      <c r="E4194" s="14"/>
      <c r="F4194" s="14"/>
      <c r="G4194" s="14"/>
      <c r="H4194" s="15"/>
      <c r="I4194" s="15"/>
      <c r="J4194" s="3"/>
      <c r="K4194" s="3"/>
      <c r="L4194" s="3"/>
      <c r="M4194" s="3"/>
      <c r="N4194" s="3"/>
      <c r="O4194" s="3"/>
      <c r="P4194" s="3"/>
      <c r="Q4194" s="3"/>
      <c r="R4194" s="3"/>
      <c r="S4194" s="3"/>
      <c r="T4194" s="3"/>
      <c r="U4194" s="3"/>
      <c r="V4194" s="3"/>
      <c r="W4194" s="3"/>
      <c r="X4194" s="3"/>
      <c r="Y4194" s="3"/>
      <c r="Z4194" s="3"/>
      <c r="AA4194" s="3"/>
    </row>
    <row r="4195" ht="105.75" customHeight="1">
      <c r="A4195" s="11"/>
      <c r="B4195" s="12"/>
      <c r="C4195" s="11"/>
      <c r="D4195" s="13"/>
      <c r="E4195" s="14"/>
      <c r="F4195" s="14"/>
      <c r="G4195" s="14"/>
      <c r="H4195" s="15"/>
      <c r="I4195" s="15"/>
      <c r="J4195" s="3"/>
      <c r="K4195" s="3"/>
      <c r="L4195" s="3"/>
      <c r="M4195" s="3"/>
      <c r="N4195" s="3"/>
      <c r="O4195" s="3"/>
      <c r="P4195" s="3"/>
      <c r="Q4195" s="3"/>
      <c r="R4195" s="3"/>
      <c r="S4195" s="3"/>
      <c r="T4195" s="3"/>
      <c r="U4195" s="3"/>
      <c r="V4195" s="3"/>
      <c r="W4195" s="3"/>
      <c r="X4195" s="3"/>
      <c r="Y4195" s="3"/>
      <c r="Z4195" s="3"/>
      <c r="AA4195" s="3"/>
    </row>
    <row r="4196" ht="105.75" customHeight="1">
      <c r="A4196" s="11"/>
      <c r="B4196" s="12"/>
      <c r="C4196" s="11"/>
      <c r="D4196" s="13"/>
      <c r="E4196" s="14"/>
      <c r="F4196" s="14"/>
      <c r="G4196" s="14"/>
      <c r="H4196" s="15"/>
      <c r="I4196" s="15"/>
      <c r="J4196" s="3"/>
      <c r="K4196" s="3"/>
      <c r="L4196" s="3"/>
      <c r="M4196" s="3"/>
      <c r="N4196" s="3"/>
      <c r="O4196" s="3"/>
      <c r="P4196" s="3"/>
      <c r="Q4196" s="3"/>
      <c r="R4196" s="3"/>
      <c r="S4196" s="3"/>
      <c r="T4196" s="3"/>
      <c r="U4196" s="3"/>
      <c r="V4196" s="3"/>
      <c r="W4196" s="3"/>
      <c r="X4196" s="3"/>
      <c r="Y4196" s="3"/>
      <c r="Z4196" s="3"/>
      <c r="AA4196" s="3"/>
    </row>
    <row r="4197" ht="105.75" customHeight="1">
      <c r="A4197" s="11"/>
      <c r="B4197" s="12"/>
      <c r="C4197" s="11"/>
      <c r="D4197" s="13"/>
      <c r="E4197" s="14"/>
      <c r="F4197" s="14"/>
      <c r="G4197" s="14"/>
      <c r="H4197" s="15"/>
      <c r="I4197" s="15"/>
      <c r="J4197" s="3"/>
      <c r="K4197" s="3"/>
      <c r="L4197" s="3"/>
      <c r="M4197" s="3"/>
      <c r="N4197" s="3"/>
      <c r="O4197" s="3"/>
      <c r="P4197" s="3"/>
      <c r="Q4197" s="3"/>
      <c r="R4197" s="3"/>
      <c r="S4197" s="3"/>
      <c r="T4197" s="3"/>
      <c r="U4197" s="3"/>
      <c r="V4197" s="3"/>
      <c r="W4197" s="3"/>
      <c r="X4197" s="3"/>
      <c r="Y4197" s="3"/>
      <c r="Z4197" s="3"/>
      <c r="AA4197" s="3"/>
    </row>
    <row r="4198" ht="105.75" customHeight="1">
      <c r="A4198" s="11"/>
      <c r="B4198" s="12"/>
      <c r="C4198" s="11"/>
      <c r="D4198" s="13"/>
      <c r="E4198" s="14"/>
      <c r="F4198" s="14"/>
      <c r="G4198" s="14"/>
      <c r="H4198" s="15"/>
      <c r="I4198" s="15"/>
      <c r="J4198" s="3"/>
      <c r="K4198" s="3"/>
      <c r="L4198" s="3"/>
      <c r="M4198" s="3"/>
      <c r="N4198" s="3"/>
      <c r="O4198" s="3"/>
      <c r="P4198" s="3"/>
      <c r="Q4198" s="3"/>
      <c r="R4198" s="3"/>
      <c r="S4198" s="3"/>
      <c r="T4198" s="3"/>
      <c r="U4198" s="3"/>
      <c r="V4198" s="3"/>
      <c r="W4198" s="3"/>
      <c r="X4198" s="3"/>
      <c r="Y4198" s="3"/>
      <c r="Z4198" s="3"/>
      <c r="AA4198" s="3"/>
    </row>
    <row r="4199" ht="105.75" customHeight="1">
      <c r="A4199" s="11"/>
      <c r="B4199" s="12"/>
      <c r="C4199" s="11"/>
      <c r="D4199" s="13"/>
      <c r="E4199" s="14"/>
      <c r="F4199" s="14"/>
      <c r="G4199" s="14"/>
      <c r="H4199" s="15"/>
      <c r="I4199" s="15"/>
      <c r="J4199" s="3"/>
      <c r="K4199" s="3"/>
      <c r="L4199" s="3"/>
      <c r="M4199" s="3"/>
      <c r="N4199" s="3"/>
      <c r="O4199" s="3"/>
      <c r="P4199" s="3"/>
      <c r="Q4199" s="3"/>
      <c r="R4199" s="3"/>
      <c r="S4199" s="3"/>
      <c r="T4199" s="3"/>
      <c r="U4199" s="3"/>
      <c r="V4199" s="3"/>
      <c r="W4199" s="3"/>
      <c r="X4199" s="3"/>
      <c r="Y4199" s="3"/>
      <c r="Z4199" s="3"/>
      <c r="AA4199" s="3"/>
    </row>
    <row r="4200" ht="105.75" customHeight="1">
      <c r="A4200" s="11"/>
      <c r="B4200" s="12"/>
      <c r="C4200" s="11"/>
      <c r="D4200" s="13"/>
      <c r="E4200" s="14"/>
      <c r="F4200" s="14"/>
      <c r="G4200" s="14"/>
      <c r="H4200" s="15"/>
      <c r="I4200" s="15"/>
      <c r="J4200" s="3"/>
      <c r="K4200" s="3"/>
      <c r="L4200" s="3"/>
      <c r="M4200" s="3"/>
      <c r="N4200" s="3"/>
      <c r="O4200" s="3"/>
      <c r="P4200" s="3"/>
      <c r="Q4200" s="3"/>
      <c r="R4200" s="3"/>
      <c r="S4200" s="3"/>
      <c r="T4200" s="3"/>
      <c r="U4200" s="3"/>
      <c r="V4200" s="3"/>
      <c r="W4200" s="3"/>
      <c r="X4200" s="3"/>
      <c r="Y4200" s="3"/>
      <c r="Z4200" s="3"/>
      <c r="AA4200" s="3"/>
    </row>
    <row r="4201" ht="105.75" customHeight="1">
      <c r="A4201" s="11"/>
      <c r="B4201" s="12"/>
      <c r="C4201" s="11"/>
      <c r="D4201" s="13"/>
      <c r="E4201" s="14"/>
      <c r="F4201" s="14"/>
      <c r="G4201" s="14"/>
      <c r="H4201" s="15"/>
      <c r="I4201" s="15"/>
      <c r="J4201" s="3"/>
      <c r="K4201" s="3"/>
      <c r="L4201" s="3"/>
      <c r="M4201" s="3"/>
      <c r="N4201" s="3"/>
      <c r="O4201" s="3"/>
      <c r="P4201" s="3"/>
      <c r="Q4201" s="3"/>
      <c r="R4201" s="3"/>
      <c r="S4201" s="3"/>
      <c r="T4201" s="3"/>
      <c r="U4201" s="3"/>
      <c r="V4201" s="3"/>
      <c r="W4201" s="3"/>
      <c r="X4201" s="3"/>
      <c r="Y4201" s="3"/>
      <c r="Z4201" s="3"/>
      <c r="AA4201" s="3"/>
    </row>
    <row r="4202" ht="105.75" customHeight="1">
      <c r="A4202" s="11"/>
      <c r="B4202" s="12"/>
      <c r="C4202" s="11"/>
      <c r="D4202" s="13"/>
      <c r="E4202" s="14"/>
      <c r="F4202" s="14"/>
      <c r="G4202" s="14"/>
      <c r="H4202" s="15"/>
      <c r="I4202" s="15"/>
      <c r="J4202" s="3"/>
      <c r="K4202" s="3"/>
      <c r="L4202" s="3"/>
      <c r="M4202" s="3"/>
      <c r="N4202" s="3"/>
      <c r="O4202" s="3"/>
      <c r="P4202" s="3"/>
      <c r="Q4202" s="3"/>
      <c r="R4202" s="3"/>
      <c r="S4202" s="3"/>
      <c r="T4202" s="3"/>
      <c r="U4202" s="3"/>
      <c r="V4202" s="3"/>
      <c r="W4202" s="3"/>
      <c r="X4202" s="3"/>
      <c r="Y4202" s="3"/>
      <c r="Z4202" s="3"/>
      <c r="AA4202" s="3"/>
    </row>
    <row r="4203" ht="105.75" customHeight="1">
      <c r="A4203" s="11"/>
      <c r="B4203" s="12"/>
      <c r="C4203" s="11"/>
      <c r="D4203" s="13"/>
      <c r="E4203" s="14"/>
      <c r="F4203" s="14"/>
      <c r="G4203" s="14"/>
      <c r="H4203" s="15"/>
      <c r="I4203" s="15"/>
      <c r="J4203" s="3"/>
      <c r="K4203" s="3"/>
      <c r="L4203" s="3"/>
      <c r="M4203" s="3"/>
      <c r="N4203" s="3"/>
      <c r="O4203" s="3"/>
      <c r="P4203" s="3"/>
      <c r="Q4203" s="3"/>
      <c r="R4203" s="3"/>
      <c r="S4203" s="3"/>
      <c r="T4203" s="3"/>
      <c r="U4203" s="3"/>
      <c r="V4203" s="3"/>
      <c r="W4203" s="3"/>
      <c r="X4203" s="3"/>
      <c r="Y4203" s="3"/>
      <c r="Z4203" s="3"/>
      <c r="AA4203" s="3"/>
    </row>
    <row r="4204" ht="105.75" customHeight="1">
      <c r="A4204" s="11"/>
      <c r="B4204" s="12"/>
      <c r="C4204" s="11"/>
      <c r="D4204" s="13"/>
      <c r="E4204" s="14"/>
      <c r="F4204" s="14"/>
      <c r="G4204" s="14"/>
      <c r="H4204" s="15"/>
      <c r="I4204" s="15"/>
      <c r="J4204" s="3"/>
      <c r="K4204" s="3"/>
      <c r="L4204" s="3"/>
      <c r="M4204" s="3"/>
      <c r="N4204" s="3"/>
      <c r="O4204" s="3"/>
      <c r="P4204" s="3"/>
      <c r="Q4204" s="3"/>
      <c r="R4204" s="3"/>
      <c r="S4204" s="3"/>
      <c r="T4204" s="3"/>
      <c r="U4204" s="3"/>
      <c r="V4204" s="3"/>
      <c r="W4204" s="3"/>
      <c r="X4204" s="3"/>
      <c r="Y4204" s="3"/>
      <c r="Z4204" s="3"/>
      <c r="AA4204" s="3"/>
    </row>
    <row r="4205" ht="105.75" customHeight="1">
      <c r="A4205" s="11"/>
      <c r="B4205" s="12"/>
      <c r="C4205" s="11"/>
      <c r="D4205" s="13"/>
      <c r="E4205" s="14"/>
      <c r="F4205" s="14"/>
      <c r="G4205" s="14"/>
      <c r="H4205" s="15"/>
      <c r="I4205" s="15"/>
      <c r="J4205" s="3"/>
      <c r="K4205" s="3"/>
      <c r="L4205" s="3"/>
      <c r="M4205" s="3"/>
      <c r="N4205" s="3"/>
      <c r="O4205" s="3"/>
      <c r="P4205" s="3"/>
      <c r="Q4205" s="3"/>
      <c r="R4205" s="3"/>
      <c r="S4205" s="3"/>
      <c r="T4205" s="3"/>
      <c r="U4205" s="3"/>
      <c r="V4205" s="3"/>
      <c r="W4205" s="3"/>
      <c r="X4205" s="3"/>
      <c r="Y4205" s="3"/>
      <c r="Z4205" s="3"/>
      <c r="AA4205" s="3"/>
    </row>
    <row r="4206" ht="105.75" customHeight="1">
      <c r="A4206" s="11"/>
      <c r="B4206" s="12"/>
      <c r="C4206" s="11"/>
      <c r="D4206" s="13"/>
      <c r="E4206" s="14"/>
      <c r="F4206" s="14"/>
      <c r="G4206" s="14"/>
      <c r="H4206" s="15"/>
      <c r="I4206" s="15"/>
      <c r="J4206" s="3"/>
      <c r="K4206" s="3"/>
      <c r="L4206" s="3"/>
      <c r="M4206" s="3"/>
      <c r="N4206" s="3"/>
      <c r="O4206" s="3"/>
      <c r="P4206" s="3"/>
      <c r="Q4206" s="3"/>
      <c r="R4206" s="3"/>
      <c r="S4206" s="3"/>
      <c r="T4206" s="3"/>
      <c r="U4206" s="3"/>
      <c r="V4206" s="3"/>
      <c r="W4206" s="3"/>
      <c r="X4206" s="3"/>
      <c r="Y4206" s="3"/>
      <c r="Z4206" s="3"/>
      <c r="AA4206" s="3"/>
    </row>
    <row r="4207" ht="105.75" customHeight="1">
      <c r="A4207" s="11"/>
      <c r="B4207" s="12"/>
      <c r="C4207" s="11"/>
      <c r="D4207" s="13"/>
      <c r="E4207" s="14"/>
      <c r="F4207" s="14"/>
      <c r="G4207" s="14"/>
      <c r="H4207" s="15"/>
      <c r="I4207" s="15"/>
      <c r="J4207" s="3"/>
      <c r="K4207" s="3"/>
      <c r="L4207" s="3"/>
      <c r="M4207" s="3"/>
      <c r="N4207" s="3"/>
      <c r="O4207" s="3"/>
      <c r="P4207" s="3"/>
      <c r="Q4207" s="3"/>
      <c r="R4207" s="3"/>
      <c r="S4207" s="3"/>
      <c r="T4207" s="3"/>
      <c r="U4207" s="3"/>
      <c r="V4207" s="3"/>
      <c r="W4207" s="3"/>
      <c r="X4207" s="3"/>
      <c r="Y4207" s="3"/>
      <c r="Z4207" s="3"/>
      <c r="AA4207" s="3"/>
    </row>
    <row r="4208" ht="105.75" customHeight="1">
      <c r="A4208" s="11"/>
      <c r="B4208" s="12"/>
      <c r="C4208" s="11"/>
      <c r="D4208" s="13"/>
      <c r="E4208" s="14"/>
      <c r="F4208" s="14"/>
      <c r="G4208" s="14"/>
      <c r="H4208" s="15"/>
      <c r="I4208" s="15"/>
      <c r="J4208" s="3"/>
      <c r="K4208" s="3"/>
      <c r="L4208" s="3"/>
      <c r="M4208" s="3"/>
      <c r="N4208" s="3"/>
      <c r="O4208" s="3"/>
      <c r="P4208" s="3"/>
      <c r="Q4208" s="3"/>
      <c r="R4208" s="3"/>
      <c r="S4208" s="3"/>
      <c r="T4208" s="3"/>
      <c r="U4208" s="3"/>
      <c r="V4208" s="3"/>
      <c r="W4208" s="3"/>
      <c r="X4208" s="3"/>
      <c r="Y4208" s="3"/>
      <c r="Z4208" s="3"/>
      <c r="AA4208" s="3"/>
    </row>
    <row r="4209" ht="105.75" customHeight="1">
      <c r="A4209" s="11"/>
      <c r="B4209" s="12"/>
      <c r="C4209" s="11"/>
      <c r="D4209" s="13"/>
      <c r="E4209" s="14"/>
      <c r="F4209" s="14"/>
      <c r="G4209" s="14"/>
      <c r="H4209" s="15"/>
      <c r="I4209" s="15"/>
      <c r="J4209" s="3"/>
      <c r="K4209" s="3"/>
      <c r="L4209" s="3"/>
      <c r="M4209" s="3"/>
      <c r="N4209" s="3"/>
      <c r="O4209" s="3"/>
      <c r="P4209" s="3"/>
      <c r="Q4209" s="3"/>
      <c r="R4209" s="3"/>
      <c r="S4209" s="3"/>
      <c r="T4209" s="3"/>
      <c r="U4209" s="3"/>
      <c r="V4209" s="3"/>
      <c r="W4209" s="3"/>
      <c r="X4209" s="3"/>
      <c r="Y4209" s="3"/>
      <c r="Z4209" s="3"/>
      <c r="AA4209" s="3"/>
    </row>
    <row r="4210" ht="105.75" customHeight="1">
      <c r="A4210" s="11"/>
      <c r="B4210" s="12"/>
      <c r="C4210" s="11"/>
      <c r="D4210" s="13"/>
      <c r="E4210" s="14"/>
      <c r="F4210" s="14"/>
      <c r="G4210" s="14"/>
      <c r="H4210" s="15"/>
      <c r="I4210" s="15"/>
      <c r="J4210" s="3"/>
      <c r="K4210" s="3"/>
      <c r="L4210" s="3"/>
      <c r="M4210" s="3"/>
      <c r="N4210" s="3"/>
      <c r="O4210" s="3"/>
      <c r="P4210" s="3"/>
      <c r="Q4210" s="3"/>
      <c r="R4210" s="3"/>
      <c r="S4210" s="3"/>
      <c r="T4210" s="3"/>
      <c r="U4210" s="3"/>
      <c r="V4210" s="3"/>
      <c r="W4210" s="3"/>
      <c r="X4210" s="3"/>
      <c r="Y4210" s="3"/>
      <c r="Z4210" s="3"/>
      <c r="AA4210" s="3"/>
    </row>
    <row r="4211" ht="105.75" customHeight="1">
      <c r="A4211" s="11"/>
      <c r="B4211" s="12"/>
      <c r="C4211" s="11"/>
      <c r="D4211" s="13"/>
      <c r="E4211" s="14"/>
      <c r="F4211" s="14"/>
      <c r="G4211" s="14"/>
      <c r="H4211" s="15"/>
      <c r="I4211" s="15"/>
      <c r="J4211" s="3"/>
      <c r="K4211" s="3"/>
      <c r="L4211" s="3"/>
      <c r="M4211" s="3"/>
      <c r="N4211" s="3"/>
      <c r="O4211" s="3"/>
      <c r="P4211" s="3"/>
      <c r="Q4211" s="3"/>
      <c r="R4211" s="3"/>
      <c r="S4211" s="3"/>
      <c r="T4211" s="3"/>
      <c r="U4211" s="3"/>
      <c r="V4211" s="3"/>
      <c r="W4211" s="3"/>
      <c r="X4211" s="3"/>
      <c r="Y4211" s="3"/>
      <c r="Z4211" s="3"/>
      <c r="AA4211" s="3"/>
    </row>
    <row r="4212" ht="105.75" customHeight="1">
      <c r="A4212" s="11"/>
      <c r="B4212" s="12"/>
      <c r="C4212" s="11"/>
      <c r="D4212" s="13"/>
      <c r="E4212" s="14"/>
      <c r="F4212" s="14"/>
      <c r="G4212" s="14"/>
      <c r="H4212" s="15"/>
      <c r="I4212" s="15"/>
      <c r="J4212" s="3"/>
      <c r="K4212" s="3"/>
      <c r="L4212" s="3"/>
      <c r="M4212" s="3"/>
      <c r="N4212" s="3"/>
      <c r="O4212" s="3"/>
      <c r="P4212" s="3"/>
      <c r="Q4212" s="3"/>
      <c r="R4212" s="3"/>
      <c r="S4212" s="3"/>
      <c r="T4212" s="3"/>
      <c r="U4212" s="3"/>
      <c r="V4212" s="3"/>
      <c r="W4212" s="3"/>
      <c r="X4212" s="3"/>
      <c r="Y4212" s="3"/>
      <c r="Z4212" s="3"/>
      <c r="AA4212" s="3"/>
    </row>
    <row r="4213" ht="105.75" customHeight="1">
      <c r="A4213" s="11"/>
      <c r="B4213" s="12"/>
      <c r="C4213" s="11"/>
      <c r="D4213" s="13"/>
      <c r="E4213" s="14"/>
      <c r="F4213" s="14"/>
      <c r="G4213" s="14"/>
      <c r="H4213" s="15"/>
      <c r="I4213" s="15"/>
      <c r="J4213" s="3"/>
      <c r="K4213" s="3"/>
      <c r="L4213" s="3"/>
      <c r="M4213" s="3"/>
      <c r="N4213" s="3"/>
      <c r="O4213" s="3"/>
      <c r="P4213" s="3"/>
      <c r="Q4213" s="3"/>
      <c r="R4213" s="3"/>
      <c r="S4213" s="3"/>
      <c r="T4213" s="3"/>
      <c r="U4213" s="3"/>
      <c r="V4213" s="3"/>
      <c r="W4213" s="3"/>
      <c r="X4213" s="3"/>
      <c r="Y4213" s="3"/>
      <c r="Z4213" s="3"/>
      <c r="AA4213" s="3"/>
    </row>
    <row r="4214" ht="105.75" customHeight="1">
      <c r="A4214" s="11"/>
      <c r="B4214" s="12"/>
      <c r="C4214" s="11"/>
      <c r="D4214" s="13"/>
      <c r="E4214" s="14"/>
      <c r="F4214" s="14"/>
      <c r="G4214" s="14"/>
      <c r="H4214" s="15"/>
      <c r="I4214" s="15"/>
      <c r="J4214" s="3"/>
      <c r="K4214" s="3"/>
      <c r="L4214" s="3"/>
      <c r="M4214" s="3"/>
      <c r="N4214" s="3"/>
      <c r="O4214" s="3"/>
      <c r="P4214" s="3"/>
      <c r="Q4214" s="3"/>
      <c r="R4214" s="3"/>
      <c r="S4214" s="3"/>
      <c r="T4214" s="3"/>
      <c r="U4214" s="3"/>
      <c r="V4214" s="3"/>
      <c r="W4214" s="3"/>
      <c r="X4214" s="3"/>
      <c r="Y4214" s="3"/>
      <c r="Z4214" s="3"/>
      <c r="AA4214" s="3"/>
    </row>
    <row r="4215" ht="105.75" customHeight="1">
      <c r="A4215" s="11"/>
      <c r="B4215" s="12"/>
      <c r="C4215" s="11"/>
      <c r="D4215" s="13"/>
      <c r="E4215" s="14"/>
      <c r="F4215" s="14"/>
      <c r="G4215" s="14"/>
      <c r="H4215" s="15"/>
      <c r="I4215" s="15"/>
      <c r="J4215" s="3"/>
      <c r="K4215" s="3"/>
      <c r="L4215" s="3"/>
      <c r="M4215" s="3"/>
      <c r="N4215" s="3"/>
      <c r="O4215" s="3"/>
      <c r="P4215" s="3"/>
      <c r="Q4215" s="3"/>
      <c r="R4215" s="3"/>
      <c r="S4215" s="3"/>
      <c r="T4215" s="3"/>
      <c r="U4215" s="3"/>
      <c r="V4215" s="3"/>
      <c r="W4215" s="3"/>
      <c r="X4215" s="3"/>
      <c r="Y4215" s="3"/>
      <c r="Z4215" s="3"/>
      <c r="AA4215" s="3"/>
    </row>
    <row r="4216" ht="105.75" customHeight="1">
      <c r="A4216" s="11"/>
      <c r="B4216" s="12"/>
      <c r="C4216" s="11"/>
      <c r="D4216" s="13"/>
      <c r="E4216" s="14"/>
      <c r="F4216" s="14"/>
      <c r="G4216" s="14"/>
      <c r="H4216" s="15"/>
      <c r="I4216" s="15"/>
      <c r="J4216" s="3"/>
      <c r="K4216" s="3"/>
      <c r="L4216" s="3"/>
      <c r="M4216" s="3"/>
      <c r="N4216" s="3"/>
      <c r="O4216" s="3"/>
      <c r="P4216" s="3"/>
      <c r="Q4216" s="3"/>
      <c r="R4216" s="3"/>
      <c r="S4216" s="3"/>
      <c r="T4216" s="3"/>
      <c r="U4216" s="3"/>
      <c r="V4216" s="3"/>
      <c r="W4216" s="3"/>
      <c r="X4216" s="3"/>
      <c r="Y4216" s="3"/>
      <c r="Z4216" s="3"/>
      <c r="AA4216" s="3"/>
    </row>
    <row r="4217" ht="105.75" customHeight="1">
      <c r="A4217" s="11"/>
      <c r="B4217" s="12"/>
      <c r="C4217" s="11"/>
      <c r="D4217" s="13"/>
      <c r="E4217" s="14"/>
      <c r="F4217" s="14"/>
      <c r="G4217" s="14"/>
      <c r="H4217" s="15"/>
      <c r="I4217" s="15"/>
      <c r="J4217" s="3"/>
      <c r="K4217" s="3"/>
      <c r="L4217" s="3"/>
      <c r="M4217" s="3"/>
      <c r="N4217" s="3"/>
      <c r="O4217" s="3"/>
      <c r="P4217" s="3"/>
      <c r="Q4217" s="3"/>
      <c r="R4217" s="3"/>
      <c r="S4217" s="3"/>
      <c r="T4217" s="3"/>
      <c r="U4217" s="3"/>
      <c r="V4217" s="3"/>
      <c r="W4217" s="3"/>
      <c r="X4217" s="3"/>
      <c r="Y4217" s="3"/>
      <c r="Z4217" s="3"/>
      <c r="AA4217" s="3"/>
    </row>
    <row r="4218" ht="105.75" customHeight="1">
      <c r="A4218" s="11"/>
      <c r="B4218" s="12"/>
      <c r="C4218" s="11"/>
      <c r="D4218" s="13"/>
      <c r="E4218" s="14"/>
      <c r="F4218" s="14"/>
      <c r="G4218" s="14"/>
      <c r="H4218" s="15"/>
      <c r="I4218" s="15"/>
      <c r="J4218" s="3"/>
      <c r="K4218" s="3"/>
      <c r="L4218" s="3"/>
      <c r="M4218" s="3"/>
      <c r="N4218" s="3"/>
      <c r="O4218" s="3"/>
      <c r="P4218" s="3"/>
      <c r="Q4218" s="3"/>
      <c r="R4218" s="3"/>
      <c r="S4218" s="3"/>
      <c r="T4218" s="3"/>
      <c r="U4218" s="3"/>
      <c r="V4218" s="3"/>
      <c r="W4218" s="3"/>
      <c r="X4218" s="3"/>
      <c r="Y4218" s="3"/>
      <c r="Z4218" s="3"/>
      <c r="AA4218" s="3"/>
    </row>
    <row r="4219" ht="105.75" customHeight="1">
      <c r="A4219" s="11"/>
      <c r="B4219" s="12"/>
      <c r="C4219" s="11"/>
      <c r="D4219" s="13"/>
      <c r="E4219" s="14"/>
      <c r="F4219" s="14"/>
      <c r="G4219" s="14"/>
      <c r="H4219" s="15"/>
      <c r="I4219" s="15"/>
      <c r="J4219" s="3"/>
      <c r="K4219" s="3"/>
      <c r="L4219" s="3"/>
      <c r="M4219" s="3"/>
      <c r="N4219" s="3"/>
      <c r="O4219" s="3"/>
      <c r="P4219" s="3"/>
      <c r="Q4219" s="3"/>
      <c r="R4219" s="3"/>
      <c r="S4219" s="3"/>
      <c r="T4219" s="3"/>
      <c r="U4219" s="3"/>
      <c r="V4219" s="3"/>
      <c r="W4219" s="3"/>
      <c r="X4219" s="3"/>
      <c r="Y4219" s="3"/>
      <c r="Z4219" s="3"/>
      <c r="AA4219" s="3"/>
    </row>
    <row r="4220" ht="105.75" customHeight="1">
      <c r="A4220" s="11"/>
      <c r="B4220" s="12"/>
      <c r="C4220" s="11"/>
      <c r="D4220" s="13"/>
      <c r="E4220" s="14"/>
      <c r="F4220" s="14"/>
      <c r="G4220" s="14"/>
      <c r="H4220" s="15"/>
      <c r="I4220" s="15"/>
      <c r="J4220" s="3"/>
      <c r="K4220" s="3"/>
      <c r="L4220" s="3"/>
      <c r="M4220" s="3"/>
      <c r="N4220" s="3"/>
      <c r="O4220" s="3"/>
      <c r="P4220" s="3"/>
      <c r="Q4220" s="3"/>
      <c r="R4220" s="3"/>
      <c r="S4220" s="3"/>
      <c r="T4220" s="3"/>
      <c r="U4220" s="3"/>
      <c r="V4220" s="3"/>
      <c r="W4220" s="3"/>
      <c r="X4220" s="3"/>
      <c r="Y4220" s="3"/>
      <c r="Z4220" s="3"/>
      <c r="AA4220" s="3"/>
    </row>
    <row r="4221" ht="105.75" customHeight="1">
      <c r="A4221" s="11"/>
      <c r="B4221" s="12"/>
      <c r="C4221" s="11"/>
      <c r="D4221" s="13"/>
      <c r="E4221" s="14"/>
      <c r="F4221" s="14"/>
      <c r="G4221" s="14"/>
      <c r="H4221" s="15"/>
      <c r="I4221" s="15"/>
      <c r="J4221" s="3"/>
      <c r="K4221" s="3"/>
      <c r="L4221" s="3"/>
      <c r="M4221" s="3"/>
      <c r="N4221" s="3"/>
      <c r="O4221" s="3"/>
      <c r="P4221" s="3"/>
      <c r="Q4221" s="3"/>
      <c r="R4221" s="3"/>
      <c r="S4221" s="3"/>
      <c r="T4221" s="3"/>
      <c r="U4221" s="3"/>
      <c r="V4221" s="3"/>
      <c r="W4221" s="3"/>
      <c r="X4221" s="3"/>
      <c r="Y4221" s="3"/>
      <c r="Z4221" s="3"/>
      <c r="AA4221" s="3"/>
    </row>
    <row r="4222" ht="105.75" customHeight="1">
      <c r="A4222" s="11"/>
      <c r="B4222" s="12"/>
      <c r="C4222" s="11"/>
      <c r="D4222" s="13"/>
      <c r="E4222" s="14"/>
      <c r="F4222" s="14"/>
      <c r="G4222" s="14"/>
      <c r="H4222" s="15"/>
      <c r="I4222" s="15"/>
      <c r="J4222" s="3"/>
      <c r="K4222" s="3"/>
      <c r="L4222" s="3"/>
      <c r="M4222" s="3"/>
      <c r="N4222" s="3"/>
      <c r="O4222" s="3"/>
      <c r="P4222" s="3"/>
      <c r="Q4222" s="3"/>
      <c r="R4222" s="3"/>
      <c r="S4222" s="3"/>
      <c r="T4222" s="3"/>
      <c r="U4222" s="3"/>
      <c r="V4222" s="3"/>
      <c r="W4222" s="3"/>
      <c r="X4222" s="3"/>
      <c r="Y4222" s="3"/>
      <c r="Z4222" s="3"/>
      <c r="AA4222" s="3"/>
    </row>
    <row r="4223" ht="105.75" customHeight="1">
      <c r="A4223" s="11"/>
      <c r="B4223" s="12"/>
      <c r="C4223" s="11"/>
      <c r="D4223" s="13"/>
      <c r="E4223" s="14"/>
      <c r="F4223" s="14"/>
      <c r="G4223" s="14"/>
      <c r="H4223" s="15"/>
      <c r="I4223" s="15"/>
      <c r="J4223" s="3"/>
      <c r="K4223" s="3"/>
      <c r="L4223" s="3"/>
      <c r="M4223" s="3"/>
      <c r="N4223" s="3"/>
      <c r="O4223" s="3"/>
      <c r="P4223" s="3"/>
      <c r="Q4223" s="3"/>
      <c r="R4223" s="3"/>
      <c r="S4223" s="3"/>
      <c r="T4223" s="3"/>
      <c r="U4223" s="3"/>
      <c r="V4223" s="3"/>
      <c r="W4223" s="3"/>
      <c r="X4223" s="3"/>
      <c r="Y4223" s="3"/>
      <c r="Z4223" s="3"/>
      <c r="AA4223" s="3"/>
    </row>
    <row r="4224" ht="105.75" customHeight="1">
      <c r="A4224" s="11"/>
      <c r="B4224" s="12"/>
      <c r="C4224" s="11"/>
      <c r="D4224" s="13"/>
      <c r="E4224" s="14"/>
      <c r="F4224" s="14"/>
      <c r="G4224" s="14"/>
      <c r="H4224" s="15"/>
      <c r="I4224" s="15"/>
      <c r="J4224" s="3"/>
      <c r="K4224" s="3"/>
      <c r="L4224" s="3"/>
      <c r="M4224" s="3"/>
      <c r="N4224" s="3"/>
      <c r="O4224" s="3"/>
      <c r="P4224" s="3"/>
      <c r="Q4224" s="3"/>
      <c r="R4224" s="3"/>
      <c r="S4224" s="3"/>
      <c r="T4224" s="3"/>
      <c r="U4224" s="3"/>
      <c r="V4224" s="3"/>
      <c r="W4224" s="3"/>
      <c r="X4224" s="3"/>
      <c r="Y4224" s="3"/>
      <c r="Z4224" s="3"/>
      <c r="AA4224" s="3"/>
    </row>
    <row r="4225" ht="105.75" customHeight="1">
      <c r="A4225" s="11"/>
      <c r="B4225" s="12"/>
      <c r="C4225" s="11"/>
      <c r="D4225" s="13"/>
      <c r="E4225" s="14"/>
      <c r="F4225" s="14"/>
      <c r="G4225" s="14"/>
      <c r="H4225" s="15"/>
      <c r="I4225" s="15"/>
      <c r="J4225" s="3"/>
      <c r="K4225" s="3"/>
      <c r="L4225" s="3"/>
      <c r="M4225" s="3"/>
      <c r="N4225" s="3"/>
      <c r="O4225" s="3"/>
      <c r="P4225" s="3"/>
      <c r="Q4225" s="3"/>
      <c r="R4225" s="3"/>
      <c r="S4225" s="3"/>
      <c r="T4225" s="3"/>
      <c r="U4225" s="3"/>
      <c r="V4225" s="3"/>
      <c r="W4225" s="3"/>
      <c r="X4225" s="3"/>
      <c r="Y4225" s="3"/>
      <c r="Z4225" s="3"/>
      <c r="AA4225" s="3"/>
    </row>
    <row r="4226" ht="105.75" customHeight="1">
      <c r="A4226" s="11"/>
      <c r="B4226" s="12"/>
      <c r="C4226" s="11"/>
      <c r="D4226" s="13"/>
      <c r="E4226" s="14"/>
      <c r="F4226" s="14"/>
      <c r="G4226" s="14"/>
      <c r="H4226" s="15"/>
      <c r="I4226" s="15"/>
      <c r="J4226" s="3"/>
      <c r="K4226" s="3"/>
      <c r="L4226" s="3"/>
      <c r="M4226" s="3"/>
      <c r="N4226" s="3"/>
      <c r="O4226" s="3"/>
      <c r="P4226" s="3"/>
      <c r="Q4226" s="3"/>
      <c r="R4226" s="3"/>
      <c r="S4226" s="3"/>
      <c r="T4226" s="3"/>
      <c r="U4226" s="3"/>
      <c r="V4226" s="3"/>
      <c r="W4226" s="3"/>
      <c r="X4226" s="3"/>
      <c r="Y4226" s="3"/>
      <c r="Z4226" s="3"/>
      <c r="AA4226" s="3"/>
    </row>
    <row r="4227" ht="105.75" customHeight="1">
      <c r="A4227" s="11"/>
      <c r="B4227" s="12"/>
      <c r="C4227" s="11"/>
      <c r="D4227" s="13"/>
      <c r="E4227" s="14"/>
      <c r="F4227" s="14"/>
      <c r="G4227" s="14"/>
      <c r="H4227" s="15"/>
      <c r="I4227" s="15"/>
      <c r="J4227" s="3"/>
      <c r="K4227" s="3"/>
      <c r="L4227" s="3"/>
      <c r="M4227" s="3"/>
      <c r="N4227" s="3"/>
      <c r="O4227" s="3"/>
      <c r="P4227" s="3"/>
      <c r="Q4227" s="3"/>
      <c r="R4227" s="3"/>
      <c r="S4227" s="3"/>
      <c r="T4227" s="3"/>
      <c r="U4227" s="3"/>
      <c r="V4227" s="3"/>
      <c r="W4227" s="3"/>
      <c r="X4227" s="3"/>
      <c r="Y4227" s="3"/>
      <c r="Z4227" s="3"/>
      <c r="AA4227" s="3"/>
    </row>
    <row r="4228" ht="105.75" customHeight="1">
      <c r="A4228" s="11"/>
      <c r="B4228" s="12"/>
      <c r="C4228" s="11"/>
      <c r="D4228" s="13"/>
      <c r="E4228" s="14"/>
      <c r="F4228" s="14"/>
      <c r="G4228" s="14"/>
      <c r="H4228" s="15"/>
      <c r="I4228" s="15"/>
      <c r="J4228" s="3"/>
      <c r="K4228" s="3"/>
      <c r="L4228" s="3"/>
      <c r="M4228" s="3"/>
      <c r="N4228" s="3"/>
      <c r="O4228" s="3"/>
      <c r="P4228" s="3"/>
      <c r="Q4228" s="3"/>
      <c r="R4228" s="3"/>
      <c r="S4228" s="3"/>
      <c r="T4228" s="3"/>
      <c r="U4228" s="3"/>
      <c r="V4228" s="3"/>
      <c r="W4228" s="3"/>
      <c r="X4228" s="3"/>
      <c r="Y4228" s="3"/>
      <c r="Z4228" s="3"/>
      <c r="AA4228" s="3"/>
    </row>
    <row r="4229" ht="105.75" customHeight="1">
      <c r="A4229" s="11"/>
      <c r="B4229" s="12"/>
      <c r="C4229" s="11"/>
      <c r="D4229" s="13"/>
      <c r="E4229" s="14"/>
      <c r="F4229" s="14"/>
      <c r="G4229" s="14"/>
      <c r="H4229" s="15"/>
      <c r="I4229" s="15"/>
      <c r="J4229" s="3"/>
      <c r="K4229" s="3"/>
      <c r="L4229" s="3"/>
      <c r="M4229" s="3"/>
      <c r="N4229" s="3"/>
      <c r="O4229" s="3"/>
      <c r="P4229" s="3"/>
      <c r="Q4229" s="3"/>
      <c r="R4229" s="3"/>
      <c r="S4229" s="3"/>
      <c r="T4229" s="3"/>
      <c r="U4229" s="3"/>
      <c r="V4229" s="3"/>
      <c r="W4229" s="3"/>
      <c r="X4229" s="3"/>
      <c r="Y4229" s="3"/>
      <c r="Z4229" s="3"/>
      <c r="AA4229" s="3"/>
    </row>
    <row r="4230" ht="105.75" customHeight="1">
      <c r="A4230" s="11"/>
      <c r="B4230" s="12"/>
      <c r="C4230" s="11"/>
      <c r="D4230" s="13"/>
      <c r="E4230" s="14"/>
      <c r="F4230" s="14"/>
      <c r="G4230" s="14"/>
      <c r="H4230" s="15"/>
      <c r="I4230" s="15"/>
      <c r="J4230" s="3"/>
      <c r="K4230" s="3"/>
      <c r="L4230" s="3"/>
      <c r="M4230" s="3"/>
      <c r="N4230" s="3"/>
      <c r="O4230" s="3"/>
      <c r="P4230" s="3"/>
      <c r="Q4230" s="3"/>
      <c r="R4230" s="3"/>
      <c r="S4230" s="3"/>
      <c r="T4230" s="3"/>
      <c r="U4230" s="3"/>
      <c r="V4230" s="3"/>
      <c r="W4230" s="3"/>
      <c r="X4230" s="3"/>
      <c r="Y4230" s="3"/>
      <c r="Z4230" s="3"/>
      <c r="AA4230" s="3"/>
    </row>
    <row r="4231" ht="105.75" customHeight="1">
      <c r="A4231" s="11"/>
      <c r="B4231" s="12"/>
      <c r="C4231" s="11"/>
      <c r="D4231" s="13"/>
      <c r="E4231" s="14"/>
      <c r="F4231" s="14"/>
      <c r="G4231" s="14"/>
      <c r="H4231" s="15"/>
      <c r="I4231" s="15"/>
      <c r="J4231" s="3"/>
      <c r="K4231" s="3"/>
      <c r="L4231" s="3"/>
      <c r="M4231" s="3"/>
      <c r="N4231" s="3"/>
      <c r="O4231" s="3"/>
      <c r="P4231" s="3"/>
      <c r="Q4231" s="3"/>
      <c r="R4231" s="3"/>
      <c r="S4231" s="3"/>
      <c r="T4231" s="3"/>
      <c r="U4231" s="3"/>
      <c r="V4231" s="3"/>
      <c r="W4231" s="3"/>
      <c r="X4231" s="3"/>
      <c r="Y4231" s="3"/>
      <c r="Z4231" s="3"/>
      <c r="AA4231" s="3"/>
    </row>
    <row r="4232" ht="105.75" customHeight="1">
      <c r="A4232" s="11"/>
      <c r="B4232" s="12"/>
      <c r="C4232" s="11"/>
      <c r="D4232" s="13"/>
      <c r="E4232" s="14"/>
      <c r="F4232" s="14"/>
      <c r="G4232" s="14"/>
      <c r="H4232" s="15"/>
      <c r="I4232" s="15"/>
      <c r="J4232" s="3"/>
      <c r="K4232" s="3"/>
      <c r="L4232" s="3"/>
      <c r="M4232" s="3"/>
      <c r="N4232" s="3"/>
      <c r="O4232" s="3"/>
      <c r="P4232" s="3"/>
      <c r="Q4232" s="3"/>
      <c r="R4232" s="3"/>
      <c r="S4232" s="3"/>
      <c r="T4232" s="3"/>
      <c r="U4232" s="3"/>
      <c r="V4232" s="3"/>
      <c r="W4232" s="3"/>
      <c r="X4232" s="3"/>
      <c r="Y4232" s="3"/>
      <c r="Z4232" s="3"/>
      <c r="AA4232" s="3"/>
    </row>
    <row r="4233" ht="105.75" customHeight="1">
      <c r="A4233" s="11"/>
      <c r="B4233" s="12"/>
      <c r="C4233" s="11"/>
      <c r="D4233" s="13"/>
      <c r="E4233" s="14"/>
      <c r="F4233" s="14"/>
      <c r="G4233" s="14"/>
      <c r="H4233" s="15"/>
      <c r="I4233" s="15"/>
      <c r="J4233" s="3"/>
      <c r="K4233" s="3"/>
      <c r="L4233" s="3"/>
      <c r="M4233" s="3"/>
      <c r="N4233" s="3"/>
      <c r="O4233" s="3"/>
      <c r="P4233" s="3"/>
      <c r="Q4233" s="3"/>
      <c r="R4233" s="3"/>
      <c r="S4233" s="3"/>
      <c r="T4233" s="3"/>
      <c r="U4233" s="3"/>
      <c r="V4233" s="3"/>
      <c r="W4233" s="3"/>
      <c r="X4233" s="3"/>
      <c r="Y4233" s="3"/>
      <c r="Z4233" s="3"/>
      <c r="AA4233" s="3"/>
    </row>
    <row r="4234" ht="105.75" customHeight="1">
      <c r="A4234" s="11"/>
      <c r="B4234" s="12"/>
      <c r="C4234" s="11"/>
      <c r="D4234" s="13"/>
      <c r="E4234" s="14"/>
      <c r="F4234" s="14"/>
      <c r="G4234" s="14"/>
      <c r="H4234" s="15"/>
      <c r="I4234" s="15"/>
      <c r="J4234" s="3"/>
      <c r="K4234" s="3"/>
      <c r="L4234" s="3"/>
      <c r="M4234" s="3"/>
      <c r="N4234" s="3"/>
      <c r="O4234" s="3"/>
      <c r="P4234" s="3"/>
      <c r="Q4234" s="3"/>
      <c r="R4234" s="3"/>
      <c r="S4234" s="3"/>
      <c r="T4234" s="3"/>
      <c r="U4234" s="3"/>
      <c r="V4234" s="3"/>
      <c r="W4234" s="3"/>
      <c r="X4234" s="3"/>
      <c r="Y4234" s="3"/>
      <c r="Z4234" s="3"/>
      <c r="AA4234" s="3"/>
    </row>
    <row r="4235" ht="105.75" customHeight="1">
      <c r="A4235" s="11"/>
      <c r="B4235" s="12"/>
      <c r="C4235" s="11"/>
      <c r="D4235" s="13"/>
      <c r="E4235" s="14"/>
      <c r="F4235" s="14"/>
      <c r="G4235" s="14"/>
      <c r="H4235" s="15"/>
      <c r="I4235" s="15"/>
      <c r="J4235" s="3"/>
      <c r="K4235" s="3"/>
      <c r="L4235" s="3"/>
      <c r="M4235" s="3"/>
      <c r="N4235" s="3"/>
      <c r="O4235" s="3"/>
      <c r="P4235" s="3"/>
      <c r="Q4235" s="3"/>
      <c r="R4235" s="3"/>
      <c r="S4235" s="3"/>
      <c r="T4235" s="3"/>
      <c r="U4235" s="3"/>
      <c r="V4235" s="3"/>
      <c r="W4235" s="3"/>
      <c r="X4235" s="3"/>
      <c r="Y4235" s="3"/>
      <c r="Z4235" s="3"/>
      <c r="AA4235" s="3"/>
    </row>
    <row r="4236" ht="105.75" customHeight="1">
      <c r="A4236" s="11"/>
      <c r="B4236" s="12"/>
      <c r="C4236" s="11"/>
      <c r="D4236" s="13"/>
      <c r="E4236" s="14"/>
      <c r="F4236" s="14"/>
      <c r="G4236" s="14"/>
      <c r="H4236" s="15"/>
      <c r="I4236" s="15"/>
      <c r="J4236" s="3"/>
      <c r="K4236" s="3"/>
      <c r="L4236" s="3"/>
      <c r="M4236" s="3"/>
      <c r="N4236" s="3"/>
      <c r="O4236" s="3"/>
      <c r="P4236" s="3"/>
      <c r="Q4236" s="3"/>
      <c r="R4236" s="3"/>
      <c r="S4236" s="3"/>
      <c r="T4236" s="3"/>
      <c r="U4236" s="3"/>
      <c r="V4236" s="3"/>
      <c r="W4236" s="3"/>
      <c r="X4236" s="3"/>
      <c r="Y4236" s="3"/>
      <c r="Z4236" s="3"/>
      <c r="AA4236" s="3"/>
    </row>
    <row r="4237" ht="105.75" customHeight="1">
      <c r="A4237" s="11"/>
      <c r="B4237" s="12"/>
      <c r="C4237" s="11"/>
      <c r="D4237" s="13"/>
      <c r="E4237" s="14"/>
      <c r="F4237" s="14"/>
      <c r="G4237" s="14"/>
      <c r="H4237" s="15"/>
      <c r="I4237" s="15"/>
      <c r="J4237" s="3"/>
      <c r="K4237" s="3"/>
      <c r="L4237" s="3"/>
      <c r="M4237" s="3"/>
      <c r="N4237" s="3"/>
      <c r="O4237" s="3"/>
      <c r="P4237" s="3"/>
      <c r="Q4237" s="3"/>
      <c r="R4237" s="3"/>
      <c r="S4237" s="3"/>
      <c r="T4237" s="3"/>
      <c r="U4237" s="3"/>
      <c r="V4237" s="3"/>
      <c r="W4237" s="3"/>
      <c r="X4237" s="3"/>
      <c r="Y4237" s="3"/>
      <c r="Z4237" s="3"/>
      <c r="AA4237" s="3"/>
    </row>
    <row r="4238" ht="105.75" customHeight="1">
      <c r="A4238" s="11"/>
      <c r="B4238" s="12"/>
      <c r="C4238" s="11"/>
      <c r="D4238" s="13"/>
      <c r="E4238" s="14"/>
      <c r="F4238" s="14"/>
      <c r="G4238" s="14"/>
      <c r="H4238" s="15"/>
      <c r="I4238" s="15"/>
      <c r="J4238" s="3"/>
      <c r="K4238" s="3"/>
      <c r="L4238" s="3"/>
      <c r="M4238" s="3"/>
      <c r="N4238" s="3"/>
      <c r="O4238" s="3"/>
      <c r="P4238" s="3"/>
      <c r="Q4238" s="3"/>
      <c r="R4238" s="3"/>
      <c r="S4238" s="3"/>
      <c r="T4238" s="3"/>
      <c r="U4238" s="3"/>
      <c r="V4238" s="3"/>
      <c r="W4238" s="3"/>
      <c r="X4238" s="3"/>
      <c r="Y4238" s="3"/>
      <c r="Z4238" s="3"/>
      <c r="AA4238" s="3"/>
    </row>
    <row r="4239" ht="105.75" customHeight="1">
      <c r="A4239" s="11"/>
      <c r="B4239" s="12"/>
      <c r="C4239" s="11"/>
      <c r="D4239" s="13"/>
      <c r="E4239" s="14"/>
      <c r="F4239" s="14"/>
      <c r="G4239" s="14"/>
      <c r="H4239" s="15"/>
      <c r="I4239" s="15"/>
      <c r="J4239" s="3"/>
      <c r="K4239" s="3"/>
      <c r="L4239" s="3"/>
      <c r="M4239" s="3"/>
      <c r="N4239" s="3"/>
      <c r="O4239" s="3"/>
      <c r="P4239" s="3"/>
      <c r="Q4239" s="3"/>
      <c r="R4239" s="3"/>
      <c r="S4239" s="3"/>
      <c r="T4239" s="3"/>
      <c r="U4239" s="3"/>
      <c r="V4239" s="3"/>
      <c r="W4239" s="3"/>
      <c r="X4239" s="3"/>
      <c r="Y4239" s="3"/>
      <c r="Z4239" s="3"/>
      <c r="AA4239" s="3"/>
    </row>
    <row r="4240" ht="105.75" customHeight="1">
      <c r="A4240" s="11"/>
      <c r="B4240" s="12"/>
      <c r="C4240" s="11"/>
      <c r="D4240" s="13"/>
      <c r="E4240" s="14"/>
      <c r="F4240" s="14"/>
      <c r="G4240" s="14"/>
      <c r="H4240" s="15"/>
      <c r="I4240" s="15"/>
      <c r="J4240" s="3"/>
      <c r="K4240" s="3"/>
      <c r="L4240" s="3"/>
      <c r="M4240" s="3"/>
      <c r="N4240" s="3"/>
      <c r="O4240" s="3"/>
      <c r="P4240" s="3"/>
      <c r="Q4240" s="3"/>
      <c r="R4240" s="3"/>
      <c r="S4240" s="3"/>
      <c r="T4240" s="3"/>
      <c r="U4240" s="3"/>
      <c r="V4240" s="3"/>
      <c r="W4240" s="3"/>
      <c r="X4240" s="3"/>
      <c r="Y4240" s="3"/>
      <c r="Z4240" s="3"/>
      <c r="AA4240" s="3"/>
    </row>
    <row r="4241" ht="105.75" customHeight="1">
      <c r="A4241" s="11"/>
      <c r="B4241" s="12"/>
      <c r="C4241" s="11"/>
      <c r="D4241" s="13"/>
      <c r="E4241" s="14"/>
      <c r="F4241" s="14"/>
      <c r="G4241" s="14"/>
      <c r="H4241" s="15"/>
      <c r="I4241" s="15"/>
      <c r="J4241" s="3"/>
      <c r="K4241" s="3"/>
      <c r="L4241" s="3"/>
      <c r="M4241" s="3"/>
      <c r="N4241" s="3"/>
      <c r="O4241" s="3"/>
      <c r="P4241" s="3"/>
      <c r="Q4241" s="3"/>
      <c r="R4241" s="3"/>
      <c r="S4241" s="3"/>
      <c r="T4241" s="3"/>
      <c r="U4241" s="3"/>
      <c r="V4241" s="3"/>
      <c r="W4241" s="3"/>
      <c r="X4241" s="3"/>
      <c r="Y4241" s="3"/>
      <c r="Z4241" s="3"/>
      <c r="AA4241" s="3"/>
    </row>
    <row r="4242" ht="105.75" customHeight="1">
      <c r="A4242" s="11"/>
      <c r="B4242" s="12"/>
      <c r="C4242" s="11"/>
      <c r="D4242" s="13"/>
      <c r="E4242" s="14"/>
      <c r="F4242" s="14"/>
      <c r="G4242" s="14"/>
      <c r="H4242" s="15"/>
      <c r="I4242" s="15"/>
      <c r="J4242" s="3"/>
      <c r="K4242" s="3"/>
      <c r="L4242" s="3"/>
      <c r="M4242" s="3"/>
      <c r="N4242" s="3"/>
      <c r="O4242" s="3"/>
      <c r="P4242" s="3"/>
      <c r="Q4242" s="3"/>
      <c r="R4242" s="3"/>
      <c r="S4242" s="3"/>
      <c r="T4242" s="3"/>
      <c r="U4242" s="3"/>
      <c r="V4242" s="3"/>
      <c r="W4242" s="3"/>
      <c r="X4242" s="3"/>
      <c r="Y4242" s="3"/>
      <c r="Z4242" s="3"/>
      <c r="AA4242" s="3"/>
    </row>
    <row r="4243" ht="105.75" customHeight="1">
      <c r="A4243" s="11"/>
      <c r="B4243" s="12"/>
      <c r="C4243" s="11"/>
      <c r="D4243" s="13"/>
      <c r="E4243" s="14"/>
      <c r="F4243" s="14"/>
      <c r="G4243" s="14"/>
      <c r="H4243" s="15"/>
      <c r="I4243" s="15"/>
      <c r="J4243" s="3"/>
      <c r="K4243" s="3"/>
      <c r="L4243" s="3"/>
      <c r="M4243" s="3"/>
      <c r="N4243" s="3"/>
      <c r="O4243" s="3"/>
      <c r="P4243" s="3"/>
      <c r="Q4243" s="3"/>
      <c r="R4243" s="3"/>
      <c r="S4243" s="3"/>
      <c r="T4243" s="3"/>
      <c r="U4243" s="3"/>
      <c r="V4243" s="3"/>
      <c r="W4243" s="3"/>
      <c r="X4243" s="3"/>
      <c r="Y4243" s="3"/>
      <c r="Z4243" s="3"/>
      <c r="AA4243" s="3"/>
    </row>
    <row r="4244" ht="105.75" customHeight="1">
      <c r="A4244" s="11"/>
      <c r="B4244" s="12"/>
      <c r="C4244" s="11"/>
      <c r="D4244" s="13"/>
      <c r="E4244" s="14"/>
      <c r="F4244" s="14"/>
      <c r="G4244" s="14"/>
      <c r="H4244" s="15"/>
      <c r="I4244" s="15"/>
      <c r="J4244" s="3"/>
      <c r="K4244" s="3"/>
      <c r="L4244" s="3"/>
      <c r="M4244" s="3"/>
      <c r="N4244" s="3"/>
      <c r="O4244" s="3"/>
      <c r="P4244" s="3"/>
      <c r="Q4244" s="3"/>
      <c r="R4244" s="3"/>
      <c r="S4244" s="3"/>
      <c r="T4244" s="3"/>
      <c r="U4244" s="3"/>
      <c r="V4244" s="3"/>
      <c r="W4244" s="3"/>
      <c r="X4244" s="3"/>
      <c r="Y4244" s="3"/>
      <c r="Z4244" s="3"/>
      <c r="AA4244" s="3"/>
    </row>
    <row r="4245" ht="105.75" customHeight="1">
      <c r="A4245" s="11"/>
      <c r="B4245" s="12"/>
      <c r="C4245" s="11"/>
      <c r="D4245" s="13"/>
      <c r="E4245" s="14"/>
      <c r="F4245" s="14"/>
      <c r="G4245" s="14"/>
      <c r="H4245" s="15"/>
      <c r="I4245" s="15"/>
      <c r="J4245" s="3"/>
      <c r="K4245" s="3"/>
      <c r="L4245" s="3"/>
      <c r="M4245" s="3"/>
      <c r="N4245" s="3"/>
      <c r="O4245" s="3"/>
      <c r="P4245" s="3"/>
      <c r="Q4245" s="3"/>
      <c r="R4245" s="3"/>
      <c r="S4245" s="3"/>
      <c r="T4245" s="3"/>
      <c r="U4245" s="3"/>
      <c r="V4245" s="3"/>
      <c r="W4245" s="3"/>
      <c r="X4245" s="3"/>
      <c r="Y4245" s="3"/>
      <c r="Z4245" s="3"/>
      <c r="AA4245" s="3"/>
    </row>
    <row r="4246" ht="105.75" customHeight="1">
      <c r="A4246" s="11"/>
      <c r="B4246" s="12"/>
      <c r="C4246" s="11"/>
      <c r="D4246" s="13"/>
      <c r="E4246" s="14"/>
      <c r="F4246" s="14"/>
      <c r="G4246" s="14"/>
      <c r="H4246" s="15"/>
      <c r="I4246" s="15"/>
      <c r="J4246" s="3"/>
      <c r="K4246" s="3"/>
      <c r="L4246" s="3"/>
      <c r="M4246" s="3"/>
      <c r="N4246" s="3"/>
      <c r="O4246" s="3"/>
      <c r="P4246" s="3"/>
      <c r="Q4246" s="3"/>
      <c r="R4246" s="3"/>
      <c r="S4246" s="3"/>
      <c r="T4246" s="3"/>
      <c r="U4246" s="3"/>
      <c r="V4246" s="3"/>
      <c r="W4246" s="3"/>
      <c r="X4246" s="3"/>
      <c r="Y4246" s="3"/>
      <c r="Z4246" s="3"/>
      <c r="AA4246" s="3"/>
    </row>
    <row r="4247" ht="105.75" customHeight="1">
      <c r="A4247" s="11"/>
      <c r="B4247" s="12"/>
      <c r="C4247" s="11"/>
      <c r="D4247" s="13"/>
      <c r="E4247" s="14"/>
      <c r="F4247" s="14"/>
      <c r="G4247" s="14"/>
      <c r="H4247" s="15"/>
      <c r="I4247" s="15"/>
      <c r="J4247" s="3"/>
      <c r="K4247" s="3"/>
      <c r="L4247" s="3"/>
      <c r="M4247" s="3"/>
      <c r="N4247" s="3"/>
      <c r="O4247" s="3"/>
      <c r="P4247" s="3"/>
      <c r="Q4247" s="3"/>
      <c r="R4247" s="3"/>
      <c r="S4247" s="3"/>
      <c r="T4247" s="3"/>
      <c r="U4247" s="3"/>
      <c r="V4247" s="3"/>
      <c r="W4247" s="3"/>
      <c r="X4247" s="3"/>
      <c r="Y4247" s="3"/>
      <c r="Z4247" s="3"/>
      <c r="AA4247" s="3"/>
    </row>
    <row r="4248" ht="105.75" customHeight="1">
      <c r="A4248" s="11"/>
      <c r="B4248" s="12"/>
      <c r="C4248" s="11"/>
      <c r="D4248" s="13"/>
      <c r="E4248" s="14"/>
      <c r="F4248" s="14"/>
      <c r="G4248" s="14"/>
      <c r="H4248" s="15"/>
      <c r="I4248" s="15"/>
      <c r="J4248" s="3"/>
      <c r="K4248" s="3"/>
      <c r="L4248" s="3"/>
      <c r="M4248" s="3"/>
      <c r="N4248" s="3"/>
      <c r="O4248" s="3"/>
      <c r="P4248" s="3"/>
      <c r="Q4248" s="3"/>
      <c r="R4248" s="3"/>
      <c r="S4248" s="3"/>
      <c r="T4248" s="3"/>
      <c r="U4248" s="3"/>
      <c r="V4248" s="3"/>
      <c r="W4248" s="3"/>
      <c r="X4248" s="3"/>
      <c r="Y4248" s="3"/>
      <c r="Z4248" s="3"/>
      <c r="AA4248" s="3"/>
    </row>
    <row r="4249" ht="105.75" customHeight="1">
      <c r="A4249" s="11"/>
      <c r="B4249" s="12"/>
      <c r="C4249" s="11"/>
      <c r="D4249" s="13"/>
      <c r="E4249" s="14"/>
      <c r="F4249" s="14"/>
      <c r="G4249" s="14"/>
      <c r="H4249" s="15"/>
      <c r="I4249" s="15"/>
      <c r="J4249" s="3"/>
      <c r="K4249" s="3"/>
      <c r="L4249" s="3"/>
      <c r="M4249" s="3"/>
      <c r="N4249" s="3"/>
      <c r="O4249" s="3"/>
      <c r="P4249" s="3"/>
      <c r="Q4249" s="3"/>
      <c r="R4249" s="3"/>
      <c r="S4249" s="3"/>
      <c r="T4249" s="3"/>
      <c r="U4249" s="3"/>
      <c r="V4249" s="3"/>
      <c r="W4249" s="3"/>
      <c r="X4249" s="3"/>
      <c r="Y4249" s="3"/>
      <c r="Z4249" s="3"/>
      <c r="AA4249" s="3"/>
    </row>
    <row r="4250" ht="105.75" customHeight="1">
      <c r="A4250" s="11"/>
      <c r="B4250" s="12"/>
      <c r="C4250" s="11"/>
      <c r="D4250" s="13"/>
      <c r="E4250" s="14"/>
      <c r="F4250" s="14"/>
      <c r="G4250" s="14"/>
      <c r="H4250" s="15"/>
      <c r="I4250" s="15"/>
      <c r="J4250" s="3"/>
      <c r="K4250" s="3"/>
      <c r="L4250" s="3"/>
      <c r="M4250" s="3"/>
      <c r="N4250" s="3"/>
      <c r="O4250" s="3"/>
      <c r="P4250" s="3"/>
      <c r="Q4250" s="3"/>
      <c r="R4250" s="3"/>
      <c r="S4250" s="3"/>
      <c r="T4250" s="3"/>
      <c r="U4250" s="3"/>
      <c r="V4250" s="3"/>
      <c r="W4250" s="3"/>
      <c r="X4250" s="3"/>
      <c r="Y4250" s="3"/>
      <c r="Z4250" s="3"/>
      <c r="AA4250" s="3"/>
    </row>
    <row r="4251" ht="105.75" customHeight="1">
      <c r="A4251" s="11"/>
      <c r="B4251" s="12"/>
      <c r="C4251" s="11"/>
      <c r="D4251" s="13"/>
      <c r="E4251" s="14"/>
      <c r="F4251" s="14"/>
      <c r="G4251" s="14"/>
      <c r="H4251" s="15"/>
      <c r="I4251" s="15"/>
      <c r="J4251" s="3"/>
      <c r="K4251" s="3"/>
      <c r="L4251" s="3"/>
      <c r="M4251" s="3"/>
      <c r="N4251" s="3"/>
      <c r="O4251" s="3"/>
      <c r="P4251" s="3"/>
      <c r="Q4251" s="3"/>
      <c r="R4251" s="3"/>
      <c r="S4251" s="3"/>
      <c r="T4251" s="3"/>
      <c r="U4251" s="3"/>
      <c r="V4251" s="3"/>
      <c r="W4251" s="3"/>
      <c r="X4251" s="3"/>
      <c r="Y4251" s="3"/>
      <c r="Z4251" s="3"/>
      <c r="AA4251" s="3"/>
    </row>
    <row r="4252" ht="105.75" customHeight="1">
      <c r="A4252" s="11"/>
      <c r="B4252" s="12"/>
      <c r="C4252" s="11"/>
      <c r="D4252" s="13"/>
      <c r="E4252" s="14"/>
      <c r="F4252" s="14"/>
      <c r="G4252" s="14"/>
      <c r="H4252" s="15"/>
      <c r="I4252" s="15"/>
      <c r="J4252" s="3"/>
      <c r="K4252" s="3"/>
      <c r="L4252" s="3"/>
      <c r="M4252" s="3"/>
      <c r="N4252" s="3"/>
      <c r="O4252" s="3"/>
      <c r="P4252" s="3"/>
      <c r="Q4252" s="3"/>
      <c r="R4252" s="3"/>
      <c r="S4252" s="3"/>
      <c r="T4252" s="3"/>
      <c r="U4252" s="3"/>
      <c r="V4252" s="3"/>
      <c r="W4252" s="3"/>
      <c r="X4252" s="3"/>
      <c r="Y4252" s="3"/>
      <c r="Z4252" s="3"/>
      <c r="AA4252" s="3"/>
    </row>
    <row r="4253" ht="105.75" customHeight="1">
      <c r="A4253" s="11"/>
      <c r="B4253" s="12"/>
      <c r="C4253" s="11"/>
      <c r="D4253" s="13"/>
      <c r="E4253" s="14"/>
      <c r="F4253" s="14"/>
      <c r="G4253" s="14"/>
      <c r="H4253" s="15"/>
      <c r="I4253" s="15"/>
      <c r="J4253" s="3"/>
      <c r="K4253" s="3"/>
      <c r="L4253" s="3"/>
      <c r="M4253" s="3"/>
      <c r="N4253" s="3"/>
      <c r="O4253" s="3"/>
      <c r="P4253" s="3"/>
      <c r="Q4253" s="3"/>
      <c r="R4253" s="3"/>
      <c r="S4253" s="3"/>
      <c r="T4253" s="3"/>
      <c r="U4253" s="3"/>
      <c r="V4253" s="3"/>
      <c r="W4253" s="3"/>
      <c r="X4253" s="3"/>
      <c r="Y4253" s="3"/>
      <c r="Z4253" s="3"/>
      <c r="AA4253" s="3"/>
    </row>
    <row r="4254" ht="105.75" customHeight="1">
      <c r="A4254" s="11"/>
      <c r="B4254" s="12"/>
      <c r="C4254" s="11"/>
      <c r="D4254" s="13"/>
      <c r="E4254" s="14"/>
      <c r="F4254" s="14"/>
      <c r="G4254" s="14"/>
      <c r="H4254" s="15"/>
      <c r="I4254" s="15"/>
      <c r="J4254" s="3"/>
      <c r="K4254" s="3"/>
      <c r="L4254" s="3"/>
      <c r="M4254" s="3"/>
      <c r="N4254" s="3"/>
      <c r="O4254" s="3"/>
      <c r="P4254" s="3"/>
      <c r="Q4254" s="3"/>
      <c r="R4254" s="3"/>
      <c r="S4254" s="3"/>
      <c r="T4254" s="3"/>
      <c r="U4254" s="3"/>
      <c r="V4254" s="3"/>
      <c r="W4254" s="3"/>
      <c r="X4254" s="3"/>
      <c r="Y4254" s="3"/>
      <c r="Z4254" s="3"/>
      <c r="AA4254" s="3"/>
    </row>
    <row r="4255" ht="105.75" customHeight="1">
      <c r="A4255" s="11"/>
      <c r="B4255" s="12"/>
      <c r="C4255" s="11"/>
      <c r="D4255" s="13"/>
      <c r="E4255" s="14"/>
      <c r="F4255" s="14"/>
      <c r="G4255" s="14"/>
      <c r="H4255" s="15"/>
      <c r="I4255" s="15"/>
      <c r="J4255" s="3"/>
      <c r="K4255" s="3"/>
      <c r="L4255" s="3"/>
      <c r="M4255" s="3"/>
      <c r="N4255" s="3"/>
      <c r="O4255" s="3"/>
      <c r="P4255" s="3"/>
      <c r="Q4255" s="3"/>
      <c r="R4255" s="3"/>
      <c r="S4255" s="3"/>
      <c r="T4255" s="3"/>
      <c r="U4255" s="3"/>
      <c r="V4255" s="3"/>
      <c r="W4255" s="3"/>
      <c r="X4255" s="3"/>
      <c r="Y4255" s="3"/>
      <c r="Z4255" s="3"/>
      <c r="AA4255" s="3"/>
    </row>
    <row r="4256" ht="105.75" customHeight="1">
      <c r="A4256" s="11"/>
      <c r="B4256" s="12"/>
      <c r="C4256" s="11"/>
      <c r="D4256" s="13"/>
      <c r="E4256" s="14"/>
      <c r="F4256" s="14"/>
      <c r="G4256" s="14"/>
      <c r="H4256" s="15"/>
      <c r="I4256" s="15"/>
      <c r="J4256" s="3"/>
      <c r="K4256" s="3"/>
      <c r="L4256" s="3"/>
      <c r="M4256" s="3"/>
      <c r="N4256" s="3"/>
      <c r="O4256" s="3"/>
      <c r="P4256" s="3"/>
      <c r="Q4256" s="3"/>
      <c r="R4256" s="3"/>
      <c r="S4256" s="3"/>
      <c r="T4256" s="3"/>
      <c r="U4256" s="3"/>
      <c r="V4256" s="3"/>
      <c r="W4256" s="3"/>
      <c r="X4256" s="3"/>
      <c r="Y4256" s="3"/>
      <c r="Z4256" s="3"/>
      <c r="AA4256" s="3"/>
    </row>
    <row r="4257" ht="105.75" customHeight="1">
      <c r="A4257" s="11"/>
      <c r="B4257" s="12"/>
      <c r="C4257" s="11"/>
      <c r="D4257" s="13"/>
      <c r="E4257" s="14"/>
      <c r="F4257" s="14"/>
      <c r="G4257" s="14"/>
      <c r="H4257" s="15"/>
      <c r="I4257" s="15"/>
      <c r="J4257" s="3"/>
      <c r="K4257" s="3"/>
      <c r="L4257" s="3"/>
      <c r="M4257" s="3"/>
      <c r="N4257" s="3"/>
      <c r="O4257" s="3"/>
      <c r="P4257" s="3"/>
      <c r="Q4257" s="3"/>
      <c r="R4257" s="3"/>
      <c r="S4257" s="3"/>
      <c r="T4257" s="3"/>
      <c r="U4257" s="3"/>
      <c r="V4257" s="3"/>
      <c r="W4257" s="3"/>
      <c r="X4257" s="3"/>
      <c r="Y4257" s="3"/>
      <c r="Z4257" s="3"/>
      <c r="AA4257" s="3"/>
    </row>
    <row r="4258" ht="105.75" customHeight="1">
      <c r="A4258" s="11"/>
      <c r="B4258" s="12"/>
      <c r="C4258" s="11"/>
      <c r="D4258" s="13"/>
      <c r="E4258" s="14"/>
      <c r="F4258" s="14"/>
      <c r="G4258" s="14"/>
      <c r="H4258" s="15"/>
      <c r="I4258" s="15"/>
      <c r="J4258" s="3"/>
      <c r="K4258" s="3"/>
      <c r="L4258" s="3"/>
      <c r="M4258" s="3"/>
      <c r="N4258" s="3"/>
      <c r="O4258" s="3"/>
      <c r="P4258" s="3"/>
      <c r="Q4258" s="3"/>
      <c r="R4258" s="3"/>
      <c r="S4258" s="3"/>
      <c r="T4258" s="3"/>
      <c r="U4258" s="3"/>
      <c r="V4258" s="3"/>
      <c r="W4258" s="3"/>
      <c r="X4258" s="3"/>
      <c r="Y4258" s="3"/>
      <c r="Z4258" s="3"/>
      <c r="AA4258" s="3"/>
    </row>
    <row r="4259" ht="105.75" customHeight="1">
      <c r="A4259" s="11"/>
      <c r="B4259" s="12"/>
      <c r="C4259" s="11"/>
      <c r="D4259" s="13"/>
      <c r="E4259" s="14"/>
      <c r="F4259" s="14"/>
      <c r="G4259" s="14"/>
      <c r="H4259" s="15"/>
      <c r="I4259" s="15"/>
      <c r="J4259" s="3"/>
      <c r="K4259" s="3"/>
      <c r="L4259" s="3"/>
      <c r="M4259" s="3"/>
      <c r="N4259" s="3"/>
      <c r="O4259" s="3"/>
      <c r="P4259" s="3"/>
      <c r="Q4259" s="3"/>
      <c r="R4259" s="3"/>
      <c r="S4259" s="3"/>
      <c r="T4259" s="3"/>
      <c r="U4259" s="3"/>
      <c r="V4259" s="3"/>
      <c r="W4259" s="3"/>
      <c r="X4259" s="3"/>
      <c r="Y4259" s="3"/>
      <c r="Z4259" s="3"/>
      <c r="AA4259" s="3"/>
    </row>
    <row r="4260" ht="105.75" customHeight="1">
      <c r="A4260" s="11"/>
      <c r="B4260" s="12"/>
      <c r="C4260" s="11"/>
      <c r="D4260" s="13"/>
      <c r="E4260" s="14"/>
      <c r="F4260" s="14"/>
      <c r="G4260" s="14"/>
      <c r="H4260" s="15"/>
      <c r="I4260" s="15"/>
      <c r="J4260" s="3"/>
      <c r="K4260" s="3"/>
      <c r="L4260" s="3"/>
      <c r="M4260" s="3"/>
      <c r="N4260" s="3"/>
      <c r="O4260" s="3"/>
      <c r="P4260" s="3"/>
      <c r="Q4260" s="3"/>
      <c r="R4260" s="3"/>
      <c r="S4260" s="3"/>
      <c r="T4260" s="3"/>
      <c r="U4260" s="3"/>
      <c r="V4260" s="3"/>
      <c r="W4260" s="3"/>
      <c r="X4260" s="3"/>
      <c r="Y4260" s="3"/>
      <c r="Z4260" s="3"/>
      <c r="AA4260" s="3"/>
    </row>
    <row r="4261" ht="105.75" customHeight="1">
      <c r="A4261" s="11"/>
      <c r="B4261" s="12"/>
      <c r="C4261" s="11"/>
      <c r="D4261" s="13"/>
      <c r="E4261" s="14"/>
      <c r="F4261" s="14"/>
      <c r="G4261" s="14"/>
      <c r="H4261" s="15"/>
      <c r="I4261" s="15"/>
      <c r="J4261" s="3"/>
      <c r="K4261" s="3"/>
      <c r="L4261" s="3"/>
      <c r="M4261" s="3"/>
      <c r="N4261" s="3"/>
      <c r="O4261" s="3"/>
      <c r="P4261" s="3"/>
      <c r="Q4261" s="3"/>
      <c r="R4261" s="3"/>
      <c r="S4261" s="3"/>
      <c r="T4261" s="3"/>
      <c r="U4261" s="3"/>
      <c r="V4261" s="3"/>
      <c r="W4261" s="3"/>
      <c r="X4261" s="3"/>
      <c r="Y4261" s="3"/>
      <c r="Z4261" s="3"/>
      <c r="AA4261" s="3"/>
    </row>
    <row r="4262" ht="105.75" customHeight="1">
      <c r="A4262" s="11"/>
      <c r="B4262" s="12"/>
      <c r="C4262" s="11"/>
      <c r="D4262" s="13"/>
      <c r="E4262" s="14"/>
      <c r="F4262" s="14"/>
      <c r="G4262" s="14"/>
      <c r="H4262" s="15"/>
      <c r="I4262" s="15"/>
      <c r="J4262" s="3"/>
      <c r="K4262" s="3"/>
      <c r="L4262" s="3"/>
      <c r="M4262" s="3"/>
      <c r="N4262" s="3"/>
      <c r="O4262" s="3"/>
      <c r="P4262" s="3"/>
      <c r="Q4262" s="3"/>
      <c r="R4262" s="3"/>
      <c r="S4262" s="3"/>
      <c r="T4262" s="3"/>
      <c r="U4262" s="3"/>
      <c r="V4262" s="3"/>
      <c r="W4262" s="3"/>
      <c r="X4262" s="3"/>
      <c r="Y4262" s="3"/>
      <c r="Z4262" s="3"/>
      <c r="AA4262" s="3"/>
    </row>
    <row r="4263" ht="105.75" customHeight="1">
      <c r="A4263" s="11"/>
      <c r="B4263" s="12"/>
      <c r="C4263" s="11"/>
      <c r="D4263" s="13"/>
      <c r="E4263" s="14"/>
      <c r="F4263" s="14"/>
      <c r="G4263" s="14"/>
      <c r="H4263" s="15"/>
      <c r="I4263" s="15"/>
      <c r="J4263" s="3"/>
      <c r="K4263" s="3"/>
      <c r="L4263" s="3"/>
      <c r="M4263" s="3"/>
      <c r="N4263" s="3"/>
      <c r="O4263" s="3"/>
      <c r="P4263" s="3"/>
      <c r="Q4263" s="3"/>
      <c r="R4263" s="3"/>
      <c r="S4263" s="3"/>
      <c r="T4263" s="3"/>
      <c r="U4263" s="3"/>
      <c r="V4263" s="3"/>
      <c r="W4263" s="3"/>
      <c r="X4263" s="3"/>
      <c r="Y4263" s="3"/>
      <c r="Z4263" s="3"/>
      <c r="AA4263" s="3"/>
    </row>
    <row r="4264" ht="105.75" customHeight="1">
      <c r="A4264" s="11"/>
      <c r="B4264" s="12"/>
      <c r="C4264" s="11"/>
      <c r="D4264" s="13"/>
      <c r="E4264" s="14"/>
      <c r="F4264" s="14"/>
      <c r="G4264" s="14"/>
      <c r="H4264" s="15"/>
      <c r="I4264" s="15"/>
      <c r="J4264" s="3"/>
      <c r="K4264" s="3"/>
      <c r="L4264" s="3"/>
      <c r="M4264" s="3"/>
      <c r="N4264" s="3"/>
      <c r="O4264" s="3"/>
      <c r="P4264" s="3"/>
      <c r="Q4264" s="3"/>
      <c r="R4264" s="3"/>
      <c r="S4264" s="3"/>
      <c r="T4264" s="3"/>
      <c r="U4264" s="3"/>
      <c r="V4264" s="3"/>
      <c r="W4264" s="3"/>
      <c r="X4264" s="3"/>
      <c r="Y4264" s="3"/>
      <c r="Z4264" s="3"/>
      <c r="AA4264" s="3"/>
    </row>
    <row r="4265" ht="105.75" customHeight="1">
      <c r="A4265" s="11"/>
      <c r="B4265" s="12"/>
      <c r="C4265" s="11"/>
      <c r="D4265" s="13"/>
      <c r="E4265" s="14"/>
      <c r="F4265" s="14"/>
      <c r="G4265" s="14"/>
      <c r="H4265" s="15"/>
      <c r="I4265" s="15"/>
      <c r="J4265" s="3"/>
      <c r="K4265" s="3"/>
      <c r="L4265" s="3"/>
      <c r="M4265" s="3"/>
      <c r="N4265" s="3"/>
      <c r="O4265" s="3"/>
      <c r="P4265" s="3"/>
      <c r="Q4265" s="3"/>
      <c r="R4265" s="3"/>
      <c r="S4265" s="3"/>
      <c r="T4265" s="3"/>
      <c r="U4265" s="3"/>
      <c r="V4265" s="3"/>
      <c r="W4265" s="3"/>
      <c r="X4265" s="3"/>
      <c r="Y4265" s="3"/>
      <c r="Z4265" s="3"/>
      <c r="AA4265" s="3"/>
    </row>
    <row r="4266" ht="105.75" customHeight="1">
      <c r="A4266" s="11"/>
      <c r="B4266" s="12"/>
      <c r="C4266" s="11"/>
      <c r="D4266" s="13"/>
      <c r="E4266" s="14"/>
      <c r="F4266" s="14"/>
      <c r="G4266" s="14"/>
      <c r="H4266" s="15"/>
      <c r="I4266" s="15"/>
      <c r="J4266" s="3"/>
      <c r="K4266" s="3"/>
      <c r="L4266" s="3"/>
      <c r="M4266" s="3"/>
      <c r="N4266" s="3"/>
      <c r="O4266" s="3"/>
      <c r="P4266" s="3"/>
      <c r="Q4266" s="3"/>
      <c r="R4266" s="3"/>
      <c r="S4266" s="3"/>
      <c r="T4266" s="3"/>
      <c r="U4266" s="3"/>
      <c r="V4266" s="3"/>
      <c r="W4266" s="3"/>
      <c r="X4266" s="3"/>
      <c r="Y4266" s="3"/>
      <c r="Z4266" s="3"/>
      <c r="AA4266" s="3"/>
    </row>
    <row r="4267" ht="105.75" customHeight="1">
      <c r="A4267" s="11"/>
      <c r="B4267" s="12"/>
      <c r="C4267" s="11"/>
      <c r="D4267" s="13"/>
      <c r="E4267" s="14"/>
      <c r="F4267" s="14"/>
      <c r="G4267" s="14"/>
      <c r="H4267" s="15"/>
      <c r="I4267" s="15"/>
      <c r="J4267" s="3"/>
      <c r="K4267" s="3"/>
      <c r="L4267" s="3"/>
      <c r="M4267" s="3"/>
      <c r="N4267" s="3"/>
      <c r="O4267" s="3"/>
      <c r="P4267" s="3"/>
      <c r="Q4267" s="3"/>
      <c r="R4267" s="3"/>
      <c r="S4267" s="3"/>
      <c r="T4267" s="3"/>
      <c r="U4267" s="3"/>
      <c r="V4267" s="3"/>
      <c r="W4267" s="3"/>
      <c r="X4267" s="3"/>
      <c r="Y4267" s="3"/>
      <c r="Z4267" s="3"/>
      <c r="AA4267" s="3"/>
    </row>
    <row r="4268" ht="105.75" customHeight="1">
      <c r="A4268" s="11"/>
      <c r="B4268" s="12"/>
      <c r="C4268" s="11"/>
      <c r="D4268" s="13"/>
      <c r="E4268" s="14"/>
      <c r="F4268" s="14"/>
      <c r="G4268" s="14"/>
      <c r="H4268" s="15"/>
      <c r="I4268" s="15"/>
      <c r="J4268" s="3"/>
      <c r="K4268" s="3"/>
      <c r="L4268" s="3"/>
      <c r="M4268" s="3"/>
      <c r="N4268" s="3"/>
      <c r="O4268" s="3"/>
      <c r="P4268" s="3"/>
      <c r="Q4268" s="3"/>
      <c r="R4268" s="3"/>
      <c r="S4268" s="3"/>
      <c r="T4268" s="3"/>
      <c r="U4268" s="3"/>
      <c r="V4268" s="3"/>
      <c r="W4268" s="3"/>
      <c r="X4268" s="3"/>
      <c r="Y4268" s="3"/>
      <c r="Z4268" s="3"/>
      <c r="AA4268" s="3"/>
    </row>
    <row r="4269" ht="105.75" customHeight="1">
      <c r="A4269" s="11"/>
      <c r="B4269" s="12"/>
      <c r="C4269" s="11"/>
      <c r="D4269" s="13"/>
      <c r="E4269" s="14"/>
      <c r="F4269" s="14"/>
      <c r="G4269" s="14"/>
      <c r="H4269" s="15"/>
      <c r="I4269" s="15"/>
      <c r="J4269" s="3"/>
      <c r="K4269" s="3"/>
      <c r="L4269" s="3"/>
      <c r="M4269" s="3"/>
      <c r="N4269" s="3"/>
      <c r="O4269" s="3"/>
      <c r="P4269" s="3"/>
      <c r="Q4269" s="3"/>
      <c r="R4269" s="3"/>
      <c r="S4269" s="3"/>
      <c r="T4269" s="3"/>
      <c r="U4269" s="3"/>
      <c r="V4269" s="3"/>
      <c r="W4269" s="3"/>
      <c r="X4269" s="3"/>
      <c r="Y4269" s="3"/>
      <c r="Z4269" s="3"/>
      <c r="AA4269" s="3"/>
    </row>
    <row r="4270" ht="105.75" customHeight="1">
      <c r="A4270" s="11"/>
      <c r="B4270" s="12"/>
      <c r="C4270" s="11"/>
      <c r="D4270" s="13"/>
      <c r="E4270" s="14"/>
      <c r="F4270" s="14"/>
      <c r="G4270" s="14"/>
      <c r="H4270" s="15"/>
      <c r="I4270" s="15"/>
      <c r="J4270" s="3"/>
      <c r="K4270" s="3"/>
      <c r="L4270" s="3"/>
      <c r="M4270" s="3"/>
      <c r="N4270" s="3"/>
      <c r="O4270" s="3"/>
      <c r="P4270" s="3"/>
      <c r="Q4270" s="3"/>
      <c r="R4270" s="3"/>
      <c r="S4270" s="3"/>
      <c r="T4270" s="3"/>
      <c r="U4270" s="3"/>
      <c r="V4270" s="3"/>
      <c r="W4270" s="3"/>
      <c r="X4270" s="3"/>
      <c r="Y4270" s="3"/>
      <c r="Z4270" s="3"/>
      <c r="AA4270" s="3"/>
    </row>
    <row r="4271" ht="105.75" customHeight="1">
      <c r="A4271" s="11"/>
      <c r="B4271" s="12"/>
      <c r="C4271" s="11"/>
      <c r="D4271" s="13"/>
      <c r="E4271" s="14"/>
      <c r="F4271" s="14"/>
      <c r="G4271" s="14"/>
      <c r="H4271" s="15"/>
      <c r="I4271" s="15"/>
      <c r="J4271" s="3"/>
      <c r="K4271" s="3"/>
      <c r="L4271" s="3"/>
      <c r="M4271" s="3"/>
      <c r="N4271" s="3"/>
      <c r="O4271" s="3"/>
      <c r="P4271" s="3"/>
      <c r="Q4271" s="3"/>
      <c r="R4271" s="3"/>
      <c r="S4271" s="3"/>
      <c r="T4271" s="3"/>
      <c r="U4271" s="3"/>
      <c r="V4271" s="3"/>
      <c r="W4271" s="3"/>
      <c r="X4271" s="3"/>
      <c r="Y4271" s="3"/>
      <c r="Z4271" s="3"/>
      <c r="AA4271" s="3"/>
    </row>
    <row r="4272" ht="105.75" customHeight="1">
      <c r="A4272" s="11"/>
      <c r="B4272" s="12"/>
      <c r="C4272" s="11"/>
      <c r="D4272" s="13"/>
      <c r="E4272" s="14"/>
      <c r="F4272" s="14"/>
      <c r="G4272" s="14"/>
      <c r="H4272" s="15"/>
      <c r="I4272" s="15"/>
      <c r="J4272" s="3"/>
      <c r="K4272" s="3"/>
      <c r="L4272" s="3"/>
      <c r="M4272" s="3"/>
      <c r="N4272" s="3"/>
      <c r="O4272" s="3"/>
      <c r="P4272" s="3"/>
      <c r="Q4272" s="3"/>
      <c r="R4272" s="3"/>
      <c r="S4272" s="3"/>
      <c r="T4272" s="3"/>
      <c r="U4272" s="3"/>
      <c r="V4272" s="3"/>
      <c r="W4272" s="3"/>
      <c r="X4272" s="3"/>
      <c r="Y4272" s="3"/>
      <c r="Z4272" s="3"/>
      <c r="AA4272" s="3"/>
    </row>
    <row r="4273" ht="105.75" customHeight="1">
      <c r="A4273" s="11"/>
      <c r="B4273" s="12"/>
      <c r="C4273" s="11"/>
      <c r="D4273" s="13"/>
      <c r="E4273" s="14"/>
      <c r="F4273" s="14"/>
      <c r="G4273" s="14"/>
      <c r="H4273" s="15"/>
      <c r="I4273" s="15"/>
      <c r="J4273" s="3"/>
      <c r="K4273" s="3"/>
      <c r="L4273" s="3"/>
      <c r="M4273" s="3"/>
      <c r="N4273" s="3"/>
      <c r="O4273" s="3"/>
      <c r="P4273" s="3"/>
      <c r="Q4273" s="3"/>
      <c r="R4273" s="3"/>
      <c r="S4273" s="3"/>
      <c r="T4273" s="3"/>
      <c r="U4273" s="3"/>
      <c r="V4273" s="3"/>
      <c r="W4273" s="3"/>
      <c r="X4273" s="3"/>
      <c r="Y4273" s="3"/>
      <c r="Z4273" s="3"/>
      <c r="AA4273" s="3"/>
    </row>
    <row r="4274" ht="105.75" customHeight="1">
      <c r="A4274" s="11"/>
      <c r="B4274" s="12"/>
      <c r="C4274" s="11"/>
      <c r="D4274" s="13"/>
      <c r="E4274" s="14"/>
      <c r="F4274" s="14"/>
      <c r="G4274" s="14"/>
      <c r="H4274" s="15"/>
      <c r="I4274" s="15"/>
      <c r="J4274" s="3"/>
      <c r="K4274" s="3"/>
      <c r="L4274" s="3"/>
      <c r="M4274" s="3"/>
      <c r="N4274" s="3"/>
      <c r="O4274" s="3"/>
      <c r="P4274" s="3"/>
      <c r="Q4274" s="3"/>
      <c r="R4274" s="3"/>
      <c r="S4274" s="3"/>
      <c r="T4274" s="3"/>
      <c r="U4274" s="3"/>
      <c r="V4274" s="3"/>
      <c r="W4274" s="3"/>
      <c r="X4274" s="3"/>
      <c r="Y4274" s="3"/>
      <c r="Z4274" s="3"/>
      <c r="AA4274" s="3"/>
    </row>
    <row r="4275" ht="105.75" customHeight="1">
      <c r="A4275" s="11"/>
      <c r="B4275" s="12"/>
      <c r="C4275" s="11"/>
      <c r="D4275" s="13"/>
      <c r="E4275" s="14"/>
      <c r="F4275" s="14"/>
      <c r="G4275" s="14"/>
      <c r="H4275" s="15"/>
      <c r="I4275" s="15"/>
      <c r="J4275" s="3"/>
      <c r="K4275" s="3"/>
      <c r="L4275" s="3"/>
      <c r="M4275" s="3"/>
      <c r="N4275" s="3"/>
      <c r="O4275" s="3"/>
      <c r="P4275" s="3"/>
      <c r="Q4275" s="3"/>
      <c r="R4275" s="3"/>
      <c r="S4275" s="3"/>
      <c r="T4275" s="3"/>
      <c r="U4275" s="3"/>
      <c r="V4275" s="3"/>
      <c r="W4275" s="3"/>
      <c r="X4275" s="3"/>
      <c r="Y4275" s="3"/>
      <c r="Z4275" s="3"/>
      <c r="AA4275" s="3"/>
    </row>
    <row r="4276" ht="105.75" customHeight="1">
      <c r="A4276" s="11"/>
      <c r="B4276" s="12"/>
      <c r="C4276" s="11"/>
      <c r="D4276" s="13"/>
      <c r="E4276" s="14"/>
      <c r="F4276" s="14"/>
      <c r="G4276" s="14"/>
      <c r="H4276" s="15"/>
      <c r="I4276" s="15"/>
      <c r="J4276" s="3"/>
      <c r="K4276" s="3"/>
      <c r="L4276" s="3"/>
      <c r="M4276" s="3"/>
      <c r="N4276" s="3"/>
      <c r="O4276" s="3"/>
      <c r="P4276" s="3"/>
      <c r="Q4276" s="3"/>
      <c r="R4276" s="3"/>
      <c r="S4276" s="3"/>
      <c r="T4276" s="3"/>
      <c r="U4276" s="3"/>
      <c r="V4276" s="3"/>
      <c r="W4276" s="3"/>
      <c r="X4276" s="3"/>
      <c r="Y4276" s="3"/>
      <c r="Z4276" s="3"/>
      <c r="AA4276" s="3"/>
    </row>
    <row r="4277" ht="105.75" customHeight="1">
      <c r="A4277" s="11"/>
      <c r="B4277" s="12"/>
      <c r="C4277" s="11"/>
      <c r="D4277" s="13"/>
      <c r="E4277" s="14"/>
      <c r="F4277" s="14"/>
      <c r="G4277" s="14"/>
      <c r="H4277" s="15"/>
      <c r="I4277" s="15"/>
      <c r="J4277" s="3"/>
      <c r="K4277" s="3"/>
      <c r="L4277" s="3"/>
      <c r="M4277" s="3"/>
      <c r="N4277" s="3"/>
      <c r="O4277" s="3"/>
      <c r="P4277" s="3"/>
      <c r="Q4277" s="3"/>
      <c r="R4277" s="3"/>
      <c r="S4277" s="3"/>
      <c r="T4277" s="3"/>
      <c r="U4277" s="3"/>
      <c r="V4277" s="3"/>
      <c r="W4277" s="3"/>
      <c r="X4277" s="3"/>
      <c r="Y4277" s="3"/>
      <c r="Z4277" s="3"/>
      <c r="AA4277" s="3"/>
    </row>
    <row r="4278" ht="105.75" customHeight="1">
      <c r="A4278" s="11"/>
      <c r="B4278" s="12"/>
      <c r="C4278" s="11"/>
      <c r="D4278" s="13"/>
      <c r="E4278" s="14"/>
      <c r="F4278" s="14"/>
      <c r="G4278" s="14"/>
      <c r="H4278" s="15"/>
      <c r="I4278" s="15"/>
      <c r="J4278" s="3"/>
      <c r="K4278" s="3"/>
      <c r="L4278" s="3"/>
      <c r="M4278" s="3"/>
      <c r="N4278" s="3"/>
      <c r="O4278" s="3"/>
      <c r="P4278" s="3"/>
      <c r="Q4278" s="3"/>
      <c r="R4278" s="3"/>
      <c r="S4278" s="3"/>
      <c r="T4278" s="3"/>
      <c r="U4278" s="3"/>
      <c r="V4278" s="3"/>
      <c r="W4278" s="3"/>
      <c r="X4278" s="3"/>
      <c r="Y4278" s="3"/>
      <c r="Z4278" s="3"/>
      <c r="AA4278" s="3"/>
    </row>
    <row r="4279" ht="105.75" customHeight="1">
      <c r="A4279" s="11"/>
      <c r="B4279" s="12"/>
      <c r="C4279" s="11"/>
      <c r="D4279" s="13"/>
      <c r="E4279" s="14"/>
      <c r="F4279" s="14"/>
      <c r="G4279" s="14"/>
      <c r="H4279" s="15"/>
      <c r="I4279" s="15"/>
      <c r="J4279" s="3"/>
      <c r="K4279" s="3"/>
      <c r="L4279" s="3"/>
      <c r="M4279" s="3"/>
      <c r="N4279" s="3"/>
      <c r="O4279" s="3"/>
      <c r="P4279" s="3"/>
      <c r="Q4279" s="3"/>
      <c r="R4279" s="3"/>
      <c r="S4279" s="3"/>
      <c r="T4279" s="3"/>
      <c r="U4279" s="3"/>
      <c r="V4279" s="3"/>
      <c r="W4279" s="3"/>
      <c r="X4279" s="3"/>
      <c r="Y4279" s="3"/>
      <c r="Z4279" s="3"/>
      <c r="AA4279" s="3"/>
    </row>
    <row r="4280" ht="105.75" customHeight="1">
      <c r="A4280" s="11"/>
      <c r="B4280" s="12"/>
      <c r="C4280" s="11"/>
      <c r="D4280" s="13"/>
      <c r="E4280" s="14"/>
      <c r="F4280" s="14"/>
      <c r="G4280" s="14"/>
      <c r="H4280" s="15"/>
      <c r="I4280" s="15"/>
      <c r="J4280" s="3"/>
      <c r="K4280" s="3"/>
      <c r="L4280" s="3"/>
      <c r="M4280" s="3"/>
      <c r="N4280" s="3"/>
      <c r="O4280" s="3"/>
      <c r="P4280" s="3"/>
      <c r="Q4280" s="3"/>
      <c r="R4280" s="3"/>
      <c r="S4280" s="3"/>
      <c r="T4280" s="3"/>
      <c r="U4280" s="3"/>
      <c r="V4280" s="3"/>
      <c r="W4280" s="3"/>
      <c r="X4280" s="3"/>
      <c r="Y4280" s="3"/>
      <c r="Z4280" s="3"/>
      <c r="AA4280" s="3"/>
    </row>
    <row r="4281" ht="105.75" customHeight="1">
      <c r="A4281" s="11"/>
      <c r="B4281" s="12"/>
      <c r="C4281" s="11"/>
      <c r="D4281" s="13"/>
      <c r="E4281" s="14"/>
      <c r="F4281" s="14"/>
      <c r="G4281" s="14"/>
      <c r="H4281" s="15"/>
      <c r="I4281" s="15"/>
      <c r="J4281" s="3"/>
      <c r="K4281" s="3"/>
      <c r="L4281" s="3"/>
      <c r="M4281" s="3"/>
      <c r="N4281" s="3"/>
      <c r="O4281" s="3"/>
      <c r="P4281" s="3"/>
      <c r="Q4281" s="3"/>
      <c r="R4281" s="3"/>
      <c r="S4281" s="3"/>
      <c r="T4281" s="3"/>
      <c r="U4281" s="3"/>
      <c r="V4281" s="3"/>
      <c r="W4281" s="3"/>
      <c r="X4281" s="3"/>
      <c r="Y4281" s="3"/>
      <c r="Z4281" s="3"/>
      <c r="AA4281" s="3"/>
    </row>
    <row r="4282" ht="105.75" customHeight="1">
      <c r="A4282" s="11"/>
      <c r="B4282" s="12"/>
      <c r="C4282" s="11"/>
      <c r="D4282" s="13"/>
      <c r="E4282" s="14"/>
      <c r="F4282" s="14"/>
      <c r="G4282" s="14"/>
      <c r="H4282" s="15"/>
      <c r="I4282" s="15"/>
      <c r="J4282" s="3"/>
      <c r="K4282" s="3"/>
      <c r="L4282" s="3"/>
      <c r="M4282" s="3"/>
      <c r="N4282" s="3"/>
      <c r="O4282" s="3"/>
      <c r="P4282" s="3"/>
      <c r="Q4282" s="3"/>
      <c r="R4282" s="3"/>
      <c r="S4282" s="3"/>
      <c r="T4282" s="3"/>
      <c r="U4282" s="3"/>
      <c r="V4282" s="3"/>
      <c r="W4282" s="3"/>
      <c r="X4282" s="3"/>
      <c r="Y4282" s="3"/>
      <c r="Z4282" s="3"/>
      <c r="AA4282" s="3"/>
    </row>
    <row r="4283" ht="105.75" customHeight="1">
      <c r="A4283" s="11"/>
      <c r="B4283" s="12"/>
      <c r="C4283" s="11"/>
      <c r="D4283" s="13"/>
      <c r="E4283" s="14"/>
      <c r="F4283" s="14"/>
      <c r="G4283" s="14"/>
      <c r="H4283" s="15"/>
      <c r="I4283" s="15"/>
      <c r="J4283" s="3"/>
      <c r="K4283" s="3"/>
      <c r="L4283" s="3"/>
      <c r="M4283" s="3"/>
      <c r="N4283" s="3"/>
      <c r="O4283" s="3"/>
      <c r="P4283" s="3"/>
      <c r="Q4283" s="3"/>
      <c r="R4283" s="3"/>
      <c r="S4283" s="3"/>
      <c r="T4283" s="3"/>
      <c r="U4283" s="3"/>
      <c r="V4283" s="3"/>
      <c r="W4283" s="3"/>
      <c r="X4283" s="3"/>
      <c r="Y4283" s="3"/>
      <c r="Z4283" s="3"/>
      <c r="AA4283" s="3"/>
    </row>
    <row r="4284" ht="105.75" customHeight="1">
      <c r="A4284" s="11"/>
      <c r="B4284" s="12"/>
      <c r="C4284" s="11"/>
      <c r="D4284" s="13"/>
      <c r="E4284" s="14"/>
      <c r="F4284" s="14"/>
      <c r="G4284" s="14"/>
      <c r="H4284" s="15"/>
      <c r="I4284" s="15"/>
      <c r="J4284" s="3"/>
      <c r="K4284" s="3"/>
      <c r="L4284" s="3"/>
      <c r="M4284" s="3"/>
      <c r="N4284" s="3"/>
      <c r="O4284" s="3"/>
      <c r="P4284" s="3"/>
      <c r="Q4284" s="3"/>
      <c r="R4284" s="3"/>
      <c r="S4284" s="3"/>
      <c r="T4284" s="3"/>
      <c r="U4284" s="3"/>
      <c r="V4284" s="3"/>
      <c r="W4284" s="3"/>
      <c r="X4284" s="3"/>
      <c r="Y4284" s="3"/>
      <c r="Z4284" s="3"/>
      <c r="AA4284" s="3"/>
    </row>
    <row r="4285" ht="105.75" customHeight="1">
      <c r="A4285" s="11"/>
      <c r="B4285" s="12"/>
      <c r="C4285" s="11"/>
      <c r="D4285" s="13"/>
      <c r="E4285" s="14"/>
      <c r="F4285" s="14"/>
      <c r="G4285" s="14"/>
      <c r="H4285" s="15"/>
      <c r="I4285" s="15"/>
      <c r="J4285" s="3"/>
      <c r="K4285" s="3"/>
      <c r="L4285" s="3"/>
      <c r="M4285" s="3"/>
      <c r="N4285" s="3"/>
      <c r="O4285" s="3"/>
      <c r="P4285" s="3"/>
      <c r="Q4285" s="3"/>
      <c r="R4285" s="3"/>
      <c r="S4285" s="3"/>
      <c r="T4285" s="3"/>
      <c r="U4285" s="3"/>
      <c r="V4285" s="3"/>
      <c r="W4285" s="3"/>
      <c r="X4285" s="3"/>
      <c r="Y4285" s="3"/>
      <c r="Z4285" s="3"/>
      <c r="AA4285" s="3"/>
    </row>
    <row r="4286" ht="105.75" customHeight="1">
      <c r="A4286" s="11"/>
      <c r="B4286" s="12"/>
      <c r="C4286" s="11"/>
      <c r="D4286" s="13"/>
      <c r="E4286" s="14"/>
      <c r="F4286" s="14"/>
      <c r="G4286" s="14"/>
      <c r="H4286" s="15"/>
      <c r="I4286" s="15"/>
      <c r="J4286" s="3"/>
      <c r="K4286" s="3"/>
      <c r="L4286" s="3"/>
      <c r="M4286" s="3"/>
      <c r="N4286" s="3"/>
      <c r="O4286" s="3"/>
      <c r="P4286" s="3"/>
      <c r="Q4286" s="3"/>
      <c r="R4286" s="3"/>
      <c r="S4286" s="3"/>
      <c r="T4286" s="3"/>
      <c r="U4286" s="3"/>
      <c r="V4286" s="3"/>
      <c r="W4286" s="3"/>
      <c r="X4286" s="3"/>
      <c r="Y4286" s="3"/>
      <c r="Z4286" s="3"/>
      <c r="AA4286" s="3"/>
    </row>
    <row r="4287" ht="105.75" customHeight="1">
      <c r="A4287" s="11"/>
      <c r="B4287" s="12"/>
      <c r="C4287" s="11"/>
      <c r="D4287" s="13"/>
      <c r="E4287" s="14"/>
      <c r="F4287" s="14"/>
      <c r="G4287" s="14"/>
      <c r="H4287" s="15"/>
      <c r="I4287" s="15"/>
      <c r="J4287" s="3"/>
      <c r="K4287" s="3"/>
      <c r="L4287" s="3"/>
      <c r="M4287" s="3"/>
      <c r="N4287" s="3"/>
      <c r="O4287" s="3"/>
      <c r="P4287" s="3"/>
      <c r="Q4287" s="3"/>
      <c r="R4287" s="3"/>
      <c r="S4287" s="3"/>
      <c r="T4287" s="3"/>
      <c r="U4287" s="3"/>
      <c r="V4287" s="3"/>
      <c r="W4287" s="3"/>
      <c r="X4287" s="3"/>
      <c r="Y4287" s="3"/>
      <c r="Z4287" s="3"/>
      <c r="AA4287" s="3"/>
    </row>
    <row r="4288" ht="105.75" customHeight="1">
      <c r="A4288" s="11"/>
      <c r="B4288" s="12"/>
      <c r="C4288" s="11"/>
      <c r="D4288" s="13"/>
      <c r="E4288" s="14"/>
      <c r="F4288" s="14"/>
      <c r="G4288" s="14"/>
      <c r="H4288" s="15"/>
      <c r="I4288" s="15"/>
      <c r="J4288" s="3"/>
      <c r="K4288" s="3"/>
      <c r="L4288" s="3"/>
      <c r="M4288" s="3"/>
      <c r="N4288" s="3"/>
      <c r="O4288" s="3"/>
      <c r="P4288" s="3"/>
      <c r="Q4288" s="3"/>
      <c r="R4288" s="3"/>
      <c r="S4288" s="3"/>
      <c r="T4288" s="3"/>
      <c r="U4288" s="3"/>
      <c r="V4288" s="3"/>
      <c r="W4288" s="3"/>
      <c r="X4288" s="3"/>
      <c r="Y4288" s="3"/>
      <c r="Z4288" s="3"/>
      <c r="AA4288" s="3"/>
    </row>
    <row r="4289" ht="105.75" customHeight="1">
      <c r="A4289" s="11"/>
      <c r="B4289" s="12"/>
      <c r="C4289" s="11"/>
      <c r="D4289" s="13"/>
      <c r="E4289" s="14"/>
      <c r="F4289" s="14"/>
      <c r="G4289" s="14"/>
      <c r="H4289" s="15"/>
      <c r="I4289" s="15"/>
      <c r="J4289" s="3"/>
      <c r="K4289" s="3"/>
      <c r="L4289" s="3"/>
      <c r="M4289" s="3"/>
      <c r="N4289" s="3"/>
      <c r="O4289" s="3"/>
      <c r="P4289" s="3"/>
      <c r="Q4289" s="3"/>
      <c r="R4289" s="3"/>
      <c r="S4289" s="3"/>
      <c r="T4289" s="3"/>
      <c r="U4289" s="3"/>
      <c r="V4289" s="3"/>
      <c r="W4289" s="3"/>
      <c r="X4289" s="3"/>
      <c r="Y4289" s="3"/>
      <c r="Z4289" s="3"/>
      <c r="AA4289" s="3"/>
    </row>
    <row r="4290" ht="105.75" customHeight="1">
      <c r="A4290" s="11"/>
      <c r="B4290" s="12"/>
      <c r="C4290" s="11"/>
      <c r="D4290" s="13"/>
      <c r="E4290" s="14"/>
      <c r="F4290" s="14"/>
      <c r="G4290" s="14"/>
      <c r="H4290" s="15"/>
      <c r="I4290" s="15"/>
      <c r="J4290" s="3"/>
      <c r="K4290" s="3"/>
      <c r="L4290" s="3"/>
      <c r="M4290" s="3"/>
      <c r="N4290" s="3"/>
      <c r="O4290" s="3"/>
      <c r="P4290" s="3"/>
      <c r="Q4290" s="3"/>
      <c r="R4290" s="3"/>
      <c r="S4290" s="3"/>
      <c r="T4290" s="3"/>
      <c r="U4290" s="3"/>
      <c r="V4290" s="3"/>
      <c r="W4290" s="3"/>
      <c r="X4290" s="3"/>
      <c r="Y4290" s="3"/>
      <c r="Z4290" s="3"/>
      <c r="AA4290" s="3"/>
    </row>
    <row r="4291" ht="105.75" customHeight="1">
      <c r="A4291" s="11"/>
      <c r="B4291" s="12"/>
      <c r="C4291" s="11"/>
      <c r="D4291" s="13"/>
      <c r="E4291" s="14"/>
      <c r="F4291" s="14"/>
      <c r="G4291" s="14"/>
      <c r="H4291" s="15"/>
      <c r="I4291" s="15"/>
      <c r="J4291" s="3"/>
      <c r="K4291" s="3"/>
      <c r="L4291" s="3"/>
      <c r="M4291" s="3"/>
      <c r="N4291" s="3"/>
      <c r="O4291" s="3"/>
      <c r="P4291" s="3"/>
      <c r="Q4291" s="3"/>
      <c r="R4291" s="3"/>
      <c r="S4291" s="3"/>
      <c r="T4291" s="3"/>
      <c r="U4291" s="3"/>
      <c r="V4291" s="3"/>
      <c r="W4291" s="3"/>
      <c r="X4291" s="3"/>
      <c r="Y4291" s="3"/>
      <c r="Z4291" s="3"/>
      <c r="AA4291" s="3"/>
    </row>
    <row r="4292" ht="105.75" customHeight="1">
      <c r="A4292" s="11"/>
      <c r="B4292" s="12"/>
      <c r="C4292" s="11"/>
      <c r="D4292" s="13"/>
      <c r="E4292" s="14"/>
      <c r="F4292" s="14"/>
      <c r="G4292" s="14"/>
      <c r="H4292" s="15"/>
      <c r="I4292" s="15"/>
      <c r="J4292" s="3"/>
      <c r="K4292" s="3"/>
      <c r="L4292" s="3"/>
      <c r="M4292" s="3"/>
      <c r="N4292" s="3"/>
      <c r="O4292" s="3"/>
      <c r="P4292" s="3"/>
      <c r="Q4292" s="3"/>
      <c r="R4292" s="3"/>
      <c r="S4292" s="3"/>
      <c r="T4292" s="3"/>
      <c r="U4292" s="3"/>
      <c r="V4292" s="3"/>
      <c r="W4292" s="3"/>
      <c r="X4292" s="3"/>
      <c r="Y4292" s="3"/>
      <c r="Z4292" s="3"/>
      <c r="AA4292" s="3"/>
    </row>
    <row r="4293" ht="105.75" customHeight="1">
      <c r="A4293" s="11"/>
      <c r="B4293" s="12"/>
      <c r="C4293" s="11"/>
      <c r="D4293" s="13"/>
      <c r="E4293" s="14"/>
      <c r="F4293" s="14"/>
      <c r="G4293" s="14"/>
      <c r="H4293" s="15"/>
      <c r="I4293" s="15"/>
      <c r="J4293" s="3"/>
      <c r="K4293" s="3"/>
      <c r="L4293" s="3"/>
      <c r="M4293" s="3"/>
      <c r="N4293" s="3"/>
      <c r="O4293" s="3"/>
      <c r="P4293" s="3"/>
      <c r="Q4293" s="3"/>
      <c r="R4293" s="3"/>
      <c r="S4293" s="3"/>
      <c r="T4293" s="3"/>
      <c r="U4293" s="3"/>
      <c r="V4293" s="3"/>
      <c r="W4293" s="3"/>
      <c r="X4293" s="3"/>
      <c r="Y4293" s="3"/>
      <c r="Z4293" s="3"/>
      <c r="AA4293" s="3"/>
    </row>
    <row r="4294" ht="105.75" customHeight="1">
      <c r="A4294" s="11"/>
      <c r="B4294" s="12"/>
      <c r="C4294" s="11"/>
      <c r="D4294" s="13"/>
      <c r="E4294" s="14"/>
      <c r="F4294" s="14"/>
      <c r="G4294" s="14"/>
      <c r="H4294" s="15"/>
      <c r="I4294" s="15"/>
      <c r="J4294" s="3"/>
      <c r="K4294" s="3"/>
      <c r="L4294" s="3"/>
      <c r="M4294" s="3"/>
      <c r="N4294" s="3"/>
      <c r="O4294" s="3"/>
      <c r="P4294" s="3"/>
      <c r="Q4294" s="3"/>
      <c r="R4294" s="3"/>
      <c r="S4294" s="3"/>
      <c r="T4294" s="3"/>
      <c r="U4294" s="3"/>
      <c r="V4294" s="3"/>
      <c r="W4294" s="3"/>
      <c r="X4294" s="3"/>
      <c r="Y4294" s="3"/>
      <c r="Z4294" s="3"/>
      <c r="AA4294" s="3"/>
    </row>
    <row r="4295" ht="105.75" customHeight="1">
      <c r="A4295" s="11"/>
      <c r="B4295" s="12"/>
      <c r="C4295" s="11"/>
      <c r="D4295" s="13"/>
      <c r="E4295" s="14"/>
      <c r="F4295" s="14"/>
      <c r="G4295" s="14"/>
      <c r="H4295" s="15"/>
      <c r="I4295" s="15"/>
      <c r="J4295" s="3"/>
      <c r="K4295" s="3"/>
      <c r="L4295" s="3"/>
      <c r="M4295" s="3"/>
      <c r="N4295" s="3"/>
      <c r="O4295" s="3"/>
      <c r="P4295" s="3"/>
      <c r="Q4295" s="3"/>
      <c r="R4295" s="3"/>
      <c r="S4295" s="3"/>
      <c r="T4295" s="3"/>
      <c r="U4295" s="3"/>
      <c r="V4295" s="3"/>
      <c r="W4295" s="3"/>
      <c r="X4295" s="3"/>
      <c r="Y4295" s="3"/>
      <c r="Z4295" s="3"/>
      <c r="AA4295" s="3"/>
    </row>
    <row r="4296" ht="105.75" customHeight="1">
      <c r="A4296" s="11"/>
      <c r="B4296" s="12"/>
      <c r="C4296" s="11"/>
      <c r="D4296" s="13"/>
      <c r="E4296" s="14"/>
      <c r="F4296" s="14"/>
      <c r="G4296" s="14"/>
      <c r="H4296" s="15"/>
      <c r="I4296" s="15"/>
      <c r="J4296" s="3"/>
      <c r="K4296" s="3"/>
      <c r="L4296" s="3"/>
      <c r="M4296" s="3"/>
      <c r="N4296" s="3"/>
      <c r="O4296" s="3"/>
      <c r="P4296" s="3"/>
      <c r="Q4296" s="3"/>
      <c r="R4296" s="3"/>
      <c r="S4296" s="3"/>
      <c r="T4296" s="3"/>
      <c r="U4296" s="3"/>
      <c r="V4296" s="3"/>
      <c r="W4296" s="3"/>
      <c r="X4296" s="3"/>
      <c r="Y4296" s="3"/>
      <c r="Z4296" s="3"/>
      <c r="AA4296" s="3"/>
    </row>
    <row r="4297" ht="105.75" customHeight="1">
      <c r="A4297" s="11"/>
      <c r="B4297" s="12"/>
      <c r="C4297" s="11"/>
      <c r="D4297" s="13"/>
      <c r="E4297" s="14"/>
      <c r="F4297" s="14"/>
      <c r="G4297" s="14"/>
      <c r="H4297" s="15"/>
      <c r="I4297" s="15"/>
      <c r="J4297" s="3"/>
      <c r="K4297" s="3"/>
      <c r="L4297" s="3"/>
      <c r="M4297" s="3"/>
      <c r="N4297" s="3"/>
      <c r="O4297" s="3"/>
      <c r="P4297" s="3"/>
      <c r="Q4297" s="3"/>
      <c r="R4297" s="3"/>
      <c r="S4297" s="3"/>
      <c r="T4297" s="3"/>
      <c r="U4297" s="3"/>
      <c r="V4297" s="3"/>
      <c r="W4297" s="3"/>
      <c r="X4297" s="3"/>
      <c r="Y4297" s="3"/>
      <c r="Z4297" s="3"/>
      <c r="AA4297" s="3"/>
    </row>
    <row r="4298" ht="105.75" customHeight="1">
      <c r="A4298" s="11"/>
      <c r="B4298" s="12"/>
      <c r="C4298" s="11"/>
      <c r="D4298" s="13"/>
      <c r="E4298" s="14"/>
      <c r="F4298" s="14"/>
      <c r="G4298" s="14"/>
      <c r="H4298" s="15"/>
      <c r="I4298" s="15"/>
      <c r="J4298" s="3"/>
      <c r="K4298" s="3"/>
      <c r="L4298" s="3"/>
      <c r="M4298" s="3"/>
      <c r="N4298" s="3"/>
      <c r="O4298" s="3"/>
      <c r="P4298" s="3"/>
      <c r="Q4298" s="3"/>
      <c r="R4298" s="3"/>
      <c r="S4298" s="3"/>
      <c r="T4298" s="3"/>
      <c r="U4298" s="3"/>
      <c r="V4298" s="3"/>
      <c r="W4298" s="3"/>
      <c r="X4298" s="3"/>
      <c r="Y4298" s="3"/>
      <c r="Z4298" s="3"/>
      <c r="AA4298" s="3"/>
    </row>
    <row r="4299" ht="105.75" customHeight="1">
      <c r="A4299" s="11"/>
      <c r="B4299" s="12"/>
      <c r="C4299" s="11"/>
      <c r="D4299" s="13"/>
      <c r="E4299" s="14"/>
      <c r="F4299" s="14"/>
      <c r="G4299" s="14"/>
      <c r="H4299" s="15"/>
      <c r="I4299" s="15"/>
      <c r="J4299" s="3"/>
      <c r="K4299" s="3"/>
      <c r="L4299" s="3"/>
      <c r="M4299" s="3"/>
      <c r="N4299" s="3"/>
      <c r="O4299" s="3"/>
      <c r="P4299" s="3"/>
      <c r="Q4299" s="3"/>
      <c r="R4299" s="3"/>
      <c r="S4299" s="3"/>
      <c r="T4299" s="3"/>
      <c r="U4299" s="3"/>
      <c r="V4299" s="3"/>
      <c r="W4299" s="3"/>
      <c r="X4299" s="3"/>
      <c r="Y4299" s="3"/>
      <c r="Z4299" s="3"/>
      <c r="AA4299" s="3"/>
    </row>
    <row r="4300" ht="105.75" customHeight="1">
      <c r="A4300" s="11"/>
      <c r="B4300" s="12"/>
      <c r="C4300" s="11"/>
      <c r="D4300" s="13"/>
      <c r="E4300" s="14"/>
      <c r="F4300" s="14"/>
      <c r="G4300" s="14"/>
      <c r="H4300" s="15"/>
      <c r="I4300" s="15"/>
      <c r="J4300" s="3"/>
      <c r="K4300" s="3"/>
      <c r="L4300" s="3"/>
      <c r="M4300" s="3"/>
      <c r="N4300" s="3"/>
      <c r="O4300" s="3"/>
      <c r="P4300" s="3"/>
      <c r="Q4300" s="3"/>
      <c r="R4300" s="3"/>
      <c r="S4300" s="3"/>
      <c r="T4300" s="3"/>
      <c r="U4300" s="3"/>
      <c r="V4300" s="3"/>
      <c r="W4300" s="3"/>
      <c r="X4300" s="3"/>
      <c r="Y4300" s="3"/>
      <c r="Z4300" s="3"/>
      <c r="AA4300" s="3"/>
    </row>
    <row r="4301" ht="105.75" customHeight="1">
      <c r="A4301" s="11"/>
      <c r="B4301" s="12"/>
      <c r="C4301" s="11"/>
      <c r="D4301" s="13"/>
      <c r="E4301" s="14"/>
      <c r="F4301" s="14"/>
      <c r="G4301" s="14"/>
      <c r="H4301" s="15"/>
      <c r="I4301" s="15"/>
      <c r="J4301" s="3"/>
      <c r="K4301" s="3"/>
      <c r="L4301" s="3"/>
      <c r="M4301" s="3"/>
      <c r="N4301" s="3"/>
      <c r="O4301" s="3"/>
      <c r="P4301" s="3"/>
      <c r="Q4301" s="3"/>
      <c r="R4301" s="3"/>
      <c r="S4301" s="3"/>
      <c r="T4301" s="3"/>
      <c r="U4301" s="3"/>
      <c r="V4301" s="3"/>
      <c r="W4301" s="3"/>
      <c r="X4301" s="3"/>
      <c r="Y4301" s="3"/>
      <c r="Z4301" s="3"/>
      <c r="AA4301" s="3"/>
    </row>
    <row r="4302" ht="105.75" customHeight="1">
      <c r="A4302" s="11"/>
      <c r="B4302" s="12"/>
      <c r="C4302" s="11"/>
      <c r="D4302" s="13"/>
      <c r="E4302" s="14"/>
      <c r="F4302" s="14"/>
      <c r="G4302" s="14"/>
      <c r="H4302" s="15"/>
      <c r="I4302" s="15"/>
      <c r="J4302" s="3"/>
      <c r="K4302" s="3"/>
      <c r="L4302" s="3"/>
      <c r="M4302" s="3"/>
      <c r="N4302" s="3"/>
      <c r="O4302" s="3"/>
      <c r="P4302" s="3"/>
      <c r="Q4302" s="3"/>
      <c r="R4302" s="3"/>
      <c r="S4302" s="3"/>
      <c r="T4302" s="3"/>
      <c r="U4302" s="3"/>
      <c r="V4302" s="3"/>
      <c r="W4302" s="3"/>
      <c r="X4302" s="3"/>
      <c r="Y4302" s="3"/>
      <c r="Z4302" s="3"/>
      <c r="AA4302" s="3"/>
    </row>
    <row r="4303" ht="105.75" customHeight="1">
      <c r="A4303" s="11"/>
      <c r="B4303" s="12"/>
      <c r="C4303" s="11"/>
      <c r="D4303" s="13"/>
      <c r="E4303" s="14"/>
      <c r="F4303" s="14"/>
      <c r="G4303" s="14"/>
      <c r="H4303" s="15"/>
      <c r="I4303" s="15"/>
      <c r="J4303" s="3"/>
      <c r="K4303" s="3"/>
      <c r="L4303" s="3"/>
      <c r="M4303" s="3"/>
      <c r="N4303" s="3"/>
      <c r="O4303" s="3"/>
      <c r="P4303" s="3"/>
      <c r="Q4303" s="3"/>
      <c r="R4303" s="3"/>
      <c r="S4303" s="3"/>
      <c r="T4303" s="3"/>
      <c r="U4303" s="3"/>
      <c r="V4303" s="3"/>
      <c r="W4303" s="3"/>
      <c r="X4303" s="3"/>
      <c r="Y4303" s="3"/>
      <c r="Z4303" s="3"/>
      <c r="AA4303" s="3"/>
    </row>
    <row r="4304" ht="105.75" customHeight="1">
      <c r="A4304" s="11"/>
      <c r="B4304" s="12"/>
      <c r="C4304" s="11"/>
      <c r="D4304" s="13"/>
      <c r="E4304" s="14"/>
      <c r="F4304" s="14"/>
      <c r="G4304" s="14"/>
      <c r="H4304" s="15"/>
      <c r="I4304" s="15"/>
      <c r="J4304" s="3"/>
      <c r="K4304" s="3"/>
      <c r="L4304" s="3"/>
      <c r="M4304" s="3"/>
      <c r="N4304" s="3"/>
      <c r="O4304" s="3"/>
      <c r="P4304" s="3"/>
      <c r="Q4304" s="3"/>
      <c r="R4304" s="3"/>
      <c r="S4304" s="3"/>
      <c r="T4304" s="3"/>
      <c r="U4304" s="3"/>
      <c r="V4304" s="3"/>
      <c r="W4304" s="3"/>
      <c r="X4304" s="3"/>
      <c r="Y4304" s="3"/>
      <c r="Z4304" s="3"/>
      <c r="AA4304" s="3"/>
    </row>
    <row r="4305" ht="105.75" customHeight="1">
      <c r="A4305" s="11"/>
      <c r="B4305" s="12"/>
      <c r="C4305" s="11"/>
      <c r="D4305" s="13"/>
      <c r="E4305" s="14"/>
      <c r="F4305" s="14"/>
      <c r="G4305" s="14"/>
      <c r="H4305" s="15"/>
      <c r="I4305" s="15"/>
      <c r="J4305" s="3"/>
      <c r="K4305" s="3"/>
      <c r="L4305" s="3"/>
      <c r="M4305" s="3"/>
      <c r="N4305" s="3"/>
      <c r="O4305" s="3"/>
      <c r="P4305" s="3"/>
      <c r="Q4305" s="3"/>
      <c r="R4305" s="3"/>
      <c r="S4305" s="3"/>
      <c r="T4305" s="3"/>
      <c r="U4305" s="3"/>
      <c r="V4305" s="3"/>
      <c r="W4305" s="3"/>
      <c r="X4305" s="3"/>
      <c r="Y4305" s="3"/>
      <c r="Z4305" s="3"/>
      <c r="AA4305" s="3"/>
    </row>
    <row r="4306" ht="105.75" customHeight="1">
      <c r="A4306" s="11"/>
      <c r="B4306" s="12"/>
      <c r="C4306" s="11"/>
      <c r="D4306" s="13"/>
      <c r="E4306" s="14"/>
      <c r="F4306" s="14"/>
      <c r="G4306" s="14"/>
      <c r="H4306" s="15"/>
      <c r="I4306" s="15"/>
      <c r="J4306" s="3"/>
      <c r="K4306" s="3"/>
      <c r="L4306" s="3"/>
      <c r="M4306" s="3"/>
      <c r="N4306" s="3"/>
      <c r="O4306" s="3"/>
      <c r="P4306" s="3"/>
      <c r="Q4306" s="3"/>
      <c r="R4306" s="3"/>
      <c r="S4306" s="3"/>
      <c r="T4306" s="3"/>
      <c r="U4306" s="3"/>
      <c r="V4306" s="3"/>
      <c r="W4306" s="3"/>
      <c r="X4306" s="3"/>
      <c r="Y4306" s="3"/>
      <c r="Z4306" s="3"/>
      <c r="AA4306" s="3"/>
    </row>
    <row r="4307" ht="105.75" customHeight="1">
      <c r="A4307" s="11"/>
      <c r="B4307" s="12"/>
      <c r="C4307" s="11"/>
      <c r="D4307" s="13"/>
      <c r="E4307" s="14"/>
      <c r="F4307" s="14"/>
      <c r="G4307" s="14"/>
      <c r="H4307" s="15"/>
      <c r="I4307" s="15"/>
      <c r="J4307" s="3"/>
      <c r="K4307" s="3"/>
      <c r="L4307" s="3"/>
      <c r="M4307" s="3"/>
      <c r="N4307" s="3"/>
      <c r="O4307" s="3"/>
      <c r="P4307" s="3"/>
      <c r="Q4307" s="3"/>
      <c r="R4307" s="3"/>
      <c r="S4307" s="3"/>
      <c r="T4307" s="3"/>
      <c r="U4307" s="3"/>
      <c r="V4307" s="3"/>
      <c r="W4307" s="3"/>
      <c r="X4307" s="3"/>
      <c r="Y4307" s="3"/>
      <c r="Z4307" s="3"/>
      <c r="AA4307" s="3"/>
    </row>
    <row r="4308" ht="105.75" customHeight="1">
      <c r="A4308" s="11"/>
      <c r="B4308" s="12"/>
      <c r="C4308" s="11"/>
      <c r="D4308" s="13"/>
      <c r="E4308" s="14"/>
      <c r="F4308" s="14"/>
      <c r="G4308" s="14"/>
      <c r="H4308" s="15"/>
      <c r="I4308" s="15"/>
      <c r="J4308" s="3"/>
      <c r="K4308" s="3"/>
      <c r="L4308" s="3"/>
      <c r="M4308" s="3"/>
      <c r="N4308" s="3"/>
      <c r="O4308" s="3"/>
      <c r="P4308" s="3"/>
      <c r="Q4308" s="3"/>
      <c r="R4308" s="3"/>
      <c r="S4308" s="3"/>
      <c r="T4308" s="3"/>
      <c r="U4308" s="3"/>
      <c r="V4308" s="3"/>
      <c r="W4308" s="3"/>
      <c r="X4308" s="3"/>
      <c r="Y4308" s="3"/>
      <c r="Z4308" s="3"/>
      <c r="AA4308" s="3"/>
    </row>
    <row r="4309" ht="105.75" customHeight="1">
      <c r="A4309" s="11"/>
      <c r="B4309" s="12"/>
      <c r="C4309" s="11"/>
      <c r="D4309" s="13"/>
      <c r="E4309" s="14"/>
      <c r="F4309" s="14"/>
      <c r="G4309" s="14"/>
      <c r="H4309" s="15"/>
      <c r="I4309" s="15"/>
      <c r="J4309" s="3"/>
      <c r="K4309" s="3"/>
      <c r="L4309" s="3"/>
      <c r="M4309" s="3"/>
      <c r="N4309" s="3"/>
      <c r="O4309" s="3"/>
      <c r="P4309" s="3"/>
      <c r="Q4309" s="3"/>
      <c r="R4309" s="3"/>
      <c r="S4309" s="3"/>
      <c r="T4309" s="3"/>
      <c r="U4309" s="3"/>
      <c r="V4309" s="3"/>
      <c r="W4309" s="3"/>
      <c r="X4309" s="3"/>
      <c r="Y4309" s="3"/>
      <c r="Z4309" s="3"/>
      <c r="AA4309" s="3"/>
    </row>
    <row r="4310" ht="105.75" customHeight="1">
      <c r="A4310" s="11"/>
      <c r="B4310" s="12"/>
      <c r="C4310" s="11"/>
      <c r="D4310" s="13"/>
      <c r="E4310" s="14"/>
      <c r="F4310" s="14"/>
      <c r="G4310" s="14"/>
      <c r="H4310" s="15"/>
      <c r="I4310" s="15"/>
      <c r="J4310" s="3"/>
      <c r="K4310" s="3"/>
      <c r="L4310" s="3"/>
      <c r="M4310" s="3"/>
      <c r="N4310" s="3"/>
      <c r="O4310" s="3"/>
      <c r="P4310" s="3"/>
      <c r="Q4310" s="3"/>
      <c r="R4310" s="3"/>
      <c r="S4310" s="3"/>
      <c r="T4310" s="3"/>
      <c r="U4310" s="3"/>
      <c r="V4310" s="3"/>
      <c r="W4310" s="3"/>
      <c r="X4310" s="3"/>
      <c r="Y4310" s="3"/>
      <c r="Z4310" s="3"/>
      <c r="AA4310" s="3"/>
    </row>
    <row r="4311" ht="105.75" customHeight="1">
      <c r="A4311" s="11"/>
      <c r="B4311" s="12"/>
      <c r="C4311" s="11"/>
      <c r="D4311" s="13"/>
      <c r="E4311" s="14"/>
      <c r="F4311" s="14"/>
      <c r="G4311" s="14"/>
      <c r="H4311" s="15"/>
      <c r="I4311" s="15"/>
      <c r="J4311" s="3"/>
      <c r="K4311" s="3"/>
      <c r="L4311" s="3"/>
      <c r="M4311" s="3"/>
      <c r="N4311" s="3"/>
      <c r="O4311" s="3"/>
      <c r="P4311" s="3"/>
      <c r="Q4311" s="3"/>
      <c r="R4311" s="3"/>
      <c r="S4311" s="3"/>
      <c r="T4311" s="3"/>
      <c r="U4311" s="3"/>
      <c r="V4311" s="3"/>
      <c r="W4311" s="3"/>
      <c r="X4311" s="3"/>
      <c r="Y4311" s="3"/>
      <c r="Z4311" s="3"/>
      <c r="AA4311" s="3"/>
    </row>
    <row r="4312" ht="105.75" customHeight="1">
      <c r="A4312" s="11"/>
      <c r="B4312" s="12"/>
      <c r="C4312" s="11"/>
      <c r="D4312" s="13"/>
      <c r="E4312" s="14"/>
      <c r="F4312" s="14"/>
      <c r="G4312" s="14"/>
      <c r="H4312" s="15"/>
      <c r="I4312" s="15"/>
      <c r="J4312" s="3"/>
      <c r="K4312" s="3"/>
      <c r="L4312" s="3"/>
      <c r="M4312" s="3"/>
      <c r="N4312" s="3"/>
      <c r="O4312" s="3"/>
      <c r="P4312" s="3"/>
      <c r="Q4312" s="3"/>
      <c r="R4312" s="3"/>
      <c r="S4312" s="3"/>
      <c r="T4312" s="3"/>
      <c r="U4312" s="3"/>
      <c r="V4312" s="3"/>
      <c r="W4312" s="3"/>
      <c r="X4312" s="3"/>
      <c r="Y4312" s="3"/>
      <c r="Z4312" s="3"/>
      <c r="AA4312" s="3"/>
    </row>
    <row r="4313" ht="105.75" customHeight="1">
      <c r="A4313" s="11"/>
      <c r="B4313" s="12"/>
      <c r="C4313" s="11"/>
      <c r="D4313" s="13"/>
      <c r="E4313" s="14"/>
      <c r="F4313" s="14"/>
      <c r="G4313" s="14"/>
      <c r="H4313" s="15"/>
      <c r="I4313" s="15"/>
      <c r="J4313" s="3"/>
      <c r="K4313" s="3"/>
      <c r="L4313" s="3"/>
      <c r="M4313" s="3"/>
      <c r="N4313" s="3"/>
      <c r="O4313" s="3"/>
      <c r="P4313" s="3"/>
      <c r="Q4313" s="3"/>
      <c r="R4313" s="3"/>
      <c r="S4313" s="3"/>
      <c r="T4313" s="3"/>
      <c r="U4313" s="3"/>
      <c r="V4313" s="3"/>
      <c r="W4313" s="3"/>
      <c r="X4313" s="3"/>
      <c r="Y4313" s="3"/>
      <c r="Z4313" s="3"/>
      <c r="AA4313" s="3"/>
    </row>
    <row r="4314" ht="105.75" customHeight="1">
      <c r="A4314" s="11"/>
      <c r="B4314" s="12"/>
      <c r="C4314" s="11"/>
      <c r="D4314" s="13"/>
      <c r="E4314" s="14"/>
      <c r="F4314" s="14"/>
      <c r="G4314" s="14"/>
      <c r="H4314" s="15"/>
      <c r="I4314" s="15"/>
      <c r="J4314" s="3"/>
      <c r="K4314" s="3"/>
      <c r="L4314" s="3"/>
      <c r="M4314" s="3"/>
      <c r="N4314" s="3"/>
      <c r="O4314" s="3"/>
      <c r="P4314" s="3"/>
      <c r="Q4314" s="3"/>
      <c r="R4314" s="3"/>
      <c r="S4314" s="3"/>
      <c r="T4314" s="3"/>
      <c r="U4314" s="3"/>
      <c r="V4314" s="3"/>
      <c r="W4314" s="3"/>
      <c r="X4314" s="3"/>
      <c r="Y4314" s="3"/>
      <c r="Z4314" s="3"/>
      <c r="AA4314" s="3"/>
    </row>
    <row r="4315" ht="105.75" customHeight="1">
      <c r="A4315" s="11"/>
      <c r="B4315" s="12"/>
      <c r="C4315" s="11"/>
      <c r="D4315" s="13"/>
      <c r="E4315" s="14"/>
      <c r="F4315" s="14"/>
      <c r="G4315" s="14"/>
      <c r="H4315" s="15"/>
      <c r="I4315" s="15"/>
      <c r="J4315" s="3"/>
      <c r="K4315" s="3"/>
      <c r="L4315" s="3"/>
      <c r="M4315" s="3"/>
      <c r="N4315" s="3"/>
      <c r="O4315" s="3"/>
      <c r="P4315" s="3"/>
      <c r="Q4315" s="3"/>
      <c r="R4315" s="3"/>
      <c r="S4315" s="3"/>
      <c r="T4315" s="3"/>
      <c r="U4315" s="3"/>
      <c r="V4315" s="3"/>
      <c r="W4315" s="3"/>
      <c r="X4315" s="3"/>
      <c r="Y4315" s="3"/>
      <c r="Z4315" s="3"/>
      <c r="AA4315" s="3"/>
    </row>
    <row r="4316" ht="105.75" customHeight="1">
      <c r="A4316" s="11"/>
      <c r="B4316" s="12"/>
      <c r="C4316" s="11"/>
      <c r="D4316" s="13"/>
      <c r="E4316" s="14"/>
      <c r="F4316" s="14"/>
      <c r="G4316" s="14"/>
      <c r="H4316" s="15"/>
      <c r="I4316" s="15"/>
      <c r="J4316" s="3"/>
      <c r="K4316" s="3"/>
      <c r="L4316" s="3"/>
      <c r="M4316" s="3"/>
      <c r="N4316" s="3"/>
      <c r="O4316" s="3"/>
      <c r="P4316" s="3"/>
      <c r="Q4316" s="3"/>
      <c r="R4316" s="3"/>
      <c r="S4316" s="3"/>
      <c r="T4316" s="3"/>
      <c r="U4316" s="3"/>
      <c r="V4316" s="3"/>
      <c r="W4316" s="3"/>
      <c r="X4316" s="3"/>
      <c r="Y4316" s="3"/>
      <c r="Z4316" s="3"/>
      <c r="AA4316" s="3"/>
    </row>
    <row r="4317" ht="105.75" customHeight="1">
      <c r="A4317" s="11"/>
      <c r="B4317" s="12"/>
      <c r="C4317" s="11"/>
      <c r="D4317" s="13"/>
      <c r="E4317" s="14"/>
      <c r="F4317" s="14"/>
      <c r="G4317" s="14"/>
      <c r="H4317" s="15"/>
      <c r="I4317" s="15"/>
      <c r="J4317" s="3"/>
      <c r="K4317" s="3"/>
      <c r="L4317" s="3"/>
      <c r="M4317" s="3"/>
      <c r="N4317" s="3"/>
      <c r="O4317" s="3"/>
      <c r="P4317" s="3"/>
      <c r="Q4317" s="3"/>
      <c r="R4317" s="3"/>
      <c r="S4317" s="3"/>
      <c r="T4317" s="3"/>
      <c r="U4317" s="3"/>
      <c r="V4317" s="3"/>
      <c r="W4317" s="3"/>
      <c r="X4317" s="3"/>
      <c r="Y4317" s="3"/>
      <c r="Z4317" s="3"/>
      <c r="AA4317" s="3"/>
    </row>
    <row r="4318" ht="105.75" customHeight="1">
      <c r="A4318" s="11"/>
      <c r="B4318" s="12"/>
      <c r="C4318" s="11"/>
      <c r="D4318" s="13"/>
      <c r="E4318" s="14"/>
      <c r="F4318" s="14"/>
      <c r="G4318" s="14"/>
      <c r="H4318" s="15"/>
      <c r="I4318" s="15"/>
      <c r="J4318" s="3"/>
      <c r="K4318" s="3"/>
      <c r="L4318" s="3"/>
      <c r="M4318" s="3"/>
      <c r="N4318" s="3"/>
      <c r="O4318" s="3"/>
      <c r="P4318" s="3"/>
      <c r="Q4318" s="3"/>
      <c r="R4318" s="3"/>
      <c r="S4318" s="3"/>
      <c r="T4318" s="3"/>
      <c r="U4318" s="3"/>
      <c r="V4318" s="3"/>
      <c r="W4318" s="3"/>
      <c r="X4318" s="3"/>
      <c r="Y4318" s="3"/>
      <c r="Z4318" s="3"/>
      <c r="AA4318" s="3"/>
    </row>
    <row r="4319" ht="105.75" customHeight="1">
      <c r="A4319" s="11"/>
      <c r="B4319" s="12"/>
      <c r="C4319" s="11"/>
      <c r="D4319" s="13"/>
      <c r="E4319" s="14"/>
      <c r="F4319" s="14"/>
      <c r="G4319" s="14"/>
      <c r="H4319" s="15"/>
      <c r="I4319" s="15"/>
      <c r="J4319" s="3"/>
      <c r="K4319" s="3"/>
      <c r="L4319" s="3"/>
      <c r="M4319" s="3"/>
      <c r="N4319" s="3"/>
      <c r="O4319" s="3"/>
      <c r="P4319" s="3"/>
      <c r="Q4319" s="3"/>
      <c r="R4319" s="3"/>
      <c r="S4319" s="3"/>
      <c r="T4319" s="3"/>
      <c r="U4319" s="3"/>
      <c r="V4319" s="3"/>
      <c r="W4319" s="3"/>
      <c r="X4319" s="3"/>
      <c r="Y4319" s="3"/>
      <c r="Z4319" s="3"/>
      <c r="AA4319" s="3"/>
    </row>
    <row r="4320" ht="105.75" customHeight="1">
      <c r="A4320" s="11"/>
      <c r="B4320" s="12"/>
      <c r="C4320" s="11"/>
      <c r="D4320" s="13"/>
      <c r="E4320" s="14"/>
      <c r="F4320" s="14"/>
      <c r="G4320" s="14"/>
      <c r="H4320" s="15"/>
      <c r="I4320" s="15"/>
      <c r="J4320" s="3"/>
      <c r="K4320" s="3"/>
      <c r="L4320" s="3"/>
      <c r="M4320" s="3"/>
      <c r="N4320" s="3"/>
      <c r="O4320" s="3"/>
      <c r="P4320" s="3"/>
      <c r="Q4320" s="3"/>
      <c r="R4320" s="3"/>
      <c r="S4320" s="3"/>
      <c r="T4320" s="3"/>
      <c r="U4320" s="3"/>
      <c r="V4320" s="3"/>
      <c r="W4320" s="3"/>
      <c r="X4320" s="3"/>
      <c r="Y4320" s="3"/>
      <c r="Z4320" s="3"/>
      <c r="AA4320" s="3"/>
    </row>
    <row r="4321" ht="105.75" customHeight="1">
      <c r="A4321" s="11"/>
      <c r="B4321" s="12"/>
      <c r="C4321" s="11"/>
      <c r="D4321" s="13"/>
      <c r="E4321" s="14"/>
      <c r="F4321" s="14"/>
      <c r="G4321" s="14"/>
      <c r="H4321" s="15"/>
      <c r="I4321" s="15"/>
      <c r="J4321" s="3"/>
      <c r="K4321" s="3"/>
      <c r="L4321" s="3"/>
      <c r="M4321" s="3"/>
      <c r="N4321" s="3"/>
      <c r="O4321" s="3"/>
      <c r="P4321" s="3"/>
      <c r="Q4321" s="3"/>
      <c r="R4321" s="3"/>
      <c r="S4321" s="3"/>
      <c r="T4321" s="3"/>
      <c r="U4321" s="3"/>
      <c r="V4321" s="3"/>
      <c r="W4321" s="3"/>
      <c r="X4321" s="3"/>
      <c r="Y4321" s="3"/>
      <c r="Z4321" s="3"/>
      <c r="AA4321" s="3"/>
    </row>
    <row r="4322" ht="105.75" customHeight="1">
      <c r="A4322" s="11"/>
      <c r="B4322" s="12"/>
      <c r="C4322" s="11"/>
      <c r="D4322" s="13"/>
      <c r="E4322" s="14"/>
      <c r="F4322" s="14"/>
      <c r="G4322" s="14"/>
      <c r="H4322" s="15"/>
      <c r="I4322" s="15"/>
      <c r="J4322" s="3"/>
      <c r="K4322" s="3"/>
      <c r="L4322" s="3"/>
      <c r="M4322" s="3"/>
      <c r="N4322" s="3"/>
      <c r="O4322" s="3"/>
      <c r="P4322" s="3"/>
      <c r="Q4322" s="3"/>
      <c r="R4322" s="3"/>
      <c r="S4322" s="3"/>
      <c r="T4322" s="3"/>
      <c r="U4322" s="3"/>
      <c r="V4322" s="3"/>
      <c r="W4322" s="3"/>
      <c r="X4322" s="3"/>
      <c r="Y4322" s="3"/>
      <c r="Z4322" s="3"/>
      <c r="AA4322" s="3"/>
    </row>
    <row r="4323" ht="105.75" customHeight="1">
      <c r="A4323" s="11"/>
      <c r="B4323" s="12"/>
      <c r="C4323" s="11"/>
      <c r="D4323" s="13"/>
      <c r="E4323" s="14"/>
      <c r="F4323" s="14"/>
      <c r="G4323" s="14"/>
      <c r="H4323" s="15"/>
      <c r="I4323" s="15"/>
      <c r="J4323" s="3"/>
      <c r="K4323" s="3"/>
      <c r="L4323" s="3"/>
      <c r="M4323" s="3"/>
      <c r="N4323" s="3"/>
      <c r="O4323" s="3"/>
      <c r="P4323" s="3"/>
      <c r="Q4323" s="3"/>
      <c r="R4323" s="3"/>
      <c r="S4323" s="3"/>
      <c r="T4323" s="3"/>
      <c r="U4323" s="3"/>
      <c r="V4323" s="3"/>
      <c r="W4323" s="3"/>
      <c r="X4323" s="3"/>
      <c r="Y4323" s="3"/>
      <c r="Z4323" s="3"/>
      <c r="AA4323" s="3"/>
    </row>
    <row r="4324" ht="105.75" customHeight="1">
      <c r="A4324" s="11"/>
      <c r="B4324" s="12"/>
      <c r="C4324" s="11"/>
      <c r="D4324" s="13"/>
      <c r="E4324" s="14"/>
      <c r="F4324" s="14"/>
      <c r="G4324" s="14"/>
      <c r="H4324" s="15"/>
      <c r="I4324" s="15"/>
      <c r="J4324" s="3"/>
      <c r="K4324" s="3"/>
      <c r="L4324" s="3"/>
      <c r="M4324" s="3"/>
      <c r="N4324" s="3"/>
      <c r="O4324" s="3"/>
      <c r="P4324" s="3"/>
      <c r="Q4324" s="3"/>
      <c r="R4324" s="3"/>
      <c r="S4324" s="3"/>
      <c r="T4324" s="3"/>
      <c r="U4324" s="3"/>
      <c r="V4324" s="3"/>
      <c r="W4324" s="3"/>
      <c r="X4324" s="3"/>
      <c r="Y4324" s="3"/>
      <c r="Z4324" s="3"/>
      <c r="AA4324" s="3"/>
    </row>
    <row r="4325" ht="105.75" customHeight="1">
      <c r="A4325" s="11"/>
      <c r="B4325" s="12"/>
      <c r="C4325" s="11"/>
      <c r="D4325" s="13"/>
      <c r="E4325" s="14"/>
      <c r="F4325" s="14"/>
      <c r="G4325" s="14"/>
      <c r="H4325" s="15"/>
      <c r="I4325" s="15"/>
      <c r="J4325" s="3"/>
      <c r="K4325" s="3"/>
      <c r="L4325" s="3"/>
      <c r="M4325" s="3"/>
      <c r="N4325" s="3"/>
      <c r="O4325" s="3"/>
      <c r="P4325" s="3"/>
      <c r="Q4325" s="3"/>
      <c r="R4325" s="3"/>
      <c r="S4325" s="3"/>
      <c r="T4325" s="3"/>
      <c r="U4325" s="3"/>
      <c r="V4325" s="3"/>
      <c r="W4325" s="3"/>
      <c r="X4325" s="3"/>
      <c r="Y4325" s="3"/>
      <c r="Z4325" s="3"/>
      <c r="AA4325" s="3"/>
    </row>
    <row r="4326" ht="105.75" customHeight="1">
      <c r="A4326" s="11"/>
      <c r="B4326" s="12"/>
      <c r="C4326" s="11"/>
      <c r="D4326" s="13"/>
      <c r="E4326" s="14"/>
      <c r="F4326" s="14"/>
      <c r="G4326" s="14"/>
      <c r="H4326" s="15"/>
      <c r="I4326" s="15"/>
      <c r="J4326" s="3"/>
      <c r="K4326" s="3"/>
      <c r="L4326" s="3"/>
      <c r="M4326" s="3"/>
      <c r="N4326" s="3"/>
      <c r="O4326" s="3"/>
      <c r="P4326" s="3"/>
      <c r="Q4326" s="3"/>
      <c r="R4326" s="3"/>
      <c r="S4326" s="3"/>
      <c r="T4326" s="3"/>
      <c r="U4326" s="3"/>
      <c r="V4326" s="3"/>
      <c r="W4326" s="3"/>
      <c r="X4326" s="3"/>
      <c r="Y4326" s="3"/>
      <c r="Z4326" s="3"/>
      <c r="AA4326" s="3"/>
    </row>
    <row r="4327" ht="105.75" customHeight="1">
      <c r="A4327" s="11"/>
      <c r="B4327" s="12"/>
      <c r="C4327" s="11"/>
      <c r="D4327" s="13"/>
      <c r="E4327" s="14"/>
      <c r="F4327" s="14"/>
      <c r="G4327" s="14"/>
      <c r="H4327" s="15"/>
      <c r="I4327" s="15"/>
      <c r="J4327" s="3"/>
      <c r="K4327" s="3"/>
      <c r="L4327" s="3"/>
      <c r="M4327" s="3"/>
      <c r="N4327" s="3"/>
      <c r="O4327" s="3"/>
      <c r="P4327" s="3"/>
      <c r="Q4327" s="3"/>
      <c r="R4327" s="3"/>
      <c r="S4327" s="3"/>
      <c r="T4327" s="3"/>
      <c r="U4327" s="3"/>
      <c r="V4327" s="3"/>
      <c r="W4327" s="3"/>
      <c r="X4327" s="3"/>
      <c r="Y4327" s="3"/>
      <c r="Z4327" s="3"/>
      <c r="AA4327" s="3"/>
    </row>
    <row r="4328" ht="105.75" customHeight="1">
      <c r="A4328" s="11"/>
      <c r="B4328" s="12"/>
      <c r="C4328" s="11"/>
      <c r="D4328" s="13"/>
      <c r="E4328" s="14"/>
      <c r="F4328" s="14"/>
      <c r="G4328" s="14"/>
      <c r="H4328" s="15"/>
      <c r="I4328" s="15"/>
      <c r="J4328" s="3"/>
      <c r="K4328" s="3"/>
      <c r="L4328" s="3"/>
      <c r="M4328" s="3"/>
      <c r="N4328" s="3"/>
      <c r="O4328" s="3"/>
      <c r="P4328" s="3"/>
      <c r="Q4328" s="3"/>
      <c r="R4328" s="3"/>
      <c r="S4328" s="3"/>
      <c r="T4328" s="3"/>
      <c r="U4328" s="3"/>
      <c r="V4328" s="3"/>
      <c r="W4328" s="3"/>
      <c r="X4328" s="3"/>
      <c r="Y4328" s="3"/>
      <c r="Z4328" s="3"/>
      <c r="AA4328" s="3"/>
    </row>
    <row r="4329" ht="105.75" customHeight="1">
      <c r="A4329" s="11"/>
      <c r="B4329" s="12"/>
      <c r="C4329" s="11"/>
      <c r="D4329" s="13"/>
      <c r="E4329" s="14"/>
      <c r="F4329" s="14"/>
      <c r="G4329" s="14"/>
      <c r="H4329" s="15"/>
      <c r="I4329" s="15"/>
      <c r="J4329" s="3"/>
      <c r="K4329" s="3"/>
      <c r="L4329" s="3"/>
      <c r="M4329" s="3"/>
      <c r="N4329" s="3"/>
      <c r="O4329" s="3"/>
      <c r="P4329" s="3"/>
      <c r="Q4329" s="3"/>
      <c r="R4329" s="3"/>
      <c r="S4329" s="3"/>
      <c r="T4329" s="3"/>
      <c r="U4329" s="3"/>
      <c r="V4329" s="3"/>
      <c r="W4329" s="3"/>
      <c r="X4329" s="3"/>
      <c r="Y4329" s="3"/>
      <c r="Z4329" s="3"/>
      <c r="AA4329" s="3"/>
    </row>
    <row r="4330" ht="105.75" customHeight="1">
      <c r="A4330" s="11"/>
      <c r="B4330" s="12"/>
      <c r="C4330" s="11"/>
      <c r="D4330" s="13"/>
      <c r="E4330" s="14"/>
      <c r="F4330" s="14"/>
      <c r="G4330" s="14"/>
      <c r="H4330" s="15"/>
      <c r="I4330" s="15"/>
      <c r="J4330" s="3"/>
      <c r="K4330" s="3"/>
      <c r="L4330" s="3"/>
      <c r="M4330" s="3"/>
      <c r="N4330" s="3"/>
      <c r="O4330" s="3"/>
      <c r="P4330" s="3"/>
      <c r="Q4330" s="3"/>
      <c r="R4330" s="3"/>
      <c r="S4330" s="3"/>
      <c r="T4330" s="3"/>
      <c r="U4330" s="3"/>
      <c r="V4330" s="3"/>
      <c r="W4330" s="3"/>
      <c r="X4330" s="3"/>
      <c r="Y4330" s="3"/>
      <c r="Z4330" s="3"/>
      <c r="AA4330" s="3"/>
    </row>
    <row r="4331" ht="105.75" customHeight="1">
      <c r="A4331" s="11"/>
      <c r="B4331" s="12"/>
      <c r="C4331" s="11"/>
      <c r="D4331" s="13"/>
      <c r="E4331" s="14"/>
      <c r="F4331" s="14"/>
      <c r="G4331" s="14"/>
      <c r="H4331" s="15"/>
      <c r="I4331" s="15"/>
      <c r="J4331" s="3"/>
      <c r="K4331" s="3"/>
      <c r="L4331" s="3"/>
      <c r="M4331" s="3"/>
      <c r="N4331" s="3"/>
      <c r="O4331" s="3"/>
      <c r="P4331" s="3"/>
      <c r="Q4331" s="3"/>
      <c r="R4331" s="3"/>
      <c r="S4331" s="3"/>
      <c r="T4331" s="3"/>
      <c r="U4331" s="3"/>
      <c r="V4331" s="3"/>
      <c r="W4331" s="3"/>
      <c r="X4331" s="3"/>
      <c r="Y4331" s="3"/>
      <c r="Z4331" s="3"/>
      <c r="AA4331" s="3"/>
    </row>
    <row r="4332" ht="105.75" customHeight="1">
      <c r="A4332" s="11"/>
      <c r="B4332" s="12"/>
      <c r="C4332" s="11"/>
      <c r="D4332" s="13"/>
      <c r="E4332" s="14"/>
      <c r="F4332" s="14"/>
      <c r="G4332" s="14"/>
      <c r="H4332" s="15"/>
      <c r="I4332" s="15"/>
      <c r="J4332" s="3"/>
      <c r="K4332" s="3"/>
      <c r="L4332" s="3"/>
      <c r="M4332" s="3"/>
      <c r="N4332" s="3"/>
      <c r="O4332" s="3"/>
      <c r="P4332" s="3"/>
      <c r="Q4332" s="3"/>
      <c r="R4332" s="3"/>
      <c r="S4332" s="3"/>
      <c r="T4332" s="3"/>
      <c r="U4332" s="3"/>
      <c r="V4332" s="3"/>
      <c r="W4332" s="3"/>
      <c r="X4332" s="3"/>
      <c r="Y4332" s="3"/>
      <c r="Z4332" s="3"/>
      <c r="AA4332" s="3"/>
    </row>
    <row r="4333" ht="105.75" customHeight="1">
      <c r="A4333" s="11"/>
      <c r="B4333" s="12"/>
      <c r="C4333" s="11"/>
      <c r="D4333" s="13"/>
      <c r="E4333" s="14"/>
      <c r="F4333" s="14"/>
      <c r="G4333" s="14"/>
      <c r="H4333" s="15"/>
      <c r="I4333" s="15"/>
      <c r="J4333" s="3"/>
      <c r="K4333" s="3"/>
      <c r="L4333" s="3"/>
      <c r="M4333" s="3"/>
      <c r="N4333" s="3"/>
      <c r="O4333" s="3"/>
      <c r="P4333" s="3"/>
      <c r="Q4333" s="3"/>
      <c r="R4333" s="3"/>
      <c r="S4333" s="3"/>
      <c r="T4333" s="3"/>
      <c r="U4333" s="3"/>
      <c r="V4333" s="3"/>
      <c r="W4333" s="3"/>
      <c r="X4333" s="3"/>
      <c r="Y4333" s="3"/>
      <c r="Z4333" s="3"/>
      <c r="AA4333" s="3"/>
    </row>
    <row r="4334" ht="105.75" customHeight="1">
      <c r="A4334" s="11"/>
      <c r="B4334" s="12"/>
      <c r="C4334" s="11"/>
      <c r="D4334" s="13"/>
      <c r="E4334" s="14"/>
      <c r="F4334" s="14"/>
      <c r="G4334" s="14"/>
      <c r="H4334" s="15"/>
      <c r="I4334" s="15"/>
      <c r="J4334" s="3"/>
      <c r="K4334" s="3"/>
      <c r="L4334" s="3"/>
      <c r="M4334" s="3"/>
      <c r="N4334" s="3"/>
      <c r="O4334" s="3"/>
      <c r="P4334" s="3"/>
      <c r="Q4334" s="3"/>
      <c r="R4334" s="3"/>
      <c r="S4334" s="3"/>
      <c r="T4334" s="3"/>
      <c r="U4334" s="3"/>
      <c r="V4334" s="3"/>
      <c r="W4334" s="3"/>
      <c r="X4334" s="3"/>
      <c r="Y4334" s="3"/>
      <c r="Z4334" s="3"/>
      <c r="AA4334" s="3"/>
    </row>
    <row r="4335" ht="105.75" customHeight="1">
      <c r="A4335" s="11"/>
      <c r="B4335" s="12"/>
      <c r="C4335" s="11"/>
      <c r="D4335" s="13"/>
      <c r="E4335" s="14"/>
      <c r="F4335" s="14"/>
      <c r="G4335" s="14"/>
      <c r="H4335" s="15"/>
      <c r="I4335" s="15"/>
      <c r="J4335" s="3"/>
      <c r="K4335" s="3"/>
      <c r="L4335" s="3"/>
      <c r="M4335" s="3"/>
      <c r="N4335" s="3"/>
      <c r="O4335" s="3"/>
      <c r="P4335" s="3"/>
      <c r="Q4335" s="3"/>
      <c r="R4335" s="3"/>
      <c r="S4335" s="3"/>
      <c r="T4335" s="3"/>
      <c r="U4335" s="3"/>
      <c r="V4335" s="3"/>
      <c r="W4335" s="3"/>
      <c r="X4335" s="3"/>
      <c r="Y4335" s="3"/>
      <c r="Z4335" s="3"/>
      <c r="AA4335" s="3"/>
    </row>
    <row r="4336" ht="105.75" customHeight="1">
      <c r="A4336" s="11"/>
      <c r="B4336" s="12"/>
      <c r="C4336" s="11"/>
      <c r="D4336" s="13"/>
      <c r="E4336" s="14"/>
      <c r="F4336" s="14"/>
      <c r="G4336" s="14"/>
      <c r="H4336" s="15"/>
      <c r="I4336" s="15"/>
      <c r="J4336" s="3"/>
      <c r="K4336" s="3"/>
      <c r="L4336" s="3"/>
      <c r="M4336" s="3"/>
      <c r="N4336" s="3"/>
      <c r="O4336" s="3"/>
      <c r="P4336" s="3"/>
      <c r="Q4336" s="3"/>
      <c r="R4336" s="3"/>
      <c r="S4336" s="3"/>
      <c r="T4336" s="3"/>
      <c r="U4336" s="3"/>
      <c r="V4336" s="3"/>
      <c r="W4336" s="3"/>
      <c r="X4336" s="3"/>
      <c r="Y4336" s="3"/>
      <c r="Z4336" s="3"/>
      <c r="AA4336" s="3"/>
    </row>
    <row r="4337" ht="105.75" customHeight="1">
      <c r="A4337" s="11"/>
      <c r="B4337" s="12"/>
      <c r="C4337" s="11"/>
      <c r="D4337" s="13"/>
      <c r="E4337" s="14"/>
      <c r="F4337" s="14"/>
      <c r="G4337" s="14"/>
      <c r="H4337" s="15"/>
      <c r="I4337" s="15"/>
      <c r="J4337" s="3"/>
      <c r="K4337" s="3"/>
      <c r="L4337" s="3"/>
      <c r="M4337" s="3"/>
      <c r="N4337" s="3"/>
      <c r="O4337" s="3"/>
      <c r="P4337" s="3"/>
      <c r="Q4337" s="3"/>
      <c r="R4337" s="3"/>
      <c r="S4337" s="3"/>
      <c r="T4337" s="3"/>
      <c r="U4337" s="3"/>
      <c r="V4337" s="3"/>
      <c r="W4337" s="3"/>
      <c r="X4337" s="3"/>
      <c r="Y4337" s="3"/>
      <c r="Z4337" s="3"/>
      <c r="AA4337" s="3"/>
    </row>
    <row r="4338" ht="105.75" customHeight="1">
      <c r="A4338" s="11"/>
      <c r="B4338" s="12"/>
      <c r="C4338" s="11"/>
      <c r="D4338" s="13"/>
      <c r="E4338" s="14"/>
      <c r="F4338" s="14"/>
      <c r="G4338" s="14"/>
      <c r="H4338" s="15"/>
      <c r="I4338" s="15"/>
      <c r="J4338" s="3"/>
      <c r="K4338" s="3"/>
      <c r="L4338" s="3"/>
      <c r="M4338" s="3"/>
      <c r="N4338" s="3"/>
      <c r="O4338" s="3"/>
      <c r="P4338" s="3"/>
      <c r="Q4338" s="3"/>
      <c r="R4338" s="3"/>
      <c r="S4338" s="3"/>
      <c r="T4338" s="3"/>
      <c r="U4338" s="3"/>
      <c r="V4338" s="3"/>
      <c r="W4338" s="3"/>
      <c r="X4338" s="3"/>
      <c r="Y4338" s="3"/>
      <c r="Z4338" s="3"/>
      <c r="AA4338" s="3"/>
    </row>
    <row r="4339" ht="105.75" customHeight="1">
      <c r="A4339" s="11"/>
      <c r="B4339" s="12"/>
      <c r="C4339" s="11"/>
      <c r="D4339" s="13"/>
      <c r="E4339" s="14"/>
      <c r="F4339" s="14"/>
      <c r="G4339" s="14"/>
      <c r="H4339" s="15"/>
      <c r="I4339" s="15"/>
      <c r="J4339" s="3"/>
      <c r="K4339" s="3"/>
      <c r="L4339" s="3"/>
      <c r="M4339" s="3"/>
      <c r="N4339" s="3"/>
      <c r="O4339" s="3"/>
      <c r="P4339" s="3"/>
      <c r="Q4339" s="3"/>
      <c r="R4339" s="3"/>
      <c r="S4339" s="3"/>
      <c r="T4339" s="3"/>
      <c r="U4339" s="3"/>
      <c r="V4339" s="3"/>
      <c r="W4339" s="3"/>
      <c r="X4339" s="3"/>
      <c r="Y4339" s="3"/>
      <c r="Z4339" s="3"/>
      <c r="AA4339" s="3"/>
    </row>
    <row r="4340" ht="105.75" customHeight="1">
      <c r="A4340" s="11"/>
      <c r="B4340" s="12"/>
      <c r="C4340" s="11"/>
      <c r="D4340" s="13"/>
      <c r="E4340" s="14"/>
      <c r="F4340" s="14"/>
      <c r="G4340" s="14"/>
      <c r="H4340" s="15"/>
      <c r="I4340" s="15"/>
      <c r="J4340" s="3"/>
      <c r="K4340" s="3"/>
      <c r="L4340" s="3"/>
      <c r="M4340" s="3"/>
      <c r="N4340" s="3"/>
      <c r="O4340" s="3"/>
      <c r="P4340" s="3"/>
      <c r="Q4340" s="3"/>
      <c r="R4340" s="3"/>
      <c r="S4340" s="3"/>
      <c r="T4340" s="3"/>
      <c r="U4340" s="3"/>
      <c r="V4340" s="3"/>
      <c r="W4340" s="3"/>
      <c r="X4340" s="3"/>
      <c r="Y4340" s="3"/>
      <c r="Z4340" s="3"/>
      <c r="AA4340" s="3"/>
    </row>
    <row r="4341" ht="105.75" customHeight="1">
      <c r="A4341" s="11"/>
      <c r="B4341" s="12"/>
      <c r="C4341" s="11"/>
      <c r="D4341" s="13"/>
      <c r="E4341" s="14"/>
      <c r="F4341" s="14"/>
      <c r="G4341" s="14"/>
      <c r="H4341" s="15"/>
      <c r="I4341" s="15"/>
      <c r="J4341" s="3"/>
      <c r="K4341" s="3"/>
      <c r="L4341" s="3"/>
      <c r="M4341" s="3"/>
      <c r="N4341" s="3"/>
      <c r="O4341" s="3"/>
      <c r="P4341" s="3"/>
      <c r="Q4341" s="3"/>
      <c r="R4341" s="3"/>
      <c r="S4341" s="3"/>
      <c r="T4341" s="3"/>
      <c r="U4341" s="3"/>
      <c r="V4341" s="3"/>
      <c r="W4341" s="3"/>
      <c r="X4341" s="3"/>
      <c r="Y4341" s="3"/>
      <c r="Z4341" s="3"/>
      <c r="AA4341" s="3"/>
    </row>
    <row r="4342" ht="105.75" customHeight="1">
      <c r="A4342" s="11"/>
      <c r="B4342" s="12"/>
      <c r="C4342" s="11"/>
      <c r="D4342" s="13"/>
      <c r="E4342" s="14"/>
      <c r="F4342" s="14"/>
      <c r="G4342" s="14"/>
      <c r="H4342" s="15"/>
      <c r="I4342" s="15"/>
      <c r="J4342" s="3"/>
      <c r="K4342" s="3"/>
      <c r="L4342" s="3"/>
      <c r="M4342" s="3"/>
      <c r="N4342" s="3"/>
      <c r="O4342" s="3"/>
      <c r="P4342" s="3"/>
      <c r="Q4342" s="3"/>
      <c r="R4342" s="3"/>
      <c r="S4342" s="3"/>
      <c r="T4342" s="3"/>
      <c r="U4342" s="3"/>
      <c r="V4342" s="3"/>
      <c r="W4342" s="3"/>
      <c r="X4342" s="3"/>
      <c r="Y4342" s="3"/>
      <c r="Z4342" s="3"/>
      <c r="AA4342" s="3"/>
    </row>
    <row r="4343" ht="105.75" customHeight="1">
      <c r="A4343" s="11"/>
      <c r="B4343" s="12"/>
      <c r="C4343" s="11"/>
      <c r="D4343" s="13"/>
      <c r="E4343" s="14"/>
      <c r="F4343" s="14"/>
      <c r="G4343" s="14"/>
      <c r="H4343" s="15"/>
      <c r="I4343" s="15"/>
      <c r="J4343" s="3"/>
      <c r="K4343" s="3"/>
      <c r="L4343" s="3"/>
      <c r="M4343" s="3"/>
      <c r="N4343" s="3"/>
      <c r="O4343" s="3"/>
      <c r="P4343" s="3"/>
      <c r="Q4343" s="3"/>
      <c r="R4343" s="3"/>
      <c r="S4343" s="3"/>
      <c r="T4343" s="3"/>
      <c r="U4343" s="3"/>
      <c r="V4343" s="3"/>
      <c r="W4343" s="3"/>
      <c r="X4343" s="3"/>
      <c r="Y4343" s="3"/>
      <c r="Z4343" s="3"/>
      <c r="AA4343" s="3"/>
    </row>
    <row r="4344" ht="105.75" customHeight="1">
      <c r="A4344" s="11"/>
      <c r="B4344" s="12"/>
      <c r="C4344" s="11"/>
      <c r="D4344" s="13"/>
      <c r="E4344" s="14"/>
      <c r="F4344" s="14"/>
      <c r="G4344" s="14"/>
      <c r="H4344" s="15"/>
      <c r="I4344" s="15"/>
      <c r="J4344" s="3"/>
      <c r="K4344" s="3"/>
      <c r="L4344" s="3"/>
      <c r="M4344" s="3"/>
      <c r="N4344" s="3"/>
      <c r="O4344" s="3"/>
      <c r="P4344" s="3"/>
      <c r="Q4344" s="3"/>
      <c r="R4344" s="3"/>
      <c r="S4344" s="3"/>
      <c r="T4344" s="3"/>
      <c r="U4344" s="3"/>
      <c r="V4344" s="3"/>
      <c r="W4344" s="3"/>
      <c r="X4344" s="3"/>
      <c r="Y4344" s="3"/>
      <c r="Z4344" s="3"/>
      <c r="AA4344" s="3"/>
    </row>
    <row r="4345" ht="105.75" customHeight="1">
      <c r="A4345" s="11"/>
      <c r="B4345" s="12"/>
      <c r="C4345" s="11"/>
      <c r="D4345" s="13"/>
      <c r="E4345" s="14"/>
      <c r="F4345" s="14"/>
      <c r="G4345" s="14"/>
      <c r="H4345" s="15"/>
      <c r="I4345" s="15"/>
      <c r="J4345" s="3"/>
      <c r="K4345" s="3"/>
      <c r="L4345" s="3"/>
      <c r="M4345" s="3"/>
      <c r="N4345" s="3"/>
      <c r="O4345" s="3"/>
      <c r="P4345" s="3"/>
      <c r="Q4345" s="3"/>
      <c r="R4345" s="3"/>
      <c r="S4345" s="3"/>
      <c r="T4345" s="3"/>
      <c r="U4345" s="3"/>
      <c r="V4345" s="3"/>
      <c r="W4345" s="3"/>
      <c r="X4345" s="3"/>
      <c r="Y4345" s="3"/>
      <c r="Z4345" s="3"/>
      <c r="AA4345" s="3"/>
    </row>
    <row r="4346" ht="105.75" customHeight="1">
      <c r="A4346" s="11"/>
      <c r="B4346" s="12"/>
      <c r="C4346" s="11"/>
      <c r="D4346" s="13"/>
      <c r="E4346" s="14"/>
      <c r="F4346" s="14"/>
      <c r="G4346" s="14"/>
      <c r="H4346" s="15"/>
      <c r="I4346" s="15"/>
      <c r="J4346" s="3"/>
      <c r="K4346" s="3"/>
      <c r="L4346" s="3"/>
      <c r="M4346" s="3"/>
      <c r="N4346" s="3"/>
      <c r="O4346" s="3"/>
      <c r="P4346" s="3"/>
      <c r="Q4346" s="3"/>
      <c r="R4346" s="3"/>
      <c r="S4346" s="3"/>
      <c r="T4346" s="3"/>
      <c r="U4346" s="3"/>
      <c r="V4346" s="3"/>
      <c r="W4346" s="3"/>
      <c r="X4346" s="3"/>
      <c r="Y4346" s="3"/>
      <c r="Z4346" s="3"/>
      <c r="AA4346" s="3"/>
    </row>
    <row r="4347" ht="105.75" customHeight="1">
      <c r="A4347" s="11"/>
      <c r="B4347" s="12"/>
      <c r="C4347" s="11"/>
      <c r="D4347" s="13"/>
      <c r="E4347" s="14"/>
      <c r="F4347" s="14"/>
      <c r="G4347" s="14"/>
      <c r="H4347" s="15"/>
      <c r="I4347" s="15"/>
      <c r="J4347" s="3"/>
      <c r="K4347" s="3"/>
      <c r="L4347" s="3"/>
      <c r="M4347" s="3"/>
      <c r="N4347" s="3"/>
      <c r="O4347" s="3"/>
      <c r="P4347" s="3"/>
      <c r="Q4347" s="3"/>
      <c r="R4347" s="3"/>
      <c r="S4347" s="3"/>
      <c r="T4347" s="3"/>
      <c r="U4347" s="3"/>
      <c r="V4347" s="3"/>
      <c r="W4347" s="3"/>
      <c r="X4347" s="3"/>
      <c r="Y4347" s="3"/>
      <c r="Z4347" s="3"/>
      <c r="AA4347" s="3"/>
    </row>
    <row r="4348" ht="105.75" customHeight="1">
      <c r="A4348" s="11"/>
      <c r="B4348" s="12"/>
      <c r="C4348" s="11"/>
      <c r="D4348" s="13"/>
      <c r="E4348" s="14"/>
      <c r="F4348" s="14"/>
      <c r="G4348" s="14"/>
      <c r="H4348" s="15"/>
      <c r="I4348" s="15"/>
      <c r="J4348" s="3"/>
      <c r="K4348" s="3"/>
      <c r="L4348" s="3"/>
      <c r="M4348" s="3"/>
      <c r="N4348" s="3"/>
      <c r="O4348" s="3"/>
      <c r="P4348" s="3"/>
      <c r="Q4348" s="3"/>
      <c r="R4348" s="3"/>
      <c r="S4348" s="3"/>
      <c r="T4348" s="3"/>
      <c r="U4348" s="3"/>
      <c r="V4348" s="3"/>
      <c r="W4348" s="3"/>
      <c r="X4348" s="3"/>
      <c r="Y4348" s="3"/>
      <c r="Z4348" s="3"/>
      <c r="AA4348" s="3"/>
    </row>
    <row r="4349" ht="105.75" customHeight="1">
      <c r="A4349" s="11"/>
      <c r="B4349" s="12"/>
      <c r="C4349" s="11"/>
      <c r="D4349" s="13"/>
      <c r="E4349" s="14"/>
      <c r="F4349" s="14"/>
      <c r="G4349" s="14"/>
      <c r="H4349" s="15"/>
      <c r="I4349" s="15"/>
      <c r="J4349" s="3"/>
      <c r="K4349" s="3"/>
      <c r="L4349" s="3"/>
      <c r="M4349" s="3"/>
      <c r="N4349" s="3"/>
      <c r="O4349" s="3"/>
      <c r="P4349" s="3"/>
      <c r="Q4349" s="3"/>
      <c r="R4349" s="3"/>
      <c r="S4349" s="3"/>
      <c r="T4349" s="3"/>
      <c r="U4349" s="3"/>
      <c r="V4349" s="3"/>
      <c r="W4349" s="3"/>
      <c r="X4349" s="3"/>
      <c r="Y4349" s="3"/>
      <c r="Z4349" s="3"/>
      <c r="AA4349" s="3"/>
    </row>
    <row r="4350" ht="105.75" customHeight="1">
      <c r="A4350" s="11"/>
      <c r="B4350" s="12"/>
      <c r="C4350" s="11"/>
      <c r="D4350" s="13"/>
      <c r="E4350" s="14"/>
      <c r="F4350" s="14"/>
      <c r="G4350" s="14"/>
      <c r="H4350" s="15"/>
      <c r="I4350" s="15"/>
      <c r="J4350" s="3"/>
      <c r="K4350" s="3"/>
      <c r="L4350" s="3"/>
      <c r="M4350" s="3"/>
      <c r="N4350" s="3"/>
      <c r="O4350" s="3"/>
      <c r="P4350" s="3"/>
      <c r="Q4350" s="3"/>
      <c r="R4350" s="3"/>
      <c r="S4350" s="3"/>
      <c r="T4350" s="3"/>
      <c r="U4350" s="3"/>
      <c r="V4350" s="3"/>
      <c r="W4350" s="3"/>
      <c r="X4350" s="3"/>
      <c r="Y4350" s="3"/>
      <c r="Z4350" s="3"/>
      <c r="AA4350" s="3"/>
    </row>
    <row r="4351" ht="105.75" customHeight="1">
      <c r="A4351" s="11"/>
      <c r="B4351" s="12"/>
      <c r="C4351" s="11"/>
      <c r="D4351" s="13"/>
      <c r="E4351" s="14"/>
      <c r="F4351" s="14"/>
      <c r="G4351" s="14"/>
      <c r="H4351" s="15"/>
      <c r="I4351" s="15"/>
      <c r="J4351" s="3"/>
      <c r="K4351" s="3"/>
      <c r="L4351" s="3"/>
      <c r="M4351" s="3"/>
      <c r="N4351" s="3"/>
      <c r="O4351" s="3"/>
      <c r="P4351" s="3"/>
      <c r="Q4351" s="3"/>
      <c r="R4351" s="3"/>
      <c r="S4351" s="3"/>
      <c r="T4351" s="3"/>
      <c r="U4351" s="3"/>
      <c r="V4351" s="3"/>
      <c r="W4351" s="3"/>
      <c r="X4351" s="3"/>
      <c r="Y4351" s="3"/>
      <c r="Z4351" s="3"/>
      <c r="AA4351" s="3"/>
    </row>
    <row r="4352" ht="105.75" customHeight="1">
      <c r="A4352" s="11"/>
      <c r="B4352" s="12"/>
      <c r="C4352" s="11"/>
      <c r="D4352" s="13"/>
      <c r="E4352" s="14"/>
      <c r="F4352" s="14"/>
      <c r="G4352" s="14"/>
      <c r="H4352" s="15"/>
      <c r="I4352" s="15"/>
      <c r="J4352" s="3"/>
      <c r="K4352" s="3"/>
      <c r="L4352" s="3"/>
      <c r="M4352" s="3"/>
      <c r="N4352" s="3"/>
      <c r="O4352" s="3"/>
      <c r="P4352" s="3"/>
      <c r="Q4352" s="3"/>
      <c r="R4352" s="3"/>
      <c r="S4352" s="3"/>
      <c r="T4352" s="3"/>
      <c r="U4352" s="3"/>
      <c r="V4352" s="3"/>
      <c r="W4352" s="3"/>
      <c r="X4352" s="3"/>
      <c r="Y4352" s="3"/>
      <c r="Z4352" s="3"/>
      <c r="AA4352" s="3"/>
    </row>
    <row r="4353" ht="105.75" customHeight="1">
      <c r="A4353" s="11"/>
      <c r="B4353" s="12"/>
      <c r="C4353" s="11"/>
      <c r="D4353" s="13"/>
      <c r="E4353" s="14"/>
      <c r="F4353" s="14"/>
      <c r="G4353" s="14"/>
      <c r="H4353" s="15"/>
      <c r="I4353" s="15"/>
      <c r="J4353" s="3"/>
      <c r="K4353" s="3"/>
      <c r="L4353" s="3"/>
      <c r="M4353" s="3"/>
      <c r="N4353" s="3"/>
      <c r="O4353" s="3"/>
      <c r="P4353" s="3"/>
      <c r="Q4353" s="3"/>
      <c r="R4353" s="3"/>
      <c r="S4353" s="3"/>
      <c r="T4353" s="3"/>
      <c r="U4353" s="3"/>
      <c r="V4353" s="3"/>
      <c r="W4353" s="3"/>
      <c r="X4353" s="3"/>
      <c r="Y4353" s="3"/>
      <c r="Z4353" s="3"/>
      <c r="AA4353" s="3"/>
    </row>
    <row r="4354" ht="105.75" customHeight="1">
      <c r="A4354" s="11"/>
      <c r="B4354" s="12"/>
      <c r="C4354" s="11"/>
      <c r="D4354" s="13"/>
      <c r="E4354" s="14"/>
      <c r="F4354" s="14"/>
      <c r="G4354" s="14"/>
      <c r="H4354" s="15"/>
      <c r="I4354" s="15"/>
      <c r="J4354" s="3"/>
      <c r="K4354" s="3"/>
      <c r="L4354" s="3"/>
      <c r="M4354" s="3"/>
      <c r="N4354" s="3"/>
      <c r="O4354" s="3"/>
      <c r="P4354" s="3"/>
      <c r="Q4354" s="3"/>
      <c r="R4354" s="3"/>
      <c r="S4354" s="3"/>
      <c r="T4354" s="3"/>
      <c r="U4354" s="3"/>
      <c r="V4354" s="3"/>
      <c r="W4354" s="3"/>
      <c r="X4354" s="3"/>
      <c r="Y4354" s="3"/>
      <c r="Z4354" s="3"/>
      <c r="AA4354" s="3"/>
    </row>
    <row r="4355" ht="105.75" customHeight="1">
      <c r="A4355" s="11"/>
      <c r="B4355" s="12"/>
      <c r="C4355" s="11"/>
      <c r="D4355" s="13"/>
      <c r="E4355" s="14"/>
      <c r="F4355" s="14"/>
      <c r="G4355" s="14"/>
      <c r="H4355" s="15"/>
      <c r="I4355" s="15"/>
      <c r="J4355" s="3"/>
      <c r="K4355" s="3"/>
      <c r="L4355" s="3"/>
      <c r="M4355" s="3"/>
      <c r="N4355" s="3"/>
      <c r="O4355" s="3"/>
      <c r="P4355" s="3"/>
      <c r="Q4355" s="3"/>
      <c r="R4355" s="3"/>
      <c r="S4355" s="3"/>
      <c r="T4355" s="3"/>
      <c r="U4355" s="3"/>
      <c r="V4355" s="3"/>
      <c r="W4355" s="3"/>
      <c r="X4355" s="3"/>
      <c r="Y4355" s="3"/>
      <c r="Z4355" s="3"/>
      <c r="AA4355" s="3"/>
    </row>
    <row r="4356" ht="105.75" customHeight="1">
      <c r="A4356" s="11"/>
      <c r="B4356" s="12"/>
      <c r="C4356" s="11"/>
      <c r="D4356" s="13"/>
      <c r="E4356" s="14"/>
      <c r="F4356" s="14"/>
      <c r="G4356" s="14"/>
      <c r="H4356" s="15"/>
      <c r="I4356" s="15"/>
      <c r="J4356" s="3"/>
      <c r="K4356" s="3"/>
      <c r="L4356" s="3"/>
      <c r="M4356" s="3"/>
      <c r="N4356" s="3"/>
      <c r="O4356" s="3"/>
      <c r="P4356" s="3"/>
      <c r="Q4356" s="3"/>
      <c r="R4356" s="3"/>
      <c r="S4356" s="3"/>
      <c r="T4356" s="3"/>
      <c r="U4356" s="3"/>
      <c r="V4356" s="3"/>
      <c r="W4356" s="3"/>
      <c r="X4356" s="3"/>
      <c r="Y4356" s="3"/>
      <c r="Z4356" s="3"/>
      <c r="AA4356" s="3"/>
    </row>
    <row r="4357" ht="105.75" customHeight="1">
      <c r="A4357" s="11"/>
      <c r="B4357" s="12"/>
      <c r="C4357" s="11"/>
      <c r="D4357" s="13"/>
      <c r="E4357" s="14"/>
      <c r="F4357" s="14"/>
      <c r="G4357" s="14"/>
      <c r="H4357" s="15"/>
      <c r="I4357" s="15"/>
      <c r="J4357" s="3"/>
      <c r="K4357" s="3"/>
      <c r="L4357" s="3"/>
      <c r="M4357" s="3"/>
      <c r="N4357" s="3"/>
      <c r="O4357" s="3"/>
      <c r="P4357" s="3"/>
      <c r="Q4357" s="3"/>
      <c r="R4357" s="3"/>
      <c r="S4357" s="3"/>
      <c r="T4357" s="3"/>
      <c r="U4357" s="3"/>
      <c r="V4357" s="3"/>
      <c r="W4357" s="3"/>
      <c r="X4357" s="3"/>
      <c r="Y4357" s="3"/>
      <c r="Z4357" s="3"/>
      <c r="AA4357" s="3"/>
    </row>
    <row r="4358" ht="105.75" customHeight="1">
      <c r="A4358" s="11"/>
      <c r="B4358" s="12"/>
      <c r="C4358" s="11"/>
      <c r="D4358" s="13"/>
      <c r="E4358" s="14"/>
      <c r="F4358" s="14"/>
      <c r="G4358" s="14"/>
      <c r="H4358" s="15"/>
      <c r="I4358" s="15"/>
      <c r="J4358" s="3"/>
      <c r="K4358" s="3"/>
      <c r="L4358" s="3"/>
      <c r="M4358" s="3"/>
      <c r="N4358" s="3"/>
      <c r="O4358" s="3"/>
      <c r="P4358" s="3"/>
      <c r="Q4358" s="3"/>
      <c r="R4358" s="3"/>
      <c r="S4358" s="3"/>
      <c r="T4358" s="3"/>
      <c r="U4358" s="3"/>
      <c r="V4358" s="3"/>
      <c r="W4358" s="3"/>
      <c r="X4358" s="3"/>
      <c r="Y4358" s="3"/>
      <c r="Z4358" s="3"/>
      <c r="AA4358" s="3"/>
    </row>
    <row r="4359" ht="105.75" customHeight="1">
      <c r="A4359" s="11"/>
      <c r="B4359" s="12"/>
      <c r="C4359" s="11"/>
      <c r="D4359" s="13"/>
      <c r="E4359" s="14"/>
      <c r="F4359" s="14"/>
      <c r="G4359" s="14"/>
      <c r="H4359" s="15"/>
      <c r="I4359" s="15"/>
      <c r="J4359" s="3"/>
      <c r="K4359" s="3"/>
      <c r="L4359" s="3"/>
      <c r="M4359" s="3"/>
      <c r="N4359" s="3"/>
      <c r="O4359" s="3"/>
      <c r="P4359" s="3"/>
      <c r="Q4359" s="3"/>
      <c r="R4359" s="3"/>
      <c r="S4359" s="3"/>
      <c r="T4359" s="3"/>
      <c r="U4359" s="3"/>
      <c r="V4359" s="3"/>
      <c r="W4359" s="3"/>
      <c r="X4359" s="3"/>
      <c r="Y4359" s="3"/>
      <c r="Z4359" s="3"/>
      <c r="AA4359" s="3"/>
    </row>
    <row r="4360" ht="105.75" customHeight="1">
      <c r="A4360" s="11"/>
      <c r="B4360" s="12"/>
      <c r="C4360" s="11"/>
      <c r="D4360" s="13"/>
      <c r="E4360" s="14"/>
      <c r="F4360" s="14"/>
      <c r="G4360" s="14"/>
      <c r="H4360" s="15"/>
      <c r="I4360" s="15"/>
      <c r="J4360" s="3"/>
      <c r="K4360" s="3"/>
      <c r="L4360" s="3"/>
      <c r="M4360" s="3"/>
      <c r="N4360" s="3"/>
      <c r="O4360" s="3"/>
      <c r="P4360" s="3"/>
      <c r="Q4360" s="3"/>
      <c r="R4360" s="3"/>
      <c r="S4360" s="3"/>
      <c r="T4360" s="3"/>
      <c r="U4360" s="3"/>
      <c r="V4360" s="3"/>
      <c r="W4360" s="3"/>
      <c r="X4360" s="3"/>
      <c r="Y4360" s="3"/>
      <c r="Z4360" s="3"/>
      <c r="AA4360" s="3"/>
    </row>
    <row r="4361" ht="105.75" customHeight="1">
      <c r="A4361" s="11"/>
      <c r="B4361" s="12"/>
      <c r="C4361" s="11"/>
      <c r="D4361" s="13"/>
      <c r="E4361" s="14"/>
      <c r="F4361" s="14"/>
      <c r="G4361" s="14"/>
      <c r="H4361" s="15"/>
      <c r="I4361" s="15"/>
      <c r="J4361" s="3"/>
      <c r="K4361" s="3"/>
      <c r="L4361" s="3"/>
      <c r="M4361" s="3"/>
      <c r="N4361" s="3"/>
      <c r="O4361" s="3"/>
      <c r="P4361" s="3"/>
      <c r="Q4361" s="3"/>
      <c r="R4361" s="3"/>
      <c r="S4361" s="3"/>
      <c r="T4361" s="3"/>
      <c r="U4361" s="3"/>
      <c r="V4361" s="3"/>
      <c r="W4361" s="3"/>
      <c r="X4361" s="3"/>
      <c r="Y4361" s="3"/>
      <c r="Z4361" s="3"/>
      <c r="AA4361" s="3"/>
    </row>
    <row r="4362" ht="105.75" customHeight="1">
      <c r="A4362" s="11"/>
      <c r="B4362" s="12"/>
      <c r="C4362" s="11"/>
      <c r="D4362" s="13"/>
      <c r="E4362" s="14"/>
      <c r="F4362" s="14"/>
      <c r="G4362" s="14"/>
      <c r="H4362" s="15"/>
      <c r="I4362" s="15"/>
      <c r="J4362" s="3"/>
      <c r="K4362" s="3"/>
      <c r="L4362" s="3"/>
      <c r="M4362" s="3"/>
      <c r="N4362" s="3"/>
      <c r="O4362" s="3"/>
      <c r="P4362" s="3"/>
      <c r="Q4362" s="3"/>
      <c r="R4362" s="3"/>
      <c r="S4362" s="3"/>
      <c r="T4362" s="3"/>
      <c r="U4362" s="3"/>
      <c r="V4362" s="3"/>
      <c r="W4362" s="3"/>
      <c r="X4362" s="3"/>
      <c r="Y4362" s="3"/>
      <c r="Z4362" s="3"/>
      <c r="AA4362" s="3"/>
    </row>
    <row r="4363" ht="105.75" customHeight="1">
      <c r="A4363" s="11"/>
      <c r="B4363" s="12"/>
      <c r="C4363" s="11"/>
      <c r="D4363" s="13"/>
      <c r="E4363" s="14"/>
      <c r="F4363" s="14"/>
      <c r="G4363" s="14"/>
      <c r="H4363" s="15"/>
      <c r="I4363" s="15"/>
      <c r="J4363" s="3"/>
      <c r="K4363" s="3"/>
      <c r="L4363" s="3"/>
      <c r="M4363" s="3"/>
      <c r="N4363" s="3"/>
      <c r="O4363" s="3"/>
      <c r="P4363" s="3"/>
      <c r="Q4363" s="3"/>
      <c r="R4363" s="3"/>
      <c r="S4363" s="3"/>
      <c r="T4363" s="3"/>
      <c r="U4363" s="3"/>
      <c r="V4363" s="3"/>
      <c r="W4363" s="3"/>
      <c r="X4363" s="3"/>
      <c r="Y4363" s="3"/>
      <c r="Z4363" s="3"/>
      <c r="AA4363" s="3"/>
    </row>
    <row r="4364" ht="105.75" customHeight="1">
      <c r="A4364" s="11"/>
      <c r="B4364" s="12"/>
      <c r="C4364" s="11"/>
      <c r="D4364" s="13"/>
      <c r="E4364" s="14"/>
      <c r="F4364" s="14"/>
      <c r="G4364" s="14"/>
      <c r="H4364" s="15"/>
      <c r="I4364" s="15"/>
      <c r="J4364" s="3"/>
      <c r="K4364" s="3"/>
      <c r="L4364" s="3"/>
      <c r="M4364" s="3"/>
      <c r="N4364" s="3"/>
      <c r="O4364" s="3"/>
      <c r="P4364" s="3"/>
      <c r="Q4364" s="3"/>
      <c r="R4364" s="3"/>
      <c r="S4364" s="3"/>
      <c r="T4364" s="3"/>
      <c r="U4364" s="3"/>
      <c r="V4364" s="3"/>
      <c r="W4364" s="3"/>
      <c r="X4364" s="3"/>
      <c r="Y4364" s="3"/>
      <c r="Z4364" s="3"/>
      <c r="AA4364" s="3"/>
    </row>
    <row r="4365" ht="105.75" customHeight="1">
      <c r="A4365" s="11"/>
      <c r="B4365" s="12"/>
      <c r="C4365" s="11"/>
      <c r="D4365" s="13"/>
      <c r="E4365" s="14"/>
      <c r="F4365" s="14"/>
      <c r="G4365" s="14"/>
      <c r="H4365" s="15"/>
      <c r="I4365" s="15"/>
      <c r="J4365" s="3"/>
      <c r="K4365" s="3"/>
      <c r="L4365" s="3"/>
      <c r="M4365" s="3"/>
      <c r="N4365" s="3"/>
      <c r="O4365" s="3"/>
      <c r="P4365" s="3"/>
      <c r="Q4365" s="3"/>
      <c r="R4365" s="3"/>
      <c r="S4365" s="3"/>
      <c r="T4365" s="3"/>
      <c r="U4365" s="3"/>
      <c r="V4365" s="3"/>
      <c r="W4365" s="3"/>
      <c r="X4365" s="3"/>
      <c r="Y4365" s="3"/>
      <c r="Z4365" s="3"/>
      <c r="AA4365" s="3"/>
    </row>
    <row r="4366" ht="105.75" customHeight="1">
      <c r="A4366" s="11"/>
      <c r="B4366" s="12"/>
      <c r="C4366" s="11"/>
      <c r="D4366" s="13"/>
      <c r="E4366" s="14"/>
      <c r="F4366" s="14"/>
      <c r="G4366" s="14"/>
      <c r="H4366" s="15"/>
      <c r="I4366" s="15"/>
      <c r="J4366" s="3"/>
      <c r="K4366" s="3"/>
      <c r="L4366" s="3"/>
      <c r="M4366" s="3"/>
      <c r="N4366" s="3"/>
      <c r="O4366" s="3"/>
      <c r="P4366" s="3"/>
      <c r="Q4366" s="3"/>
      <c r="R4366" s="3"/>
      <c r="S4366" s="3"/>
      <c r="T4366" s="3"/>
      <c r="U4366" s="3"/>
      <c r="V4366" s="3"/>
      <c r="W4366" s="3"/>
      <c r="X4366" s="3"/>
      <c r="Y4366" s="3"/>
      <c r="Z4366" s="3"/>
      <c r="AA4366" s="3"/>
    </row>
    <row r="4367" ht="105.75" customHeight="1">
      <c r="A4367" s="11"/>
      <c r="B4367" s="12"/>
      <c r="C4367" s="11"/>
      <c r="D4367" s="13"/>
      <c r="E4367" s="14"/>
      <c r="F4367" s="14"/>
      <c r="G4367" s="14"/>
      <c r="H4367" s="15"/>
      <c r="I4367" s="15"/>
      <c r="J4367" s="3"/>
      <c r="K4367" s="3"/>
      <c r="L4367" s="3"/>
      <c r="M4367" s="3"/>
      <c r="N4367" s="3"/>
      <c r="O4367" s="3"/>
      <c r="P4367" s="3"/>
      <c r="Q4367" s="3"/>
      <c r="R4367" s="3"/>
      <c r="S4367" s="3"/>
      <c r="T4367" s="3"/>
      <c r="U4367" s="3"/>
      <c r="V4367" s="3"/>
      <c r="W4367" s="3"/>
      <c r="X4367" s="3"/>
      <c r="Y4367" s="3"/>
      <c r="Z4367" s="3"/>
      <c r="AA4367" s="3"/>
    </row>
    <row r="4368" ht="105.75" customHeight="1">
      <c r="A4368" s="11"/>
      <c r="B4368" s="12"/>
      <c r="C4368" s="11"/>
      <c r="D4368" s="13"/>
      <c r="E4368" s="14"/>
      <c r="F4368" s="14"/>
      <c r="G4368" s="14"/>
      <c r="H4368" s="15"/>
      <c r="I4368" s="15"/>
      <c r="J4368" s="3"/>
      <c r="K4368" s="3"/>
      <c r="L4368" s="3"/>
      <c r="M4368" s="3"/>
      <c r="N4368" s="3"/>
      <c r="O4368" s="3"/>
      <c r="P4368" s="3"/>
      <c r="Q4368" s="3"/>
      <c r="R4368" s="3"/>
      <c r="S4368" s="3"/>
      <c r="T4368" s="3"/>
      <c r="U4368" s="3"/>
      <c r="V4368" s="3"/>
      <c r="W4368" s="3"/>
      <c r="X4368" s="3"/>
      <c r="Y4368" s="3"/>
      <c r="Z4368" s="3"/>
      <c r="AA4368" s="3"/>
    </row>
    <row r="4369" ht="105.75" customHeight="1">
      <c r="A4369" s="11"/>
      <c r="B4369" s="12"/>
      <c r="C4369" s="11"/>
      <c r="D4369" s="13"/>
      <c r="E4369" s="14"/>
      <c r="F4369" s="14"/>
      <c r="G4369" s="14"/>
      <c r="H4369" s="15"/>
      <c r="I4369" s="15"/>
      <c r="J4369" s="3"/>
      <c r="K4369" s="3"/>
      <c r="L4369" s="3"/>
      <c r="M4369" s="3"/>
      <c r="N4369" s="3"/>
      <c r="O4369" s="3"/>
      <c r="P4369" s="3"/>
      <c r="Q4369" s="3"/>
      <c r="R4369" s="3"/>
      <c r="S4369" s="3"/>
      <c r="T4369" s="3"/>
      <c r="U4369" s="3"/>
      <c r="V4369" s="3"/>
      <c r="W4369" s="3"/>
      <c r="X4369" s="3"/>
      <c r="Y4369" s="3"/>
      <c r="Z4369" s="3"/>
      <c r="AA4369" s="3"/>
    </row>
    <row r="4370" ht="105.75" customHeight="1">
      <c r="A4370" s="11"/>
      <c r="B4370" s="12"/>
      <c r="C4370" s="11"/>
      <c r="D4370" s="13"/>
      <c r="E4370" s="14"/>
      <c r="F4370" s="14"/>
      <c r="G4370" s="14"/>
      <c r="H4370" s="15"/>
      <c r="I4370" s="15"/>
      <c r="J4370" s="3"/>
      <c r="K4370" s="3"/>
      <c r="L4370" s="3"/>
      <c r="M4370" s="3"/>
      <c r="N4370" s="3"/>
      <c r="O4370" s="3"/>
      <c r="P4370" s="3"/>
      <c r="Q4370" s="3"/>
      <c r="R4370" s="3"/>
      <c r="S4370" s="3"/>
      <c r="T4370" s="3"/>
      <c r="U4370" s="3"/>
      <c r="V4370" s="3"/>
      <c r="W4370" s="3"/>
      <c r="X4370" s="3"/>
      <c r="Y4370" s="3"/>
      <c r="Z4370" s="3"/>
      <c r="AA4370" s="3"/>
    </row>
    <row r="4371" ht="105.75" customHeight="1">
      <c r="A4371" s="11"/>
      <c r="B4371" s="12"/>
      <c r="C4371" s="11"/>
      <c r="D4371" s="13"/>
      <c r="E4371" s="14"/>
      <c r="F4371" s="14"/>
      <c r="G4371" s="14"/>
      <c r="H4371" s="15"/>
      <c r="I4371" s="15"/>
      <c r="J4371" s="3"/>
      <c r="K4371" s="3"/>
      <c r="L4371" s="3"/>
      <c r="M4371" s="3"/>
      <c r="N4371" s="3"/>
      <c r="O4371" s="3"/>
      <c r="P4371" s="3"/>
      <c r="Q4371" s="3"/>
      <c r="R4371" s="3"/>
      <c r="S4371" s="3"/>
      <c r="T4371" s="3"/>
      <c r="U4371" s="3"/>
      <c r="V4371" s="3"/>
      <c r="W4371" s="3"/>
      <c r="X4371" s="3"/>
      <c r="Y4371" s="3"/>
      <c r="Z4371" s="3"/>
      <c r="AA4371" s="3"/>
    </row>
    <row r="4372" ht="105.75" customHeight="1">
      <c r="A4372" s="11"/>
      <c r="B4372" s="12"/>
      <c r="C4372" s="11"/>
      <c r="D4372" s="13"/>
      <c r="E4372" s="14"/>
      <c r="F4372" s="14"/>
      <c r="G4372" s="14"/>
      <c r="H4372" s="15"/>
      <c r="I4372" s="15"/>
      <c r="J4372" s="3"/>
      <c r="K4372" s="3"/>
      <c r="L4372" s="3"/>
      <c r="M4372" s="3"/>
      <c r="N4372" s="3"/>
      <c r="O4372" s="3"/>
      <c r="P4372" s="3"/>
      <c r="Q4372" s="3"/>
      <c r="R4372" s="3"/>
      <c r="S4372" s="3"/>
      <c r="T4372" s="3"/>
      <c r="U4372" s="3"/>
      <c r="V4372" s="3"/>
      <c r="W4372" s="3"/>
      <c r="X4372" s="3"/>
      <c r="Y4372" s="3"/>
      <c r="Z4372" s="3"/>
      <c r="AA4372" s="3"/>
    </row>
    <row r="4373" ht="105.75" customHeight="1">
      <c r="A4373" s="11"/>
      <c r="B4373" s="12"/>
      <c r="C4373" s="11"/>
      <c r="D4373" s="13"/>
      <c r="E4373" s="14"/>
      <c r="F4373" s="14"/>
      <c r="G4373" s="14"/>
      <c r="H4373" s="15"/>
      <c r="I4373" s="15"/>
      <c r="J4373" s="3"/>
      <c r="K4373" s="3"/>
      <c r="L4373" s="3"/>
      <c r="M4373" s="3"/>
      <c r="N4373" s="3"/>
      <c r="O4373" s="3"/>
      <c r="P4373" s="3"/>
      <c r="Q4373" s="3"/>
      <c r="R4373" s="3"/>
      <c r="S4373" s="3"/>
      <c r="T4373" s="3"/>
      <c r="U4373" s="3"/>
      <c r="V4373" s="3"/>
      <c r="W4373" s="3"/>
      <c r="X4373" s="3"/>
      <c r="Y4373" s="3"/>
      <c r="Z4373" s="3"/>
      <c r="AA4373" s="3"/>
    </row>
    <row r="4374" ht="105.75" customHeight="1">
      <c r="A4374" s="11"/>
      <c r="B4374" s="12"/>
      <c r="C4374" s="11"/>
      <c r="D4374" s="13"/>
      <c r="E4374" s="14"/>
      <c r="F4374" s="14"/>
      <c r="G4374" s="14"/>
      <c r="H4374" s="15"/>
      <c r="I4374" s="15"/>
      <c r="J4374" s="3"/>
      <c r="K4374" s="3"/>
      <c r="L4374" s="3"/>
      <c r="M4374" s="3"/>
      <c r="N4374" s="3"/>
      <c r="O4374" s="3"/>
      <c r="P4374" s="3"/>
      <c r="Q4374" s="3"/>
      <c r="R4374" s="3"/>
      <c r="S4374" s="3"/>
      <c r="T4374" s="3"/>
      <c r="U4374" s="3"/>
      <c r="V4374" s="3"/>
      <c r="W4374" s="3"/>
      <c r="X4374" s="3"/>
      <c r="Y4374" s="3"/>
      <c r="Z4374" s="3"/>
      <c r="AA4374" s="3"/>
    </row>
    <row r="4375" ht="105.75" customHeight="1">
      <c r="A4375" s="11"/>
      <c r="B4375" s="12"/>
      <c r="C4375" s="11"/>
      <c r="D4375" s="13"/>
      <c r="E4375" s="14"/>
      <c r="F4375" s="14"/>
      <c r="G4375" s="14"/>
      <c r="H4375" s="15"/>
      <c r="I4375" s="15"/>
      <c r="J4375" s="3"/>
      <c r="K4375" s="3"/>
      <c r="L4375" s="3"/>
      <c r="M4375" s="3"/>
      <c r="N4375" s="3"/>
      <c r="O4375" s="3"/>
      <c r="P4375" s="3"/>
      <c r="Q4375" s="3"/>
      <c r="R4375" s="3"/>
      <c r="S4375" s="3"/>
      <c r="T4375" s="3"/>
      <c r="U4375" s="3"/>
      <c r="V4375" s="3"/>
      <c r="W4375" s="3"/>
      <c r="X4375" s="3"/>
      <c r="Y4375" s="3"/>
      <c r="Z4375" s="3"/>
      <c r="AA4375" s="3"/>
    </row>
    <row r="4376" ht="105.75" customHeight="1">
      <c r="A4376" s="11"/>
      <c r="B4376" s="12"/>
      <c r="C4376" s="11"/>
      <c r="D4376" s="13"/>
      <c r="E4376" s="14"/>
      <c r="F4376" s="14"/>
      <c r="G4376" s="14"/>
      <c r="H4376" s="15"/>
      <c r="I4376" s="15"/>
      <c r="J4376" s="3"/>
      <c r="K4376" s="3"/>
      <c r="L4376" s="3"/>
      <c r="M4376" s="3"/>
      <c r="N4376" s="3"/>
      <c r="O4376" s="3"/>
      <c r="P4376" s="3"/>
      <c r="Q4376" s="3"/>
      <c r="R4376" s="3"/>
      <c r="S4376" s="3"/>
      <c r="T4376" s="3"/>
      <c r="U4376" s="3"/>
      <c r="V4376" s="3"/>
      <c r="W4376" s="3"/>
      <c r="X4376" s="3"/>
      <c r="Y4376" s="3"/>
      <c r="Z4376" s="3"/>
      <c r="AA4376" s="3"/>
    </row>
    <row r="4377" ht="105.75" customHeight="1">
      <c r="A4377" s="11"/>
      <c r="B4377" s="12"/>
      <c r="C4377" s="11"/>
      <c r="D4377" s="13"/>
      <c r="E4377" s="14"/>
      <c r="F4377" s="14"/>
      <c r="G4377" s="14"/>
      <c r="H4377" s="15"/>
      <c r="I4377" s="15"/>
      <c r="J4377" s="3"/>
      <c r="K4377" s="3"/>
      <c r="L4377" s="3"/>
      <c r="M4377" s="3"/>
      <c r="N4377" s="3"/>
      <c r="O4377" s="3"/>
      <c r="P4377" s="3"/>
      <c r="Q4377" s="3"/>
      <c r="R4377" s="3"/>
      <c r="S4377" s="3"/>
      <c r="T4377" s="3"/>
      <c r="U4377" s="3"/>
      <c r="V4377" s="3"/>
      <c r="W4377" s="3"/>
      <c r="X4377" s="3"/>
      <c r="Y4377" s="3"/>
      <c r="Z4377" s="3"/>
      <c r="AA4377" s="3"/>
    </row>
    <row r="4378" ht="105.75" customHeight="1">
      <c r="A4378" s="11"/>
      <c r="B4378" s="12"/>
      <c r="C4378" s="11"/>
      <c r="D4378" s="13"/>
      <c r="E4378" s="14"/>
      <c r="F4378" s="14"/>
      <c r="G4378" s="14"/>
      <c r="H4378" s="15"/>
      <c r="I4378" s="15"/>
      <c r="J4378" s="3"/>
      <c r="K4378" s="3"/>
      <c r="L4378" s="3"/>
      <c r="M4378" s="3"/>
      <c r="N4378" s="3"/>
      <c r="O4378" s="3"/>
      <c r="P4378" s="3"/>
      <c r="Q4378" s="3"/>
      <c r="R4378" s="3"/>
      <c r="S4378" s="3"/>
      <c r="T4378" s="3"/>
      <c r="U4378" s="3"/>
      <c r="V4378" s="3"/>
      <c r="W4378" s="3"/>
      <c r="X4378" s="3"/>
      <c r="Y4378" s="3"/>
      <c r="Z4378" s="3"/>
      <c r="AA4378" s="3"/>
    </row>
    <row r="4379" ht="105.75" customHeight="1">
      <c r="A4379" s="11"/>
      <c r="B4379" s="12"/>
      <c r="C4379" s="11"/>
      <c r="D4379" s="13"/>
      <c r="E4379" s="14"/>
      <c r="F4379" s="14"/>
      <c r="G4379" s="14"/>
      <c r="H4379" s="15"/>
      <c r="I4379" s="15"/>
      <c r="J4379" s="3"/>
      <c r="K4379" s="3"/>
      <c r="L4379" s="3"/>
      <c r="M4379" s="3"/>
      <c r="N4379" s="3"/>
      <c r="O4379" s="3"/>
      <c r="P4379" s="3"/>
      <c r="Q4379" s="3"/>
      <c r="R4379" s="3"/>
      <c r="S4379" s="3"/>
      <c r="T4379" s="3"/>
      <c r="U4379" s="3"/>
      <c r="V4379" s="3"/>
      <c r="W4379" s="3"/>
      <c r="X4379" s="3"/>
      <c r="Y4379" s="3"/>
      <c r="Z4379" s="3"/>
      <c r="AA4379" s="3"/>
    </row>
    <row r="4380" ht="105.75" customHeight="1">
      <c r="A4380" s="11"/>
      <c r="B4380" s="12"/>
      <c r="C4380" s="11"/>
      <c r="D4380" s="13"/>
      <c r="E4380" s="14"/>
      <c r="F4380" s="14"/>
      <c r="G4380" s="14"/>
      <c r="H4380" s="15"/>
      <c r="I4380" s="15"/>
      <c r="J4380" s="3"/>
      <c r="K4380" s="3"/>
      <c r="L4380" s="3"/>
      <c r="M4380" s="3"/>
      <c r="N4380" s="3"/>
      <c r="O4380" s="3"/>
      <c r="P4380" s="3"/>
      <c r="Q4380" s="3"/>
      <c r="R4380" s="3"/>
      <c r="S4380" s="3"/>
      <c r="T4380" s="3"/>
      <c r="U4380" s="3"/>
      <c r="V4380" s="3"/>
      <c r="W4380" s="3"/>
      <c r="X4380" s="3"/>
      <c r="Y4380" s="3"/>
      <c r="Z4380" s="3"/>
      <c r="AA4380" s="3"/>
    </row>
    <row r="4381" ht="105.75" customHeight="1">
      <c r="A4381" s="11"/>
      <c r="B4381" s="12"/>
      <c r="C4381" s="11"/>
      <c r="D4381" s="13"/>
      <c r="E4381" s="14"/>
      <c r="F4381" s="14"/>
      <c r="G4381" s="14"/>
      <c r="H4381" s="15"/>
      <c r="I4381" s="15"/>
      <c r="J4381" s="3"/>
      <c r="K4381" s="3"/>
      <c r="L4381" s="3"/>
      <c r="M4381" s="3"/>
      <c r="N4381" s="3"/>
      <c r="O4381" s="3"/>
      <c r="P4381" s="3"/>
      <c r="Q4381" s="3"/>
      <c r="R4381" s="3"/>
      <c r="S4381" s="3"/>
      <c r="T4381" s="3"/>
      <c r="U4381" s="3"/>
      <c r="V4381" s="3"/>
      <c r="W4381" s="3"/>
      <c r="X4381" s="3"/>
      <c r="Y4381" s="3"/>
      <c r="Z4381" s="3"/>
      <c r="AA4381" s="3"/>
    </row>
    <row r="4382" ht="105.75" customHeight="1">
      <c r="A4382" s="11"/>
      <c r="B4382" s="12"/>
      <c r="C4382" s="11"/>
      <c r="D4382" s="13"/>
      <c r="E4382" s="14"/>
      <c r="F4382" s="14"/>
      <c r="G4382" s="14"/>
      <c r="H4382" s="15"/>
      <c r="I4382" s="15"/>
      <c r="J4382" s="3"/>
      <c r="K4382" s="3"/>
      <c r="L4382" s="3"/>
      <c r="M4382" s="3"/>
      <c r="N4382" s="3"/>
      <c r="O4382" s="3"/>
      <c r="P4382" s="3"/>
      <c r="Q4382" s="3"/>
      <c r="R4382" s="3"/>
      <c r="S4382" s="3"/>
      <c r="T4382" s="3"/>
      <c r="U4382" s="3"/>
      <c r="V4382" s="3"/>
      <c r="W4382" s="3"/>
      <c r="X4382" s="3"/>
      <c r="Y4382" s="3"/>
      <c r="Z4382" s="3"/>
      <c r="AA4382" s="3"/>
    </row>
    <row r="4383" ht="105.75" customHeight="1">
      <c r="A4383" s="11"/>
      <c r="B4383" s="12"/>
      <c r="C4383" s="11"/>
      <c r="D4383" s="13"/>
      <c r="E4383" s="14"/>
      <c r="F4383" s="14"/>
      <c r="G4383" s="14"/>
      <c r="H4383" s="15"/>
      <c r="I4383" s="15"/>
      <c r="J4383" s="3"/>
      <c r="K4383" s="3"/>
      <c r="L4383" s="3"/>
      <c r="M4383" s="3"/>
      <c r="N4383" s="3"/>
      <c r="O4383" s="3"/>
      <c r="P4383" s="3"/>
      <c r="Q4383" s="3"/>
      <c r="R4383" s="3"/>
      <c r="S4383" s="3"/>
      <c r="T4383" s="3"/>
      <c r="U4383" s="3"/>
      <c r="V4383" s="3"/>
      <c r="W4383" s="3"/>
      <c r="X4383" s="3"/>
      <c r="Y4383" s="3"/>
      <c r="Z4383" s="3"/>
      <c r="AA4383" s="3"/>
    </row>
    <row r="4384" ht="105.75" customHeight="1">
      <c r="A4384" s="11"/>
      <c r="B4384" s="12"/>
      <c r="C4384" s="11"/>
      <c r="D4384" s="13"/>
      <c r="E4384" s="14"/>
      <c r="F4384" s="14"/>
      <c r="G4384" s="14"/>
      <c r="H4384" s="15"/>
      <c r="I4384" s="15"/>
      <c r="J4384" s="3"/>
      <c r="K4384" s="3"/>
      <c r="L4384" s="3"/>
      <c r="M4384" s="3"/>
      <c r="N4384" s="3"/>
      <c r="O4384" s="3"/>
      <c r="P4384" s="3"/>
      <c r="Q4384" s="3"/>
      <c r="R4384" s="3"/>
      <c r="S4384" s="3"/>
      <c r="T4384" s="3"/>
      <c r="U4384" s="3"/>
      <c r="V4384" s="3"/>
      <c r="W4384" s="3"/>
      <c r="X4384" s="3"/>
      <c r="Y4384" s="3"/>
      <c r="Z4384" s="3"/>
      <c r="AA4384" s="3"/>
    </row>
    <row r="4385" ht="105.75" customHeight="1">
      <c r="A4385" s="11"/>
      <c r="B4385" s="12"/>
      <c r="C4385" s="11"/>
      <c r="D4385" s="13"/>
      <c r="E4385" s="14"/>
      <c r="F4385" s="14"/>
      <c r="G4385" s="14"/>
      <c r="H4385" s="15"/>
      <c r="I4385" s="15"/>
      <c r="J4385" s="3"/>
      <c r="K4385" s="3"/>
      <c r="L4385" s="3"/>
      <c r="M4385" s="3"/>
      <c r="N4385" s="3"/>
      <c r="O4385" s="3"/>
      <c r="P4385" s="3"/>
      <c r="Q4385" s="3"/>
      <c r="R4385" s="3"/>
      <c r="S4385" s="3"/>
      <c r="T4385" s="3"/>
      <c r="U4385" s="3"/>
      <c r="V4385" s="3"/>
      <c r="W4385" s="3"/>
      <c r="X4385" s="3"/>
      <c r="Y4385" s="3"/>
      <c r="Z4385" s="3"/>
      <c r="AA4385" s="3"/>
    </row>
    <row r="4386" ht="105.75" customHeight="1">
      <c r="A4386" s="11"/>
      <c r="B4386" s="12"/>
      <c r="C4386" s="11"/>
      <c r="D4386" s="13"/>
      <c r="E4386" s="14"/>
      <c r="F4386" s="14"/>
      <c r="G4386" s="14"/>
      <c r="H4386" s="15"/>
      <c r="I4386" s="15"/>
      <c r="J4386" s="3"/>
      <c r="K4386" s="3"/>
      <c r="L4386" s="3"/>
      <c r="M4386" s="3"/>
      <c r="N4386" s="3"/>
      <c r="O4386" s="3"/>
      <c r="P4386" s="3"/>
      <c r="Q4386" s="3"/>
      <c r="R4386" s="3"/>
      <c r="S4386" s="3"/>
      <c r="T4386" s="3"/>
      <c r="U4386" s="3"/>
      <c r="V4386" s="3"/>
      <c r="W4386" s="3"/>
      <c r="X4386" s="3"/>
      <c r="Y4386" s="3"/>
      <c r="Z4386" s="3"/>
      <c r="AA4386" s="3"/>
    </row>
    <row r="4387" ht="105.75" customHeight="1">
      <c r="A4387" s="11"/>
      <c r="B4387" s="12"/>
      <c r="C4387" s="11"/>
      <c r="D4387" s="13"/>
      <c r="E4387" s="14"/>
      <c r="F4387" s="14"/>
      <c r="G4387" s="14"/>
      <c r="H4387" s="15"/>
      <c r="I4387" s="15"/>
      <c r="J4387" s="3"/>
      <c r="K4387" s="3"/>
      <c r="L4387" s="3"/>
      <c r="M4387" s="3"/>
      <c r="N4387" s="3"/>
      <c r="O4387" s="3"/>
      <c r="P4387" s="3"/>
      <c r="Q4387" s="3"/>
      <c r="R4387" s="3"/>
      <c r="S4387" s="3"/>
      <c r="T4387" s="3"/>
      <c r="U4387" s="3"/>
      <c r="V4387" s="3"/>
      <c r="W4387" s="3"/>
      <c r="X4387" s="3"/>
      <c r="Y4387" s="3"/>
      <c r="Z4387" s="3"/>
      <c r="AA4387" s="3"/>
    </row>
    <row r="4388" ht="105.75" customHeight="1">
      <c r="A4388" s="11"/>
      <c r="B4388" s="12"/>
      <c r="C4388" s="11"/>
      <c r="D4388" s="13"/>
      <c r="E4388" s="14"/>
      <c r="F4388" s="14"/>
      <c r="G4388" s="14"/>
      <c r="H4388" s="15"/>
      <c r="I4388" s="15"/>
      <c r="J4388" s="3"/>
      <c r="K4388" s="3"/>
      <c r="L4388" s="3"/>
      <c r="M4388" s="3"/>
      <c r="N4388" s="3"/>
      <c r="O4388" s="3"/>
      <c r="P4388" s="3"/>
      <c r="Q4388" s="3"/>
      <c r="R4388" s="3"/>
      <c r="S4388" s="3"/>
      <c r="T4388" s="3"/>
      <c r="U4388" s="3"/>
      <c r="V4388" s="3"/>
      <c r="W4388" s="3"/>
      <c r="X4388" s="3"/>
      <c r="Y4388" s="3"/>
      <c r="Z4388" s="3"/>
      <c r="AA4388" s="3"/>
    </row>
    <row r="4389" ht="105.75" customHeight="1">
      <c r="A4389" s="11"/>
      <c r="B4389" s="12"/>
      <c r="C4389" s="11"/>
      <c r="D4389" s="13"/>
      <c r="E4389" s="14"/>
      <c r="F4389" s="14"/>
      <c r="G4389" s="14"/>
      <c r="H4389" s="15"/>
      <c r="I4389" s="15"/>
      <c r="J4389" s="3"/>
      <c r="K4389" s="3"/>
      <c r="L4389" s="3"/>
      <c r="M4389" s="3"/>
      <c r="N4389" s="3"/>
      <c r="O4389" s="3"/>
      <c r="P4389" s="3"/>
      <c r="Q4389" s="3"/>
      <c r="R4389" s="3"/>
      <c r="S4389" s="3"/>
      <c r="T4389" s="3"/>
      <c r="U4389" s="3"/>
      <c r="V4389" s="3"/>
      <c r="W4389" s="3"/>
      <c r="X4389" s="3"/>
      <c r="Y4389" s="3"/>
      <c r="Z4389" s="3"/>
      <c r="AA4389" s="3"/>
    </row>
    <row r="4390" ht="105.75" customHeight="1">
      <c r="A4390" s="11"/>
      <c r="B4390" s="12"/>
      <c r="C4390" s="11"/>
      <c r="D4390" s="13"/>
      <c r="E4390" s="14"/>
      <c r="F4390" s="14"/>
      <c r="G4390" s="14"/>
      <c r="H4390" s="15"/>
      <c r="I4390" s="15"/>
      <c r="J4390" s="3"/>
      <c r="K4390" s="3"/>
      <c r="L4390" s="3"/>
      <c r="M4390" s="3"/>
      <c r="N4390" s="3"/>
      <c r="O4390" s="3"/>
      <c r="P4390" s="3"/>
      <c r="Q4390" s="3"/>
      <c r="R4390" s="3"/>
      <c r="S4390" s="3"/>
      <c r="T4390" s="3"/>
      <c r="U4390" s="3"/>
      <c r="V4390" s="3"/>
      <c r="W4390" s="3"/>
      <c r="X4390" s="3"/>
      <c r="Y4390" s="3"/>
      <c r="Z4390" s="3"/>
      <c r="AA4390" s="3"/>
    </row>
    <row r="4391" ht="105.75" customHeight="1">
      <c r="A4391" s="11"/>
      <c r="B4391" s="12"/>
      <c r="C4391" s="11"/>
      <c r="D4391" s="13"/>
      <c r="E4391" s="14"/>
      <c r="F4391" s="14"/>
      <c r="G4391" s="14"/>
      <c r="H4391" s="15"/>
      <c r="I4391" s="15"/>
      <c r="J4391" s="3"/>
      <c r="K4391" s="3"/>
      <c r="L4391" s="3"/>
      <c r="M4391" s="3"/>
      <c r="N4391" s="3"/>
      <c r="O4391" s="3"/>
      <c r="P4391" s="3"/>
      <c r="Q4391" s="3"/>
      <c r="R4391" s="3"/>
      <c r="S4391" s="3"/>
      <c r="T4391" s="3"/>
      <c r="U4391" s="3"/>
      <c r="V4391" s="3"/>
      <c r="W4391" s="3"/>
      <c r="X4391" s="3"/>
      <c r="Y4391" s="3"/>
      <c r="Z4391" s="3"/>
      <c r="AA4391" s="3"/>
    </row>
    <row r="4392" ht="105.75" customHeight="1">
      <c r="A4392" s="11"/>
      <c r="B4392" s="12"/>
      <c r="C4392" s="11"/>
      <c r="D4392" s="13"/>
      <c r="E4392" s="14"/>
      <c r="F4392" s="14"/>
      <c r="G4392" s="14"/>
      <c r="H4392" s="15"/>
      <c r="I4392" s="15"/>
      <c r="J4392" s="3"/>
      <c r="K4392" s="3"/>
      <c r="L4392" s="3"/>
      <c r="M4392" s="3"/>
      <c r="N4392" s="3"/>
      <c r="O4392" s="3"/>
      <c r="P4392" s="3"/>
      <c r="Q4392" s="3"/>
      <c r="R4392" s="3"/>
      <c r="S4392" s="3"/>
      <c r="T4392" s="3"/>
      <c r="U4392" s="3"/>
      <c r="V4392" s="3"/>
      <c r="W4392" s="3"/>
      <c r="X4392" s="3"/>
      <c r="Y4392" s="3"/>
      <c r="Z4392" s="3"/>
      <c r="AA4392" s="3"/>
    </row>
    <row r="4393" ht="105.75" customHeight="1">
      <c r="A4393" s="11"/>
      <c r="B4393" s="12"/>
      <c r="C4393" s="11"/>
      <c r="D4393" s="13"/>
      <c r="E4393" s="14"/>
      <c r="F4393" s="14"/>
      <c r="G4393" s="14"/>
      <c r="H4393" s="15"/>
      <c r="I4393" s="15"/>
      <c r="J4393" s="3"/>
      <c r="K4393" s="3"/>
      <c r="L4393" s="3"/>
      <c r="M4393" s="3"/>
      <c r="N4393" s="3"/>
      <c r="O4393" s="3"/>
      <c r="P4393" s="3"/>
      <c r="Q4393" s="3"/>
      <c r="R4393" s="3"/>
      <c r="S4393" s="3"/>
      <c r="T4393" s="3"/>
      <c r="U4393" s="3"/>
      <c r="V4393" s="3"/>
      <c r="W4393" s="3"/>
      <c r="X4393" s="3"/>
      <c r="Y4393" s="3"/>
      <c r="Z4393" s="3"/>
      <c r="AA4393" s="3"/>
    </row>
    <row r="4394" ht="105.75" customHeight="1">
      <c r="A4394" s="11"/>
      <c r="B4394" s="12"/>
      <c r="C4394" s="11"/>
      <c r="D4394" s="13"/>
      <c r="E4394" s="14"/>
      <c r="F4394" s="14"/>
      <c r="G4394" s="14"/>
      <c r="H4394" s="15"/>
      <c r="I4394" s="15"/>
      <c r="J4394" s="3"/>
      <c r="K4394" s="3"/>
      <c r="L4394" s="3"/>
      <c r="M4394" s="3"/>
      <c r="N4394" s="3"/>
      <c r="O4394" s="3"/>
      <c r="P4394" s="3"/>
      <c r="Q4394" s="3"/>
      <c r="R4394" s="3"/>
      <c r="S4394" s="3"/>
      <c r="T4394" s="3"/>
      <c r="U4394" s="3"/>
      <c r="V4394" s="3"/>
      <c r="W4394" s="3"/>
      <c r="X4394" s="3"/>
      <c r="Y4394" s="3"/>
      <c r="Z4394" s="3"/>
      <c r="AA4394" s="3"/>
    </row>
    <row r="4395" ht="105.75" customHeight="1">
      <c r="A4395" s="11"/>
      <c r="B4395" s="12"/>
      <c r="C4395" s="11"/>
      <c r="D4395" s="13"/>
      <c r="E4395" s="14"/>
      <c r="F4395" s="14"/>
      <c r="G4395" s="14"/>
      <c r="H4395" s="15"/>
      <c r="I4395" s="15"/>
      <c r="J4395" s="3"/>
      <c r="K4395" s="3"/>
      <c r="L4395" s="3"/>
      <c r="M4395" s="3"/>
      <c r="N4395" s="3"/>
      <c r="O4395" s="3"/>
      <c r="P4395" s="3"/>
      <c r="Q4395" s="3"/>
      <c r="R4395" s="3"/>
      <c r="S4395" s="3"/>
      <c r="T4395" s="3"/>
      <c r="U4395" s="3"/>
      <c r="V4395" s="3"/>
      <c r="W4395" s="3"/>
      <c r="X4395" s="3"/>
      <c r="Y4395" s="3"/>
      <c r="Z4395" s="3"/>
      <c r="AA4395" s="3"/>
    </row>
    <row r="4396" ht="105.75" customHeight="1">
      <c r="A4396" s="11"/>
      <c r="B4396" s="12"/>
      <c r="C4396" s="11"/>
      <c r="D4396" s="13"/>
      <c r="E4396" s="14"/>
      <c r="F4396" s="14"/>
      <c r="G4396" s="14"/>
      <c r="H4396" s="15"/>
      <c r="I4396" s="15"/>
      <c r="J4396" s="3"/>
      <c r="K4396" s="3"/>
      <c r="L4396" s="3"/>
      <c r="M4396" s="3"/>
      <c r="N4396" s="3"/>
      <c r="O4396" s="3"/>
      <c r="P4396" s="3"/>
      <c r="Q4396" s="3"/>
      <c r="R4396" s="3"/>
      <c r="S4396" s="3"/>
      <c r="T4396" s="3"/>
      <c r="U4396" s="3"/>
      <c r="V4396" s="3"/>
      <c r="W4396" s="3"/>
      <c r="X4396" s="3"/>
      <c r="Y4396" s="3"/>
      <c r="Z4396" s="3"/>
      <c r="AA4396" s="3"/>
    </row>
    <row r="4397" ht="105.75" customHeight="1">
      <c r="A4397" s="11"/>
      <c r="B4397" s="12"/>
      <c r="C4397" s="11"/>
      <c r="D4397" s="13"/>
      <c r="E4397" s="14"/>
      <c r="F4397" s="14"/>
      <c r="G4397" s="14"/>
      <c r="H4397" s="15"/>
      <c r="I4397" s="15"/>
      <c r="J4397" s="3"/>
      <c r="K4397" s="3"/>
      <c r="L4397" s="3"/>
      <c r="M4397" s="3"/>
      <c r="N4397" s="3"/>
      <c r="O4397" s="3"/>
      <c r="P4397" s="3"/>
      <c r="Q4397" s="3"/>
      <c r="R4397" s="3"/>
      <c r="S4397" s="3"/>
      <c r="T4397" s="3"/>
      <c r="U4397" s="3"/>
      <c r="V4397" s="3"/>
      <c r="W4397" s="3"/>
      <c r="X4397" s="3"/>
      <c r="Y4397" s="3"/>
      <c r="Z4397" s="3"/>
      <c r="AA4397" s="3"/>
    </row>
    <row r="4398" ht="105.75" customHeight="1">
      <c r="A4398" s="11"/>
      <c r="B4398" s="12"/>
      <c r="C4398" s="11"/>
      <c r="D4398" s="13"/>
      <c r="E4398" s="14"/>
      <c r="F4398" s="14"/>
      <c r="G4398" s="14"/>
      <c r="H4398" s="15"/>
      <c r="I4398" s="15"/>
      <c r="J4398" s="3"/>
      <c r="K4398" s="3"/>
      <c r="L4398" s="3"/>
      <c r="M4398" s="3"/>
      <c r="N4398" s="3"/>
      <c r="O4398" s="3"/>
      <c r="P4398" s="3"/>
      <c r="Q4398" s="3"/>
      <c r="R4398" s="3"/>
      <c r="S4398" s="3"/>
      <c r="T4398" s="3"/>
      <c r="U4398" s="3"/>
      <c r="V4398" s="3"/>
      <c r="W4398" s="3"/>
      <c r="X4398" s="3"/>
      <c r="Y4398" s="3"/>
      <c r="Z4398" s="3"/>
      <c r="AA4398" s="3"/>
    </row>
    <row r="4399" ht="105.75" customHeight="1">
      <c r="A4399" s="11"/>
      <c r="B4399" s="12"/>
      <c r="C4399" s="11"/>
      <c r="D4399" s="13"/>
      <c r="E4399" s="14"/>
      <c r="F4399" s="14"/>
      <c r="G4399" s="14"/>
      <c r="H4399" s="15"/>
      <c r="I4399" s="15"/>
      <c r="J4399" s="3"/>
      <c r="K4399" s="3"/>
      <c r="L4399" s="3"/>
      <c r="M4399" s="3"/>
      <c r="N4399" s="3"/>
      <c r="O4399" s="3"/>
      <c r="P4399" s="3"/>
      <c r="Q4399" s="3"/>
      <c r="R4399" s="3"/>
      <c r="S4399" s="3"/>
      <c r="T4399" s="3"/>
      <c r="U4399" s="3"/>
      <c r="V4399" s="3"/>
      <c r="W4399" s="3"/>
      <c r="X4399" s="3"/>
      <c r="Y4399" s="3"/>
      <c r="Z4399" s="3"/>
      <c r="AA4399" s="3"/>
    </row>
    <row r="4400" ht="105.75" customHeight="1">
      <c r="A4400" s="11"/>
      <c r="B4400" s="12"/>
      <c r="C4400" s="11"/>
      <c r="D4400" s="13"/>
      <c r="E4400" s="14"/>
      <c r="F4400" s="14"/>
      <c r="G4400" s="14"/>
      <c r="H4400" s="15"/>
      <c r="I4400" s="15"/>
      <c r="J4400" s="3"/>
      <c r="K4400" s="3"/>
      <c r="L4400" s="3"/>
      <c r="M4400" s="3"/>
      <c r="N4400" s="3"/>
      <c r="O4400" s="3"/>
      <c r="P4400" s="3"/>
      <c r="Q4400" s="3"/>
      <c r="R4400" s="3"/>
      <c r="S4400" s="3"/>
      <c r="T4400" s="3"/>
      <c r="U4400" s="3"/>
      <c r="V4400" s="3"/>
      <c r="W4400" s="3"/>
      <c r="X4400" s="3"/>
      <c r="Y4400" s="3"/>
      <c r="Z4400" s="3"/>
      <c r="AA4400" s="3"/>
    </row>
    <row r="4401" ht="105.75" customHeight="1">
      <c r="A4401" s="11"/>
      <c r="B4401" s="12"/>
      <c r="C4401" s="11"/>
      <c r="D4401" s="13"/>
      <c r="E4401" s="14"/>
      <c r="F4401" s="14"/>
      <c r="G4401" s="14"/>
      <c r="H4401" s="15"/>
      <c r="I4401" s="15"/>
      <c r="J4401" s="3"/>
      <c r="K4401" s="3"/>
      <c r="L4401" s="3"/>
      <c r="M4401" s="3"/>
      <c r="N4401" s="3"/>
      <c r="O4401" s="3"/>
      <c r="P4401" s="3"/>
      <c r="Q4401" s="3"/>
      <c r="R4401" s="3"/>
      <c r="S4401" s="3"/>
      <c r="T4401" s="3"/>
      <c r="U4401" s="3"/>
      <c r="V4401" s="3"/>
      <c r="W4401" s="3"/>
      <c r="X4401" s="3"/>
      <c r="Y4401" s="3"/>
      <c r="Z4401" s="3"/>
      <c r="AA4401" s="3"/>
    </row>
    <row r="4402" ht="105.75" customHeight="1">
      <c r="A4402" s="11"/>
      <c r="B4402" s="12"/>
      <c r="C4402" s="11"/>
      <c r="D4402" s="13"/>
      <c r="E4402" s="14"/>
      <c r="F4402" s="14"/>
      <c r="G4402" s="14"/>
      <c r="H4402" s="15"/>
      <c r="I4402" s="15"/>
      <c r="J4402" s="3"/>
      <c r="K4402" s="3"/>
      <c r="L4402" s="3"/>
      <c r="M4402" s="3"/>
      <c r="N4402" s="3"/>
      <c r="O4402" s="3"/>
      <c r="P4402" s="3"/>
      <c r="Q4402" s="3"/>
      <c r="R4402" s="3"/>
      <c r="S4402" s="3"/>
      <c r="T4402" s="3"/>
      <c r="U4402" s="3"/>
      <c r="V4402" s="3"/>
      <c r="W4402" s="3"/>
      <c r="X4402" s="3"/>
      <c r="Y4402" s="3"/>
      <c r="Z4402" s="3"/>
      <c r="AA4402" s="3"/>
    </row>
    <row r="4403" ht="105.75" customHeight="1">
      <c r="A4403" s="11"/>
      <c r="B4403" s="12"/>
      <c r="C4403" s="11"/>
      <c r="D4403" s="13"/>
      <c r="E4403" s="14"/>
      <c r="F4403" s="14"/>
      <c r="G4403" s="14"/>
      <c r="H4403" s="15"/>
      <c r="I4403" s="15"/>
      <c r="J4403" s="3"/>
      <c r="K4403" s="3"/>
      <c r="L4403" s="3"/>
      <c r="M4403" s="3"/>
      <c r="N4403" s="3"/>
      <c r="O4403" s="3"/>
      <c r="P4403" s="3"/>
      <c r="Q4403" s="3"/>
      <c r="R4403" s="3"/>
      <c r="S4403" s="3"/>
      <c r="T4403" s="3"/>
      <c r="U4403" s="3"/>
      <c r="V4403" s="3"/>
      <c r="W4403" s="3"/>
      <c r="X4403" s="3"/>
      <c r="Y4403" s="3"/>
      <c r="Z4403" s="3"/>
      <c r="AA4403" s="3"/>
    </row>
    <row r="4404" ht="105.75" customHeight="1">
      <c r="A4404" s="11"/>
      <c r="B4404" s="12"/>
      <c r="C4404" s="11"/>
      <c r="D4404" s="13"/>
      <c r="E4404" s="14"/>
      <c r="F4404" s="14"/>
      <c r="G4404" s="14"/>
      <c r="H4404" s="15"/>
      <c r="I4404" s="15"/>
      <c r="J4404" s="3"/>
      <c r="K4404" s="3"/>
      <c r="L4404" s="3"/>
      <c r="M4404" s="3"/>
      <c r="N4404" s="3"/>
      <c r="O4404" s="3"/>
      <c r="P4404" s="3"/>
      <c r="Q4404" s="3"/>
      <c r="R4404" s="3"/>
      <c r="S4404" s="3"/>
      <c r="T4404" s="3"/>
      <c r="U4404" s="3"/>
      <c r="V4404" s="3"/>
      <c r="W4404" s="3"/>
      <c r="X4404" s="3"/>
      <c r="Y4404" s="3"/>
      <c r="Z4404" s="3"/>
      <c r="AA4404" s="3"/>
    </row>
    <row r="4405" ht="105.75" customHeight="1">
      <c r="A4405" s="11"/>
      <c r="B4405" s="12"/>
      <c r="C4405" s="11"/>
      <c r="D4405" s="13"/>
      <c r="E4405" s="14"/>
      <c r="F4405" s="14"/>
      <c r="G4405" s="14"/>
      <c r="H4405" s="15"/>
      <c r="I4405" s="15"/>
      <c r="J4405" s="3"/>
      <c r="K4405" s="3"/>
      <c r="L4405" s="3"/>
      <c r="M4405" s="3"/>
      <c r="N4405" s="3"/>
      <c r="O4405" s="3"/>
      <c r="P4405" s="3"/>
      <c r="Q4405" s="3"/>
      <c r="R4405" s="3"/>
      <c r="S4405" s="3"/>
      <c r="T4405" s="3"/>
      <c r="U4405" s="3"/>
      <c r="V4405" s="3"/>
      <c r="W4405" s="3"/>
      <c r="X4405" s="3"/>
      <c r="Y4405" s="3"/>
      <c r="Z4405" s="3"/>
      <c r="AA4405" s="3"/>
    </row>
    <row r="4406" ht="105.75" customHeight="1">
      <c r="A4406" s="11"/>
      <c r="B4406" s="12"/>
      <c r="C4406" s="11"/>
      <c r="D4406" s="13"/>
      <c r="E4406" s="14"/>
      <c r="F4406" s="14"/>
      <c r="G4406" s="14"/>
      <c r="H4406" s="15"/>
      <c r="I4406" s="15"/>
      <c r="J4406" s="3"/>
      <c r="K4406" s="3"/>
      <c r="L4406" s="3"/>
      <c r="M4406" s="3"/>
      <c r="N4406" s="3"/>
      <c r="O4406" s="3"/>
      <c r="P4406" s="3"/>
      <c r="Q4406" s="3"/>
      <c r="R4406" s="3"/>
      <c r="S4406" s="3"/>
      <c r="T4406" s="3"/>
      <c r="U4406" s="3"/>
      <c r="V4406" s="3"/>
      <c r="W4406" s="3"/>
      <c r="X4406" s="3"/>
      <c r="Y4406" s="3"/>
      <c r="Z4406" s="3"/>
      <c r="AA4406" s="3"/>
    </row>
    <row r="4407" ht="105.75" customHeight="1">
      <c r="A4407" s="11"/>
      <c r="B4407" s="12"/>
      <c r="C4407" s="11"/>
      <c r="D4407" s="13"/>
      <c r="E4407" s="14"/>
      <c r="F4407" s="14"/>
      <c r="G4407" s="14"/>
      <c r="H4407" s="15"/>
      <c r="I4407" s="15"/>
      <c r="J4407" s="3"/>
      <c r="K4407" s="3"/>
      <c r="L4407" s="3"/>
      <c r="M4407" s="3"/>
      <c r="N4407" s="3"/>
      <c r="O4407" s="3"/>
      <c r="P4407" s="3"/>
      <c r="Q4407" s="3"/>
      <c r="R4407" s="3"/>
      <c r="S4407" s="3"/>
      <c r="T4407" s="3"/>
      <c r="U4407" s="3"/>
      <c r="V4407" s="3"/>
      <c r="W4407" s="3"/>
      <c r="X4407" s="3"/>
      <c r="Y4407" s="3"/>
      <c r="Z4407" s="3"/>
      <c r="AA4407" s="3"/>
    </row>
    <row r="4408" ht="105.75" customHeight="1">
      <c r="A4408" s="11"/>
      <c r="B4408" s="12"/>
      <c r="C4408" s="11"/>
      <c r="D4408" s="13"/>
      <c r="E4408" s="14"/>
      <c r="F4408" s="14"/>
      <c r="G4408" s="14"/>
      <c r="H4408" s="15"/>
      <c r="I4408" s="15"/>
      <c r="J4408" s="3"/>
      <c r="K4408" s="3"/>
      <c r="L4408" s="3"/>
      <c r="M4408" s="3"/>
      <c r="N4408" s="3"/>
      <c r="O4408" s="3"/>
      <c r="P4408" s="3"/>
      <c r="Q4408" s="3"/>
      <c r="R4408" s="3"/>
      <c r="S4408" s="3"/>
      <c r="T4408" s="3"/>
      <c r="U4408" s="3"/>
      <c r="V4408" s="3"/>
      <c r="W4408" s="3"/>
      <c r="X4408" s="3"/>
      <c r="Y4408" s="3"/>
      <c r="Z4408" s="3"/>
      <c r="AA4408" s="3"/>
    </row>
    <row r="4409" ht="105.75" customHeight="1">
      <c r="A4409" s="11"/>
      <c r="B4409" s="12"/>
      <c r="C4409" s="11"/>
      <c r="D4409" s="13"/>
      <c r="E4409" s="14"/>
      <c r="F4409" s="14"/>
      <c r="G4409" s="14"/>
      <c r="H4409" s="15"/>
      <c r="I4409" s="15"/>
      <c r="J4409" s="3"/>
      <c r="K4409" s="3"/>
      <c r="L4409" s="3"/>
      <c r="M4409" s="3"/>
      <c r="N4409" s="3"/>
      <c r="O4409" s="3"/>
      <c r="P4409" s="3"/>
      <c r="Q4409" s="3"/>
      <c r="R4409" s="3"/>
      <c r="S4409" s="3"/>
      <c r="T4409" s="3"/>
      <c r="U4409" s="3"/>
      <c r="V4409" s="3"/>
      <c r="W4409" s="3"/>
      <c r="X4409" s="3"/>
      <c r="Y4409" s="3"/>
      <c r="Z4409" s="3"/>
      <c r="AA4409" s="3"/>
    </row>
    <row r="4410" ht="105.75" customHeight="1">
      <c r="A4410" s="11"/>
      <c r="B4410" s="12"/>
      <c r="C4410" s="11"/>
      <c r="D4410" s="13"/>
      <c r="E4410" s="14"/>
      <c r="F4410" s="14"/>
      <c r="G4410" s="14"/>
      <c r="H4410" s="15"/>
      <c r="I4410" s="15"/>
      <c r="J4410" s="3"/>
      <c r="K4410" s="3"/>
      <c r="L4410" s="3"/>
      <c r="M4410" s="3"/>
      <c r="N4410" s="3"/>
      <c r="O4410" s="3"/>
      <c r="P4410" s="3"/>
      <c r="Q4410" s="3"/>
      <c r="R4410" s="3"/>
      <c r="S4410" s="3"/>
      <c r="T4410" s="3"/>
      <c r="U4410" s="3"/>
      <c r="V4410" s="3"/>
      <c r="W4410" s="3"/>
      <c r="X4410" s="3"/>
      <c r="Y4410" s="3"/>
      <c r="Z4410" s="3"/>
      <c r="AA4410" s="3"/>
    </row>
    <row r="4411" ht="105.75" customHeight="1">
      <c r="A4411" s="11"/>
      <c r="B4411" s="12"/>
      <c r="C4411" s="11"/>
      <c r="D4411" s="13"/>
      <c r="E4411" s="14"/>
      <c r="F4411" s="14"/>
      <c r="G4411" s="14"/>
      <c r="H4411" s="15"/>
      <c r="I4411" s="15"/>
      <c r="J4411" s="3"/>
      <c r="K4411" s="3"/>
      <c r="L4411" s="3"/>
      <c r="M4411" s="3"/>
      <c r="N4411" s="3"/>
      <c r="O4411" s="3"/>
      <c r="P4411" s="3"/>
      <c r="Q4411" s="3"/>
      <c r="R4411" s="3"/>
      <c r="S4411" s="3"/>
      <c r="T4411" s="3"/>
      <c r="U4411" s="3"/>
      <c r="V4411" s="3"/>
      <c r="W4411" s="3"/>
      <c r="X4411" s="3"/>
      <c r="Y4411" s="3"/>
      <c r="Z4411" s="3"/>
      <c r="AA4411" s="3"/>
    </row>
    <row r="4412" ht="105.75" customHeight="1">
      <c r="A4412" s="11"/>
      <c r="B4412" s="12"/>
      <c r="C4412" s="11"/>
      <c r="D4412" s="13"/>
      <c r="E4412" s="14"/>
      <c r="F4412" s="14"/>
      <c r="G4412" s="14"/>
      <c r="H4412" s="15"/>
      <c r="I4412" s="15"/>
      <c r="J4412" s="3"/>
      <c r="K4412" s="3"/>
      <c r="L4412" s="3"/>
      <c r="M4412" s="3"/>
      <c r="N4412" s="3"/>
      <c r="O4412" s="3"/>
      <c r="P4412" s="3"/>
      <c r="Q4412" s="3"/>
      <c r="R4412" s="3"/>
      <c r="S4412" s="3"/>
      <c r="T4412" s="3"/>
      <c r="U4412" s="3"/>
      <c r="V4412" s="3"/>
      <c r="W4412" s="3"/>
      <c r="X4412" s="3"/>
      <c r="Y4412" s="3"/>
      <c r="Z4412" s="3"/>
      <c r="AA4412" s="3"/>
    </row>
    <row r="4413" ht="105.75" customHeight="1">
      <c r="A4413" s="11"/>
      <c r="B4413" s="12"/>
      <c r="C4413" s="11"/>
      <c r="D4413" s="13"/>
      <c r="E4413" s="14"/>
      <c r="F4413" s="14"/>
      <c r="G4413" s="14"/>
      <c r="H4413" s="15"/>
      <c r="I4413" s="15"/>
      <c r="J4413" s="3"/>
      <c r="K4413" s="3"/>
      <c r="L4413" s="3"/>
      <c r="M4413" s="3"/>
      <c r="N4413" s="3"/>
      <c r="O4413" s="3"/>
      <c r="P4413" s="3"/>
      <c r="Q4413" s="3"/>
      <c r="R4413" s="3"/>
      <c r="S4413" s="3"/>
      <c r="T4413" s="3"/>
      <c r="U4413" s="3"/>
      <c r="V4413" s="3"/>
      <c r="W4413" s="3"/>
      <c r="X4413" s="3"/>
      <c r="Y4413" s="3"/>
      <c r="Z4413" s="3"/>
      <c r="AA4413" s="3"/>
    </row>
    <row r="4414" ht="105.75" customHeight="1">
      <c r="A4414" s="11"/>
      <c r="B4414" s="12"/>
      <c r="C4414" s="11"/>
      <c r="D4414" s="13"/>
      <c r="E4414" s="14"/>
      <c r="F4414" s="14"/>
      <c r="G4414" s="14"/>
      <c r="H4414" s="15"/>
      <c r="I4414" s="15"/>
      <c r="J4414" s="3"/>
      <c r="K4414" s="3"/>
      <c r="L4414" s="3"/>
      <c r="M4414" s="3"/>
      <c r="N4414" s="3"/>
      <c r="O4414" s="3"/>
      <c r="P4414" s="3"/>
      <c r="Q4414" s="3"/>
      <c r="R4414" s="3"/>
      <c r="S4414" s="3"/>
      <c r="T4414" s="3"/>
      <c r="U4414" s="3"/>
      <c r="V4414" s="3"/>
      <c r="W4414" s="3"/>
      <c r="X4414" s="3"/>
      <c r="Y4414" s="3"/>
      <c r="Z4414" s="3"/>
      <c r="AA4414" s="3"/>
    </row>
    <row r="4415" ht="105.75" customHeight="1">
      <c r="A4415" s="11"/>
      <c r="B4415" s="12"/>
      <c r="C4415" s="11"/>
      <c r="D4415" s="13"/>
      <c r="E4415" s="14"/>
      <c r="F4415" s="14"/>
      <c r="G4415" s="14"/>
      <c r="H4415" s="15"/>
      <c r="I4415" s="15"/>
      <c r="J4415" s="3"/>
      <c r="K4415" s="3"/>
      <c r="L4415" s="3"/>
      <c r="M4415" s="3"/>
      <c r="N4415" s="3"/>
      <c r="O4415" s="3"/>
      <c r="P4415" s="3"/>
      <c r="Q4415" s="3"/>
      <c r="R4415" s="3"/>
      <c r="S4415" s="3"/>
      <c r="T4415" s="3"/>
      <c r="U4415" s="3"/>
      <c r="V4415" s="3"/>
      <c r="W4415" s="3"/>
      <c r="X4415" s="3"/>
      <c r="Y4415" s="3"/>
      <c r="Z4415" s="3"/>
      <c r="AA4415" s="3"/>
    </row>
    <row r="4416" ht="105.75" customHeight="1">
      <c r="A4416" s="11"/>
      <c r="B4416" s="12"/>
      <c r="C4416" s="11"/>
      <c r="D4416" s="13"/>
      <c r="E4416" s="14"/>
      <c r="F4416" s="14"/>
      <c r="G4416" s="14"/>
      <c r="H4416" s="15"/>
      <c r="I4416" s="15"/>
      <c r="J4416" s="3"/>
      <c r="K4416" s="3"/>
      <c r="L4416" s="3"/>
      <c r="M4416" s="3"/>
      <c r="N4416" s="3"/>
      <c r="O4416" s="3"/>
      <c r="P4416" s="3"/>
      <c r="Q4416" s="3"/>
      <c r="R4416" s="3"/>
      <c r="S4416" s="3"/>
      <c r="T4416" s="3"/>
      <c r="U4416" s="3"/>
      <c r="V4416" s="3"/>
      <c r="W4416" s="3"/>
      <c r="X4416" s="3"/>
      <c r="Y4416" s="3"/>
      <c r="Z4416" s="3"/>
      <c r="AA4416" s="3"/>
    </row>
    <row r="4417" ht="105.75" customHeight="1">
      <c r="A4417" s="11"/>
      <c r="B4417" s="12"/>
      <c r="C4417" s="11"/>
      <c r="D4417" s="13"/>
      <c r="E4417" s="14"/>
      <c r="F4417" s="14"/>
      <c r="G4417" s="14"/>
      <c r="H4417" s="15"/>
      <c r="I4417" s="15"/>
      <c r="J4417" s="3"/>
      <c r="K4417" s="3"/>
      <c r="L4417" s="3"/>
      <c r="M4417" s="3"/>
      <c r="N4417" s="3"/>
      <c r="O4417" s="3"/>
      <c r="P4417" s="3"/>
      <c r="Q4417" s="3"/>
      <c r="R4417" s="3"/>
      <c r="S4417" s="3"/>
      <c r="T4417" s="3"/>
      <c r="U4417" s="3"/>
      <c r="V4417" s="3"/>
      <c r="W4417" s="3"/>
      <c r="X4417" s="3"/>
      <c r="Y4417" s="3"/>
      <c r="Z4417" s="3"/>
      <c r="AA4417" s="3"/>
    </row>
    <row r="4418" ht="105.75" customHeight="1">
      <c r="A4418" s="11"/>
      <c r="B4418" s="12"/>
      <c r="C4418" s="11"/>
      <c r="D4418" s="13"/>
      <c r="E4418" s="14"/>
      <c r="F4418" s="14"/>
      <c r="G4418" s="14"/>
      <c r="H4418" s="15"/>
      <c r="I4418" s="15"/>
      <c r="J4418" s="3"/>
      <c r="K4418" s="3"/>
      <c r="L4418" s="3"/>
      <c r="M4418" s="3"/>
      <c r="N4418" s="3"/>
      <c r="O4418" s="3"/>
      <c r="P4418" s="3"/>
      <c r="Q4418" s="3"/>
      <c r="R4418" s="3"/>
      <c r="S4418" s="3"/>
      <c r="T4418" s="3"/>
      <c r="U4418" s="3"/>
      <c r="V4418" s="3"/>
      <c r="W4418" s="3"/>
      <c r="X4418" s="3"/>
      <c r="Y4418" s="3"/>
      <c r="Z4418" s="3"/>
      <c r="AA4418" s="3"/>
    </row>
    <row r="4419" ht="105.75" customHeight="1">
      <c r="A4419" s="11"/>
      <c r="B4419" s="12"/>
      <c r="C4419" s="11"/>
      <c r="D4419" s="13"/>
      <c r="E4419" s="14"/>
      <c r="F4419" s="14"/>
      <c r="G4419" s="14"/>
      <c r="H4419" s="15"/>
      <c r="I4419" s="15"/>
      <c r="J4419" s="3"/>
      <c r="K4419" s="3"/>
      <c r="L4419" s="3"/>
      <c r="M4419" s="3"/>
      <c r="N4419" s="3"/>
      <c r="O4419" s="3"/>
      <c r="P4419" s="3"/>
      <c r="Q4419" s="3"/>
      <c r="R4419" s="3"/>
      <c r="S4419" s="3"/>
      <c r="T4419" s="3"/>
      <c r="U4419" s="3"/>
      <c r="V4419" s="3"/>
      <c r="W4419" s="3"/>
      <c r="X4419" s="3"/>
      <c r="Y4419" s="3"/>
      <c r="Z4419" s="3"/>
      <c r="AA4419" s="3"/>
    </row>
    <row r="4420" ht="105.75" customHeight="1">
      <c r="A4420" s="11"/>
      <c r="B4420" s="12"/>
      <c r="C4420" s="11"/>
      <c r="D4420" s="13"/>
      <c r="E4420" s="14"/>
      <c r="F4420" s="14"/>
      <c r="G4420" s="14"/>
      <c r="H4420" s="15"/>
      <c r="I4420" s="15"/>
      <c r="J4420" s="3"/>
      <c r="K4420" s="3"/>
      <c r="L4420" s="3"/>
      <c r="M4420" s="3"/>
      <c r="N4420" s="3"/>
      <c r="O4420" s="3"/>
      <c r="P4420" s="3"/>
      <c r="Q4420" s="3"/>
      <c r="R4420" s="3"/>
      <c r="S4420" s="3"/>
      <c r="T4420" s="3"/>
      <c r="U4420" s="3"/>
      <c r="V4420" s="3"/>
      <c r="W4420" s="3"/>
      <c r="X4420" s="3"/>
      <c r="Y4420" s="3"/>
      <c r="Z4420" s="3"/>
      <c r="AA4420" s="3"/>
    </row>
    <row r="4421" ht="105.75" customHeight="1">
      <c r="A4421" s="11"/>
      <c r="B4421" s="12"/>
      <c r="C4421" s="11"/>
      <c r="D4421" s="13"/>
      <c r="E4421" s="14"/>
      <c r="F4421" s="14"/>
      <c r="G4421" s="14"/>
      <c r="H4421" s="15"/>
      <c r="I4421" s="15"/>
      <c r="J4421" s="3"/>
      <c r="K4421" s="3"/>
      <c r="L4421" s="3"/>
      <c r="M4421" s="3"/>
      <c r="N4421" s="3"/>
      <c r="O4421" s="3"/>
      <c r="P4421" s="3"/>
      <c r="Q4421" s="3"/>
      <c r="R4421" s="3"/>
      <c r="S4421" s="3"/>
      <c r="T4421" s="3"/>
      <c r="U4421" s="3"/>
      <c r="V4421" s="3"/>
      <c r="W4421" s="3"/>
      <c r="X4421" s="3"/>
      <c r="Y4421" s="3"/>
      <c r="Z4421" s="3"/>
      <c r="AA4421" s="3"/>
    </row>
    <row r="4422" ht="105.75" customHeight="1">
      <c r="A4422" s="11"/>
      <c r="B4422" s="12"/>
      <c r="C4422" s="11"/>
      <c r="D4422" s="13"/>
      <c r="E4422" s="14"/>
      <c r="F4422" s="14"/>
      <c r="G4422" s="14"/>
      <c r="H4422" s="15"/>
      <c r="I4422" s="15"/>
      <c r="J4422" s="3"/>
      <c r="K4422" s="3"/>
      <c r="L4422" s="3"/>
      <c r="M4422" s="3"/>
      <c r="N4422" s="3"/>
      <c r="O4422" s="3"/>
      <c r="P4422" s="3"/>
      <c r="Q4422" s="3"/>
      <c r="R4422" s="3"/>
      <c r="S4422" s="3"/>
      <c r="T4422" s="3"/>
      <c r="U4422" s="3"/>
      <c r="V4422" s="3"/>
      <c r="W4422" s="3"/>
      <c r="X4422" s="3"/>
      <c r="Y4422" s="3"/>
      <c r="Z4422" s="3"/>
      <c r="AA4422" s="3"/>
    </row>
    <row r="4423" ht="105.75" customHeight="1">
      <c r="A4423" s="11"/>
      <c r="B4423" s="12"/>
      <c r="C4423" s="11"/>
      <c r="D4423" s="13"/>
      <c r="E4423" s="14"/>
      <c r="F4423" s="14"/>
      <c r="G4423" s="14"/>
      <c r="H4423" s="15"/>
      <c r="I4423" s="15"/>
      <c r="J4423" s="3"/>
      <c r="K4423" s="3"/>
      <c r="L4423" s="3"/>
      <c r="M4423" s="3"/>
      <c r="N4423" s="3"/>
      <c r="O4423" s="3"/>
      <c r="P4423" s="3"/>
      <c r="Q4423" s="3"/>
      <c r="R4423" s="3"/>
      <c r="S4423" s="3"/>
      <c r="T4423" s="3"/>
      <c r="U4423" s="3"/>
      <c r="V4423" s="3"/>
      <c r="W4423" s="3"/>
      <c r="X4423" s="3"/>
      <c r="Y4423" s="3"/>
      <c r="Z4423" s="3"/>
      <c r="AA4423" s="3"/>
    </row>
    <row r="4424" ht="105.75" customHeight="1">
      <c r="A4424" s="11"/>
      <c r="B4424" s="12"/>
      <c r="C4424" s="11"/>
      <c r="D4424" s="13"/>
      <c r="E4424" s="14"/>
      <c r="F4424" s="14"/>
      <c r="G4424" s="14"/>
      <c r="H4424" s="15"/>
      <c r="I4424" s="15"/>
      <c r="J4424" s="3"/>
      <c r="K4424" s="3"/>
      <c r="L4424" s="3"/>
      <c r="M4424" s="3"/>
      <c r="N4424" s="3"/>
      <c r="O4424" s="3"/>
      <c r="P4424" s="3"/>
      <c r="Q4424" s="3"/>
      <c r="R4424" s="3"/>
      <c r="S4424" s="3"/>
      <c r="T4424" s="3"/>
      <c r="U4424" s="3"/>
      <c r="V4424" s="3"/>
      <c r="W4424" s="3"/>
      <c r="X4424" s="3"/>
      <c r="Y4424" s="3"/>
      <c r="Z4424" s="3"/>
      <c r="AA4424" s="3"/>
    </row>
    <row r="4425" ht="105.75" customHeight="1">
      <c r="A4425" s="11"/>
      <c r="B4425" s="12"/>
      <c r="C4425" s="11"/>
      <c r="D4425" s="13"/>
      <c r="E4425" s="14"/>
      <c r="F4425" s="14"/>
      <c r="G4425" s="14"/>
      <c r="H4425" s="15"/>
      <c r="I4425" s="15"/>
      <c r="J4425" s="3"/>
      <c r="K4425" s="3"/>
      <c r="L4425" s="3"/>
      <c r="M4425" s="3"/>
      <c r="N4425" s="3"/>
      <c r="O4425" s="3"/>
      <c r="P4425" s="3"/>
      <c r="Q4425" s="3"/>
      <c r="R4425" s="3"/>
      <c r="S4425" s="3"/>
      <c r="T4425" s="3"/>
      <c r="U4425" s="3"/>
      <c r="V4425" s="3"/>
      <c r="W4425" s="3"/>
      <c r="X4425" s="3"/>
      <c r="Y4425" s="3"/>
      <c r="Z4425" s="3"/>
      <c r="AA4425" s="3"/>
    </row>
    <row r="4426" ht="105.75" customHeight="1">
      <c r="A4426" s="11"/>
      <c r="B4426" s="12"/>
      <c r="C4426" s="11"/>
      <c r="D4426" s="13"/>
      <c r="E4426" s="14"/>
      <c r="F4426" s="14"/>
      <c r="G4426" s="14"/>
      <c r="H4426" s="15"/>
      <c r="I4426" s="15"/>
      <c r="J4426" s="3"/>
      <c r="K4426" s="3"/>
      <c r="L4426" s="3"/>
      <c r="M4426" s="3"/>
      <c r="N4426" s="3"/>
      <c r="O4426" s="3"/>
      <c r="P4426" s="3"/>
      <c r="Q4426" s="3"/>
      <c r="R4426" s="3"/>
      <c r="S4426" s="3"/>
      <c r="T4426" s="3"/>
      <c r="U4426" s="3"/>
      <c r="V4426" s="3"/>
      <c r="W4426" s="3"/>
      <c r="X4426" s="3"/>
      <c r="Y4426" s="3"/>
      <c r="Z4426" s="3"/>
      <c r="AA4426" s="3"/>
    </row>
    <row r="4427" ht="105.75" customHeight="1">
      <c r="A4427" s="11"/>
      <c r="B4427" s="12"/>
      <c r="C4427" s="11"/>
      <c r="D4427" s="13"/>
      <c r="E4427" s="14"/>
      <c r="F4427" s="14"/>
      <c r="G4427" s="14"/>
      <c r="H4427" s="15"/>
      <c r="I4427" s="15"/>
      <c r="J4427" s="3"/>
      <c r="K4427" s="3"/>
      <c r="L4427" s="3"/>
      <c r="M4427" s="3"/>
      <c r="N4427" s="3"/>
      <c r="O4427" s="3"/>
      <c r="P4427" s="3"/>
      <c r="Q4427" s="3"/>
      <c r="R4427" s="3"/>
      <c r="S4427" s="3"/>
      <c r="T4427" s="3"/>
      <c r="U4427" s="3"/>
      <c r="V4427" s="3"/>
      <c r="W4427" s="3"/>
      <c r="X4427" s="3"/>
      <c r="Y4427" s="3"/>
      <c r="Z4427" s="3"/>
      <c r="AA4427" s="3"/>
    </row>
    <row r="4428" ht="105.75" customHeight="1">
      <c r="A4428" s="11"/>
      <c r="B4428" s="12"/>
      <c r="C4428" s="11"/>
      <c r="D4428" s="13"/>
      <c r="E4428" s="14"/>
      <c r="F4428" s="14"/>
      <c r="G4428" s="14"/>
      <c r="H4428" s="15"/>
      <c r="I4428" s="15"/>
      <c r="J4428" s="3"/>
      <c r="K4428" s="3"/>
      <c r="L4428" s="3"/>
      <c r="M4428" s="3"/>
      <c r="N4428" s="3"/>
      <c r="O4428" s="3"/>
      <c r="P4428" s="3"/>
      <c r="Q4428" s="3"/>
      <c r="R4428" s="3"/>
      <c r="S4428" s="3"/>
      <c r="T4428" s="3"/>
      <c r="U4428" s="3"/>
      <c r="V4428" s="3"/>
      <c r="W4428" s="3"/>
      <c r="X4428" s="3"/>
      <c r="Y4428" s="3"/>
      <c r="Z4428" s="3"/>
      <c r="AA4428" s="3"/>
    </row>
    <row r="4429" ht="105.75" customHeight="1">
      <c r="A4429" s="11"/>
      <c r="B4429" s="12"/>
      <c r="C4429" s="11"/>
      <c r="D4429" s="13"/>
      <c r="E4429" s="14"/>
      <c r="F4429" s="14"/>
      <c r="G4429" s="14"/>
      <c r="H4429" s="15"/>
      <c r="I4429" s="15"/>
      <c r="J4429" s="3"/>
      <c r="K4429" s="3"/>
      <c r="L4429" s="3"/>
      <c r="M4429" s="3"/>
      <c r="N4429" s="3"/>
      <c r="O4429" s="3"/>
      <c r="P4429" s="3"/>
      <c r="Q4429" s="3"/>
      <c r="R4429" s="3"/>
      <c r="S4429" s="3"/>
      <c r="T4429" s="3"/>
      <c r="U4429" s="3"/>
      <c r="V4429" s="3"/>
      <c r="W4429" s="3"/>
      <c r="X4429" s="3"/>
      <c r="Y4429" s="3"/>
      <c r="Z4429" s="3"/>
      <c r="AA4429" s="3"/>
    </row>
    <row r="4430" ht="105.75" customHeight="1">
      <c r="A4430" s="11"/>
      <c r="B4430" s="12"/>
      <c r="C4430" s="11"/>
      <c r="D4430" s="13"/>
      <c r="E4430" s="14"/>
      <c r="F4430" s="14"/>
      <c r="G4430" s="14"/>
      <c r="H4430" s="15"/>
      <c r="I4430" s="15"/>
      <c r="J4430" s="3"/>
      <c r="K4430" s="3"/>
      <c r="L4430" s="3"/>
      <c r="M4430" s="3"/>
      <c r="N4430" s="3"/>
      <c r="O4430" s="3"/>
      <c r="P4430" s="3"/>
      <c r="Q4430" s="3"/>
      <c r="R4430" s="3"/>
      <c r="S4430" s="3"/>
      <c r="T4430" s="3"/>
      <c r="U4430" s="3"/>
      <c r="V4430" s="3"/>
      <c r="W4430" s="3"/>
      <c r="X4430" s="3"/>
      <c r="Y4430" s="3"/>
      <c r="Z4430" s="3"/>
      <c r="AA4430" s="3"/>
    </row>
    <row r="4431" ht="105.75" customHeight="1">
      <c r="A4431" s="11"/>
      <c r="B4431" s="12"/>
      <c r="C4431" s="11"/>
      <c r="D4431" s="13"/>
      <c r="E4431" s="14"/>
      <c r="F4431" s="14"/>
      <c r="G4431" s="14"/>
      <c r="H4431" s="15"/>
      <c r="I4431" s="15"/>
      <c r="J4431" s="3"/>
      <c r="K4431" s="3"/>
      <c r="L4431" s="3"/>
      <c r="M4431" s="3"/>
      <c r="N4431" s="3"/>
      <c r="O4431" s="3"/>
      <c r="P4431" s="3"/>
      <c r="Q4431" s="3"/>
      <c r="R4431" s="3"/>
      <c r="S4431" s="3"/>
      <c r="T4431" s="3"/>
      <c r="U4431" s="3"/>
      <c r="V4431" s="3"/>
      <c r="W4431" s="3"/>
      <c r="X4431" s="3"/>
      <c r="Y4431" s="3"/>
      <c r="Z4431" s="3"/>
      <c r="AA4431" s="3"/>
    </row>
    <row r="4432" ht="105.75" customHeight="1">
      <c r="A4432" s="11"/>
      <c r="B4432" s="12"/>
      <c r="C4432" s="11"/>
      <c r="D4432" s="13"/>
      <c r="E4432" s="14"/>
      <c r="F4432" s="14"/>
      <c r="G4432" s="14"/>
      <c r="H4432" s="15"/>
      <c r="I4432" s="15"/>
      <c r="J4432" s="3"/>
      <c r="K4432" s="3"/>
      <c r="L4432" s="3"/>
      <c r="M4432" s="3"/>
      <c r="N4432" s="3"/>
      <c r="O4432" s="3"/>
      <c r="P4432" s="3"/>
      <c r="Q4432" s="3"/>
      <c r="R4432" s="3"/>
      <c r="S4432" s="3"/>
      <c r="T4432" s="3"/>
      <c r="U4432" s="3"/>
      <c r="V4432" s="3"/>
      <c r="W4432" s="3"/>
      <c r="X4432" s="3"/>
      <c r="Y4432" s="3"/>
      <c r="Z4432" s="3"/>
      <c r="AA4432" s="3"/>
    </row>
    <row r="4433" ht="105.75" customHeight="1">
      <c r="A4433" s="11"/>
      <c r="B4433" s="12"/>
      <c r="C4433" s="11"/>
      <c r="D4433" s="13"/>
      <c r="E4433" s="14"/>
      <c r="F4433" s="14"/>
      <c r="G4433" s="14"/>
      <c r="H4433" s="15"/>
      <c r="I4433" s="15"/>
      <c r="J4433" s="3"/>
      <c r="K4433" s="3"/>
      <c r="L4433" s="3"/>
      <c r="M4433" s="3"/>
      <c r="N4433" s="3"/>
      <c r="O4433" s="3"/>
      <c r="P4433" s="3"/>
      <c r="Q4433" s="3"/>
      <c r="R4433" s="3"/>
      <c r="S4433" s="3"/>
      <c r="T4433" s="3"/>
      <c r="U4433" s="3"/>
      <c r="V4433" s="3"/>
      <c r="W4433" s="3"/>
      <c r="X4433" s="3"/>
      <c r="Y4433" s="3"/>
      <c r="Z4433" s="3"/>
      <c r="AA4433" s="3"/>
    </row>
    <row r="4434" ht="105.75" customHeight="1">
      <c r="A4434" s="11"/>
      <c r="B4434" s="12"/>
      <c r="C4434" s="11"/>
      <c r="D4434" s="13"/>
      <c r="E4434" s="14"/>
      <c r="F4434" s="14"/>
      <c r="G4434" s="14"/>
      <c r="H4434" s="15"/>
      <c r="I4434" s="15"/>
      <c r="J4434" s="3"/>
      <c r="K4434" s="3"/>
      <c r="L4434" s="3"/>
      <c r="M4434" s="3"/>
      <c r="N4434" s="3"/>
      <c r="O4434" s="3"/>
      <c r="P4434" s="3"/>
      <c r="Q4434" s="3"/>
      <c r="R4434" s="3"/>
      <c r="S4434" s="3"/>
      <c r="T4434" s="3"/>
      <c r="U4434" s="3"/>
      <c r="V4434" s="3"/>
      <c r="W4434" s="3"/>
      <c r="X4434" s="3"/>
      <c r="Y4434" s="3"/>
      <c r="Z4434" s="3"/>
      <c r="AA4434" s="3"/>
    </row>
    <row r="4435" ht="105.75" customHeight="1">
      <c r="A4435" s="11"/>
      <c r="B4435" s="12"/>
      <c r="C4435" s="11"/>
      <c r="D4435" s="13"/>
      <c r="E4435" s="14"/>
      <c r="F4435" s="14"/>
      <c r="G4435" s="14"/>
      <c r="H4435" s="15"/>
      <c r="I4435" s="15"/>
      <c r="J4435" s="3"/>
      <c r="K4435" s="3"/>
      <c r="L4435" s="3"/>
      <c r="M4435" s="3"/>
      <c r="N4435" s="3"/>
      <c r="O4435" s="3"/>
      <c r="P4435" s="3"/>
      <c r="Q4435" s="3"/>
      <c r="R4435" s="3"/>
      <c r="S4435" s="3"/>
      <c r="T4435" s="3"/>
      <c r="U4435" s="3"/>
      <c r="V4435" s="3"/>
      <c r="W4435" s="3"/>
      <c r="X4435" s="3"/>
      <c r="Y4435" s="3"/>
      <c r="Z4435" s="3"/>
      <c r="AA4435" s="3"/>
    </row>
    <row r="4436" ht="105.75" customHeight="1">
      <c r="A4436" s="11"/>
      <c r="B4436" s="12"/>
      <c r="C4436" s="11"/>
      <c r="D4436" s="13"/>
      <c r="E4436" s="14"/>
      <c r="F4436" s="14"/>
      <c r="G4436" s="14"/>
      <c r="H4436" s="15"/>
      <c r="I4436" s="15"/>
      <c r="J4436" s="3"/>
      <c r="K4436" s="3"/>
      <c r="L4436" s="3"/>
      <c r="M4436" s="3"/>
      <c r="N4436" s="3"/>
      <c r="O4436" s="3"/>
      <c r="P4436" s="3"/>
      <c r="Q4436" s="3"/>
      <c r="R4436" s="3"/>
      <c r="S4436" s="3"/>
      <c r="T4436" s="3"/>
      <c r="U4436" s="3"/>
      <c r="V4436" s="3"/>
      <c r="W4436" s="3"/>
      <c r="X4436" s="3"/>
      <c r="Y4436" s="3"/>
      <c r="Z4436" s="3"/>
      <c r="AA4436" s="3"/>
    </row>
    <row r="4437" ht="105.75" customHeight="1">
      <c r="A4437" s="11"/>
      <c r="B4437" s="12"/>
      <c r="C4437" s="11"/>
      <c r="D4437" s="13"/>
      <c r="E4437" s="14"/>
      <c r="F4437" s="14"/>
      <c r="G4437" s="14"/>
      <c r="H4437" s="15"/>
      <c r="I4437" s="15"/>
      <c r="J4437" s="3"/>
      <c r="K4437" s="3"/>
      <c r="L4437" s="3"/>
      <c r="M4437" s="3"/>
      <c r="N4437" s="3"/>
      <c r="O4437" s="3"/>
      <c r="P4437" s="3"/>
      <c r="Q4437" s="3"/>
      <c r="R4437" s="3"/>
      <c r="S4437" s="3"/>
      <c r="T4437" s="3"/>
      <c r="U4437" s="3"/>
      <c r="V4437" s="3"/>
      <c r="W4437" s="3"/>
      <c r="X4437" s="3"/>
      <c r="Y4437" s="3"/>
      <c r="Z4437" s="3"/>
      <c r="AA4437" s="3"/>
    </row>
    <row r="4438" ht="105.75" customHeight="1">
      <c r="A4438" s="11"/>
      <c r="B4438" s="12"/>
      <c r="C4438" s="11"/>
      <c r="D4438" s="13"/>
      <c r="E4438" s="14"/>
      <c r="F4438" s="14"/>
      <c r="G4438" s="14"/>
      <c r="H4438" s="15"/>
      <c r="I4438" s="15"/>
      <c r="J4438" s="3"/>
      <c r="K4438" s="3"/>
      <c r="L4438" s="3"/>
      <c r="M4438" s="3"/>
      <c r="N4438" s="3"/>
      <c r="O4438" s="3"/>
      <c r="P4438" s="3"/>
      <c r="Q4438" s="3"/>
      <c r="R4438" s="3"/>
      <c r="S4438" s="3"/>
      <c r="T4438" s="3"/>
      <c r="U4438" s="3"/>
      <c r="V4438" s="3"/>
      <c r="W4438" s="3"/>
      <c r="X4438" s="3"/>
      <c r="Y4438" s="3"/>
      <c r="Z4438" s="3"/>
      <c r="AA4438" s="3"/>
    </row>
    <row r="4439" ht="105.75" customHeight="1">
      <c r="A4439" s="11"/>
      <c r="B4439" s="12"/>
      <c r="C4439" s="11"/>
      <c r="D4439" s="13"/>
      <c r="E4439" s="14"/>
      <c r="F4439" s="14"/>
      <c r="G4439" s="14"/>
      <c r="H4439" s="15"/>
      <c r="I4439" s="15"/>
      <c r="J4439" s="3"/>
      <c r="K4439" s="3"/>
      <c r="L4439" s="3"/>
      <c r="M4439" s="3"/>
      <c r="N4439" s="3"/>
      <c r="O4439" s="3"/>
      <c r="P4439" s="3"/>
      <c r="Q4439" s="3"/>
      <c r="R4439" s="3"/>
      <c r="S4439" s="3"/>
      <c r="T4439" s="3"/>
      <c r="U4439" s="3"/>
      <c r="V4439" s="3"/>
      <c r="W4439" s="3"/>
      <c r="X4439" s="3"/>
      <c r="Y4439" s="3"/>
      <c r="Z4439" s="3"/>
      <c r="AA4439" s="3"/>
    </row>
    <row r="4440" ht="105.75" customHeight="1">
      <c r="A4440" s="11"/>
      <c r="B4440" s="12"/>
      <c r="C4440" s="11"/>
      <c r="D4440" s="13"/>
      <c r="E4440" s="14"/>
      <c r="F4440" s="14"/>
      <c r="G4440" s="14"/>
      <c r="H4440" s="15"/>
      <c r="I4440" s="15"/>
      <c r="J4440" s="3"/>
      <c r="K4440" s="3"/>
      <c r="L4440" s="3"/>
      <c r="M4440" s="3"/>
      <c r="N4440" s="3"/>
      <c r="O4440" s="3"/>
      <c r="P4440" s="3"/>
      <c r="Q4440" s="3"/>
      <c r="R4440" s="3"/>
      <c r="S4440" s="3"/>
      <c r="T4440" s="3"/>
      <c r="U4440" s="3"/>
      <c r="V4440" s="3"/>
      <c r="W4440" s="3"/>
      <c r="X4440" s="3"/>
      <c r="Y4440" s="3"/>
      <c r="Z4440" s="3"/>
      <c r="AA4440" s="3"/>
    </row>
    <row r="4441" ht="105.75" customHeight="1">
      <c r="A4441" s="11"/>
      <c r="B4441" s="12"/>
      <c r="C4441" s="11"/>
      <c r="D4441" s="13"/>
      <c r="E4441" s="14"/>
      <c r="F4441" s="14"/>
      <c r="G4441" s="14"/>
      <c r="H4441" s="15"/>
      <c r="I4441" s="15"/>
      <c r="J4441" s="3"/>
      <c r="K4441" s="3"/>
      <c r="L4441" s="3"/>
      <c r="M4441" s="3"/>
      <c r="N4441" s="3"/>
      <c r="O4441" s="3"/>
      <c r="P4441" s="3"/>
      <c r="Q4441" s="3"/>
      <c r="R4441" s="3"/>
      <c r="S4441" s="3"/>
      <c r="T4441" s="3"/>
      <c r="U4441" s="3"/>
      <c r="V4441" s="3"/>
      <c r="W4441" s="3"/>
      <c r="X4441" s="3"/>
      <c r="Y4441" s="3"/>
      <c r="Z4441" s="3"/>
      <c r="AA4441" s="3"/>
    </row>
    <row r="4442" ht="105.75" customHeight="1">
      <c r="A4442" s="11"/>
      <c r="B4442" s="12"/>
      <c r="C4442" s="11"/>
      <c r="D4442" s="13"/>
      <c r="E4442" s="14"/>
      <c r="F4442" s="14"/>
      <c r="G4442" s="14"/>
      <c r="H4442" s="15"/>
      <c r="I4442" s="15"/>
      <c r="J4442" s="3"/>
      <c r="K4442" s="3"/>
      <c r="L4442" s="3"/>
      <c r="M4442" s="3"/>
      <c r="N4442" s="3"/>
      <c r="O4442" s="3"/>
      <c r="P4442" s="3"/>
      <c r="Q4442" s="3"/>
      <c r="R4442" s="3"/>
      <c r="S4442" s="3"/>
      <c r="T4442" s="3"/>
      <c r="U4442" s="3"/>
      <c r="V4442" s="3"/>
      <c r="W4442" s="3"/>
      <c r="X4442" s="3"/>
      <c r="Y4442" s="3"/>
      <c r="Z4442" s="3"/>
      <c r="AA4442" s="3"/>
    </row>
    <row r="4443" ht="105.75" customHeight="1">
      <c r="A4443" s="11"/>
      <c r="B4443" s="12"/>
      <c r="C4443" s="11"/>
      <c r="D4443" s="13"/>
      <c r="E4443" s="14"/>
      <c r="F4443" s="14"/>
      <c r="G4443" s="14"/>
      <c r="H4443" s="15"/>
      <c r="I4443" s="15"/>
      <c r="J4443" s="3"/>
      <c r="K4443" s="3"/>
      <c r="L4443" s="3"/>
      <c r="M4443" s="3"/>
      <c r="N4443" s="3"/>
      <c r="O4443" s="3"/>
      <c r="P4443" s="3"/>
      <c r="Q4443" s="3"/>
      <c r="R4443" s="3"/>
      <c r="S4443" s="3"/>
      <c r="T4443" s="3"/>
      <c r="U4443" s="3"/>
      <c r="V4443" s="3"/>
      <c r="W4443" s="3"/>
      <c r="X4443" s="3"/>
      <c r="Y4443" s="3"/>
      <c r="Z4443" s="3"/>
      <c r="AA4443" s="3"/>
    </row>
    <row r="4444" ht="105.75" customHeight="1">
      <c r="A4444" s="11"/>
      <c r="B4444" s="12"/>
      <c r="C4444" s="11"/>
      <c r="D4444" s="13"/>
      <c r="E4444" s="14"/>
      <c r="F4444" s="14"/>
      <c r="G4444" s="14"/>
      <c r="H4444" s="15"/>
      <c r="I4444" s="15"/>
      <c r="J4444" s="3"/>
      <c r="K4444" s="3"/>
      <c r="L4444" s="3"/>
      <c r="M4444" s="3"/>
      <c r="N4444" s="3"/>
      <c r="O4444" s="3"/>
      <c r="P4444" s="3"/>
      <c r="Q4444" s="3"/>
      <c r="R4444" s="3"/>
      <c r="S4444" s="3"/>
      <c r="T4444" s="3"/>
      <c r="U4444" s="3"/>
      <c r="V4444" s="3"/>
      <c r="W4444" s="3"/>
      <c r="X4444" s="3"/>
      <c r="Y4444" s="3"/>
      <c r="Z4444" s="3"/>
      <c r="AA4444" s="3"/>
    </row>
    <row r="4445" ht="105.75" customHeight="1">
      <c r="A4445" s="11"/>
      <c r="B4445" s="12"/>
      <c r="C4445" s="11"/>
      <c r="D4445" s="13"/>
      <c r="E4445" s="14"/>
      <c r="F4445" s="14"/>
      <c r="G4445" s="14"/>
      <c r="H4445" s="15"/>
      <c r="I4445" s="15"/>
      <c r="J4445" s="3"/>
      <c r="K4445" s="3"/>
      <c r="L4445" s="3"/>
      <c r="M4445" s="3"/>
      <c r="N4445" s="3"/>
      <c r="O4445" s="3"/>
      <c r="P4445" s="3"/>
      <c r="Q4445" s="3"/>
      <c r="R4445" s="3"/>
      <c r="S4445" s="3"/>
      <c r="T4445" s="3"/>
      <c r="U4445" s="3"/>
      <c r="V4445" s="3"/>
      <c r="W4445" s="3"/>
      <c r="X4445" s="3"/>
      <c r="Y4445" s="3"/>
      <c r="Z4445" s="3"/>
      <c r="AA4445" s="3"/>
    </row>
    <row r="4446" ht="105.75" customHeight="1">
      <c r="A4446" s="11"/>
      <c r="B4446" s="12"/>
      <c r="C4446" s="11"/>
      <c r="D4446" s="13"/>
      <c r="E4446" s="14"/>
      <c r="F4446" s="14"/>
      <c r="G4446" s="14"/>
      <c r="H4446" s="15"/>
      <c r="I4446" s="15"/>
      <c r="J4446" s="3"/>
      <c r="K4446" s="3"/>
      <c r="L4446" s="3"/>
      <c r="M4446" s="3"/>
      <c r="N4446" s="3"/>
      <c r="O4446" s="3"/>
      <c r="P4446" s="3"/>
      <c r="Q4446" s="3"/>
      <c r="R4446" s="3"/>
      <c r="S4446" s="3"/>
      <c r="T4446" s="3"/>
      <c r="U4446" s="3"/>
      <c r="V4446" s="3"/>
      <c r="W4446" s="3"/>
      <c r="X4446" s="3"/>
      <c r="Y4446" s="3"/>
      <c r="Z4446" s="3"/>
      <c r="AA4446" s="3"/>
    </row>
    <row r="4447" ht="105.75" customHeight="1">
      <c r="A4447" s="11"/>
      <c r="B4447" s="12"/>
      <c r="C4447" s="11"/>
      <c r="D4447" s="13"/>
      <c r="E4447" s="14"/>
      <c r="F4447" s="14"/>
      <c r="G4447" s="14"/>
      <c r="H4447" s="15"/>
      <c r="I4447" s="15"/>
      <c r="J4447" s="3"/>
      <c r="K4447" s="3"/>
      <c r="L4447" s="3"/>
      <c r="M4447" s="3"/>
      <c r="N4447" s="3"/>
      <c r="O4447" s="3"/>
      <c r="P4447" s="3"/>
      <c r="Q4447" s="3"/>
      <c r="R4447" s="3"/>
      <c r="S4447" s="3"/>
      <c r="T4447" s="3"/>
      <c r="U4447" s="3"/>
      <c r="V4447" s="3"/>
      <c r="W4447" s="3"/>
      <c r="X4447" s="3"/>
      <c r="Y4447" s="3"/>
      <c r="Z4447" s="3"/>
      <c r="AA4447" s="3"/>
    </row>
    <row r="4448" ht="105.75" customHeight="1">
      <c r="A4448" s="11"/>
      <c r="B4448" s="12"/>
      <c r="C4448" s="11"/>
      <c r="D4448" s="13"/>
      <c r="E4448" s="14"/>
      <c r="F4448" s="14"/>
      <c r="G4448" s="14"/>
      <c r="H4448" s="15"/>
      <c r="I4448" s="15"/>
      <c r="J4448" s="3"/>
      <c r="K4448" s="3"/>
      <c r="L4448" s="3"/>
      <c r="M4448" s="3"/>
      <c r="N4448" s="3"/>
      <c r="O4448" s="3"/>
      <c r="P4448" s="3"/>
      <c r="Q4448" s="3"/>
      <c r="R4448" s="3"/>
      <c r="S4448" s="3"/>
      <c r="T4448" s="3"/>
      <c r="U4448" s="3"/>
      <c r="V4448" s="3"/>
      <c r="W4448" s="3"/>
      <c r="X4448" s="3"/>
      <c r="Y4448" s="3"/>
      <c r="Z4448" s="3"/>
      <c r="AA4448" s="3"/>
    </row>
    <row r="4449" ht="105.75" customHeight="1">
      <c r="A4449" s="11"/>
      <c r="B4449" s="12"/>
      <c r="C4449" s="11"/>
      <c r="D4449" s="13"/>
      <c r="E4449" s="14"/>
      <c r="F4449" s="14"/>
      <c r="G4449" s="14"/>
      <c r="H4449" s="15"/>
      <c r="I4449" s="15"/>
      <c r="J4449" s="3"/>
      <c r="K4449" s="3"/>
      <c r="L4449" s="3"/>
      <c r="M4449" s="3"/>
      <c r="N4449" s="3"/>
      <c r="O4449" s="3"/>
      <c r="P4449" s="3"/>
      <c r="Q4449" s="3"/>
      <c r="R4449" s="3"/>
      <c r="S4449" s="3"/>
      <c r="T4449" s="3"/>
      <c r="U4449" s="3"/>
      <c r="V4449" s="3"/>
      <c r="W4449" s="3"/>
      <c r="X4449" s="3"/>
      <c r="Y4449" s="3"/>
      <c r="Z4449" s="3"/>
      <c r="AA4449" s="3"/>
    </row>
    <row r="4450" ht="105.75" customHeight="1">
      <c r="A4450" s="11"/>
      <c r="B4450" s="12"/>
      <c r="C4450" s="11"/>
      <c r="D4450" s="13"/>
      <c r="E4450" s="14"/>
      <c r="F4450" s="14"/>
      <c r="G4450" s="14"/>
      <c r="H4450" s="15"/>
      <c r="I4450" s="15"/>
      <c r="J4450" s="3"/>
      <c r="K4450" s="3"/>
      <c r="L4450" s="3"/>
      <c r="M4450" s="3"/>
      <c r="N4450" s="3"/>
      <c r="O4450" s="3"/>
      <c r="P4450" s="3"/>
      <c r="Q4450" s="3"/>
      <c r="R4450" s="3"/>
      <c r="S4450" s="3"/>
      <c r="T4450" s="3"/>
      <c r="U4450" s="3"/>
      <c r="V4450" s="3"/>
      <c r="W4450" s="3"/>
      <c r="X4450" s="3"/>
      <c r="Y4450" s="3"/>
      <c r="Z4450" s="3"/>
      <c r="AA4450" s="3"/>
    </row>
    <row r="4451" ht="105.75" customHeight="1">
      <c r="A4451" s="11"/>
      <c r="B4451" s="12"/>
      <c r="C4451" s="11"/>
      <c r="D4451" s="13"/>
      <c r="E4451" s="14"/>
      <c r="F4451" s="14"/>
      <c r="G4451" s="14"/>
      <c r="H4451" s="15"/>
      <c r="I4451" s="15"/>
      <c r="J4451" s="3"/>
      <c r="K4451" s="3"/>
      <c r="L4451" s="3"/>
      <c r="M4451" s="3"/>
      <c r="N4451" s="3"/>
      <c r="O4451" s="3"/>
      <c r="P4451" s="3"/>
      <c r="Q4451" s="3"/>
      <c r="R4451" s="3"/>
      <c r="S4451" s="3"/>
      <c r="T4451" s="3"/>
      <c r="U4451" s="3"/>
      <c r="V4451" s="3"/>
      <c r="W4451" s="3"/>
      <c r="X4451" s="3"/>
      <c r="Y4451" s="3"/>
      <c r="Z4451" s="3"/>
      <c r="AA4451" s="3"/>
    </row>
    <row r="4452" ht="105.75" customHeight="1">
      <c r="A4452" s="11"/>
      <c r="B4452" s="12"/>
      <c r="C4452" s="11"/>
      <c r="D4452" s="13"/>
      <c r="E4452" s="14"/>
      <c r="F4452" s="14"/>
      <c r="G4452" s="14"/>
      <c r="H4452" s="15"/>
      <c r="I4452" s="15"/>
      <c r="J4452" s="3"/>
      <c r="K4452" s="3"/>
      <c r="L4452" s="3"/>
      <c r="M4452" s="3"/>
      <c r="N4452" s="3"/>
      <c r="O4452" s="3"/>
      <c r="P4452" s="3"/>
      <c r="Q4452" s="3"/>
      <c r="R4452" s="3"/>
      <c r="S4452" s="3"/>
      <c r="T4452" s="3"/>
      <c r="U4452" s="3"/>
      <c r="V4452" s="3"/>
      <c r="W4452" s="3"/>
      <c r="X4452" s="3"/>
      <c r="Y4452" s="3"/>
      <c r="Z4452" s="3"/>
      <c r="AA4452" s="3"/>
    </row>
    <row r="4453" ht="105.75" customHeight="1">
      <c r="A4453" s="11"/>
      <c r="B4453" s="12"/>
      <c r="C4453" s="11"/>
      <c r="D4453" s="13"/>
      <c r="E4453" s="14"/>
      <c r="F4453" s="14"/>
      <c r="G4453" s="14"/>
      <c r="H4453" s="15"/>
      <c r="I4453" s="15"/>
      <c r="J4453" s="3"/>
      <c r="K4453" s="3"/>
      <c r="L4453" s="3"/>
      <c r="M4453" s="3"/>
      <c r="N4453" s="3"/>
      <c r="O4453" s="3"/>
      <c r="P4453" s="3"/>
      <c r="Q4453" s="3"/>
      <c r="R4453" s="3"/>
      <c r="S4453" s="3"/>
      <c r="T4453" s="3"/>
      <c r="U4453" s="3"/>
      <c r="V4453" s="3"/>
      <c r="W4453" s="3"/>
      <c r="X4453" s="3"/>
      <c r="Y4453" s="3"/>
      <c r="Z4453" s="3"/>
      <c r="AA4453" s="3"/>
    </row>
    <row r="4454" ht="105.75" customHeight="1">
      <c r="A4454" s="11"/>
      <c r="B4454" s="12"/>
      <c r="C4454" s="11"/>
      <c r="D4454" s="13"/>
      <c r="E4454" s="14"/>
      <c r="F4454" s="14"/>
      <c r="G4454" s="14"/>
      <c r="H4454" s="15"/>
      <c r="I4454" s="15"/>
      <c r="J4454" s="3"/>
      <c r="K4454" s="3"/>
      <c r="L4454" s="3"/>
      <c r="M4454" s="3"/>
      <c r="N4454" s="3"/>
      <c r="O4454" s="3"/>
      <c r="P4454" s="3"/>
      <c r="Q4454" s="3"/>
      <c r="R4454" s="3"/>
      <c r="S4454" s="3"/>
      <c r="T4454" s="3"/>
      <c r="U4454" s="3"/>
      <c r="V4454" s="3"/>
      <c r="W4454" s="3"/>
      <c r="X4454" s="3"/>
      <c r="Y4454" s="3"/>
      <c r="Z4454" s="3"/>
      <c r="AA4454" s="3"/>
    </row>
    <row r="4455" ht="105.75" customHeight="1">
      <c r="A4455" s="11"/>
      <c r="B4455" s="12"/>
      <c r="C4455" s="11"/>
      <c r="D4455" s="13"/>
      <c r="E4455" s="14"/>
      <c r="F4455" s="14"/>
      <c r="G4455" s="14"/>
      <c r="H4455" s="15"/>
      <c r="I4455" s="15"/>
      <c r="J4455" s="3"/>
      <c r="K4455" s="3"/>
      <c r="L4455" s="3"/>
      <c r="M4455" s="3"/>
      <c r="N4455" s="3"/>
      <c r="O4455" s="3"/>
      <c r="P4455" s="3"/>
      <c r="Q4455" s="3"/>
      <c r="R4455" s="3"/>
      <c r="S4455" s="3"/>
      <c r="T4455" s="3"/>
      <c r="U4455" s="3"/>
      <c r="V4455" s="3"/>
      <c r="W4455" s="3"/>
      <c r="X4455" s="3"/>
      <c r="Y4455" s="3"/>
      <c r="Z4455" s="3"/>
      <c r="AA4455" s="3"/>
    </row>
    <row r="4456" ht="105.75" customHeight="1">
      <c r="A4456" s="11"/>
      <c r="B4456" s="12"/>
      <c r="C4456" s="11"/>
      <c r="D4456" s="13"/>
      <c r="E4456" s="14"/>
      <c r="F4456" s="14"/>
      <c r="G4456" s="14"/>
      <c r="H4456" s="15"/>
      <c r="I4456" s="15"/>
      <c r="J4456" s="3"/>
      <c r="K4456" s="3"/>
      <c r="L4456" s="3"/>
      <c r="M4456" s="3"/>
      <c r="N4456" s="3"/>
      <c r="O4456" s="3"/>
      <c r="P4456" s="3"/>
      <c r="Q4456" s="3"/>
      <c r="R4456" s="3"/>
      <c r="S4456" s="3"/>
      <c r="T4456" s="3"/>
      <c r="U4456" s="3"/>
      <c r="V4456" s="3"/>
      <c r="W4456" s="3"/>
      <c r="X4456" s="3"/>
      <c r="Y4456" s="3"/>
      <c r="Z4456" s="3"/>
      <c r="AA4456" s="3"/>
    </row>
    <row r="4457" ht="105.75" customHeight="1">
      <c r="A4457" s="11"/>
      <c r="B4457" s="12"/>
      <c r="C4457" s="11"/>
      <c r="D4457" s="13"/>
      <c r="E4457" s="14"/>
      <c r="F4457" s="14"/>
      <c r="G4457" s="14"/>
      <c r="H4457" s="15"/>
      <c r="I4457" s="15"/>
      <c r="J4457" s="3"/>
      <c r="K4457" s="3"/>
      <c r="L4457" s="3"/>
      <c r="M4457" s="3"/>
      <c r="N4457" s="3"/>
      <c r="O4457" s="3"/>
      <c r="P4457" s="3"/>
      <c r="Q4457" s="3"/>
      <c r="R4457" s="3"/>
      <c r="S4457" s="3"/>
      <c r="T4457" s="3"/>
      <c r="U4457" s="3"/>
      <c r="V4457" s="3"/>
      <c r="W4457" s="3"/>
      <c r="X4457" s="3"/>
      <c r="Y4457" s="3"/>
      <c r="Z4457" s="3"/>
      <c r="AA4457" s="3"/>
    </row>
    <row r="4458" ht="105.75" customHeight="1">
      <c r="A4458" s="11"/>
      <c r="B4458" s="12"/>
      <c r="C4458" s="11"/>
      <c r="D4458" s="13"/>
      <c r="E4458" s="14"/>
      <c r="F4458" s="14"/>
      <c r="G4458" s="14"/>
      <c r="H4458" s="15"/>
      <c r="I4458" s="15"/>
      <c r="J4458" s="3"/>
      <c r="K4458" s="3"/>
      <c r="L4458" s="3"/>
      <c r="M4458" s="3"/>
      <c r="N4458" s="3"/>
      <c r="O4458" s="3"/>
      <c r="P4458" s="3"/>
      <c r="Q4458" s="3"/>
      <c r="R4458" s="3"/>
      <c r="S4458" s="3"/>
      <c r="T4458" s="3"/>
      <c r="U4458" s="3"/>
      <c r="V4458" s="3"/>
      <c r="W4458" s="3"/>
      <c r="X4458" s="3"/>
      <c r="Y4458" s="3"/>
      <c r="Z4458" s="3"/>
      <c r="AA4458" s="3"/>
    </row>
    <row r="4459" ht="105.75" customHeight="1">
      <c r="A4459" s="11"/>
      <c r="B4459" s="12"/>
      <c r="C4459" s="11"/>
      <c r="D4459" s="13"/>
      <c r="E4459" s="14"/>
      <c r="F4459" s="14"/>
      <c r="G4459" s="14"/>
      <c r="H4459" s="15"/>
      <c r="I4459" s="15"/>
      <c r="J4459" s="3"/>
      <c r="K4459" s="3"/>
      <c r="L4459" s="3"/>
      <c r="M4459" s="3"/>
      <c r="N4459" s="3"/>
      <c r="O4459" s="3"/>
      <c r="P4459" s="3"/>
      <c r="Q4459" s="3"/>
      <c r="R4459" s="3"/>
      <c r="S4459" s="3"/>
      <c r="T4459" s="3"/>
      <c r="U4459" s="3"/>
      <c r="V4459" s="3"/>
      <c r="W4459" s="3"/>
      <c r="X4459" s="3"/>
      <c r="Y4459" s="3"/>
      <c r="Z4459" s="3"/>
      <c r="AA4459" s="3"/>
    </row>
    <row r="4460" ht="105.75" customHeight="1">
      <c r="A4460" s="11"/>
      <c r="B4460" s="12"/>
      <c r="C4460" s="11"/>
      <c r="D4460" s="13"/>
      <c r="E4460" s="14"/>
      <c r="F4460" s="14"/>
      <c r="G4460" s="14"/>
      <c r="H4460" s="15"/>
      <c r="I4460" s="15"/>
      <c r="J4460" s="3"/>
      <c r="K4460" s="3"/>
      <c r="L4460" s="3"/>
      <c r="M4460" s="3"/>
      <c r="N4460" s="3"/>
      <c r="O4460" s="3"/>
      <c r="P4460" s="3"/>
      <c r="Q4460" s="3"/>
      <c r="R4460" s="3"/>
      <c r="S4460" s="3"/>
      <c r="T4460" s="3"/>
      <c r="U4460" s="3"/>
      <c r="V4460" s="3"/>
      <c r="W4460" s="3"/>
      <c r="X4460" s="3"/>
      <c r="Y4460" s="3"/>
      <c r="Z4460" s="3"/>
      <c r="AA4460" s="3"/>
    </row>
    <row r="4461" ht="105.75" customHeight="1">
      <c r="A4461" s="11"/>
      <c r="B4461" s="12"/>
      <c r="C4461" s="11"/>
      <c r="D4461" s="13"/>
      <c r="E4461" s="14"/>
      <c r="F4461" s="14"/>
      <c r="G4461" s="14"/>
      <c r="H4461" s="15"/>
      <c r="I4461" s="15"/>
      <c r="J4461" s="3"/>
      <c r="K4461" s="3"/>
      <c r="L4461" s="3"/>
      <c r="M4461" s="3"/>
      <c r="N4461" s="3"/>
      <c r="O4461" s="3"/>
      <c r="P4461" s="3"/>
      <c r="Q4461" s="3"/>
      <c r="R4461" s="3"/>
      <c r="S4461" s="3"/>
      <c r="T4461" s="3"/>
      <c r="U4461" s="3"/>
      <c r="V4461" s="3"/>
      <c r="W4461" s="3"/>
      <c r="X4461" s="3"/>
      <c r="Y4461" s="3"/>
      <c r="Z4461" s="3"/>
      <c r="AA4461" s="3"/>
    </row>
    <row r="4462" ht="105.75" customHeight="1">
      <c r="A4462" s="11"/>
      <c r="B4462" s="12"/>
      <c r="C4462" s="11"/>
      <c r="D4462" s="13"/>
      <c r="E4462" s="14"/>
      <c r="F4462" s="14"/>
      <c r="G4462" s="14"/>
      <c r="H4462" s="15"/>
      <c r="I4462" s="15"/>
      <c r="J4462" s="3"/>
      <c r="K4462" s="3"/>
      <c r="L4462" s="3"/>
      <c r="M4462" s="3"/>
      <c r="N4462" s="3"/>
      <c r="O4462" s="3"/>
      <c r="P4462" s="3"/>
      <c r="Q4462" s="3"/>
      <c r="R4462" s="3"/>
      <c r="S4462" s="3"/>
      <c r="T4462" s="3"/>
      <c r="U4462" s="3"/>
      <c r="V4462" s="3"/>
      <c r="W4462" s="3"/>
      <c r="X4462" s="3"/>
      <c r="Y4462" s="3"/>
      <c r="Z4462" s="3"/>
      <c r="AA4462" s="3"/>
    </row>
    <row r="4463" ht="105.75" customHeight="1">
      <c r="A4463" s="11"/>
      <c r="B4463" s="12"/>
      <c r="C4463" s="11"/>
      <c r="D4463" s="13"/>
      <c r="E4463" s="14"/>
      <c r="F4463" s="14"/>
      <c r="G4463" s="14"/>
      <c r="H4463" s="15"/>
      <c r="I4463" s="15"/>
      <c r="J4463" s="3"/>
      <c r="K4463" s="3"/>
      <c r="L4463" s="3"/>
      <c r="M4463" s="3"/>
      <c r="N4463" s="3"/>
      <c r="O4463" s="3"/>
      <c r="P4463" s="3"/>
      <c r="Q4463" s="3"/>
      <c r="R4463" s="3"/>
      <c r="S4463" s="3"/>
      <c r="T4463" s="3"/>
      <c r="U4463" s="3"/>
      <c r="V4463" s="3"/>
      <c r="W4463" s="3"/>
      <c r="X4463" s="3"/>
      <c r="Y4463" s="3"/>
      <c r="Z4463" s="3"/>
      <c r="AA4463" s="3"/>
    </row>
    <row r="4464" ht="105.75" customHeight="1">
      <c r="A4464" s="11"/>
      <c r="B4464" s="12"/>
      <c r="C4464" s="11"/>
      <c r="D4464" s="13"/>
      <c r="E4464" s="14"/>
      <c r="F4464" s="14"/>
      <c r="G4464" s="14"/>
      <c r="H4464" s="15"/>
      <c r="I4464" s="15"/>
      <c r="J4464" s="3"/>
      <c r="K4464" s="3"/>
      <c r="L4464" s="3"/>
      <c r="M4464" s="3"/>
      <c r="N4464" s="3"/>
      <c r="O4464" s="3"/>
      <c r="P4464" s="3"/>
      <c r="Q4464" s="3"/>
      <c r="R4464" s="3"/>
      <c r="S4464" s="3"/>
      <c r="T4464" s="3"/>
      <c r="U4464" s="3"/>
      <c r="V4464" s="3"/>
      <c r="W4464" s="3"/>
      <c r="X4464" s="3"/>
      <c r="Y4464" s="3"/>
      <c r="Z4464" s="3"/>
      <c r="AA4464" s="3"/>
    </row>
    <row r="4465" ht="105.75" customHeight="1">
      <c r="A4465" s="11"/>
      <c r="B4465" s="12"/>
      <c r="C4465" s="11"/>
      <c r="D4465" s="13"/>
      <c r="E4465" s="14"/>
      <c r="F4465" s="14"/>
      <c r="G4465" s="14"/>
      <c r="H4465" s="15"/>
      <c r="I4465" s="15"/>
      <c r="J4465" s="3"/>
      <c r="K4465" s="3"/>
      <c r="L4465" s="3"/>
      <c r="M4465" s="3"/>
      <c r="N4465" s="3"/>
      <c r="O4465" s="3"/>
      <c r="P4465" s="3"/>
      <c r="Q4465" s="3"/>
      <c r="R4465" s="3"/>
      <c r="S4465" s="3"/>
      <c r="T4465" s="3"/>
      <c r="U4465" s="3"/>
      <c r="V4465" s="3"/>
      <c r="W4465" s="3"/>
      <c r="X4465" s="3"/>
      <c r="Y4465" s="3"/>
      <c r="Z4465" s="3"/>
      <c r="AA4465" s="3"/>
    </row>
    <row r="4466" ht="105.75" customHeight="1">
      <c r="A4466" s="11"/>
      <c r="B4466" s="12"/>
      <c r="C4466" s="11"/>
      <c r="D4466" s="13"/>
      <c r="E4466" s="14"/>
      <c r="F4466" s="14"/>
      <c r="G4466" s="14"/>
      <c r="H4466" s="15"/>
      <c r="I4466" s="15"/>
      <c r="J4466" s="3"/>
      <c r="K4466" s="3"/>
      <c r="L4466" s="3"/>
      <c r="M4466" s="3"/>
      <c r="N4466" s="3"/>
      <c r="O4466" s="3"/>
      <c r="P4466" s="3"/>
      <c r="Q4466" s="3"/>
      <c r="R4466" s="3"/>
      <c r="S4466" s="3"/>
      <c r="T4466" s="3"/>
      <c r="U4466" s="3"/>
      <c r="V4466" s="3"/>
      <c r="W4466" s="3"/>
      <c r="X4466" s="3"/>
      <c r="Y4466" s="3"/>
      <c r="Z4466" s="3"/>
      <c r="AA4466" s="3"/>
    </row>
    <row r="4467" ht="105.75" customHeight="1">
      <c r="A4467" s="11"/>
      <c r="B4467" s="12"/>
      <c r="C4467" s="11"/>
      <c r="D4467" s="13"/>
      <c r="E4467" s="14"/>
      <c r="F4467" s="14"/>
      <c r="G4467" s="14"/>
      <c r="H4467" s="15"/>
      <c r="I4467" s="15"/>
      <c r="J4467" s="3"/>
      <c r="K4467" s="3"/>
      <c r="L4467" s="3"/>
      <c r="M4467" s="3"/>
      <c r="N4467" s="3"/>
      <c r="O4467" s="3"/>
      <c r="P4467" s="3"/>
      <c r="Q4467" s="3"/>
      <c r="R4467" s="3"/>
      <c r="S4467" s="3"/>
      <c r="T4467" s="3"/>
      <c r="U4467" s="3"/>
      <c r="V4467" s="3"/>
      <c r="W4467" s="3"/>
      <c r="X4467" s="3"/>
      <c r="Y4467" s="3"/>
      <c r="Z4467" s="3"/>
      <c r="AA4467" s="3"/>
    </row>
    <row r="4468" ht="105.75" customHeight="1">
      <c r="A4468" s="11"/>
      <c r="B4468" s="12"/>
      <c r="C4468" s="11"/>
      <c r="D4468" s="13"/>
      <c r="E4468" s="14"/>
      <c r="F4468" s="14"/>
      <c r="G4468" s="14"/>
      <c r="H4468" s="15"/>
      <c r="I4468" s="15"/>
      <c r="J4468" s="3"/>
      <c r="K4468" s="3"/>
      <c r="L4468" s="3"/>
      <c r="M4468" s="3"/>
      <c r="N4468" s="3"/>
      <c r="O4468" s="3"/>
      <c r="P4468" s="3"/>
      <c r="Q4468" s="3"/>
      <c r="R4468" s="3"/>
      <c r="S4468" s="3"/>
      <c r="T4468" s="3"/>
      <c r="U4468" s="3"/>
      <c r="V4468" s="3"/>
      <c r="W4468" s="3"/>
      <c r="X4468" s="3"/>
      <c r="Y4468" s="3"/>
      <c r="Z4468" s="3"/>
      <c r="AA4468" s="3"/>
    </row>
    <row r="4469" ht="105.75" customHeight="1">
      <c r="A4469" s="11"/>
      <c r="B4469" s="12"/>
      <c r="C4469" s="11"/>
      <c r="D4469" s="13"/>
      <c r="E4469" s="14"/>
      <c r="F4469" s="14"/>
      <c r="G4469" s="14"/>
      <c r="H4469" s="15"/>
      <c r="I4469" s="15"/>
      <c r="J4469" s="3"/>
      <c r="K4469" s="3"/>
      <c r="L4469" s="3"/>
      <c r="M4469" s="3"/>
      <c r="N4469" s="3"/>
      <c r="O4469" s="3"/>
      <c r="P4469" s="3"/>
      <c r="Q4469" s="3"/>
      <c r="R4469" s="3"/>
      <c r="S4469" s="3"/>
      <c r="T4469" s="3"/>
      <c r="U4469" s="3"/>
      <c r="V4469" s="3"/>
      <c r="W4469" s="3"/>
      <c r="X4469" s="3"/>
      <c r="Y4469" s="3"/>
      <c r="Z4469" s="3"/>
      <c r="AA4469" s="3"/>
    </row>
    <row r="4470" ht="105.75" customHeight="1">
      <c r="A4470" s="11"/>
      <c r="B4470" s="12"/>
      <c r="C4470" s="11"/>
      <c r="D4470" s="13"/>
      <c r="E4470" s="14"/>
      <c r="F4470" s="14"/>
      <c r="G4470" s="14"/>
      <c r="H4470" s="15"/>
      <c r="I4470" s="15"/>
      <c r="J4470" s="3"/>
      <c r="K4470" s="3"/>
      <c r="L4470" s="3"/>
      <c r="M4470" s="3"/>
      <c r="N4470" s="3"/>
      <c r="O4470" s="3"/>
      <c r="P4470" s="3"/>
      <c r="Q4470" s="3"/>
      <c r="R4470" s="3"/>
      <c r="S4470" s="3"/>
      <c r="T4470" s="3"/>
      <c r="U4470" s="3"/>
      <c r="V4470" s="3"/>
      <c r="W4470" s="3"/>
      <c r="X4470" s="3"/>
      <c r="Y4470" s="3"/>
      <c r="Z4470" s="3"/>
      <c r="AA4470" s="3"/>
    </row>
    <row r="4471" ht="105.75" customHeight="1">
      <c r="A4471" s="11"/>
      <c r="B4471" s="12"/>
      <c r="C4471" s="11"/>
      <c r="D4471" s="13"/>
      <c r="E4471" s="14"/>
      <c r="F4471" s="14"/>
      <c r="G4471" s="14"/>
      <c r="H4471" s="15"/>
      <c r="I4471" s="15"/>
      <c r="J4471" s="3"/>
      <c r="K4471" s="3"/>
      <c r="L4471" s="3"/>
      <c r="M4471" s="3"/>
      <c r="N4471" s="3"/>
      <c r="O4471" s="3"/>
      <c r="P4471" s="3"/>
      <c r="Q4471" s="3"/>
      <c r="R4471" s="3"/>
      <c r="S4471" s="3"/>
      <c r="T4471" s="3"/>
      <c r="U4471" s="3"/>
      <c r="V4471" s="3"/>
      <c r="W4471" s="3"/>
      <c r="X4471" s="3"/>
      <c r="Y4471" s="3"/>
      <c r="Z4471" s="3"/>
      <c r="AA4471" s="3"/>
    </row>
    <row r="4472" ht="105.75" customHeight="1">
      <c r="A4472" s="11"/>
      <c r="B4472" s="12"/>
      <c r="C4472" s="11"/>
      <c r="D4472" s="13"/>
      <c r="E4472" s="14"/>
      <c r="F4472" s="14"/>
      <c r="G4472" s="14"/>
      <c r="H4472" s="15"/>
      <c r="I4472" s="15"/>
      <c r="J4472" s="3"/>
      <c r="K4472" s="3"/>
      <c r="L4472" s="3"/>
      <c r="M4472" s="3"/>
      <c r="N4472" s="3"/>
      <c r="O4472" s="3"/>
      <c r="P4472" s="3"/>
      <c r="Q4472" s="3"/>
      <c r="R4472" s="3"/>
      <c r="S4472" s="3"/>
      <c r="T4472" s="3"/>
      <c r="U4472" s="3"/>
      <c r="V4472" s="3"/>
      <c r="W4472" s="3"/>
      <c r="X4472" s="3"/>
      <c r="Y4472" s="3"/>
      <c r="Z4472" s="3"/>
      <c r="AA4472" s="3"/>
    </row>
    <row r="4473" ht="105.75" customHeight="1">
      <c r="A4473" s="11"/>
      <c r="B4473" s="12"/>
      <c r="C4473" s="11"/>
      <c r="D4473" s="13"/>
      <c r="E4473" s="14"/>
      <c r="F4473" s="14"/>
      <c r="G4473" s="14"/>
      <c r="H4473" s="15"/>
      <c r="I4473" s="15"/>
      <c r="J4473" s="3"/>
      <c r="K4473" s="3"/>
      <c r="L4473" s="3"/>
      <c r="M4473" s="3"/>
      <c r="N4473" s="3"/>
      <c r="O4473" s="3"/>
      <c r="P4473" s="3"/>
      <c r="Q4473" s="3"/>
      <c r="R4473" s="3"/>
      <c r="S4473" s="3"/>
      <c r="T4473" s="3"/>
      <c r="U4473" s="3"/>
      <c r="V4473" s="3"/>
      <c r="W4473" s="3"/>
      <c r="X4473" s="3"/>
      <c r="Y4473" s="3"/>
      <c r="Z4473" s="3"/>
      <c r="AA4473" s="3"/>
    </row>
    <row r="4474" ht="105.75" customHeight="1">
      <c r="A4474" s="11"/>
      <c r="B4474" s="12"/>
      <c r="C4474" s="11"/>
      <c r="D4474" s="13"/>
      <c r="E4474" s="14"/>
      <c r="F4474" s="14"/>
      <c r="G4474" s="14"/>
      <c r="H4474" s="15"/>
      <c r="I4474" s="15"/>
      <c r="J4474" s="3"/>
      <c r="K4474" s="3"/>
      <c r="L4474" s="3"/>
      <c r="M4474" s="3"/>
      <c r="N4474" s="3"/>
      <c r="O4474" s="3"/>
      <c r="P4474" s="3"/>
      <c r="Q4474" s="3"/>
      <c r="R4474" s="3"/>
      <c r="S4474" s="3"/>
      <c r="T4474" s="3"/>
      <c r="U4474" s="3"/>
      <c r="V4474" s="3"/>
      <c r="W4474" s="3"/>
      <c r="X4474" s="3"/>
      <c r="Y4474" s="3"/>
      <c r="Z4474" s="3"/>
      <c r="AA4474" s="3"/>
    </row>
    <row r="4475" ht="105.75" customHeight="1">
      <c r="A4475" s="11"/>
      <c r="B4475" s="12"/>
      <c r="C4475" s="11"/>
      <c r="D4475" s="13"/>
      <c r="E4475" s="14"/>
      <c r="F4475" s="14"/>
      <c r="G4475" s="14"/>
      <c r="H4475" s="15"/>
      <c r="I4475" s="15"/>
      <c r="J4475" s="3"/>
      <c r="K4475" s="3"/>
      <c r="L4475" s="3"/>
      <c r="M4475" s="3"/>
      <c r="N4475" s="3"/>
      <c r="O4475" s="3"/>
      <c r="P4475" s="3"/>
      <c r="Q4475" s="3"/>
      <c r="R4475" s="3"/>
      <c r="S4475" s="3"/>
      <c r="T4475" s="3"/>
      <c r="U4475" s="3"/>
      <c r="V4475" s="3"/>
      <c r="W4475" s="3"/>
      <c r="X4475" s="3"/>
      <c r="Y4475" s="3"/>
      <c r="Z4475" s="3"/>
      <c r="AA4475" s="3"/>
    </row>
    <row r="4476" ht="105.75" customHeight="1">
      <c r="A4476" s="11"/>
      <c r="B4476" s="12"/>
      <c r="C4476" s="11"/>
      <c r="D4476" s="13"/>
      <c r="E4476" s="14"/>
      <c r="F4476" s="14"/>
      <c r="G4476" s="14"/>
      <c r="H4476" s="15"/>
      <c r="I4476" s="15"/>
      <c r="J4476" s="3"/>
      <c r="K4476" s="3"/>
      <c r="L4476" s="3"/>
      <c r="M4476" s="3"/>
      <c r="N4476" s="3"/>
      <c r="O4476" s="3"/>
      <c r="P4476" s="3"/>
      <c r="Q4476" s="3"/>
      <c r="R4476" s="3"/>
      <c r="S4476" s="3"/>
      <c r="T4476" s="3"/>
      <c r="U4476" s="3"/>
      <c r="V4476" s="3"/>
      <c r="W4476" s="3"/>
      <c r="X4476" s="3"/>
      <c r="Y4476" s="3"/>
      <c r="Z4476" s="3"/>
      <c r="AA4476" s="3"/>
    </row>
    <row r="4477" ht="105.75" customHeight="1">
      <c r="A4477" s="11"/>
      <c r="B4477" s="12"/>
      <c r="C4477" s="11"/>
      <c r="D4477" s="13"/>
      <c r="E4477" s="14"/>
      <c r="F4477" s="14"/>
      <c r="G4477" s="14"/>
      <c r="H4477" s="15"/>
      <c r="I4477" s="15"/>
      <c r="J4477" s="3"/>
      <c r="K4477" s="3"/>
      <c r="L4477" s="3"/>
      <c r="M4477" s="3"/>
      <c r="N4477" s="3"/>
      <c r="O4477" s="3"/>
      <c r="P4477" s="3"/>
      <c r="Q4477" s="3"/>
      <c r="R4477" s="3"/>
      <c r="S4477" s="3"/>
      <c r="T4477" s="3"/>
      <c r="U4477" s="3"/>
      <c r="V4477" s="3"/>
      <c r="W4477" s="3"/>
      <c r="X4477" s="3"/>
      <c r="Y4477" s="3"/>
      <c r="Z4477" s="3"/>
      <c r="AA4477" s="3"/>
    </row>
    <row r="4478" ht="105.75" customHeight="1">
      <c r="A4478" s="11"/>
      <c r="B4478" s="12"/>
      <c r="C4478" s="11"/>
      <c r="D4478" s="13"/>
      <c r="E4478" s="14"/>
      <c r="F4478" s="14"/>
      <c r="G4478" s="14"/>
      <c r="H4478" s="15"/>
      <c r="I4478" s="15"/>
      <c r="J4478" s="3"/>
      <c r="K4478" s="3"/>
      <c r="L4478" s="3"/>
      <c r="M4478" s="3"/>
      <c r="N4478" s="3"/>
      <c r="O4478" s="3"/>
      <c r="P4478" s="3"/>
      <c r="Q4478" s="3"/>
      <c r="R4478" s="3"/>
      <c r="S4478" s="3"/>
      <c r="T4478" s="3"/>
      <c r="U4478" s="3"/>
      <c r="V4478" s="3"/>
      <c r="W4478" s="3"/>
      <c r="X4478" s="3"/>
      <c r="Y4478" s="3"/>
      <c r="Z4478" s="3"/>
      <c r="AA4478" s="3"/>
    </row>
    <row r="4479" ht="105.75" customHeight="1">
      <c r="A4479" s="11"/>
      <c r="B4479" s="12"/>
      <c r="C4479" s="11"/>
      <c r="D4479" s="13"/>
      <c r="E4479" s="14"/>
      <c r="F4479" s="14"/>
      <c r="G4479" s="14"/>
      <c r="H4479" s="15"/>
      <c r="I4479" s="15"/>
      <c r="J4479" s="3"/>
      <c r="K4479" s="3"/>
      <c r="L4479" s="3"/>
      <c r="M4479" s="3"/>
      <c r="N4479" s="3"/>
      <c r="O4479" s="3"/>
      <c r="P4479" s="3"/>
      <c r="Q4479" s="3"/>
      <c r="R4479" s="3"/>
      <c r="S4479" s="3"/>
      <c r="T4479" s="3"/>
      <c r="U4479" s="3"/>
      <c r="V4479" s="3"/>
      <c r="W4479" s="3"/>
      <c r="X4479" s="3"/>
      <c r="Y4479" s="3"/>
      <c r="Z4479" s="3"/>
      <c r="AA4479" s="3"/>
    </row>
    <row r="4480" ht="105.75" customHeight="1">
      <c r="A4480" s="11"/>
      <c r="B4480" s="12"/>
      <c r="C4480" s="11"/>
      <c r="D4480" s="13"/>
      <c r="E4480" s="14"/>
      <c r="F4480" s="14"/>
      <c r="G4480" s="14"/>
      <c r="H4480" s="15"/>
      <c r="I4480" s="15"/>
      <c r="J4480" s="3"/>
      <c r="K4480" s="3"/>
      <c r="L4480" s="3"/>
      <c r="M4480" s="3"/>
      <c r="N4480" s="3"/>
      <c r="O4480" s="3"/>
      <c r="P4480" s="3"/>
      <c r="Q4480" s="3"/>
      <c r="R4480" s="3"/>
      <c r="S4480" s="3"/>
      <c r="T4480" s="3"/>
      <c r="U4480" s="3"/>
      <c r="V4480" s="3"/>
      <c r="W4480" s="3"/>
      <c r="X4480" s="3"/>
      <c r="Y4480" s="3"/>
      <c r="Z4480" s="3"/>
      <c r="AA4480" s="3"/>
    </row>
    <row r="4481" ht="105.75" customHeight="1">
      <c r="A4481" s="11"/>
      <c r="B4481" s="12"/>
      <c r="C4481" s="11"/>
      <c r="D4481" s="13"/>
      <c r="E4481" s="14"/>
      <c r="F4481" s="14"/>
      <c r="G4481" s="14"/>
      <c r="H4481" s="15"/>
      <c r="I4481" s="15"/>
      <c r="J4481" s="3"/>
      <c r="K4481" s="3"/>
      <c r="L4481" s="3"/>
      <c r="M4481" s="3"/>
      <c r="N4481" s="3"/>
      <c r="O4481" s="3"/>
      <c r="P4481" s="3"/>
      <c r="Q4481" s="3"/>
      <c r="R4481" s="3"/>
      <c r="S4481" s="3"/>
      <c r="T4481" s="3"/>
      <c r="U4481" s="3"/>
      <c r="V4481" s="3"/>
      <c r="W4481" s="3"/>
      <c r="X4481" s="3"/>
      <c r="Y4481" s="3"/>
      <c r="Z4481" s="3"/>
      <c r="AA4481" s="3"/>
    </row>
    <row r="4482" ht="105.75" customHeight="1">
      <c r="A4482" s="11"/>
      <c r="B4482" s="12"/>
      <c r="C4482" s="11"/>
      <c r="D4482" s="13"/>
      <c r="E4482" s="14"/>
      <c r="F4482" s="14"/>
      <c r="G4482" s="14"/>
      <c r="H4482" s="15"/>
      <c r="I4482" s="15"/>
      <c r="J4482" s="3"/>
      <c r="K4482" s="3"/>
      <c r="L4482" s="3"/>
      <c r="M4482" s="3"/>
      <c r="N4482" s="3"/>
      <c r="O4482" s="3"/>
      <c r="P4482" s="3"/>
      <c r="Q4482" s="3"/>
      <c r="R4482" s="3"/>
      <c r="S4482" s="3"/>
      <c r="T4482" s="3"/>
      <c r="U4482" s="3"/>
      <c r="V4482" s="3"/>
      <c r="W4482" s="3"/>
      <c r="X4482" s="3"/>
      <c r="Y4482" s="3"/>
      <c r="Z4482" s="3"/>
      <c r="AA4482" s="3"/>
    </row>
    <row r="4483" ht="105.75" customHeight="1">
      <c r="A4483" s="11"/>
      <c r="B4483" s="12"/>
      <c r="C4483" s="11"/>
      <c r="D4483" s="13"/>
      <c r="E4483" s="14"/>
      <c r="F4483" s="14"/>
      <c r="G4483" s="14"/>
      <c r="H4483" s="15"/>
      <c r="I4483" s="15"/>
      <c r="J4483" s="3"/>
      <c r="K4483" s="3"/>
      <c r="L4483" s="3"/>
      <c r="M4483" s="3"/>
      <c r="N4483" s="3"/>
      <c r="O4483" s="3"/>
      <c r="P4483" s="3"/>
      <c r="Q4483" s="3"/>
      <c r="R4483" s="3"/>
      <c r="S4483" s="3"/>
      <c r="T4483" s="3"/>
      <c r="U4483" s="3"/>
      <c r="V4483" s="3"/>
      <c r="W4483" s="3"/>
      <c r="X4483" s="3"/>
      <c r="Y4483" s="3"/>
      <c r="Z4483" s="3"/>
      <c r="AA4483" s="3"/>
    </row>
    <row r="4484" ht="105.75" customHeight="1">
      <c r="A4484" s="11"/>
      <c r="B4484" s="12"/>
      <c r="C4484" s="11"/>
      <c r="D4484" s="13"/>
      <c r="E4484" s="14"/>
      <c r="F4484" s="14"/>
      <c r="G4484" s="14"/>
      <c r="H4484" s="15"/>
      <c r="I4484" s="15"/>
      <c r="J4484" s="3"/>
      <c r="K4484" s="3"/>
      <c r="L4484" s="3"/>
      <c r="M4484" s="3"/>
      <c r="N4484" s="3"/>
      <c r="O4484" s="3"/>
      <c r="P4484" s="3"/>
      <c r="Q4484" s="3"/>
      <c r="R4484" s="3"/>
      <c r="S4484" s="3"/>
      <c r="T4484" s="3"/>
      <c r="U4484" s="3"/>
      <c r="V4484" s="3"/>
      <c r="W4484" s="3"/>
      <c r="X4484" s="3"/>
      <c r="Y4484" s="3"/>
      <c r="Z4484" s="3"/>
      <c r="AA4484" s="3"/>
    </row>
    <row r="4485" ht="105.75" customHeight="1">
      <c r="A4485" s="11"/>
      <c r="B4485" s="12"/>
      <c r="C4485" s="11"/>
      <c r="D4485" s="13"/>
      <c r="E4485" s="14"/>
      <c r="F4485" s="14"/>
      <c r="G4485" s="14"/>
      <c r="H4485" s="15"/>
      <c r="I4485" s="15"/>
      <c r="J4485" s="3"/>
      <c r="K4485" s="3"/>
      <c r="L4485" s="3"/>
      <c r="M4485" s="3"/>
      <c r="N4485" s="3"/>
      <c r="O4485" s="3"/>
      <c r="P4485" s="3"/>
      <c r="Q4485" s="3"/>
      <c r="R4485" s="3"/>
      <c r="S4485" s="3"/>
      <c r="T4485" s="3"/>
      <c r="U4485" s="3"/>
      <c r="V4485" s="3"/>
      <c r="W4485" s="3"/>
      <c r="X4485" s="3"/>
      <c r="Y4485" s="3"/>
      <c r="Z4485" s="3"/>
      <c r="AA4485" s="3"/>
    </row>
    <row r="4486" ht="105.75" customHeight="1">
      <c r="A4486" s="11"/>
      <c r="B4486" s="12"/>
      <c r="C4486" s="11"/>
      <c r="D4486" s="13"/>
      <c r="E4486" s="14"/>
      <c r="F4486" s="14"/>
      <c r="G4486" s="14"/>
      <c r="H4486" s="15"/>
      <c r="I4486" s="15"/>
      <c r="J4486" s="3"/>
      <c r="K4486" s="3"/>
      <c r="L4486" s="3"/>
      <c r="M4486" s="3"/>
      <c r="N4486" s="3"/>
      <c r="O4486" s="3"/>
      <c r="P4486" s="3"/>
      <c r="Q4486" s="3"/>
      <c r="R4486" s="3"/>
      <c r="S4486" s="3"/>
      <c r="T4486" s="3"/>
      <c r="U4486" s="3"/>
      <c r="V4486" s="3"/>
      <c r="W4486" s="3"/>
      <c r="X4486" s="3"/>
      <c r="Y4486" s="3"/>
      <c r="Z4486" s="3"/>
      <c r="AA4486" s="3"/>
    </row>
    <row r="4487" ht="105.75" customHeight="1">
      <c r="A4487" s="11"/>
      <c r="B4487" s="12"/>
      <c r="C4487" s="11"/>
      <c r="D4487" s="13"/>
      <c r="E4487" s="14"/>
      <c r="F4487" s="14"/>
      <c r="G4487" s="14"/>
      <c r="H4487" s="15"/>
      <c r="I4487" s="15"/>
      <c r="J4487" s="3"/>
      <c r="K4487" s="3"/>
      <c r="L4487" s="3"/>
      <c r="M4487" s="3"/>
      <c r="N4487" s="3"/>
      <c r="O4487" s="3"/>
      <c r="P4487" s="3"/>
      <c r="Q4487" s="3"/>
      <c r="R4487" s="3"/>
      <c r="S4487" s="3"/>
      <c r="T4487" s="3"/>
      <c r="U4487" s="3"/>
      <c r="V4487" s="3"/>
      <c r="W4487" s="3"/>
      <c r="X4487" s="3"/>
      <c r="Y4487" s="3"/>
      <c r="Z4487" s="3"/>
      <c r="AA4487" s="3"/>
    </row>
    <row r="4488" ht="105.75" customHeight="1">
      <c r="A4488" s="11"/>
      <c r="B4488" s="12"/>
      <c r="C4488" s="11"/>
      <c r="D4488" s="13"/>
      <c r="E4488" s="14"/>
      <c r="F4488" s="14"/>
      <c r="G4488" s="14"/>
      <c r="H4488" s="15"/>
      <c r="I4488" s="15"/>
      <c r="J4488" s="3"/>
      <c r="K4488" s="3"/>
      <c r="L4488" s="3"/>
      <c r="M4488" s="3"/>
      <c r="N4488" s="3"/>
      <c r="O4488" s="3"/>
      <c r="P4488" s="3"/>
      <c r="Q4488" s="3"/>
      <c r="R4488" s="3"/>
      <c r="S4488" s="3"/>
      <c r="T4488" s="3"/>
      <c r="U4488" s="3"/>
      <c r="V4488" s="3"/>
      <c r="W4488" s="3"/>
      <c r="X4488" s="3"/>
      <c r="Y4488" s="3"/>
      <c r="Z4488" s="3"/>
      <c r="AA4488" s="3"/>
    </row>
    <row r="4489" ht="105.75" customHeight="1">
      <c r="A4489" s="11"/>
      <c r="B4489" s="12"/>
      <c r="C4489" s="11"/>
      <c r="D4489" s="13"/>
      <c r="E4489" s="14"/>
      <c r="F4489" s="14"/>
      <c r="G4489" s="14"/>
      <c r="H4489" s="15"/>
      <c r="I4489" s="15"/>
      <c r="J4489" s="3"/>
      <c r="K4489" s="3"/>
      <c r="L4489" s="3"/>
      <c r="M4489" s="3"/>
      <c r="N4489" s="3"/>
      <c r="O4489" s="3"/>
      <c r="P4489" s="3"/>
      <c r="Q4489" s="3"/>
      <c r="R4489" s="3"/>
      <c r="S4489" s="3"/>
      <c r="T4489" s="3"/>
      <c r="U4489" s="3"/>
      <c r="V4489" s="3"/>
      <c r="W4489" s="3"/>
      <c r="X4489" s="3"/>
      <c r="Y4489" s="3"/>
      <c r="Z4489" s="3"/>
      <c r="AA4489" s="3"/>
    </row>
    <row r="4490" ht="105.75" customHeight="1">
      <c r="A4490" s="11"/>
      <c r="B4490" s="12"/>
      <c r="C4490" s="11"/>
      <c r="D4490" s="13"/>
      <c r="E4490" s="14"/>
      <c r="F4490" s="14"/>
      <c r="G4490" s="14"/>
      <c r="H4490" s="15"/>
      <c r="I4490" s="15"/>
      <c r="J4490" s="3"/>
      <c r="K4490" s="3"/>
      <c r="L4490" s="3"/>
      <c r="M4490" s="3"/>
      <c r="N4490" s="3"/>
      <c r="O4490" s="3"/>
      <c r="P4490" s="3"/>
      <c r="Q4490" s="3"/>
      <c r="R4490" s="3"/>
      <c r="S4490" s="3"/>
      <c r="T4490" s="3"/>
      <c r="U4490" s="3"/>
      <c r="V4490" s="3"/>
      <c r="W4490" s="3"/>
      <c r="X4490" s="3"/>
      <c r="Y4490" s="3"/>
      <c r="Z4490" s="3"/>
      <c r="AA4490" s="3"/>
    </row>
    <row r="4491" ht="105.75" customHeight="1">
      <c r="A4491" s="11"/>
      <c r="B4491" s="12"/>
      <c r="C4491" s="11"/>
      <c r="D4491" s="13"/>
      <c r="E4491" s="14"/>
      <c r="F4491" s="14"/>
      <c r="G4491" s="14"/>
      <c r="H4491" s="15"/>
      <c r="I4491" s="15"/>
      <c r="J4491" s="3"/>
      <c r="K4491" s="3"/>
      <c r="L4491" s="3"/>
      <c r="M4491" s="3"/>
      <c r="N4491" s="3"/>
      <c r="O4491" s="3"/>
      <c r="P4491" s="3"/>
      <c r="Q4491" s="3"/>
      <c r="R4491" s="3"/>
      <c r="S4491" s="3"/>
      <c r="T4491" s="3"/>
      <c r="U4491" s="3"/>
      <c r="V4491" s="3"/>
      <c r="W4491" s="3"/>
      <c r="X4491" s="3"/>
      <c r="Y4491" s="3"/>
      <c r="Z4491" s="3"/>
      <c r="AA4491" s="3"/>
    </row>
    <row r="4492" ht="105.75" customHeight="1">
      <c r="A4492" s="11"/>
      <c r="B4492" s="12"/>
      <c r="C4492" s="11"/>
      <c r="D4492" s="13"/>
      <c r="E4492" s="14"/>
      <c r="F4492" s="14"/>
      <c r="G4492" s="14"/>
      <c r="H4492" s="15"/>
      <c r="I4492" s="15"/>
      <c r="J4492" s="3"/>
      <c r="K4492" s="3"/>
      <c r="L4492" s="3"/>
      <c r="M4492" s="3"/>
      <c r="N4492" s="3"/>
      <c r="O4492" s="3"/>
      <c r="P4492" s="3"/>
      <c r="Q4492" s="3"/>
      <c r="R4492" s="3"/>
      <c r="S4492" s="3"/>
      <c r="T4492" s="3"/>
      <c r="U4492" s="3"/>
      <c r="V4492" s="3"/>
      <c r="W4492" s="3"/>
      <c r="X4492" s="3"/>
      <c r="Y4492" s="3"/>
      <c r="Z4492" s="3"/>
      <c r="AA4492" s="3"/>
    </row>
    <row r="4493" ht="105.75" customHeight="1">
      <c r="A4493" s="11"/>
      <c r="B4493" s="12"/>
      <c r="C4493" s="11"/>
      <c r="D4493" s="13"/>
      <c r="E4493" s="14"/>
      <c r="F4493" s="14"/>
      <c r="G4493" s="14"/>
      <c r="H4493" s="15"/>
      <c r="I4493" s="15"/>
      <c r="J4493" s="3"/>
      <c r="K4493" s="3"/>
      <c r="L4493" s="3"/>
      <c r="M4493" s="3"/>
      <c r="N4493" s="3"/>
      <c r="O4493" s="3"/>
      <c r="P4493" s="3"/>
      <c r="Q4493" s="3"/>
      <c r="R4493" s="3"/>
      <c r="S4493" s="3"/>
      <c r="T4493" s="3"/>
      <c r="U4493" s="3"/>
      <c r="V4493" s="3"/>
      <c r="W4493" s="3"/>
      <c r="X4493" s="3"/>
      <c r="Y4493" s="3"/>
      <c r="Z4493" s="3"/>
      <c r="AA4493" s="3"/>
    </row>
    <row r="4494" ht="105.75" customHeight="1">
      <c r="A4494" s="11"/>
      <c r="B4494" s="12"/>
      <c r="C4494" s="11"/>
      <c r="D4494" s="13"/>
      <c r="E4494" s="14"/>
      <c r="F4494" s="14"/>
      <c r="G4494" s="14"/>
      <c r="H4494" s="15"/>
      <c r="I4494" s="15"/>
      <c r="J4494" s="3"/>
      <c r="K4494" s="3"/>
      <c r="L4494" s="3"/>
      <c r="M4494" s="3"/>
      <c r="N4494" s="3"/>
      <c r="O4494" s="3"/>
      <c r="P4494" s="3"/>
      <c r="Q4494" s="3"/>
      <c r="R4494" s="3"/>
      <c r="S4494" s="3"/>
      <c r="T4494" s="3"/>
      <c r="U4494" s="3"/>
      <c r="V4494" s="3"/>
      <c r="W4494" s="3"/>
      <c r="X4494" s="3"/>
      <c r="Y4494" s="3"/>
      <c r="Z4494" s="3"/>
      <c r="AA4494" s="3"/>
    </row>
    <row r="4495" ht="105.75" customHeight="1">
      <c r="A4495" s="11"/>
      <c r="B4495" s="12"/>
      <c r="C4495" s="11"/>
      <c r="D4495" s="13"/>
      <c r="E4495" s="14"/>
      <c r="F4495" s="14"/>
      <c r="G4495" s="14"/>
      <c r="H4495" s="15"/>
      <c r="I4495" s="15"/>
      <c r="J4495" s="3"/>
      <c r="K4495" s="3"/>
      <c r="L4495" s="3"/>
      <c r="M4495" s="3"/>
      <c r="N4495" s="3"/>
      <c r="O4495" s="3"/>
      <c r="P4495" s="3"/>
      <c r="Q4495" s="3"/>
      <c r="R4495" s="3"/>
      <c r="S4495" s="3"/>
      <c r="T4495" s="3"/>
      <c r="U4495" s="3"/>
      <c r="V4495" s="3"/>
      <c r="W4495" s="3"/>
      <c r="X4495" s="3"/>
      <c r="Y4495" s="3"/>
      <c r="Z4495" s="3"/>
      <c r="AA4495" s="3"/>
    </row>
    <row r="4496" ht="105.75" customHeight="1">
      <c r="A4496" s="11"/>
      <c r="B4496" s="12"/>
      <c r="C4496" s="11"/>
      <c r="D4496" s="13"/>
      <c r="E4496" s="14"/>
      <c r="F4496" s="14"/>
      <c r="G4496" s="14"/>
      <c r="H4496" s="15"/>
      <c r="I4496" s="15"/>
      <c r="J4496" s="3"/>
      <c r="K4496" s="3"/>
      <c r="L4496" s="3"/>
      <c r="M4496" s="3"/>
      <c r="N4496" s="3"/>
      <c r="O4496" s="3"/>
      <c r="P4496" s="3"/>
      <c r="Q4496" s="3"/>
      <c r="R4496" s="3"/>
      <c r="S4496" s="3"/>
      <c r="T4496" s="3"/>
      <c r="U4496" s="3"/>
      <c r="V4496" s="3"/>
      <c r="W4496" s="3"/>
      <c r="X4496" s="3"/>
      <c r="Y4496" s="3"/>
      <c r="Z4496" s="3"/>
      <c r="AA4496" s="3"/>
    </row>
    <row r="4497" ht="105.75" customHeight="1">
      <c r="A4497" s="11"/>
      <c r="B4497" s="12"/>
      <c r="C4497" s="11"/>
      <c r="D4497" s="13"/>
      <c r="E4497" s="14"/>
      <c r="F4497" s="14"/>
      <c r="G4497" s="14"/>
      <c r="H4497" s="15"/>
      <c r="I4497" s="15"/>
      <c r="J4497" s="3"/>
      <c r="K4497" s="3"/>
      <c r="L4497" s="3"/>
      <c r="M4497" s="3"/>
      <c r="N4497" s="3"/>
      <c r="O4497" s="3"/>
      <c r="P4497" s="3"/>
      <c r="Q4497" s="3"/>
      <c r="R4497" s="3"/>
      <c r="S4497" s="3"/>
      <c r="T4497" s="3"/>
      <c r="U4497" s="3"/>
      <c r="V4497" s="3"/>
      <c r="W4497" s="3"/>
      <c r="X4497" s="3"/>
      <c r="Y4497" s="3"/>
      <c r="Z4497" s="3"/>
      <c r="AA4497" s="3"/>
    </row>
    <row r="4498" ht="105.75" customHeight="1">
      <c r="A4498" s="11"/>
      <c r="B4498" s="12"/>
      <c r="C4498" s="11"/>
      <c r="D4498" s="13"/>
      <c r="E4498" s="14"/>
      <c r="F4498" s="14"/>
      <c r="G4498" s="14"/>
      <c r="H4498" s="15"/>
      <c r="I4498" s="15"/>
      <c r="J4498" s="3"/>
      <c r="K4498" s="3"/>
      <c r="L4498" s="3"/>
      <c r="M4498" s="3"/>
      <c r="N4498" s="3"/>
      <c r="O4498" s="3"/>
      <c r="P4498" s="3"/>
      <c r="Q4498" s="3"/>
      <c r="R4498" s="3"/>
      <c r="S4498" s="3"/>
      <c r="T4498" s="3"/>
      <c r="U4498" s="3"/>
      <c r="V4498" s="3"/>
      <c r="W4498" s="3"/>
      <c r="X4498" s="3"/>
      <c r="Y4498" s="3"/>
      <c r="Z4498" s="3"/>
      <c r="AA4498" s="3"/>
    </row>
    <row r="4499" ht="105.75" customHeight="1">
      <c r="A4499" s="11"/>
      <c r="B4499" s="12"/>
      <c r="C4499" s="11"/>
      <c r="D4499" s="13"/>
      <c r="E4499" s="14"/>
      <c r="F4499" s="14"/>
      <c r="G4499" s="14"/>
      <c r="H4499" s="15"/>
      <c r="I4499" s="15"/>
      <c r="J4499" s="3"/>
      <c r="K4499" s="3"/>
      <c r="L4499" s="3"/>
      <c r="M4499" s="3"/>
      <c r="N4499" s="3"/>
      <c r="O4499" s="3"/>
      <c r="P4499" s="3"/>
      <c r="Q4499" s="3"/>
      <c r="R4499" s="3"/>
      <c r="S4499" s="3"/>
      <c r="T4499" s="3"/>
      <c r="U4499" s="3"/>
      <c r="V4499" s="3"/>
      <c r="W4499" s="3"/>
      <c r="X4499" s="3"/>
      <c r="Y4499" s="3"/>
      <c r="Z4499" s="3"/>
      <c r="AA4499" s="3"/>
    </row>
    <row r="4500" ht="105.75" customHeight="1">
      <c r="A4500" s="11"/>
      <c r="B4500" s="12"/>
      <c r="C4500" s="11"/>
      <c r="D4500" s="13"/>
      <c r="E4500" s="14"/>
      <c r="F4500" s="14"/>
      <c r="G4500" s="14"/>
      <c r="H4500" s="15"/>
      <c r="I4500" s="15"/>
      <c r="J4500" s="3"/>
      <c r="K4500" s="3"/>
      <c r="L4500" s="3"/>
      <c r="M4500" s="3"/>
      <c r="N4500" s="3"/>
      <c r="O4500" s="3"/>
      <c r="P4500" s="3"/>
      <c r="Q4500" s="3"/>
      <c r="R4500" s="3"/>
      <c r="S4500" s="3"/>
      <c r="T4500" s="3"/>
      <c r="U4500" s="3"/>
      <c r="V4500" s="3"/>
      <c r="W4500" s="3"/>
      <c r="X4500" s="3"/>
      <c r="Y4500" s="3"/>
      <c r="Z4500" s="3"/>
      <c r="AA4500" s="3"/>
    </row>
    <row r="4501" ht="105.75" customHeight="1">
      <c r="A4501" s="11"/>
      <c r="B4501" s="12"/>
      <c r="C4501" s="11"/>
      <c r="D4501" s="13"/>
      <c r="E4501" s="14"/>
      <c r="F4501" s="14"/>
      <c r="G4501" s="14"/>
      <c r="H4501" s="15"/>
      <c r="I4501" s="15"/>
      <c r="J4501" s="3"/>
      <c r="K4501" s="3"/>
      <c r="L4501" s="3"/>
      <c r="M4501" s="3"/>
      <c r="N4501" s="3"/>
      <c r="O4501" s="3"/>
      <c r="P4501" s="3"/>
      <c r="Q4501" s="3"/>
      <c r="R4501" s="3"/>
      <c r="S4501" s="3"/>
      <c r="T4501" s="3"/>
      <c r="U4501" s="3"/>
      <c r="V4501" s="3"/>
      <c r="W4501" s="3"/>
      <c r="X4501" s="3"/>
      <c r="Y4501" s="3"/>
      <c r="Z4501" s="3"/>
      <c r="AA4501" s="3"/>
    </row>
    <row r="4502" ht="105.75" customHeight="1">
      <c r="A4502" s="11"/>
      <c r="B4502" s="12"/>
      <c r="C4502" s="11"/>
      <c r="D4502" s="13"/>
      <c r="E4502" s="14"/>
      <c r="F4502" s="14"/>
      <c r="G4502" s="14"/>
      <c r="H4502" s="15"/>
      <c r="I4502" s="15"/>
      <c r="J4502" s="3"/>
      <c r="K4502" s="3"/>
      <c r="L4502" s="3"/>
      <c r="M4502" s="3"/>
      <c r="N4502" s="3"/>
      <c r="O4502" s="3"/>
      <c r="P4502" s="3"/>
      <c r="Q4502" s="3"/>
      <c r="R4502" s="3"/>
      <c r="S4502" s="3"/>
      <c r="T4502" s="3"/>
      <c r="U4502" s="3"/>
      <c r="V4502" s="3"/>
      <c r="W4502" s="3"/>
      <c r="X4502" s="3"/>
      <c r="Y4502" s="3"/>
      <c r="Z4502" s="3"/>
      <c r="AA4502" s="3"/>
    </row>
    <row r="4503" ht="105.75" customHeight="1">
      <c r="A4503" s="11"/>
      <c r="B4503" s="12"/>
      <c r="C4503" s="11"/>
      <c r="D4503" s="13"/>
      <c r="E4503" s="14"/>
      <c r="F4503" s="14"/>
      <c r="G4503" s="14"/>
      <c r="H4503" s="15"/>
      <c r="I4503" s="15"/>
      <c r="J4503" s="3"/>
      <c r="K4503" s="3"/>
      <c r="L4503" s="3"/>
      <c r="M4503" s="3"/>
      <c r="N4503" s="3"/>
      <c r="O4503" s="3"/>
      <c r="P4503" s="3"/>
      <c r="Q4503" s="3"/>
      <c r="R4503" s="3"/>
      <c r="S4503" s="3"/>
      <c r="T4503" s="3"/>
      <c r="U4503" s="3"/>
      <c r="V4503" s="3"/>
      <c r="W4503" s="3"/>
      <c r="X4503" s="3"/>
      <c r="Y4503" s="3"/>
      <c r="Z4503" s="3"/>
      <c r="AA4503" s="3"/>
    </row>
    <row r="4504" ht="105.75" customHeight="1">
      <c r="A4504" s="11"/>
      <c r="B4504" s="12"/>
      <c r="C4504" s="11"/>
      <c r="D4504" s="13"/>
      <c r="E4504" s="14"/>
      <c r="F4504" s="14"/>
      <c r="G4504" s="14"/>
      <c r="H4504" s="15"/>
      <c r="I4504" s="15"/>
      <c r="J4504" s="3"/>
      <c r="K4504" s="3"/>
      <c r="L4504" s="3"/>
      <c r="M4504" s="3"/>
      <c r="N4504" s="3"/>
      <c r="O4504" s="3"/>
      <c r="P4504" s="3"/>
      <c r="Q4504" s="3"/>
      <c r="R4504" s="3"/>
      <c r="S4504" s="3"/>
      <c r="T4504" s="3"/>
      <c r="U4504" s="3"/>
      <c r="V4504" s="3"/>
      <c r="W4504" s="3"/>
      <c r="X4504" s="3"/>
      <c r="Y4504" s="3"/>
      <c r="Z4504" s="3"/>
      <c r="AA4504" s="3"/>
    </row>
    <row r="4505" ht="105.75" customHeight="1">
      <c r="A4505" s="11"/>
      <c r="B4505" s="12"/>
      <c r="C4505" s="11"/>
      <c r="D4505" s="13"/>
      <c r="E4505" s="14"/>
      <c r="F4505" s="14"/>
      <c r="G4505" s="14"/>
      <c r="H4505" s="15"/>
      <c r="I4505" s="15"/>
      <c r="J4505" s="3"/>
      <c r="K4505" s="3"/>
      <c r="L4505" s="3"/>
      <c r="M4505" s="3"/>
      <c r="N4505" s="3"/>
      <c r="O4505" s="3"/>
      <c r="P4505" s="3"/>
      <c r="Q4505" s="3"/>
      <c r="R4505" s="3"/>
      <c r="S4505" s="3"/>
      <c r="T4505" s="3"/>
      <c r="U4505" s="3"/>
      <c r="V4505" s="3"/>
      <c r="W4505" s="3"/>
      <c r="X4505" s="3"/>
      <c r="Y4505" s="3"/>
      <c r="Z4505" s="3"/>
      <c r="AA4505" s="3"/>
    </row>
    <row r="4506" ht="105.75" customHeight="1">
      <c r="A4506" s="11"/>
      <c r="B4506" s="12"/>
      <c r="C4506" s="11"/>
      <c r="D4506" s="13"/>
      <c r="E4506" s="14"/>
      <c r="F4506" s="14"/>
      <c r="G4506" s="14"/>
      <c r="H4506" s="15"/>
      <c r="I4506" s="15"/>
      <c r="J4506" s="3"/>
      <c r="K4506" s="3"/>
      <c r="L4506" s="3"/>
      <c r="M4506" s="3"/>
      <c r="N4506" s="3"/>
      <c r="O4506" s="3"/>
      <c r="P4506" s="3"/>
      <c r="Q4506" s="3"/>
      <c r="R4506" s="3"/>
      <c r="S4506" s="3"/>
      <c r="T4506" s="3"/>
      <c r="U4506" s="3"/>
      <c r="V4506" s="3"/>
      <c r="W4506" s="3"/>
      <c r="X4506" s="3"/>
      <c r="Y4506" s="3"/>
      <c r="Z4506" s="3"/>
      <c r="AA4506" s="3"/>
    </row>
    <row r="4507" ht="105.75" customHeight="1">
      <c r="A4507" s="11"/>
      <c r="B4507" s="12"/>
      <c r="C4507" s="11"/>
      <c r="D4507" s="13"/>
      <c r="E4507" s="14"/>
      <c r="F4507" s="14"/>
      <c r="G4507" s="14"/>
      <c r="H4507" s="15"/>
      <c r="I4507" s="15"/>
      <c r="J4507" s="3"/>
      <c r="K4507" s="3"/>
      <c r="L4507" s="3"/>
      <c r="M4507" s="3"/>
      <c r="N4507" s="3"/>
      <c r="O4507" s="3"/>
      <c r="P4507" s="3"/>
      <c r="Q4507" s="3"/>
      <c r="R4507" s="3"/>
      <c r="S4507" s="3"/>
      <c r="T4507" s="3"/>
      <c r="U4507" s="3"/>
      <c r="V4507" s="3"/>
      <c r="W4507" s="3"/>
      <c r="X4507" s="3"/>
      <c r="Y4507" s="3"/>
      <c r="Z4507" s="3"/>
      <c r="AA4507" s="3"/>
    </row>
    <row r="4508" ht="105.75" customHeight="1">
      <c r="A4508" s="11"/>
      <c r="B4508" s="12"/>
      <c r="C4508" s="11"/>
      <c r="D4508" s="13"/>
      <c r="E4508" s="14"/>
      <c r="F4508" s="14"/>
      <c r="G4508" s="14"/>
      <c r="H4508" s="15"/>
      <c r="I4508" s="15"/>
      <c r="J4508" s="3"/>
      <c r="K4508" s="3"/>
      <c r="L4508" s="3"/>
      <c r="M4508" s="3"/>
      <c r="N4508" s="3"/>
      <c r="O4508" s="3"/>
      <c r="P4508" s="3"/>
      <c r="Q4508" s="3"/>
      <c r="R4508" s="3"/>
      <c r="S4508" s="3"/>
      <c r="T4508" s="3"/>
      <c r="U4508" s="3"/>
      <c r="V4508" s="3"/>
      <c r="W4508" s="3"/>
      <c r="X4508" s="3"/>
      <c r="Y4508" s="3"/>
      <c r="Z4508" s="3"/>
      <c r="AA4508" s="3"/>
    </row>
    <row r="4509" ht="105.75" customHeight="1">
      <c r="A4509" s="11"/>
      <c r="B4509" s="12"/>
      <c r="C4509" s="11"/>
      <c r="D4509" s="13"/>
      <c r="E4509" s="14"/>
      <c r="F4509" s="14"/>
      <c r="G4509" s="14"/>
      <c r="H4509" s="15"/>
      <c r="I4509" s="15"/>
      <c r="J4509" s="3"/>
      <c r="K4509" s="3"/>
      <c r="L4509" s="3"/>
      <c r="M4509" s="3"/>
      <c r="N4509" s="3"/>
      <c r="O4509" s="3"/>
      <c r="P4509" s="3"/>
      <c r="Q4509" s="3"/>
      <c r="R4509" s="3"/>
      <c r="S4509" s="3"/>
      <c r="T4509" s="3"/>
      <c r="U4509" s="3"/>
      <c r="V4509" s="3"/>
      <c r="W4509" s="3"/>
      <c r="X4509" s="3"/>
      <c r="Y4509" s="3"/>
      <c r="Z4509" s="3"/>
      <c r="AA4509" s="3"/>
    </row>
    <row r="4510" ht="105.75" customHeight="1">
      <c r="A4510" s="11"/>
      <c r="B4510" s="12"/>
      <c r="C4510" s="11"/>
      <c r="D4510" s="13"/>
      <c r="E4510" s="14"/>
      <c r="F4510" s="14"/>
      <c r="G4510" s="14"/>
      <c r="H4510" s="15"/>
      <c r="I4510" s="15"/>
      <c r="J4510" s="3"/>
      <c r="K4510" s="3"/>
      <c r="L4510" s="3"/>
      <c r="M4510" s="3"/>
      <c r="N4510" s="3"/>
      <c r="O4510" s="3"/>
      <c r="P4510" s="3"/>
      <c r="Q4510" s="3"/>
      <c r="R4510" s="3"/>
      <c r="S4510" s="3"/>
      <c r="T4510" s="3"/>
      <c r="U4510" s="3"/>
      <c r="V4510" s="3"/>
      <c r="W4510" s="3"/>
      <c r="X4510" s="3"/>
      <c r="Y4510" s="3"/>
      <c r="Z4510" s="3"/>
      <c r="AA4510" s="3"/>
    </row>
    <row r="4511" ht="105.75" customHeight="1">
      <c r="A4511" s="11"/>
      <c r="B4511" s="12"/>
      <c r="C4511" s="11"/>
      <c r="D4511" s="13"/>
      <c r="E4511" s="14"/>
      <c r="F4511" s="14"/>
      <c r="G4511" s="14"/>
      <c r="H4511" s="15"/>
      <c r="I4511" s="15"/>
      <c r="J4511" s="3"/>
      <c r="K4511" s="3"/>
      <c r="L4511" s="3"/>
      <c r="M4511" s="3"/>
      <c r="N4511" s="3"/>
      <c r="O4511" s="3"/>
      <c r="P4511" s="3"/>
      <c r="Q4511" s="3"/>
      <c r="R4511" s="3"/>
      <c r="S4511" s="3"/>
      <c r="T4511" s="3"/>
      <c r="U4511" s="3"/>
      <c r="V4511" s="3"/>
      <c r="W4511" s="3"/>
      <c r="X4511" s="3"/>
      <c r="Y4511" s="3"/>
      <c r="Z4511" s="3"/>
      <c r="AA4511" s="3"/>
    </row>
    <row r="4512" ht="105.75" customHeight="1">
      <c r="A4512" s="11"/>
      <c r="B4512" s="12"/>
      <c r="C4512" s="11"/>
      <c r="D4512" s="13"/>
      <c r="E4512" s="14"/>
      <c r="F4512" s="14"/>
      <c r="G4512" s="14"/>
      <c r="H4512" s="15"/>
      <c r="I4512" s="15"/>
      <c r="J4512" s="3"/>
      <c r="K4512" s="3"/>
      <c r="L4512" s="3"/>
      <c r="M4512" s="3"/>
      <c r="N4512" s="3"/>
      <c r="O4512" s="3"/>
      <c r="P4512" s="3"/>
      <c r="Q4512" s="3"/>
      <c r="R4512" s="3"/>
      <c r="S4512" s="3"/>
      <c r="T4512" s="3"/>
      <c r="U4512" s="3"/>
      <c r="V4512" s="3"/>
      <c r="W4512" s="3"/>
      <c r="X4512" s="3"/>
      <c r="Y4512" s="3"/>
      <c r="Z4512" s="3"/>
      <c r="AA4512" s="3"/>
    </row>
    <row r="4513" ht="105.75" customHeight="1">
      <c r="A4513" s="11"/>
      <c r="B4513" s="12"/>
      <c r="C4513" s="11"/>
      <c r="D4513" s="13"/>
      <c r="E4513" s="14"/>
      <c r="F4513" s="14"/>
      <c r="G4513" s="14"/>
      <c r="H4513" s="15"/>
      <c r="I4513" s="15"/>
      <c r="J4513" s="3"/>
      <c r="K4513" s="3"/>
      <c r="L4513" s="3"/>
      <c r="M4513" s="3"/>
      <c r="N4513" s="3"/>
      <c r="O4513" s="3"/>
      <c r="P4513" s="3"/>
      <c r="Q4513" s="3"/>
      <c r="R4513" s="3"/>
      <c r="S4513" s="3"/>
      <c r="T4513" s="3"/>
      <c r="U4513" s="3"/>
      <c r="V4513" s="3"/>
      <c r="W4513" s="3"/>
      <c r="X4513" s="3"/>
      <c r="Y4513" s="3"/>
      <c r="Z4513" s="3"/>
      <c r="AA4513" s="3"/>
    </row>
    <row r="4514" ht="105.75" customHeight="1">
      <c r="A4514" s="11"/>
      <c r="B4514" s="12"/>
      <c r="C4514" s="11"/>
      <c r="D4514" s="13"/>
      <c r="E4514" s="14"/>
      <c r="F4514" s="14"/>
      <c r="G4514" s="14"/>
      <c r="H4514" s="15"/>
      <c r="I4514" s="15"/>
      <c r="J4514" s="3"/>
      <c r="K4514" s="3"/>
      <c r="L4514" s="3"/>
      <c r="M4514" s="3"/>
      <c r="N4514" s="3"/>
      <c r="O4514" s="3"/>
      <c r="P4514" s="3"/>
      <c r="Q4514" s="3"/>
      <c r="R4514" s="3"/>
      <c r="S4514" s="3"/>
      <c r="T4514" s="3"/>
      <c r="U4514" s="3"/>
      <c r="V4514" s="3"/>
      <c r="W4514" s="3"/>
      <c r="X4514" s="3"/>
      <c r="Y4514" s="3"/>
      <c r="Z4514" s="3"/>
      <c r="AA4514" s="3"/>
    </row>
    <row r="4515" ht="105.75" customHeight="1">
      <c r="A4515" s="11"/>
      <c r="B4515" s="12"/>
      <c r="C4515" s="11"/>
      <c r="D4515" s="13"/>
      <c r="E4515" s="14"/>
      <c r="F4515" s="14"/>
      <c r="G4515" s="14"/>
      <c r="H4515" s="15"/>
      <c r="I4515" s="15"/>
      <c r="J4515" s="3"/>
      <c r="K4515" s="3"/>
      <c r="L4515" s="3"/>
      <c r="M4515" s="3"/>
      <c r="N4515" s="3"/>
      <c r="O4515" s="3"/>
      <c r="P4515" s="3"/>
      <c r="Q4515" s="3"/>
      <c r="R4515" s="3"/>
      <c r="S4515" s="3"/>
      <c r="T4515" s="3"/>
      <c r="U4515" s="3"/>
      <c r="V4515" s="3"/>
      <c r="W4515" s="3"/>
      <c r="X4515" s="3"/>
      <c r="Y4515" s="3"/>
      <c r="Z4515" s="3"/>
      <c r="AA4515" s="3"/>
    </row>
    <row r="4516" ht="105.75" customHeight="1">
      <c r="A4516" s="11"/>
      <c r="B4516" s="12"/>
      <c r="C4516" s="11"/>
      <c r="D4516" s="13"/>
      <c r="E4516" s="14"/>
      <c r="F4516" s="14"/>
      <c r="G4516" s="14"/>
      <c r="H4516" s="15"/>
      <c r="I4516" s="15"/>
      <c r="J4516" s="3"/>
      <c r="K4516" s="3"/>
      <c r="L4516" s="3"/>
      <c r="M4516" s="3"/>
      <c r="N4516" s="3"/>
      <c r="O4516" s="3"/>
      <c r="P4516" s="3"/>
      <c r="Q4516" s="3"/>
      <c r="R4516" s="3"/>
      <c r="S4516" s="3"/>
      <c r="T4516" s="3"/>
      <c r="U4516" s="3"/>
      <c r="V4516" s="3"/>
      <c r="W4516" s="3"/>
      <c r="X4516" s="3"/>
      <c r="Y4516" s="3"/>
      <c r="Z4516" s="3"/>
      <c r="AA4516" s="3"/>
    </row>
    <row r="4517" ht="105.75" customHeight="1">
      <c r="A4517" s="11"/>
      <c r="B4517" s="12"/>
      <c r="C4517" s="11"/>
      <c r="D4517" s="13"/>
      <c r="E4517" s="14"/>
      <c r="F4517" s="14"/>
      <c r="G4517" s="14"/>
      <c r="H4517" s="15"/>
      <c r="I4517" s="15"/>
      <c r="J4517" s="3"/>
      <c r="K4517" s="3"/>
      <c r="L4517" s="3"/>
      <c r="M4517" s="3"/>
      <c r="N4517" s="3"/>
      <c r="O4517" s="3"/>
      <c r="P4517" s="3"/>
      <c r="Q4517" s="3"/>
      <c r="R4517" s="3"/>
      <c r="S4517" s="3"/>
      <c r="T4517" s="3"/>
      <c r="U4517" s="3"/>
      <c r="V4517" s="3"/>
      <c r="W4517" s="3"/>
      <c r="X4517" s="3"/>
      <c r="Y4517" s="3"/>
      <c r="Z4517" s="3"/>
      <c r="AA4517" s="3"/>
    </row>
    <row r="4518" ht="105.75" customHeight="1">
      <c r="A4518" s="11"/>
      <c r="B4518" s="12"/>
      <c r="C4518" s="11"/>
      <c r="D4518" s="13"/>
      <c r="E4518" s="14"/>
      <c r="F4518" s="14"/>
      <c r="G4518" s="14"/>
      <c r="H4518" s="15"/>
      <c r="I4518" s="15"/>
      <c r="J4518" s="3"/>
      <c r="K4518" s="3"/>
      <c r="L4518" s="3"/>
      <c r="M4518" s="3"/>
      <c r="N4518" s="3"/>
      <c r="O4518" s="3"/>
      <c r="P4518" s="3"/>
      <c r="Q4518" s="3"/>
      <c r="R4518" s="3"/>
      <c r="S4518" s="3"/>
      <c r="T4518" s="3"/>
      <c r="U4518" s="3"/>
      <c r="V4518" s="3"/>
      <c r="W4518" s="3"/>
      <c r="X4518" s="3"/>
      <c r="Y4518" s="3"/>
      <c r="Z4518" s="3"/>
      <c r="AA4518" s="3"/>
    </row>
    <row r="4519" ht="105.75" customHeight="1">
      <c r="A4519" s="11"/>
      <c r="B4519" s="12"/>
      <c r="C4519" s="11"/>
      <c r="D4519" s="13"/>
      <c r="E4519" s="14"/>
      <c r="F4519" s="14"/>
      <c r="G4519" s="14"/>
      <c r="H4519" s="15"/>
      <c r="I4519" s="15"/>
      <c r="J4519" s="3"/>
      <c r="K4519" s="3"/>
      <c r="L4519" s="3"/>
      <c r="M4519" s="3"/>
      <c r="N4519" s="3"/>
      <c r="O4519" s="3"/>
      <c r="P4519" s="3"/>
      <c r="Q4519" s="3"/>
      <c r="R4519" s="3"/>
      <c r="S4519" s="3"/>
      <c r="T4519" s="3"/>
      <c r="U4519" s="3"/>
      <c r="V4519" s="3"/>
      <c r="W4519" s="3"/>
      <c r="X4519" s="3"/>
      <c r="Y4519" s="3"/>
      <c r="Z4519" s="3"/>
      <c r="AA4519" s="3"/>
    </row>
    <row r="4520" ht="105.75" customHeight="1">
      <c r="A4520" s="11"/>
      <c r="B4520" s="12"/>
      <c r="C4520" s="11"/>
      <c r="D4520" s="13"/>
      <c r="E4520" s="14"/>
      <c r="F4520" s="14"/>
      <c r="G4520" s="14"/>
      <c r="H4520" s="15"/>
      <c r="I4520" s="15"/>
      <c r="J4520" s="3"/>
      <c r="K4520" s="3"/>
      <c r="L4520" s="3"/>
      <c r="M4520" s="3"/>
      <c r="N4520" s="3"/>
      <c r="O4520" s="3"/>
      <c r="P4520" s="3"/>
      <c r="Q4520" s="3"/>
      <c r="R4520" s="3"/>
      <c r="S4520" s="3"/>
      <c r="T4520" s="3"/>
      <c r="U4520" s="3"/>
      <c r="V4520" s="3"/>
      <c r="W4520" s="3"/>
      <c r="X4520" s="3"/>
      <c r="Y4520" s="3"/>
      <c r="Z4520" s="3"/>
      <c r="AA4520" s="3"/>
    </row>
    <row r="4521" ht="105.75" customHeight="1">
      <c r="A4521" s="11"/>
      <c r="B4521" s="12"/>
      <c r="C4521" s="11"/>
      <c r="D4521" s="13"/>
      <c r="E4521" s="14"/>
      <c r="F4521" s="14"/>
      <c r="G4521" s="14"/>
      <c r="H4521" s="15"/>
      <c r="I4521" s="15"/>
      <c r="J4521" s="3"/>
      <c r="K4521" s="3"/>
      <c r="L4521" s="3"/>
      <c r="M4521" s="3"/>
      <c r="N4521" s="3"/>
      <c r="O4521" s="3"/>
      <c r="P4521" s="3"/>
      <c r="Q4521" s="3"/>
      <c r="R4521" s="3"/>
      <c r="S4521" s="3"/>
      <c r="T4521" s="3"/>
      <c r="U4521" s="3"/>
      <c r="V4521" s="3"/>
      <c r="W4521" s="3"/>
      <c r="X4521" s="3"/>
      <c r="Y4521" s="3"/>
      <c r="Z4521" s="3"/>
      <c r="AA4521" s="3"/>
    </row>
    <row r="4522" ht="105.75" customHeight="1">
      <c r="A4522" s="11"/>
      <c r="B4522" s="12"/>
      <c r="C4522" s="11"/>
      <c r="D4522" s="13"/>
      <c r="E4522" s="14"/>
      <c r="F4522" s="14"/>
      <c r="G4522" s="14"/>
      <c r="H4522" s="15"/>
      <c r="I4522" s="15"/>
      <c r="J4522" s="3"/>
      <c r="K4522" s="3"/>
      <c r="L4522" s="3"/>
      <c r="M4522" s="3"/>
      <c r="N4522" s="3"/>
      <c r="O4522" s="3"/>
      <c r="P4522" s="3"/>
      <c r="Q4522" s="3"/>
      <c r="R4522" s="3"/>
      <c r="S4522" s="3"/>
      <c r="T4522" s="3"/>
      <c r="U4522" s="3"/>
      <c r="V4522" s="3"/>
      <c r="W4522" s="3"/>
      <c r="X4522" s="3"/>
      <c r="Y4522" s="3"/>
      <c r="Z4522" s="3"/>
      <c r="AA4522" s="3"/>
    </row>
    <row r="4523" ht="105.75" customHeight="1">
      <c r="A4523" s="11"/>
      <c r="B4523" s="12"/>
      <c r="C4523" s="11"/>
      <c r="D4523" s="13"/>
      <c r="E4523" s="14"/>
      <c r="F4523" s="14"/>
      <c r="G4523" s="14"/>
      <c r="H4523" s="15"/>
      <c r="I4523" s="15"/>
      <c r="J4523" s="3"/>
      <c r="K4523" s="3"/>
      <c r="L4523" s="3"/>
      <c r="M4523" s="3"/>
      <c r="N4523" s="3"/>
      <c r="O4523" s="3"/>
      <c r="P4523" s="3"/>
      <c r="Q4523" s="3"/>
      <c r="R4523" s="3"/>
      <c r="S4523" s="3"/>
      <c r="T4523" s="3"/>
      <c r="U4523" s="3"/>
      <c r="V4523" s="3"/>
      <c r="W4523" s="3"/>
      <c r="X4523" s="3"/>
      <c r="Y4523" s="3"/>
      <c r="Z4523" s="3"/>
      <c r="AA4523" s="3"/>
    </row>
    <row r="4524" ht="105.75" customHeight="1">
      <c r="A4524" s="11"/>
      <c r="B4524" s="12"/>
      <c r="C4524" s="11"/>
      <c r="D4524" s="13"/>
      <c r="E4524" s="14"/>
      <c r="F4524" s="14"/>
      <c r="G4524" s="14"/>
      <c r="H4524" s="15"/>
      <c r="I4524" s="15"/>
      <c r="J4524" s="3"/>
      <c r="K4524" s="3"/>
      <c r="L4524" s="3"/>
      <c r="M4524" s="3"/>
      <c r="N4524" s="3"/>
      <c r="O4524" s="3"/>
      <c r="P4524" s="3"/>
      <c r="Q4524" s="3"/>
      <c r="R4524" s="3"/>
      <c r="S4524" s="3"/>
      <c r="T4524" s="3"/>
      <c r="U4524" s="3"/>
      <c r="V4524" s="3"/>
      <c r="W4524" s="3"/>
      <c r="X4524" s="3"/>
      <c r="Y4524" s="3"/>
      <c r="Z4524" s="3"/>
      <c r="AA4524" s="3"/>
    </row>
    <row r="4525" ht="105.75" customHeight="1">
      <c r="A4525" s="11"/>
      <c r="B4525" s="12"/>
      <c r="C4525" s="11"/>
      <c r="D4525" s="13"/>
      <c r="E4525" s="14"/>
      <c r="F4525" s="14"/>
      <c r="G4525" s="14"/>
      <c r="H4525" s="15"/>
      <c r="I4525" s="15"/>
      <c r="J4525" s="3"/>
      <c r="K4525" s="3"/>
      <c r="L4525" s="3"/>
      <c r="M4525" s="3"/>
      <c r="N4525" s="3"/>
      <c r="O4525" s="3"/>
      <c r="P4525" s="3"/>
      <c r="Q4525" s="3"/>
      <c r="R4525" s="3"/>
      <c r="S4525" s="3"/>
      <c r="T4525" s="3"/>
      <c r="U4525" s="3"/>
      <c r="V4525" s="3"/>
      <c r="W4525" s="3"/>
      <c r="X4525" s="3"/>
      <c r="Y4525" s="3"/>
      <c r="Z4525" s="3"/>
      <c r="AA4525" s="3"/>
    </row>
    <row r="4526" ht="105.75" customHeight="1">
      <c r="A4526" s="11"/>
      <c r="B4526" s="12"/>
      <c r="C4526" s="11"/>
      <c r="D4526" s="13"/>
      <c r="E4526" s="14"/>
      <c r="F4526" s="14"/>
      <c r="G4526" s="14"/>
      <c r="H4526" s="15"/>
      <c r="I4526" s="15"/>
      <c r="J4526" s="3"/>
      <c r="K4526" s="3"/>
      <c r="L4526" s="3"/>
      <c r="M4526" s="3"/>
      <c r="N4526" s="3"/>
      <c r="O4526" s="3"/>
      <c r="P4526" s="3"/>
      <c r="Q4526" s="3"/>
      <c r="R4526" s="3"/>
      <c r="S4526" s="3"/>
      <c r="T4526" s="3"/>
      <c r="U4526" s="3"/>
      <c r="V4526" s="3"/>
      <c r="W4526" s="3"/>
      <c r="X4526" s="3"/>
      <c r="Y4526" s="3"/>
      <c r="Z4526" s="3"/>
      <c r="AA4526" s="3"/>
    </row>
    <row r="4527" ht="105.75" customHeight="1">
      <c r="A4527" s="11"/>
      <c r="B4527" s="12"/>
      <c r="C4527" s="11"/>
      <c r="D4527" s="13"/>
      <c r="E4527" s="14"/>
      <c r="F4527" s="14"/>
      <c r="G4527" s="14"/>
      <c r="H4527" s="15"/>
      <c r="I4527" s="15"/>
      <c r="J4527" s="3"/>
      <c r="K4527" s="3"/>
      <c r="L4527" s="3"/>
      <c r="M4527" s="3"/>
      <c r="N4527" s="3"/>
      <c r="O4527" s="3"/>
      <c r="P4527" s="3"/>
      <c r="Q4527" s="3"/>
      <c r="R4527" s="3"/>
      <c r="S4527" s="3"/>
      <c r="T4527" s="3"/>
      <c r="U4527" s="3"/>
      <c r="V4527" s="3"/>
      <c r="W4527" s="3"/>
      <c r="X4527" s="3"/>
      <c r="Y4527" s="3"/>
      <c r="Z4527" s="3"/>
      <c r="AA4527" s="3"/>
    </row>
    <row r="4528" ht="105.75" customHeight="1">
      <c r="A4528" s="11"/>
      <c r="B4528" s="12"/>
      <c r="C4528" s="11"/>
      <c r="D4528" s="13"/>
      <c r="E4528" s="14"/>
      <c r="F4528" s="14"/>
      <c r="G4528" s="14"/>
      <c r="H4528" s="15"/>
      <c r="I4528" s="15"/>
      <c r="J4528" s="3"/>
      <c r="K4528" s="3"/>
      <c r="L4528" s="3"/>
      <c r="M4528" s="3"/>
      <c r="N4528" s="3"/>
      <c r="O4528" s="3"/>
      <c r="P4528" s="3"/>
      <c r="Q4528" s="3"/>
      <c r="R4528" s="3"/>
      <c r="S4528" s="3"/>
      <c r="T4528" s="3"/>
      <c r="U4528" s="3"/>
      <c r="V4528" s="3"/>
      <c r="W4528" s="3"/>
      <c r="X4528" s="3"/>
      <c r="Y4528" s="3"/>
      <c r="Z4528" s="3"/>
      <c r="AA4528" s="3"/>
    </row>
    <row r="4529" ht="105.75" customHeight="1">
      <c r="A4529" s="11"/>
      <c r="B4529" s="12"/>
      <c r="C4529" s="11"/>
      <c r="D4529" s="13"/>
      <c r="E4529" s="14"/>
      <c r="F4529" s="14"/>
      <c r="G4529" s="14"/>
      <c r="H4529" s="15"/>
      <c r="I4529" s="15"/>
      <c r="J4529" s="3"/>
      <c r="K4529" s="3"/>
      <c r="L4529" s="3"/>
      <c r="M4529" s="3"/>
      <c r="N4529" s="3"/>
      <c r="O4529" s="3"/>
      <c r="P4529" s="3"/>
      <c r="Q4529" s="3"/>
      <c r="R4529" s="3"/>
      <c r="S4529" s="3"/>
      <c r="T4529" s="3"/>
      <c r="U4529" s="3"/>
      <c r="V4529" s="3"/>
      <c r="W4529" s="3"/>
      <c r="X4529" s="3"/>
      <c r="Y4529" s="3"/>
      <c r="Z4529" s="3"/>
      <c r="AA4529" s="3"/>
    </row>
    <row r="4530" ht="105.75" customHeight="1">
      <c r="A4530" s="11"/>
      <c r="B4530" s="12"/>
      <c r="C4530" s="11"/>
      <c r="D4530" s="13"/>
      <c r="E4530" s="14"/>
      <c r="F4530" s="14"/>
      <c r="G4530" s="14"/>
      <c r="H4530" s="15"/>
      <c r="I4530" s="15"/>
      <c r="J4530" s="3"/>
      <c r="K4530" s="3"/>
      <c r="L4530" s="3"/>
      <c r="M4530" s="3"/>
      <c r="N4530" s="3"/>
      <c r="O4530" s="3"/>
      <c r="P4530" s="3"/>
      <c r="Q4530" s="3"/>
      <c r="R4530" s="3"/>
      <c r="S4530" s="3"/>
      <c r="T4530" s="3"/>
      <c r="U4530" s="3"/>
      <c r="V4530" s="3"/>
      <c r="W4530" s="3"/>
      <c r="X4530" s="3"/>
      <c r="Y4530" s="3"/>
      <c r="Z4530" s="3"/>
      <c r="AA4530" s="3"/>
    </row>
    <row r="4531" ht="105.75" customHeight="1">
      <c r="A4531" s="11"/>
      <c r="B4531" s="12"/>
      <c r="C4531" s="11"/>
      <c r="D4531" s="13"/>
      <c r="E4531" s="14"/>
      <c r="F4531" s="14"/>
      <c r="G4531" s="14"/>
      <c r="H4531" s="15"/>
      <c r="I4531" s="15"/>
      <c r="J4531" s="3"/>
      <c r="K4531" s="3"/>
      <c r="L4531" s="3"/>
      <c r="M4531" s="3"/>
      <c r="N4531" s="3"/>
      <c r="O4531" s="3"/>
      <c r="P4531" s="3"/>
      <c r="Q4531" s="3"/>
      <c r="R4531" s="3"/>
      <c r="S4531" s="3"/>
      <c r="T4531" s="3"/>
      <c r="U4531" s="3"/>
      <c r="V4531" s="3"/>
      <c r="W4531" s="3"/>
      <c r="X4531" s="3"/>
      <c r="Y4531" s="3"/>
      <c r="Z4531" s="3"/>
      <c r="AA4531" s="3"/>
    </row>
    <row r="4532" ht="105.75" customHeight="1">
      <c r="A4532" s="11"/>
      <c r="B4532" s="12"/>
      <c r="C4532" s="11"/>
      <c r="D4532" s="13"/>
      <c r="E4532" s="14"/>
      <c r="F4532" s="14"/>
      <c r="G4532" s="14"/>
      <c r="H4532" s="15"/>
      <c r="I4532" s="15"/>
      <c r="J4532" s="3"/>
      <c r="K4532" s="3"/>
      <c r="L4532" s="3"/>
      <c r="M4532" s="3"/>
      <c r="N4532" s="3"/>
      <c r="O4532" s="3"/>
      <c r="P4532" s="3"/>
      <c r="Q4532" s="3"/>
      <c r="R4532" s="3"/>
      <c r="S4532" s="3"/>
      <c r="T4532" s="3"/>
      <c r="U4532" s="3"/>
      <c r="V4532" s="3"/>
      <c r="W4532" s="3"/>
      <c r="X4532" s="3"/>
      <c r="Y4532" s="3"/>
      <c r="Z4532" s="3"/>
      <c r="AA4532" s="3"/>
    </row>
    <row r="4533" ht="105.75" customHeight="1">
      <c r="A4533" s="11"/>
      <c r="B4533" s="12"/>
      <c r="C4533" s="11"/>
      <c r="D4533" s="13"/>
      <c r="E4533" s="14"/>
      <c r="F4533" s="14"/>
      <c r="G4533" s="14"/>
      <c r="H4533" s="15"/>
      <c r="I4533" s="15"/>
      <c r="J4533" s="3"/>
      <c r="K4533" s="3"/>
      <c r="L4533" s="3"/>
      <c r="M4533" s="3"/>
      <c r="N4533" s="3"/>
      <c r="O4533" s="3"/>
      <c r="P4533" s="3"/>
      <c r="Q4533" s="3"/>
      <c r="R4533" s="3"/>
      <c r="S4533" s="3"/>
      <c r="T4533" s="3"/>
      <c r="U4533" s="3"/>
      <c r="V4533" s="3"/>
      <c r="W4533" s="3"/>
      <c r="X4533" s="3"/>
      <c r="Y4533" s="3"/>
      <c r="Z4533" s="3"/>
      <c r="AA4533" s="3"/>
    </row>
    <row r="4534" ht="105.75" customHeight="1">
      <c r="A4534" s="11"/>
      <c r="B4534" s="12"/>
      <c r="C4534" s="11"/>
      <c r="D4534" s="13"/>
      <c r="E4534" s="14"/>
      <c r="F4534" s="14"/>
      <c r="G4534" s="14"/>
      <c r="H4534" s="15"/>
      <c r="I4534" s="15"/>
      <c r="J4534" s="3"/>
      <c r="K4534" s="3"/>
      <c r="L4534" s="3"/>
      <c r="M4534" s="3"/>
      <c r="N4534" s="3"/>
      <c r="O4534" s="3"/>
      <c r="P4534" s="3"/>
      <c r="Q4534" s="3"/>
      <c r="R4534" s="3"/>
      <c r="S4534" s="3"/>
      <c r="T4534" s="3"/>
      <c r="U4534" s="3"/>
      <c r="V4534" s="3"/>
      <c r="W4534" s="3"/>
      <c r="X4534" s="3"/>
      <c r="Y4534" s="3"/>
      <c r="Z4534" s="3"/>
      <c r="AA4534" s="3"/>
    </row>
    <row r="4535" ht="105.75" customHeight="1">
      <c r="A4535" s="11"/>
      <c r="B4535" s="12"/>
      <c r="C4535" s="11"/>
      <c r="D4535" s="13"/>
      <c r="E4535" s="14"/>
      <c r="F4535" s="14"/>
      <c r="G4535" s="14"/>
      <c r="H4535" s="15"/>
      <c r="I4535" s="15"/>
      <c r="J4535" s="3"/>
      <c r="K4535" s="3"/>
      <c r="L4535" s="3"/>
      <c r="M4535" s="3"/>
      <c r="N4535" s="3"/>
      <c r="O4535" s="3"/>
      <c r="P4535" s="3"/>
      <c r="Q4535" s="3"/>
      <c r="R4535" s="3"/>
      <c r="S4535" s="3"/>
      <c r="T4535" s="3"/>
      <c r="U4535" s="3"/>
      <c r="V4535" s="3"/>
      <c r="W4535" s="3"/>
      <c r="X4535" s="3"/>
      <c r="Y4535" s="3"/>
      <c r="Z4535" s="3"/>
      <c r="AA4535" s="3"/>
    </row>
    <row r="4536" ht="105.75" customHeight="1">
      <c r="A4536" s="11"/>
      <c r="B4536" s="12"/>
      <c r="C4536" s="11"/>
      <c r="D4536" s="13"/>
      <c r="E4536" s="14"/>
      <c r="F4536" s="14"/>
      <c r="G4536" s="14"/>
      <c r="H4536" s="15"/>
      <c r="I4536" s="15"/>
      <c r="J4536" s="3"/>
      <c r="K4536" s="3"/>
      <c r="L4536" s="3"/>
      <c r="M4536" s="3"/>
      <c r="N4536" s="3"/>
      <c r="O4536" s="3"/>
      <c r="P4536" s="3"/>
      <c r="Q4536" s="3"/>
      <c r="R4536" s="3"/>
      <c r="S4536" s="3"/>
      <c r="T4536" s="3"/>
      <c r="U4536" s="3"/>
      <c r="V4536" s="3"/>
      <c r="W4536" s="3"/>
      <c r="X4536" s="3"/>
      <c r="Y4536" s="3"/>
      <c r="Z4536" s="3"/>
      <c r="AA4536" s="3"/>
    </row>
    <row r="4537" ht="105.75" customHeight="1">
      <c r="A4537" s="11"/>
      <c r="B4537" s="12"/>
      <c r="C4537" s="11"/>
      <c r="D4537" s="13"/>
      <c r="E4537" s="14"/>
      <c r="F4537" s="14"/>
      <c r="G4537" s="14"/>
      <c r="H4537" s="15"/>
      <c r="I4537" s="15"/>
      <c r="J4537" s="3"/>
      <c r="K4537" s="3"/>
      <c r="L4537" s="3"/>
      <c r="M4537" s="3"/>
      <c r="N4537" s="3"/>
      <c r="O4537" s="3"/>
      <c r="P4537" s="3"/>
      <c r="Q4537" s="3"/>
      <c r="R4537" s="3"/>
      <c r="S4537" s="3"/>
      <c r="T4537" s="3"/>
      <c r="U4537" s="3"/>
      <c r="V4537" s="3"/>
      <c r="W4537" s="3"/>
      <c r="X4537" s="3"/>
      <c r="Y4537" s="3"/>
      <c r="Z4537" s="3"/>
      <c r="AA4537" s="3"/>
    </row>
    <row r="4538" ht="105.75" customHeight="1">
      <c r="A4538" s="11"/>
      <c r="B4538" s="12"/>
      <c r="C4538" s="11"/>
      <c r="D4538" s="13"/>
      <c r="E4538" s="14"/>
      <c r="F4538" s="14"/>
      <c r="G4538" s="14"/>
      <c r="H4538" s="15"/>
      <c r="I4538" s="15"/>
      <c r="J4538" s="3"/>
      <c r="K4538" s="3"/>
      <c r="L4538" s="3"/>
      <c r="M4538" s="3"/>
      <c r="N4538" s="3"/>
      <c r="O4538" s="3"/>
      <c r="P4538" s="3"/>
      <c r="Q4538" s="3"/>
      <c r="R4538" s="3"/>
      <c r="S4538" s="3"/>
      <c r="T4538" s="3"/>
      <c r="U4538" s="3"/>
      <c r="V4538" s="3"/>
      <c r="W4538" s="3"/>
      <c r="X4538" s="3"/>
      <c r="Y4538" s="3"/>
      <c r="Z4538" s="3"/>
      <c r="AA4538" s="3"/>
    </row>
    <row r="4539" ht="105.75" customHeight="1">
      <c r="A4539" s="11"/>
      <c r="B4539" s="12"/>
      <c r="C4539" s="11"/>
      <c r="D4539" s="13"/>
      <c r="E4539" s="14"/>
      <c r="F4539" s="14"/>
      <c r="G4539" s="14"/>
      <c r="H4539" s="15"/>
      <c r="I4539" s="15"/>
      <c r="J4539" s="3"/>
      <c r="K4539" s="3"/>
      <c r="L4539" s="3"/>
      <c r="M4539" s="3"/>
      <c r="N4539" s="3"/>
      <c r="O4539" s="3"/>
      <c r="P4539" s="3"/>
      <c r="Q4539" s="3"/>
      <c r="R4539" s="3"/>
      <c r="S4539" s="3"/>
      <c r="T4539" s="3"/>
      <c r="U4539" s="3"/>
      <c r="V4539" s="3"/>
      <c r="W4539" s="3"/>
      <c r="X4539" s="3"/>
      <c r="Y4539" s="3"/>
      <c r="Z4539" s="3"/>
      <c r="AA4539" s="3"/>
    </row>
    <row r="4540" ht="105.75" customHeight="1">
      <c r="A4540" s="11"/>
      <c r="B4540" s="12"/>
      <c r="C4540" s="11"/>
      <c r="D4540" s="13"/>
      <c r="E4540" s="14"/>
      <c r="F4540" s="14"/>
      <c r="G4540" s="14"/>
      <c r="H4540" s="15"/>
      <c r="I4540" s="15"/>
      <c r="J4540" s="3"/>
      <c r="K4540" s="3"/>
      <c r="L4540" s="3"/>
      <c r="M4540" s="3"/>
      <c r="N4540" s="3"/>
      <c r="O4540" s="3"/>
      <c r="P4540" s="3"/>
      <c r="Q4540" s="3"/>
      <c r="R4540" s="3"/>
      <c r="S4540" s="3"/>
      <c r="T4540" s="3"/>
      <c r="U4540" s="3"/>
      <c r="V4540" s="3"/>
      <c r="W4540" s="3"/>
      <c r="X4540" s="3"/>
      <c r="Y4540" s="3"/>
      <c r="Z4540" s="3"/>
      <c r="AA4540" s="3"/>
    </row>
    <row r="4541" ht="105.75" customHeight="1">
      <c r="A4541" s="11"/>
      <c r="B4541" s="12"/>
      <c r="C4541" s="11"/>
      <c r="D4541" s="13"/>
      <c r="E4541" s="14"/>
      <c r="F4541" s="14"/>
      <c r="G4541" s="14"/>
      <c r="H4541" s="15"/>
      <c r="I4541" s="15"/>
      <c r="J4541" s="3"/>
      <c r="K4541" s="3"/>
      <c r="L4541" s="3"/>
      <c r="M4541" s="3"/>
      <c r="N4541" s="3"/>
      <c r="O4541" s="3"/>
      <c r="P4541" s="3"/>
      <c r="Q4541" s="3"/>
      <c r="R4541" s="3"/>
      <c r="S4541" s="3"/>
      <c r="T4541" s="3"/>
      <c r="U4541" s="3"/>
      <c r="V4541" s="3"/>
      <c r="W4541" s="3"/>
      <c r="X4541" s="3"/>
      <c r="Y4541" s="3"/>
      <c r="Z4541" s="3"/>
      <c r="AA4541" s="3"/>
    </row>
    <row r="4542" ht="105.75" customHeight="1">
      <c r="A4542" s="11"/>
      <c r="B4542" s="12"/>
      <c r="C4542" s="11"/>
      <c r="D4542" s="13"/>
      <c r="E4542" s="14"/>
      <c r="F4542" s="14"/>
      <c r="G4542" s="14"/>
      <c r="H4542" s="15"/>
      <c r="I4542" s="15"/>
      <c r="J4542" s="3"/>
      <c r="K4542" s="3"/>
      <c r="L4542" s="3"/>
      <c r="M4542" s="3"/>
      <c r="N4542" s="3"/>
      <c r="O4542" s="3"/>
      <c r="P4542" s="3"/>
      <c r="Q4542" s="3"/>
      <c r="R4542" s="3"/>
      <c r="S4542" s="3"/>
      <c r="T4542" s="3"/>
      <c r="U4542" s="3"/>
      <c r="V4542" s="3"/>
      <c r="W4542" s="3"/>
      <c r="X4542" s="3"/>
      <c r="Y4542" s="3"/>
      <c r="Z4542" s="3"/>
      <c r="AA4542" s="3"/>
    </row>
    <row r="4543" ht="105.75" customHeight="1">
      <c r="A4543" s="11"/>
      <c r="B4543" s="12"/>
      <c r="C4543" s="11"/>
      <c r="D4543" s="13"/>
      <c r="E4543" s="14"/>
      <c r="F4543" s="14"/>
      <c r="G4543" s="14"/>
      <c r="H4543" s="15"/>
      <c r="I4543" s="15"/>
      <c r="J4543" s="3"/>
      <c r="K4543" s="3"/>
      <c r="L4543" s="3"/>
      <c r="M4543" s="3"/>
      <c r="N4543" s="3"/>
      <c r="O4543" s="3"/>
      <c r="P4543" s="3"/>
      <c r="Q4543" s="3"/>
      <c r="R4543" s="3"/>
      <c r="S4543" s="3"/>
      <c r="T4543" s="3"/>
      <c r="U4543" s="3"/>
      <c r="V4543" s="3"/>
      <c r="W4543" s="3"/>
      <c r="X4543" s="3"/>
      <c r="Y4543" s="3"/>
      <c r="Z4543" s="3"/>
      <c r="AA4543" s="3"/>
    </row>
    <row r="4544" ht="105.75" customHeight="1">
      <c r="A4544" s="11"/>
      <c r="B4544" s="12"/>
      <c r="C4544" s="11"/>
      <c r="D4544" s="13"/>
      <c r="E4544" s="14"/>
      <c r="F4544" s="14"/>
      <c r="G4544" s="14"/>
      <c r="H4544" s="15"/>
      <c r="I4544" s="15"/>
      <c r="J4544" s="3"/>
      <c r="K4544" s="3"/>
      <c r="L4544" s="3"/>
      <c r="M4544" s="3"/>
      <c r="N4544" s="3"/>
      <c r="O4544" s="3"/>
      <c r="P4544" s="3"/>
      <c r="Q4544" s="3"/>
      <c r="R4544" s="3"/>
      <c r="S4544" s="3"/>
      <c r="T4544" s="3"/>
      <c r="U4544" s="3"/>
      <c r="V4544" s="3"/>
      <c r="W4544" s="3"/>
      <c r="X4544" s="3"/>
      <c r="Y4544" s="3"/>
      <c r="Z4544" s="3"/>
      <c r="AA4544" s="3"/>
    </row>
    <row r="4545" ht="105.75" customHeight="1">
      <c r="A4545" s="11"/>
      <c r="B4545" s="12"/>
      <c r="C4545" s="11"/>
      <c r="D4545" s="13"/>
      <c r="E4545" s="14"/>
      <c r="F4545" s="14"/>
      <c r="G4545" s="14"/>
      <c r="H4545" s="15"/>
      <c r="I4545" s="15"/>
      <c r="J4545" s="3"/>
      <c r="K4545" s="3"/>
      <c r="L4545" s="3"/>
      <c r="M4545" s="3"/>
      <c r="N4545" s="3"/>
      <c r="O4545" s="3"/>
      <c r="P4545" s="3"/>
      <c r="Q4545" s="3"/>
      <c r="R4545" s="3"/>
      <c r="S4545" s="3"/>
      <c r="T4545" s="3"/>
      <c r="U4545" s="3"/>
      <c r="V4545" s="3"/>
      <c r="W4545" s="3"/>
      <c r="X4545" s="3"/>
      <c r="Y4545" s="3"/>
      <c r="Z4545" s="3"/>
      <c r="AA4545" s="3"/>
    </row>
    <row r="4546" ht="105.75" customHeight="1">
      <c r="A4546" s="11"/>
      <c r="B4546" s="12"/>
      <c r="C4546" s="11"/>
      <c r="D4546" s="13"/>
      <c r="E4546" s="14"/>
      <c r="F4546" s="14"/>
      <c r="G4546" s="14"/>
      <c r="H4546" s="15"/>
      <c r="I4546" s="15"/>
      <c r="J4546" s="3"/>
      <c r="K4546" s="3"/>
      <c r="L4546" s="3"/>
      <c r="M4546" s="3"/>
      <c r="N4546" s="3"/>
      <c r="O4546" s="3"/>
      <c r="P4546" s="3"/>
      <c r="Q4546" s="3"/>
      <c r="R4546" s="3"/>
      <c r="S4546" s="3"/>
      <c r="T4546" s="3"/>
      <c r="U4546" s="3"/>
      <c r="V4546" s="3"/>
      <c r="W4546" s="3"/>
      <c r="X4546" s="3"/>
      <c r="Y4546" s="3"/>
      <c r="Z4546" s="3"/>
      <c r="AA4546" s="3"/>
    </row>
    <row r="4547" ht="105.75" customHeight="1">
      <c r="A4547" s="11"/>
      <c r="B4547" s="12"/>
      <c r="C4547" s="11"/>
      <c r="D4547" s="13"/>
      <c r="E4547" s="14"/>
      <c r="F4547" s="14"/>
      <c r="G4547" s="14"/>
      <c r="H4547" s="15"/>
      <c r="I4547" s="15"/>
      <c r="J4547" s="3"/>
      <c r="K4547" s="3"/>
      <c r="L4547" s="3"/>
      <c r="M4547" s="3"/>
      <c r="N4547" s="3"/>
      <c r="O4547" s="3"/>
      <c r="P4547" s="3"/>
      <c r="Q4547" s="3"/>
      <c r="R4547" s="3"/>
      <c r="S4547" s="3"/>
      <c r="T4547" s="3"/>
      <c r="U4547" s="3"/>
      <c r="V4547" s="3"/>
      <c r="W4547" s="3"/>
      <c r="X4547" s="3"/>
      <c r="Y4547" s="3"/>
      <c r="Z4547" s="3"/>
      <c r="AA4547" s="3"/>
    </row>
    <row r="4548" ht="105.75" customHeight="1">
      <c r="A4548" s="11"/>
      <c r="B4548" s="12"/>
      <c r="C4548" s="11"/>
      <c r="D4548" s="13"/>
      <c r="E4548" s="14"/>
      <c r="F4548" s="14"/>
      <c r="G4548" s="14"/>
      <c r="H4548" s="15"/>
      <c r="I4548" s="15"/>
      <c r="J4548" s="3"/>
      <c r="K4548" s="3"/>
      <c r="L4548" s="3"/>
      <c r="M4548" s="3"/>
      <c r="N4548" s="3"/>
      <c r="O4548" s="3"/>
      <c r="P4548" s="3"/>
      <c r="Q4548" s="3"/>
      <c r="R4548" s="3"/>
      <c r="S4548" s="3"/>
      <c r="T4548" s="3"/>
      <c r="U4548" s="3"/>
      <c r="V4548" s="3"/>
      <c r="W4548" s="3"/>
      <c r="X4548" s="3"/>
      <c r="Y4548" s="3"/>
      <c r="Z4548" s="3"/>
      <c r="AA4548" s="3"/>
    </row>
    <row r="4549" ht="105.75" customHeight="1">
      <c r="A4549" s="11"/>
      <c r="B4549" s="12"/>
      <c r="C4549" s="11"/>
      <c r="D4549" s="13"/>
      <c r="E4549" s="14"/>
      <c r="F4549" s="14"/>
      <c r="G4549" s="14"/>
      <c r="H4549" s="15"/>
      <c r="I4549" s="15"/>
      <c r="J4549" s="3"/>
      <c r="K4549" s="3"/>
      <c r="L4549" s="3"/>
      <c r="M4549" s="3"/>
      <c r="N4549" s="3"/>
      <c r="O4549" s="3"/>
      <c r="P4549" s="3"/>
      <c r="Q4549" s="3"/>
      <c r="R4549" s="3"/>
      <c r="S4549" s="3"/>
      <c r="T4549" s="3"/>
      <c r="U4549" s="3"/>
      <c r="V4549" s="3"/>
      <c r="W4549" s="3"/>
      <c r="X4549" s="3"/>
      <c r="Y4549" s="3"/>
      <c r="Z4549" s="3"/>
      <c r="AA4549" s="3"/>
    </row>
    <row r="4550" ht="105.75" customHeight="1">
      <c r="A4550" s="11"/>
      <c r="B4550" s="12"/>
      <c r="C4550" s="11"/>
      <c r="D4550" s="13"/>
      <c r="E4550" s="14"/>
      <c r="F4550" s="14"/>
      <c r="G4550" s="14"/>
      <c r="H4550" s="15"/>
      <c r="I4550" s="15"/>
      <c r="J4550" s="3"/>
      <c r="K4550" s="3"/>
      <c r="L4550" s="3"/>
      <c r="M4550" s="3"/>
      <c r="N4550" s="3"/>
      <c r="O4550" s="3"/>
      <c r="P4550" s="3"/>
      <c r="Q4550" s="3"/>
      <c r="R4550" s="3"/>
      <c r="S4550" s="3"/>
      <c r="T4550" s="3"/>
      <c r="U4550" s="3"/>
      <c r="V4550" s="3"/>
      <c r="W4550" s="3"/>
      <c r="X4550" s="3"/>
      <c r="Y4550" s="3"/>
      <c r="Z4550" s="3"/>
      <c r="AA4550" s="3"/>
    </row>
    <row r="4551" ht="105.75" customHeight="1">
      <c r="A4551" s="11"/>
      <c r="B4551" s="12"/>
      <c r="C4551" s="11"/>
      <c r="D4551" s="13"/>
      <c r="E4551" s="14"/>
      <c r="F4551" s="14"/>
      <c r="G4551" s="14"/>
      <c r="H4551" s="15"/>
      <c r="I4551" s="15"/>
      <c r="J4551" s="3"/>
      <c r="K4551" s="3"/>
      <c r="L4551" s="3"/>
      <c r="M4551" s="3"/>
      <c r="N4551" s="3"/>
      <c r="O4551" s="3"/>
      <c r="P4551" s="3"/>
      <c r="Q4551" s="3"/>
      <c r="R4551" s="3"/>
      <c r="S4551" s="3"/>
      <c r="T4551" s="3"/>
      <c r="U4551" s="3"/>
      <c r="V4551" s="3"/>
      <c r="W4551" s="3"/>
      <c r="X4551" s="3"/>
      <c r="Y4551" s="3"/>
      <c r="Z4551" s="3"/>
      <c r="AA4551" s="3"/>
    </row>
    <row r="4552" ht="105.75" customHeight="1">
      <c r="A4552" s="11"/>
      <c r="B4552" s="12"/>
      <c r="C4552" s="11"/>
      <c r="D4552" s="13"/>
      <c r="E4552" s="14"/>
      <c r="F4552" s="14"/>
      <c r="G4552" s="14"/>
      <c r="H4552" s="15"/>
      <c r="I4552" s="15"/>
      <c r="J4552" s="3"/>
      <c r="K4552" s="3"/>
      <c r="L4552" s="3"/>
      <c r="M4552" s="3"/>
      <c r="N4552" s="3"/>
      <c r="O4552" s="3"/>
      <c r="P4552" s="3"/>
      <c r="Q4552" s="3"/>
      <c r="R4552" s="3"/>
      <c r="S4552" s="3"/>
      <c r="T4552" s="3"/>
      <c r="U4552" s="3"/>
      <c r="V4552" s="3"/>
      <c r="W4552" s="3"/>
      <c r="X4552" s="3"/>
      <c r="Y4552" s="3"/>
      <c r="Z4552" s="3"/>
      <c r="AA4552" s="3"/>
    </row>
    <row r="4553" ht="105.75" customHeight="1">
      <c r="A4553" s="11"/>
      <c r="B4553" s="12"/>
      <c r="C4553" s="11"/>
      <c r="D4553" s="13"/>
      <c r="E4553" s="14"/>
      <c r="F4553" s="14"/>
      <c r="G4553" s="14"/>
      <c r="H4553" s="15"/>
      <c r="I4553" s="15"/>
      <c r="J4553" s="3"/>
      <c r="K4553" s="3"/>
      <c r="L4553" s="3"/>
      <c r="M4553" s="3"/>
      <c r="N4553" s="3"/>
      <c r="O4553" s="3"/>
      <c r="P4553" s="3"/>
      <c r="Q4553" s="3"/>
      <c r="R4553" s="3"/>
      <c r="S4553" s="3"/>
      <c r="T4553" s="3"/>
      <c r="U4553" s="3"/>
      <c r="V4553" s="3"/>
      <c r="W4553" s="3"/>
      <c r="X4553" s="3"/>
      <c r="Y4553" s="3"/>
      <c r="Z4553" s="3"/>
      <c r="AA4553" s="3"/>
    </row>
    <row r="4554" ht="105.75" customHeight="1">
      <c r="A4554" s="11"/>
      <c r="B4554" s="12"/>
      <c r="C4554" s="11"/>
      <c r="D4554" s="13"/>
      <c r="E4554" s="14"/>
      <c r="F4554" s="14"/>
      <c r="G4554" s="14"/>
      <c r="H4554" s="15"/>
      <c r="I4554" s="15"/>
      <c r="J4554" s="3"/>
      <c r="K4554" s="3"/>
      <c r="L4554" s="3"/>
      <c r="M4554" s="3"/>
      <c r="N4554" s="3"/>
      <c r="O4554" s="3"/>
      <c r="P4554" s="3"/>
      <c r="Q4554" s="3"/>
      <c r="R4554" s="3"/>
      <c r="S4554" s="3"/>
      <c r="T4554" s="3"/>
      <c r="U4554" s="3"/>
      <c r="V4554" s="3"/>
      <c r="W4554" s="3"/>
      <c r="X4554" s="3"/>
      <c r="Y4554" s="3"/>
      <c r="Z4554" s="3"/>
      <c r="AA4554" s="3"/>
    </row>
    <row r="4555" ht="105.75" customHeight="1">
      <c r="A4555" s="11"/>
      <c r="B4555" s="12"/>
      <c r="C4555" s="11"/>
      <c r="D4555" s="13"/>
      <c r="E4555" s="14"/>
      <c r="F4555" s="14"/>
      <c r="G4555" s="14"/>
      <c r="H4555" s="15"/>
      <c r="I4555" s="15"/>
      <c r="J4555" s="3"/>
      <c r="K4555" s="3"/>
      <c r="L4555" s="3"/>
      <c r="M4555" s="3"/>
      <c r="N4555" s="3"/>
      <c r="O4555" s="3"/>
      <c r="P4555" s="3"/>
      <c r="Q4555" s="3"/>
      <c r="R4555" s="3"/>
      <c r="S4555" s="3"/>
      <c r="T4555" s="3"/>
      <c r="U4555" s="3"/>
      <c r="V4555" s="3"/>
      <c r="W4555" s="3"/>
      <c r="X4555" s="3"/>
      <c r="Y4555" s="3"/>
      <c r="Z4555" s="3"/>
      <c r="AA4555" s="3"/>
    </row>
    <row r="4556" ht="105.75" customHeight="1">
      <c r="A4556" s="11"/>
      <c r="B4556" s="12"/>
      <c r="C4556" s="11"/>
      <c r="D4556" s="13"/>
      <c r="E4556" s="14"/>
      <c r="F4556" s="14"/>
      <c r="G4556" s="14"/>
      <c r="H4556" s="15"/>
      <c r="I4556" s="15"/>
      <c r="J4556" s="3"/>
      <c r="K4556" s="3"/>
      <c r="L4556" s="3"/>
      <c r="M4556" s="3"/>
      <c r="N4556" s="3"/>
      <c r="O4556" s="3"/>
      <c r="P4556" s="3"/>
      <c r="Q4556" s="3"/>
      <c r="R4556" s="3"/>
      <c r="S4556" s="3"/>
      <c r="T4556" s="3"/>
      <c r="U4556" s="3"/>
      <c r="V4556" s="3"/>
      <c r="W4556" s="3"/>
      <c r="X4556" s="3"/>
      <c r="Y4556" s="3"/>
      <c r="Z4556" s="3"/>
      <c r="AA4556" s="3"/>
    </row>
    <row r="4557" ht="105.75" customHeight="1">
      <c r="A4557" s="11"/>
      <c r="B4557" s="12"/>
      <c r="C4557" s="11"/>
      <c r="D4557" s="13"/>
      <c r="E4557" s="14"/>
      <c r="F4557" s="14"/>
      <c r="G4557" s="14"/>
      <c r="H4557" s="15"/>
      <c r="I4557" s="15"/>
      <c r="J4557" s="3"/>
      <c r="K4557" s="3"/>
      <c r="L4557" s="3"/>
      <c r="M4557" s="3"/>
      <c r="N4557" s="3"/>
      <c r="O4557" s="3"/>
      <c r="P4557" s="3"/>
      <c r="Q4557" s="3"/>
      <c r="R4557" s="3"/>
      <c r="S4557" s="3"/>
      <c r="T4557" s="3"/>
      <c r="U4557" s="3"/>
      <c r="V4557" s="3"/>
      <c r="W4557" s="3"/>
      <c r="X4557" s="3"/>
      <c r="Y4557" s="3"/>
      <c r="Z4557" s="3"/>
      <c r="AA4557" s="3"/>
    </row>
    <row r="4558" ht="105.75" customHeight="1">
      <c r="A4558" s="11"/>
      <c r="B4558" s="12"/>
      <c r="C4558" s="11"/>
      <c r="D4558" s="13"/>
      <c r="E4558" s="14"/>
      <c r="F4558" s="14"/>
      <c r="G4558" s="14"/>
      <c r="H4558" s="15"/>
      <c r="I4558" s="15"/>
      <c r="J4558" s="3"/>
      <c r="K4558" s="3"/>
      <c r="L4558" s="3"/>
      <c r="M4558" s="3"/>
      <c r="N4558" s="3"/>
      <c r="O4558" s="3"/>
      <c r="P4558" s="3"/>
      <c r="Q4558" s="3"/>
      <c r="R4558" s="3"/>
      <c r="S4558" s="3"/>
      <c r="T4558" s="3"/>
      <c r="U4558" s="3"/>
      <c r="V4558" s="3"/>
      <c r="W4558" s="3"/>
      <c r="X4558" s="3"/>
      <c r="Y4558" s="3"/>
      <c r="Z4558" s="3"/>
      <c r="AA4558" s="3"/>
    </row>
    <row r="4559" ht="105.75" customHeight="1">
      <c r="A4559" s="11"/>
      <c r="B4559" s="12"/>
      <c r="C4559" s="11"/>
      <c r="D4559" s="13"/>
      <c r="E4559" s="14"/>
      <c r="F4559" s="14"/>
      <c r="G4559" s="14"/>
      <c r="H4559" s="15"/>
      <c r="I4559" s="15"/>
      <c r="J4559" s="3"/>
      <c r="K4559" s="3"/>
      <c r="L4559" s="3"/>
      <c r="M4559" s="3"/>
      <c r="N4559" s="3"/>
      <c r="O4559" s="3"/>
      <c r="P4559" s="3"/>
      <c r="Q4559" s="3"/>
      <c r="R4559" s="3"/>
      <c r="S4559" s="3"/>
      <c r="T4559" s="3"/>
      <c r="U4559" s="3"/>
      <c r="V4559" s="3"/>
      <c r="W4559" s="3"/>
      <c r="X4559" s="3"/>
      <c r="Y4559" s="3"/>
      <c r="Z4559" s="3"/>
      <c r="AA4559" s="3"/>
    </row>
    <row r="4560" ht="105.75" customHeight="1">
      <c r="A4560" s="11"/>
      <c r="B4560" s="12"/>
      <c r="C4560" s="11"/>
      <c r="D4560" s="13"/>
      <c r="E4560" s="14"/>
      <c r="F4560" s="14"/>
      <c r="G4560" s="14"/>
      <c r="H4560" s="15"/>
      <c r="I4560" s="15"/>
      <c r="J4560" s="3"/>
      <c r="K4560" s="3"/>
      <c r="L4560" s="3"/>
      <c r="M4560" s="3"/>
      <c r="N4560" s="3"/>
      <c r="O4560" s="3"/>
      <c r="P4560" s="3"/>
      <c r="Q4560" s="3"/>
      <c r="R4560" s="3"/>
      <c r="S4560" s="3"/>
      <c r="T4560" s="3"/>
      <c r="U4560" s="3"/>
      <c r="V4560" s="3"/>
      <c r="W4560" s="3"/>
      <c r="X4560" s="3"/>
      <c r="Y4560" s="3"/>
      <c r="Z4560" s="3"/>
      <c r="AA4560" s="3"/>
    </row>
    <row r="4561" ht="105.75" customHeight="1">
      <c r="A4561" s="11"/>
      <c r="B4561" s="12"/>
      <c r="C4561" s="11"/>
      <c r="D4561" s="13"/>
      <c r="E4561" s="14"/>
      <c r="F4561" s="14"/>
      <c r="G4561" s="14"/>
      <c r="H4561" s="15"/>
      <c r="I4561" s="15"/>
      <c r="J4561" s="3"/>
      <c r="K4561" s="3"/>
      <c r="L4561" s="3"/>
      <c r="M4561" s="3"/>
      <c r="N4561" s="3"/>
      <c r="O4561" s="3"/>
      <c r="P4561" s="3"/>
      <c r="Q4561" s="3"/>
      <c r="R4561" s="3"/>
      <c r="S4561" s="3"/>
      <c r="T4561" s="3"/>
      <c r="U4561" s="3"/>
      <c r="V4561" s="3"/>
      <c r="W4561" s="3"/>
      <c r="X4561" s="3"/>
      <c r="Y4561" s="3"/>
      <c r="Z4561" s="3"/>
      <c r="AA4561" s="3"/>
    </row>
    <row r="4562" ht="105.75" customHeight="1">
      <c r="A4562" s="11"/>
      <c r="B4562" s="12"/>
      <c r="C4562" s="11"/>
      <c r="D4562" s="13"/>
      <c r="E4562" s="14"/>
      <c r="F4562" s="14"/>
      <c r="G4562" s="14"/>
      <c r="H4562" s="15"/>
      <c r="I4562" s="15"/>
      <c r="J4562" s="3"/>
      <c r="K4562" s="3"/>
      <c r="L4562" s="3"/>
      <c r="M4562" s="3"/>
      <c r="N4562" s="3"/>
      <c r="O4562" s="3"/>
      <c r="P4562" s="3"/>
      <c r="Q4562" s="3"/>
      <c r="R4562" s="3"/>
      <c r="S4562" s="3"/>
      <c r="T4562" s="3"/>
      <c r="U4562" s="3"/>
      <c r="V4562" s="3"/>
      <c r="W4562" s="3"/>
      <c r="X4562" s="3"/>
      <c r="Y4562" s="3"/>
      <c r="Z4562" s="3"/>
      <c r="AA4562" s="3"/>
    </row>
    <row r="4563" ht="105.75" customHeight="1">
      <c r="A4563" s="11"/>
      <c r="B4563" s="12"/>
      <c r="C4563" s="11"/>
      <c r="D4563" s="13"/>
      <c r="E4563" s="14"/>
      <c r="F4563" s="14"/>
      <c r="G4563" s="14"/>
      <c r="H4563" s="15"/>
      <c r="I4563" s="15"/>
      <c r="J4563" s="3"/>
      <c r="K4563" s="3"/>
      <c r="L4563" s="3"/>
      <c r="M4563" s="3"/>
      <c r="N4563" s="3"/>
      <c r="O4563" s="3"/>
      <c r="P4563" s="3"/>
      <c r="Q4563" s="3"/>
      <c r="R4563" s="3"/>
      <c r="S4563" s="3"/>
      <c r="T4563" s="3"/>
      <c r="U4563" s="3"/>
      <c r="V4563" s="3"/>
      <c r="W4563" s="3"/>
      <c r="X4563" s="3"/>
      <c r="Y4563" s="3"/>
      <c r="Z4563" s="3"/>
      <c r="AA4563" s="3"/>
    </row>
    <row r="4564" ht="105.75" customHeight="1">
      <c r="A4564" s="11"/>
      <c r="B4564" s="12"/>
      <c r="C4564" s="11"/>
      <c r="D4564" s="13"/>
      <c r="E4564" s="14"/>
      <c r="F4564" s="14"/>
      <c r="G4564" s="14"/>
      <c r="H4564" s="15"/>
      <c r="I4564" s="15"/>
      <c r="J4564" s="3"/>
      <c r="K4564" s="3"/>
      <c r="L4564" s="3"/>
      <c r="M4564" s="3"/>
      <c r="N4564" s="3"/>
      <c r="O4564" s="3"/>
      <c r="P4564" s="3"/>
      <c r="Q4564" s="3"/>
      <c r="R4564" s="3"/>
      <c r="S4564" s="3"/>
      <c r="T4564" s="3"/>
      <c r="U4564" s="3"/>
      <c r="V4564" s="3"/>
      <c r="W4564" s="3"/>
      <c r="X4564" s="3"/>
      <c r="Y4564" s="3"/>
      <c r="Z4564" s="3"/>
      <c r="AA4564" s="3"/>
    </row>
    <row r="4565" ht="105.75" customHeight="1">
      <c r="A4565" s="11"/>
      <c r="B4565" s="12"/>
      <c r="C4565" s="11"/>
      <c r="D4565" s="13"/>
      <c r="E4565" s="14"/>
      <c r="F4565" s="14"/>
      <c r="G4565" s="14"/>
      <c r="H4565" s="15"/>
      <c r="I4565" s="15"/>
      <c r="J4565" s="3"/>
      <c r="K4565" s="3"/>
      <c r="L4565" s="3"/>
      <c r="M4565" s="3"/>
      <c r="N4565" s="3"/>
      <c r="O4565" s="3"/>
      <c r="P4565" s="3"/>
      <c r="Q4565" s="3"/>
      <c r="R4565" s="3"/>
      <c r="S4565" s="3"/>
      <c r="T4565" s="3"/>
      <c r="U4565" s="3"/>
      <c r="V4565" s="3"/>
      <c r="W4565" s="3"/>
      <c r="X4565" s="3"/>
      <c r="Y4565" s="3"/>
      <c r="Z4565" s="3"/>
      <c r="AA4565" s="3"/>
    </row>
    <row r="4566" ht="105.75" customHeight="1">
      <c r="A4566" s="11"/>
      <c r="B4566" s="12"/>
      <c r="C4566" s="11"/>
      <c r="D4566" s="13"/>
      <c r="E4566" s="14"/>
      <c r="F4566" s="14"/>
      <c r="G4566" s="14"/>
      <c r="H4566" s="15"/>
      <c r="I4566" s="15"/>
      <c r="J4566" s="3"/>
      <c r="K4566" s="3"/>
      <c r="L4566" s="3"/>
      <c r="M4566" s="3"/>
      <c r="N4566" s="3"/>
      <c r="O4566" s="3"/>
      <c r="P4566" s="3"/>
      <c r="Q4566" s="3"/>
      <c r="R4566" s="3"/>
      <c r="S4566" s="3"/>
      <c r="T4566" s="3"/>
      <c r="U4566" s="3"/>
      <c r="V4566" s="3"/>
      <c r="W4566" s="3"/>
      <c r="X4566" s="3"/>
      <c r="Y4566" s="3"/>
      <c r="Z4566" s="3"/>
      <c r="AA4566" s="3"/>
    </row>
    <row r="4567" ht="105.75" customHeight="1">
      <c r="A4567" s="11"/>
      <c r="B4567" s="12"/>
      <c r="C4567" s="11"/>
      <c r="D4567" s="13"/>
      <c r="E4567" s="14"/>
      <c r="F4567" s="14"/>
      <c r="G4567" s="14"/>
      <c r="H4567" s="15"/>
      <c r="I4567" s="15"/>
      <c r="J4567" s="3"/>
      <c r="K4567" s="3"/>
      <c r="L4567" s="3"/>
      <c r="M4567" s="3"/>
      <c r="N4567" s="3"/>
      <c r="O4567" s="3"/>
      <c r="P4567" s="3"/>
      <c r="Q4567" s="3"/>
      <c r="R4567" s="3"/>
      <c r="S4567" s="3"/>
      <c r="T4567" s="3"/>
      <c r="U4567" s="3"/>
      <c r="V4567" s="3"/>
      <c r="W4567" s="3"/>
      <c r="X4567" s="3"/>
      <c r="Y4567" s="3"/>
      <c r="Z4567" s="3"/>
      <c r="AA4567" s="3"/>
    </row>
    <row r="4568" ht="105.75" customHeight="1">
      <c r="A4568" s="11"/>
      <c r="B4568" s="12"/>
      <c r="C4568" s="11"/>
      <c r="D4568" s="13"/>
      <c r="E4568" s="14"/>
      <c r="F4568" s="14"/>
      <c r="G4568" s="14"/>
      <c r="H4568" s="15"/>
      <c r="I4568" s="15"/>
      <c r="J4568" s="3"/>
      <c r="K4568" s="3"/>
      <c r="L4568" s="3"/>
      <c r="M4568" s="3"/>
      <c r="N4568" s="3"/>
      <c r="O4568" s="3"/>
      <c r="P4568" s="3"/>
      <c r="Q4568" s="3"/>
      <c r="R4568" s="3"/>
      <c r="S4568" s="3"/>
      <c r="T4568" s="3"/>
      <c r="U4568" s="3"/>
      <c r="V4568" s="3"/>
      <c r="W4568" s="3"/>
      <c r="X4568" s="3"/>
      <c r="Y4568" s="3"/>
      <c r="Z4568" s="3"/>
      <c r="AA4568" s="3"/>
    </row>
    <row r="4569" ht="105.75" customHeight="1">
      <c r="A4569" s="11"/>
      <c r="B4569" s="12"/>
      <c r="C4569" s="11"/>
      <c r="D4569" s="13"/>
      <c r="E4569" s="14"/>
      <c r="F4569" s="14"/>
      <c r="G4569" s="14"/>
      <c r="H4569" s="15"/>
      <c r="I4569" s="15"/>
      <c r="J4569" s="3"/>
      <c r="K4569" s="3"/>
      <c r="L4569" s="3"/>
      <c r="M4569" s="3"/>
      <c r="N4569" s="3"/>
      <c r="O4569" s="3"/>
      <c r="P4569" s="3"/>
      <c r="Q4569" s="3"/>
      <c r="R4569" s="3"/>
      <c r="S4569" s="3"/>
      <c r="T4569" s="3"/>
      <c r="U4569" s="3"/>
      <c r="V4569" s="3"/>
      <c r="W4569" s="3"/>
      <c r="X4569" s="3"/>
      <c r="Y4569" s="3"/>
      <c r="Z4569" s="3"/>
      <c r="AA4569" s="3"/>
    </row>
    <row r="4570" ht="105.75" customHeight="1">
      <c r="A4570" s="11"/>
      <c r="B4570" s="12"/>
      <c r="C4570" s="11"/>
      <c r="D4570" s="13"/>
      <c r="E4570" s="14"/>
      <c r="F4570" s="14"/>
      <c r="G4570" s="14"/>
      <c r="H4570" s="15"/>
      <c r="I4570" s="15"/>
      <c r="J4570" s="3"/>
      <c r="K4570" s="3"/>
      <c r="L4570" s="3"/>
      <c r="M4570" s="3"/>
      <c r="N4570" s="3"/>
      <c r="O4570" s="3"/>
      <c r="P4570" s="3"/>
      <c r="Q4570" s="3"/>
      <c r="R4570" s="3"/>
      <c r="S4570" s="3"/>
      <c r="T4570" s="3"/>
      <c r="U4570" s="3"/>
      <c r="V4570" s="3"/>
      <c r="W4570" s="3"/>
      <c r="X4570" s="3"/>
      <c r="Y4570" s="3"/>
      <c r="Z4570" s="3"/>
      <c r="AA4570" s="3"/>
    </row>
    <row r="4571" ht="105.75" customHeight="1">
      <c r="A4571" s="11"/>
      <c r="B4571" s="12"/>
      <c r="C4571" s="11"/>
      <c r="D4571" s="13"/>
      <c r="E4571" s="14"/>
      <c r="F4571" s="14"/>
      <c r="G4571" s="14"/>
      <c r="H4571" s="15"/>
      <c r="I4571" s="15"/>
      <c r="J4571" s="3"/>
      <c r="K4571" s="3"/>
      <c r="L4571" s="3"/>
      <c r="M4571" s="3"/>
      <c r="N4571" s="3"/>
      <c r="O4571" s="3"/>
      <c r="P4571" s="3"/>
      <c r="Q4571" s="3"/>
      <c r="R4571" s="3"/>
      <c r="S4571" s="3"/>
      <c r="T4571" s="3"/>
      <c r="U4571" s="3"/>
      <c r="V4571" s="3"/>
      <c r="W4571" s="3"/>
      <c r="X4571" s="3"/>
      <c r="Y4571" s="3"/>
      <c r="Z4571" s="3"/>
      <c r="AA4571" s="3"/>
    </row>
    <row r="4572" ht="105.75" customHeight="1">
      <c r="A4572" s="11"/>
      <c r="B4572" s="12"/>
      <c r="C4572" s="11"/>
      <c r="D4572" s="13"/>
      <c r="E4572" s="14"/>
      <c r="F4572" s="14"/>
      <c r="G4572" s="14"/>
      <c r="H4572" s="15"/>
      <c r="I4572" s="15"/>
      <c r="J4572" s="3"/>
      <c r="K4572" s="3"/>
      <c r="L4572" s="3"/>
      <c r="M4572" s="3"/>
      <c r="N4572" s="3"/>
      <c r="O4572" s="3"/>
      <c r="P4572" s="3"/>
      <c r="Q4572" s="3"/>
      <c r="R4572" s="3"/>
      <c r="S4572" s="3"/>
      <c r="T4572" s="3"/>
      <c r="U4572" s="3"/>
      <c r="V4572" s="3"/>
      <c r="W4572" s="3"/>
      <c r="X4572" s="3"/>
      <c r="Y4572" s="3"/>
      <c r="Z4572" s="3"/>
      <c r="AA4572" s="3"/>
    </row>
    <row r="4573" ht="105.75" customHeight="1">
      <c r="A4573" s="11"/>
      <c r="B4573" s="12"/>
      <c r="C4573" s="11"/>
      <c r="D4573" s="13"/>
      <c r="E4573" s="14"/>
      <c r="F4573" s="14"/>
      <c r="G4573" s="14"/>
      <c r="H4573" s="15"/>
      <c r="I4573" s="15"/>
      <c r="J4573" s="3"/>
      <c r="K4573" s="3"/>
      <c r="L4573" s="3"/>
      <c r="M4573" s="3"/>
      <c r="N4573" s="3"/>
      <c r="O4573" s="3"/>
      <c r="P4573" s="3"/>
      <c r="Q4573" s="3"/>
      <c r="R4573" s="3"/>
      <c r="S4573" s="3"/>
      <c r="T4573" s="3"/>
      <c r="U4573" s="3"/>
      <c r="V4573" s="3"/>
      <c r="W4573" s="3"/>
      <c r="X4573" s="3"/>
      <c r="Y4573" s="3"/>
      <c r="Z4573" s="3"/>
      <c r="AA4573" s="3"/>
    </row>
    <row r="4574" ht="105.75" customHeight="1">
      <c r="A4574" s="11"/>
      <c r="B4574" s="12"/>
      <c r="C4574" s="11"/>
      <c r="D4574" s="13"/>
      <c r="E4574" s="14"/>
      <c r="F4574" s="14"/>
      <c r="G4574" s="14"/>
      <c r="H4574" s="15"/>
      <c r="I4574" s="15"/>
      <c r="J4574" s="3"/>
      <c r="K4574" s="3"/>
      <c r="L4574" s="3"/>
      <c r="M4574" s="3"/>
      <c r="N4574" s="3"/>
      <c r="O4574" s="3"/>
      <c r="P4574" s="3"/>
      <c r="Q4574" s="3"/>
      <c r="R4574" s="3"/>
      <c r="S4574" s="3"/>
      <c r="T4574" s="3"/>
      <c r="U4574" s="3"/>
      <c r="V4574" s="3"/>
      <c r="W4574" s="3"/>
      <c r="X4574" s="3"/>
      <c r="Y4574" s="3"/>
      <c r="Z4574" s="3"/>
      <c r="AA4574" s="3"/>
    </row>
    <row r="4575" ht="105.75" customHeight="1">
      <c r="A4575" s="11"/>
      <c r="B4575" s="12"/>
      <c r="C4575" s="11"/>
      <c r="D4575" s="13"/>
      <c r="E4575" s="14"/>
      <c r="F4575" s="14"/>
      <c r="G4575" s="14"/>
      <c r="H4575" s="15"/>
      <c r="I4575" s="15"/>
      <c r="J4575" s="3"/>
      <c r="K4575" s="3"/>
      <c r="L4575" s="3"/>
      <c r="M4575" s="3"/>
      <c r="N4575" s="3"/>
      <c r="O4575" s="3"/>
      <c r="P4575" s="3"/>
      <c r="Q4575" s="3"/>
      <c r="R4575" s="3"/>
      <c r="S4575" s="3"/>
      <c r="T4575" s="3"/>
      <c r="U4575" s="3"/>
      <c r="V4575" s="3"/>
      <c r="W4575" s="3"/>
      <c r="X4575" s="3"/>
      <c r="Y4575" s="3"/>
      <c r="Z4575" s="3"/>
      <c r="AA4575" s="3"/>
    </row>
    <row r="4576" ht="105.75" customHeight="1">
      <c r="A4576" s="11"/>
      <c r="B4576" s="12"/>
      <c r="C4576" s="11"/>
      <c r="D4576" s="13"/>
      <c r="E4576" s="14"/>
      <c r="F4576" s="14"/>
      <c r="G4576" s="14"/>
      <c r="H4576" s="15"/>
      <c r="I4576" s="15"/>
      <c r="J4576" s="3"/>
      <c r="K4576" s="3"/>
      <c r="L4576" s="3"/>
      <c r="M4576" s="3"/>
      <c r="N4576" s="3"/>
      <c r="O4576" s="3"/>
      <c r="P4576" s="3"/>
      <c r="Q4576" s="3"/>
      <c r="R4576" s="3"/>
      <c r="S4576" s="3"/>
      <c r="T4576" s="3"/>
      <c r="U4576" s="3"/>
      <c r="V4576" s="3"/>
      <c r="W4576" s="3"/>
      <c r="X4576" s="3"/>
      <c r="Y4576" s="3"/>
      <c r="Z4576" s="3"/>
      <c r="AA4576" s="3"/>
    </row>
    <row r="4577" ht="105.75" customHeight="1">
      <c r="A4577" s="11"/>
      <c r="B4577" s="12"/>
      <c r="C4577" s="11"/>
      <c r="D4577" s="13"/>
      <c r="E4577" s="14"/>
      <c r="F4577" s="14"/>
      <c r="G4577" s="14"/>
      <c r="H4577" s="15"/>
      <c r="I4577" s="15"/>
      <c r="J4577" s="3"/>
      <c r="K4577" s="3"/>
      <c r="L4577" s="3"/>
      <c r="M4577" s="3"/>
      <c r="N4577" s="3"/>
      <c r="O4577" s="3"/>
      <c r="P4577" s="3"/>
      <c r="Q4577" s="3"/>
      <c r="R4577" s="3"/>
      <c r="S4577" s="3"/>
      <c r="T4577" s="3"/>
      <c r="U4577" s="3"/>
      <c r="V4577" s="3"/>
      <c r="W4577" s="3"/>
      <c r="X4577" s="3"/>
      <c r="Y4577" s="3"/>
      <c r="Z4577" s="3"/>
      <c r="AA4577" s="3"/>
    </row>
    <row r="4578" ht="105.75" customHeight="1">
      <c r="A4578" s="11"/>
      <c r="B4578" s="12"/>
      <c r="C4578" s="11"/>
      <c r="D4578" s="13"/>
      <c r="E4578" s="14"/>
      <c r="F4578" s="14"/>
      <c r="G4578" s="14"/>
      <c r="H4578" s="15"/>
      <c r="I4578" s="15"/>
      <c r="J4578" s="3"/>
      <c r="K4578" s="3"/>
      <c r="L4578" s="3"/>
      <c r="M4578" s="3"/>
      <c r="N4578" s="3"/>
      <c r="O4578" s="3"/>
      <c r="P4578" s="3"/>
      <c r="Q4578" s="3"/>
      <c r="R4578" s="3"/>
      <c r="S4578" s="3"/>
      <c r="T4578" s="3"/>
      <c r="U4578" s="3"/>
      <c r="V4578" s="3"/>
      <c r="W4578" s="3"/>
      <c r="X4578" s="3"/>
      <c r="Y4578" s="3"/>
      <c r="Z4578" s="3"/>
      <c r="AA4578" s="3"/>
    </row>
    <row r="4579" ht="105.75" customHeight="1">
      <c r="A4579" s="11"/>
      <c r="B4579" s="12"/>
      <c r="C4579" s="11"/>
      <c r="D4579" s="13"/>
      <c r="E4579" s="14"/>
      <c r="F4579" s="14"/>
      <c r="G4579" s="14"/>
      <c r="H4579" s="15"/>
      <c r="I4579" s="15"/>
      <c r="J4579" s="3"/>
      <c r="K4579" s="3"/>
      <c r="L4579" s="3"/>
      <c r="M4579" s="3"/>
      <c r="N4579" s="3"/>
      <c r="O4579" s="3"/>
      <c r="P4579" s="3"/>
      <c r="Q4579" s="3"/>
      <c r="R4579" s="3"/>
      <c r="S4579" s="3"/>
      <c r="T4579" s="3"/>
      <c r="U4579" s="3"/>
      <c r="V4579" s="3"/>
      <c r="W4579" s="3"/>
      <c r="X4579" s="3"/>
      <c r="Y4579" s="3"/>
      <c r="Z4579" s="3"/>
      <c r="AA4579" s="3"/>
    </row>
    <row r="4580" ht="105.75" customHeight="1">
      <c r="A4580" s="11"/>
      <c r="B4580" s="12"/>
      <c r="C4580" s="11"/>
      <c r="D4580" s="13"/>
      <c r="E4580" s="14"/>
      <c r="F4580" s="14"/>
      <c r="G4580" s="14"/>
      <c r="H4580" s="15"/>
      <c r="I4580" s="15"/>
      <c r="J4580" s="3"/>
      <c r="K4580" s="3"/>
      <c r="L4580" s="3"/>
      <c r="M4580" s="3"/>
      <c r="N4580" s="3"/>
      <c r="O4580" s="3"/>
      <c r="P4580" s="3"/>
      <c r="Q4580" s="3"/>
      <c r="R4580" s="3"/>
      <c r="S4580" s="3"/>
      <c r="T4580" s="3"/>
      <c r="U4580" s="3"/>
      <c r="V4580" s="3"/>
      <c r="W4580" s="3"/>
      <c r="X4580" s="3"/>
      <c r="Y4580" s="3"/>
      <c r="Z4580" s="3"/>
      <c r="AA4580" s="3"/>
    </row>
    <row r="4581" ht="105.75" customHeight="1">
      <c r="A4581" s="11"/>
      <c r="B4581" s="12"/>
      <c r="C4581" s="11"/>
      <c r="D4581" s="13"/>
      <c r="E4581" s="14"/>
      <c r="F4581" s="14"/>
      <c r="G4581" s="14"/>
      <c r="H4581" s="15"/>
      <c r="I4581" s="15"/>
      <c r="J4581" s="3"/>
      <c r="K4581" s="3"/>
      <c r="L4581" s="3"/>
      <c r="M4581" s="3"/>
      <c r="N4581" s="3"/>
      <c r="O4581" s="3"/>
      <c r="P4581" s="3"/>
      <c r="Q4581" s="3"/>
      <c r="R4581" s="3"/>
      <c r="S4581" s="3"/>
      <c r="T4581" s="3"/>
      <c r="U4581" s="3"/>
      <c r="V4581" s="3"/>
      <c r="W4581" s="3"/>
      <c r="X4581" s="3"/>
      <c r="Y4581" s="3"/>
      <c r="Z4581" s="3"/>
      <c r="AA4581" s="3"/>
    </row>
    <row r="4582" ht="105.75" customHeight="1">
      <c r="A4582" s="11"/>
      <c r="B4582" s="12"/>
      <c r="C4582" s="11"/>
      <c r="D4582" s="13"/>
      <c r="E4582" s="14"/>
      <c r="F4582" s="14"/>
      <c r="G4582" s="14"/>
      <c r="H4582" s="15"/>
      <c r="I4582" s="15"/>
      <c r="J4582" s="3"/>
      <c r="K4582" s="3"/>
      <c r="L4582" s="3"/>
      <c r="M4582" s="3"/>
      <c r="N4582" s="3"/>
      <c r="O4582" s="3"/>
      <c r="P4582" s="3"/>
      <c r="Q4582" s="3"/>
      <c r="R4582" s="3"/>
      <c r="S4582" s="3"/>
      <c r="T4582" s="3"/>
      <c r="U4582" s="3"/>
      <c r="V4582" s="3"/>
      <c r="W4582" s="3"/>
      <c r="X4582" s="3"/>
      <c r="Y4582" s="3"/>
      <c r="Z4582" s="3"/>
      <c r="AA4582" s="3"/>
    </row>
    <row r="4583" ht="105.75" customHeight="1">
      <c r="A4583" s="11"/>
      <c r="B4583" s="12"/>
      <c r="C4583" s="11"/>
      <c r="D4583" s="13"/>
      <c r="E4583" s="14"/>
      <c r="F4583" s="14"/>
      <c r="G4583" s="14"/>
      <c r="H4583" s="15"/>
      <c r="I4583" s="15"/>
      <c r="J4583" s="3"/>
      <c r="K4583" s="3"/>
      <c r="L4583" s="3"/>
      <c r="M4583" s="3"/>
      <c r="N4583" s="3"/>
      <c r="O4583" s="3"/>
      <c r="P4583" s="3"/>
      <c r="Q4583" s="3"/>
      <c r="R4583" s="3"/>
      <c r="S4583" s="3"/>
      <c r="T4583" s="3"/>
      <c r="U4583" s="3"/>
      <c r="V4583" s="3"/>
      <c r="W4583" s="3"/>
      <c r="X4583" s="3"/>
      <c r="Y4583" s="3"/>
      <c r="Z4583" s="3"/>
      <c r="AA4583" s="3"/>
    </row>
    <row r="4584" ht="105.75" customHeight="1">
      <c r="A4584" s="11"/>
      <c r="B4584" s="12"/>
      <c r="C4584" s="11"/>
      <c r="D4584" s="13"/>
      <c r="E4584" s="14"/>
      <c r="F4584" s="14"/>
      <c r="G4584" s="14"/>
      <c r="H4584" s="15"/>
      <c r="I4584" s="15"/>
      <c r="J4584" s="3"/>
      <c r="K4584" s="3"/>
      <c r="L4584" s="3"/>
      <c r="M4584" s="3"/>
      <c r="N4584" s="3"/>
      <c r="O4584" s="3"/>
      <c r="P4584" s="3"/>
      <c r="Q4584" s="3"/>
      <c r="R4584" s="3"/>
      <c r="S4584" s="3"/>
      <c r="T4584" s="3"/>
      <c r="U4584" s="3"/>
      <c r="V4584" s="3"/>
      <c r="W4584" s="3"/>
      <c r="X4584" s="3"/>
      <c r="Y4584" s="3"/>
      <c r="Z4584" s="3"/>
      <c r="AA4584" s="3"/>
    </row>
    <row r="4585" ht="105.75" customHeight="1">
      <c r="A4585" s="11"/>
      <c r="B4585" s="12"/>
      <c r="C4585" s="11"/>
      <c r="D4585" s="13"/>
      <c r="E4585" s="14"/>
      <c r="F4585" s="14"/>
      <c r="G4585" s="14"/>
      <c r="H4585" s="15"/>
      <c r="I4585" s="15"/>
      <c r="J4585" s="3"/>
      <c r="K4585" s="3"/>
      <c r="L4585" s="3"/>
      <c r="M4585" s="3"/>
      <c r="N4585" s="3"/>
      <c r="O4585" s="3"/>
      <c r="P4585" s="3"/>
      <c r="Q4585" s="3"/>
      <c r="R4585" s="3"/>
      <c r="S4585" s="3"/>
      <c r="T4585" s="3"/>
      <c r="U4585" s="3"/>
      <c r="V4585" s="3"/>
      <c r="W4585" s="3"/>
      <c r="X4585" s="3"/>
      <c r="Y4585" s="3"/>
      <c r="Z4585" s="3"/>
      <c r="AA4585" s="3"/>
    </row>
    <row r="4586" ht="105.75" customHeight="1">
      <c r="A4586" s="11"/>
      <c r="B4586" s="12"/>
      <c r="C4586" s="11"/>
      <c r="D4586" s="13"/>
      <c r="E4586" s="14"/>
      <c r="F4586" s="14"/>
      <c r="G4586" s="14"/>
      <c r="H4586" s="15"/>
      <c r="I4586" s="15"/>
      <c r="J4586" s="3"/>
      <c r="K4586" s="3"/>
      <c r="L4586" s="3"/>
      <c r="M4586" s="3"/>
      <c r="N4586" s="3"/>
      <c r="O4586" s="3"/>
      <c r="P4586" s="3"/>
      <c r="Q4586" s="3"/>
      <c r="R4586" s="3"/>
      <c r="S4586" s="3"/>
      <c r="T4586" s="3"/>
      <c r="U4586" s="3"/>
      <c r="V4586" s="3"/>
      <c r="W4586" s="3"/>
      <c r="X4586" s="3"/>
      <c r="Y4586" s="3"/>
      <c r="Z4586" s="3"/>
      <c r="AA4586" s="3"/>
    </row>
    <row r="4587" ht="105.75" customHeight="1">
      <c r="A4587" s="11"/>
      <c r="B4587" s="12"/>
      <c r="C4587" s="11"/>
      <c r="D4587" s="13"/>
      <c r="E4587" s="14"/>
      <c r="F4587" s="14"/>
      <c r="G4587" s="14"/>
      <c r="H4587" s="15"/>
      <c r="I4587" s="15"/>
      <c r="J4587" s="3"/>
      <c r="K4587" s="3"/>
      <c r="L4587" s="3"/>
      <c r="M4587" s="3"/>
      <c r="N4587" s="3"/>
      <c r="O4587" s="3"/>
      <c r="P4587" s="3"/>
      <c r="Q4587" s="3"/>
      <c r="R4587" s="3"/>
      <c r="S4587" s="3"/>
      <c r="T4587" s="3"/>
      <c r="U4587" s="3"/>
      <c r="V4587" s="3"/>
      <c r="W4587" s="3"/>
      <c r="X4587" s="3"/>
      <c r="Y4587" s="3"/>
      <c r="Z4587" s="3"/>
      <c r="AA4587" s="3"/>
    </row>
    <row r="4588" ht="105.75" customHeight="1">
      <c r="A4588" s="11"/>
      <c r="B4588" s="12"/>
      <c r="C4588" s="11"/>
      <c r="D4588" s="13"/>
      <c r="E4588" s="14"/>
      <c r="F4588" s="14"/>
      <c r="G4588" s="14"/>
      <c r="H4588" s="15"/>
      <c r="I4588" s="15"/>
      <c r="J4588" s="3"/>
      <c r="K4588" s="3"/>
      <c r="L4588" s="3"/>
      <c r="M4588" s="3"/>
      <c r="N4588" s="3"/>
      <c r="O4588" s="3"/>
      <c r="P4588" s="3"/>
      <c r="Q4588" s="3"/>
      <c r="R4588" s="3"/>
      <c r="S4588" s="3"/>
      <c r="T4588" s="3"/>
      <c r="U4588" s="3"/>
      <c r="V4588" s="3"/>
      <c r="W4588" s="3"/>
      <c r="X4588" s="3"/>
      <c r="Y4588" s="3"/>
      <c r="Z4588" s="3"/>
      <c r="AA4588" s="3"/>
    </row>
    <row r="4589" ht="105.75" customHeight="1">
      <c r="A4589" s="11"/>
      <c r="B4589" s="12"/>
      <c r="C4589" s="11"/>
      <c r="D4589" s="13"/>
      <c r="E4589" s="14"/>
      <c r="F4589" s="14"/>
      <c r="G4589" s="14"/>
      <c r="H4589" s="15"/>
      <c r="I4589" s="15"/>
      <c r="J4589" s="3"/>
      <c r="K4589" s="3"/>
      <c r="L4589" s="3"/>
      <c r="M4589" s="3"/>
      <c r="N4589" s="3"/>
      <c r="O4589" s="3"/>
      <c r="P4589" s="3"/>
      <c r="Q4589" s="3"/>
      <c r="R4589" s="3"/>
      <c r="S4589" s="3"/>
      <c r="T4589" s="3"/>
      <c r="U4589" s="3"/>
      <c r="V4589" s="3"/>
      <c r="W4589" s="3"/>
      <c r="X4589" s="3"/>
      <c r="Y4589" s="3"/>
      <c r="Z4589" s="3"/>
      <c r="AA4589" s="3"/>
    </row>
    <row r="4590" ht="105.75" customHeight="1">
      <c r="A4590" s="11"/>
      <c r="B4590" s="12"/>
      <c r="C4590" s="11"/>
      <c r="D4590" s="13"/>
      <c r="E4590" s="14"/>
      <c r="F4590" s="14"/>
      <c r="G4590" s="14"/>
      <c r="H4590" s="15"/>
      <c r="I4590" s="15"/>
      <c r="J4590" s="3"/>
      <c r="K4590" s="3"/>
      <c r="L4590" s="3"/>
      <c r="M4590" s="3"/>
      <c r="N4590" s="3"/>
      <c r="O4590" s="3"/>
      <c r="P4590" s="3"/>
      <c r="Q4590" s="3"/>
      <c r="R4590" s="3"/>
      <c r="S4590" s="3"/>
      <c r="T4590" s="3"/>
      <c r="U4590" s="3"/>
      <c r="V4590" s="3"/>
      <c r="W4590" s="3"/>
      <c r="X4590" s="3"/>
      <c r="Y4590" s="3"/>
      <c r="Z4590" s="3"/>
      <c r="AA4590" s="3"/>
    </row>
    <row r="4591" ht="105.75" customHeight="1">
      <c r="A4591" s="11"/>
      <c r="B4591" s="12"/>
      <c r="C4591" s="11"/>
      <c r="D4591" s="13"/>
      <c r="E4591" s="14"/>
      <c r="F4591" s="14"/>
      <c r="G4591" s="14"/>
      <c r="H4591" s="15"/>
      <c r="I4591" s="15"/>
      <c r="J4591" s="3"/>
      <c r="K4591" s="3"/>
      <c r="L4591" s="3"/>
      <c r="M4591" s="3"/>
      <c r="N4591" s="3"/>
      <c r="O4591" s="3"/>
      <c r="P4591" s="3"/>
      <c r="Q4591" s="3"/>
      <c r="R4591" s="3"/>
      <c r="S4591" s="3"/>
      <c r="T4591" s="3"/>
      <c r="U4591" s="3"/>
      <c r="V4591" s="3"/>
      <c r="W4591" s="3"/>
      <c r="X4591" s="3"/>
      <c r="Y4591" s="3"/>
      <c r="Z4591" s="3"/>
      <c r="AA4591" s="3"/>
    </row>
    <row r="4592" ht="105.75" customHeight="1">
      <c r="A4592" s="11"/>
      <c r="B4592" s="12"/>
      <c r="C4592" s="11"/>
      <c r="D4592" s="13"/>
      <c r="E4592" s="14"/>
      <c r="F4592" s="14"/>
      <c r="G4592" s="14"/>
      <c r="H4592" s="15"/>
      <c r="I4592" s="15"/>
      <c r="J4592" s="3"/>
      <c r="K4592" s="3"/>
      <c r="L4592" s="3"/>
      <c r="M4592" s="3"/>
      <c r="N4592" s="3"/>
      <c r="O4592" s="3"/>
      <c r="P4592" s="3"/>
      <c r="Q4592" s="3"/>
      <c r="R4592" s="3"/>
      <c r="S4592" s="3"/>
      <c r="T4592" s="3"/>
      <c r="U4592" s="3"/>
      <c r="V4592" s="3"/>
      <c r="W4592" s="3"/>
      <c r="X4592" s="3"/>
      <c r="Y4592" s="3"/>
      <c r="Z4592" s="3"/>
      <c r="AA4592" s="3"/>
    </row>
    <row r="4593" ht="105.75" customHeight="1">
      <c r="A4593" s="11"/>
      <c r="B4593" s="12"/>
      <c r="C4593" s="11"/>
      <c r="D4593" s="13"/>
      <c r="E4593" s="14"/>
      <c r="F4593" s="14"/>
      <c r="G4593" s="14"/>
      <c r="H4593" s="15"/>
      <c r="I4593" s="15"/>
      <c r="J4593" s="3"/>
      <c r="K4593" s="3"/>
      <c r="L4593" s="3"/>
      <c r="M4593" s="3"/>
      <c r="N4593" s="3"/>
      <c r="O4593" s="3"/>
      <c r="P4593" s="3"/>
      <c r="Q4593" s="3"/>
      <c r="R4593" s="3"/>
      <c r="S4593" s="3"/>
      <c r="T4593" s="3"/>
      <c r="U4593" s="3"/>
      <c r="V4593" s="3"/>
      <c r="W4593" s="3"/>
      <c r="X4593" s="3"/>
      <c r="Y4593" s="3"/>
      <c r="Z4593" s="3"/>
      <c r="AA4593" s="3"/>
    </row>
    <row r="4594" ht="105.75" customHeight="1">
      <c r="A4594" s="11"/>
      <c r="B4594" s="12"/>
      <c r="C4594" s="11"/>
      <c r="D4594" s="13"/>
      <c r="E4594" s="14"/>
      <c r="F4594" s="14"/>
      <c r="G4594" s="14"/>
      <c r="H4594" s="15"/>
      <c r="I4594" s="15"/>
      <c r="J4594" s="3"/>
      <c r="K4594" s="3"/>
      <c r="L4594" s="3"/>
      <c r="M4594" s="3"/>
      <c r="N4594" s="3"/>
      <c r="O4594" s="3"/>
      <c r="P4594" s="3"/>
      <c r="Q4594" s="3"/>
      <c r="R4594" s="3"/>
      <c r="S4594" s="3"/>
      <c r="T4594" s="3"/>
      <c r="U4594" s="3"/>
      <c r="V4594" s="3"/>
      <c r="W4594" s="3"/>
      <c r="X4594" s="3"/>
      <c r="Y4594" s="3"/>
      <c r="Z4594" s="3"/>
      <c r="AA4594" s="3"/>
    </row>
    <row r="4595" ht="105.75" customHeight="1">
      <c r="A4595" s="11"/>
      <c r="B4595" s="12"/>
      <c r="C4595" s="11"/>
      <c r="D4595" s="13"/>
      <c r="E4595" s="14"/>
      <c r="F4595" s="14"/>
      <c r="G4595" s="14"/>
      <c r="H4595" s="15"/>
      <c r="I4595" s="15"/>
      <c r="J4595" s="3"/>
      <c r="K4595" s="3"/>
      <c r="L4595" s="3"/>
      <c r="M4595" s="3"/>
      <c r="N4595" s="3"/>
      <c r="O4595" s="3"/>
      <c r="P4595" s="3"/>
      <c r="Q4595" s="3"/>
      <c r="R4595" s="3"/>
      <c r="S4595" s="3"/>
      <c r="T4595" s="3"/>
      <c r="U4595" s="3"/>
      <c r="V4595" s="3"/>
      <c r="W4595" s="3"/>
      <c r="X4595" s="3"/>
      <c r="Y4595" s="3"/>
      <c r="Z4595" s="3"/>
      <c r="AA4595" s="3"/>
    </row>
    <row r="4596" ht="105.75" customHeight="1">
      <c r="A4596" s="11"/>
      <c r="B4596" s="12"/>
      <c r="C4596" s="11"/>
      <c r="D4596" s="13"/>
      <c r="E4596" s="14"/>
      <c r="F4596" s="14"/>
      <c r="G4596" s="14"/>
      <c r="H4596" s="15"/>
      <c r="I4596" s="15"/>
      <c r="J4596" s="3"/>
      <c r="K4596" s="3"/>
      <c r="L4596" s="3"/>
      <c r="M4596" s="3"/>
      <c r="N4596" s="3"/>
      <c r="O4596" s="3"/>
      <c r="P4596" s="3"/>
      <c r="Q4596" s="3"/>
      <c r="R4596" s="3"/>
      <c r="S4596" s="3"/>
      <c r="T4596" s="3"/>
      <c r="U4596" s="3"/>
      <c r="V4596" s="3"/>
      <c r="W4596" s="3"/>
      <c r="X4596" s="3"/>
      <c r="Y4596" s="3"/>
      <c r="Z4596" s="3"/>
      <c r="AA4596" s="3"/>
    </row>
    <row r="4597" ht="105.75" customHeight="1">
      <c r="A4597" s="11"/>
      <c r="B4597" s="12"/>
      <c r="C4597" s="11"/>
      <c r="D4597" s="13"/>
      <c r="E4597" s="14"/>
      <c r="F4597" s="14"/>
      <c r="G4597" s="14"/>
      <c r="H4597" s="15"/>
      <c r="I4597" s="15"/>
      <c r="J4597" s="3"/>
      <c r="K4597" s="3"/>
      <c r="L4597" s="3"/>
      <c r="M4597" s="3"/>
      <c r="N4597" s="3"/>
      <c r="O4597" s="3"/>
      <c r="P4597" s="3"/>
      <c r="Q4597" s="3"/>
      <c r="R4597" s="3"/>
      <c r="S4597" s="3"/>
      <c r="T4597" s="3"/>
      <c r="U4597" s="3"/>
      <c r="V4597" s="3"/>
      <c r="W4597" s="3"/>
      <c r="X4597" s="3"/>
      <c r="Y4597" s="3"/>
      <c r="Z4597" s="3"/>
      <c r="AA4597" s="3"/>
    </row>
    <row r="4598" ht="105.75" customHeight="1">
      <c r="A4598" s="11"/>
      <c r="B4598" s="12"/>
      <c r="C4598" s="11"/>
      <c r="D4598" s="13"/>
      <c r="E4598" s="14"/>
      <c r="F4598" s="14"/>
      <c r="G4598" s="14"/>
      <c r="H4598" s="15"/>
      <c r="I4598" s="15"/>
      <c r="J4598" s="3"/>
      <c r="K4598" s="3"/>
      <c r="L4598" s="3"/>
      <c r="M4598" s="3"/>
      <c r="N4598" s="3"/>
      <c r="O4598" s="3"/>
      <c r="P4598" s="3"/>
      <c r="Q4598" s="3"/>
      <c r="R4598" s="3"/>
      <c r="S4598" s="3"/>
      <c r="T4598" s="3"/>
      <c r="U4598" s="3"/>
      <c r="V4598" s="3"/>
      <c r="W4598" s="3"/>
      <c r="X4598" s="3"/>
      <c r="Y4598" s="3"/>
      <c r="Z4598" s="3"/>
      <c r="AA4598" s="3"/>
    </row>
    <row r="4599" ht="105.75" customHeight="1">
      <c r="A4599" s="11"/>
      <c r="B4599" s="12"/>
      <c r="C4599" s="11"/>
      <c r="D4599" s="13"/>
      <c r="E4599" s="14"/>
      <c r="F4599" s="14"/>
      <c r="G4599" s="14"/>
      <c r="H4599" s="15"/>
      <c r="I4599" s="15"/>
      <c r="J4599" s="3"/>
      <c r="K4599" s="3"/>
      <c r="L4599" s="3"/>
      <c r="M4599" s="3"/>
      <c r="N4599" s="3"/>
      <c r="O4599" s="3"/>
      <c r="P4599" s="3"/>
      <c r="Q4599" s="3"/>
      <c r="R4599" s="3"/>
      <c r="S4599" s="3"/>
      <c r="T4599" s="3"/>
      <c r="U4599" s="3"/>
      <c r="V4599" s="3"/>
      <c r="W4599" s="3"/>
      <c r="X4599" s="3"/>
      <c r="Y4599" s="3"/>
      <c r="Z4599" s="3"/>
      <c r="AA4599" s="3"/>
    </row>
    <row r="4600" ht="105.75" customHeight="1">
      <c r="A4600" s="11"/>
      <c r="B4600" s="12"/>
      <c r="C4600" s="11"/>
      <c r="D4600" s="13"/>
      <c r="E4600" s="14"/>
      <c r="F4600" s="14"/>
      <c r="G4600" s="14"/>
      <c r="H4600" s="15"/>
      <c r="I4600" s="15"/>
      <c r="J4600" s="3"/>
      <c r="K4600" s="3"/>
      <c r="L4600" s="3"/>
      <c r="M4600" s="3"/>
      <c r="N4600" s="3"/>
      <c r="O4600" s="3"/>
      <c r="P4600" s="3"/>
      <c r="Q4600" s="3"/>
      <c r="R4600" s="3"/>
      <c r="S4600" s="3"/>
      <c r="T4600" s="3"/>
      <c r="U4600" s="3"/>
      <c r="V4600" s="3"/>
      <c r="W4600" s="3"/>
      <c r="X4600" s="3"/>
      <c r="Y4600" s="3"/>
      <c r="Z4600" s="3"/>
      <c r="AA4600" s="3"/>
    </row>
    <row r="4601" ht="105.75" customHeight="1">
      <c r="A4601" s="11"/>
      <c r="B4601" s="12"/>
      <c r="C4601" s="11"/>
      <c r="D4601" s="13"/>
      <c r="E4601" s="14"/>
      <c r="F4601" s="14"/>
      <c r="G4601" s="14"/>
      <c r="H4601" s="15"/>
      <c r="I4601" s="15"/>
      <c r="J4601" s="3"/>
      <c r="K4601" s="3"/>
      <c r="L4601" s="3"/>
      <c r="M4601" s="3"/>
      <c r="N4601" s="3"/>
      <c r="O4601" s="3"/>
      <c r="P4601" s="3"/>
      <c r="Q4601" s="3"/>
      <c r="R4601" s="3"/>
      <c r="S4601" s="3"/>
      <c r="T4601" s="3"/>
      <c r="U4601" s="3"/>
      <c r="V4601" s="3"/>
      <c r="W4601" s="3"/>
      <c r="X4601" s="3"/>
      <c r="Y4601" s="3"/>
      <c r="Z4601" s="3"/>
      <c r="AA4601" s="3"/>
    </row>
    <row r="4602" ht="105.75" customHeight="1">
      <c r="A4602" s="11"/>
      <c r="B4602" s="12"/>
      <c r="C4602" s="11"/>
      <c r="D4602" s="13"/>
      <c r="E4602" s="14"/>
      <c r="F4602" s="14"/>
      <c r="G4602" s="14"/>
      <c r="H4602" s="15"/>
      <c r="I4602" s="15"/>
      <c r="J4602" s="3"/>
      <c r="K4602" s="3"/>
      <c r="L4602" s="3"/>
      <c r="M4602" s="3"/>
      <c r="N4602" s="3"/>
      <c r="O4602" s="3"/>
      <c r="P4602" s="3"/>
      <c r="Q4602" s="3"/>
      <c r="R4602" s="3"/>
      <c r="S4602" s="3"/>
      <c r="T4602" s="3"/>
      <c r="U4602" s="3"/>
      <c r="V4602" s="3"/>
      <c r="W4602" s="3"/>
      <c r="X4602" s="3"/>
      <c r="Y4602" s="3"/>
      <c r="Z4602" s="3"/>
      <c r="AA4602" s="3"/>
    </row>
    <row r="4603" ht="105.75" customHeight="1">
      <c r="A4603" s="11"/>
      <c r="B4603" s="12"/>
      <c r="C4603" s="11"/>
      <c r="D4603" s="13"/>
      <c r="E4603" s="14"/>
      <c r="F4603" s="14"/>
      <c r="G4603" s="14"/>
      <c r="H4603" s="15"/>
      <c r="I4603" s="15"/>
      <c r="J4603" s="3"/>
      <c r="K4603" s="3"/>
      <c r="L4603" s="3"/>
      <c r="M4603" s="3"/>
      <c r="N4603" s="3"/>
      <c r="O4603" s="3"/>
      <c r="P4603" s="3"/>
      <c r="Q4603" s="3"/>
      <c r="R4603" s="3"/>
      <c r="S4603" s="3"/>
      <c r="T4603" s="3"/>
      <c r="U4603" s="3"/>
      <c r="V4603" s="3"/>
      <c r="W4603" s="3"/>
      <c r="X4603" s="3"/>
      <c r="Y4603" s="3"/>
      <c r="Z4603" s="3"/>
      <c r="AA4603" s="3"/>
    </row>
    <row r="4604" ht="105.75" customHeight="1">
      <c r="A4604" s="11"/>
      <c r="B4604" s="12"/>
      <c r="C4604" s="11"/>
      <c r="D4604" s="13"/>
      <c r="E4604" s="14"/>
      <c r="F4604" s="14"/>
      <c r="G4604" s="14"/>
      <c r="H4604" s="15"/>
      <c r="I4604" s="15"/>
      <c r="J4604" s="3"/>
      <c r="K4604" s="3"/>
      <c r="L4604" s="3"/>
      <c r="M4604" s="3"/>
      <c r="N4604" s="3"/>
      <c r="O4604" s="3"/>
      <c r="P4604" s="3"/>
      <c r="Q4604" s="3"/>
      <c r="R4604" s="3"/>
      <c r="S4604" s="3"/>
      <c r="T4604" s="3"/>
      <c r="U4604" s="3"/>
      <c r="V4604" s="3"/>
      <c r="W4604" s="3"/>
      <c r="X4604" s="3"/>
      <c r="Y4604" s="3"/>
      <c r="Z4604" s="3"/>
      <c r="AA4604" s="3"/>
    </row>
    <row r="4605" ht="105.75" customHeight="1">
      <c r="A4605" s="11"/>
      <c r="B4605" s="12"/>
      <c r="C4605" s="11"/>
      <c r="D4605" s="13"/>
      <c r="E4605" s="14"/>
      <c r="F4605" s="14"/>
      <c r="G4605" s="14"/>
      <c r="H4605" s="15"/>
      <c r="I4605" s="15"/>
      <c r="J4605" s="3"/>
      <c r="K4605" s="3"/>
      <c r="L4605" s="3"/>
      <c r="M4605" s="3"/>
      <c r="N4605" s="3"/>
      <c r="O4605" s="3"/>
      <c r="P4605" s="3"/>
      <c r="Q4605" s="3"/>
      <c r="R4605" s="3"/>
      <c r="S4605" s="3"/>
      <c r="T4605" s="3"/>
      <c r="U4605" s="3"/>
      <c r="V4605" s="3"/>
      <c r="W4605" s="3"/>
      <c r="X4605" s="3"/>
      <c r="Y4605" s="3"/>
      <c r="Z4605" s="3"/>
      <c r="AA4605" s="3"/>
    </row>
    <row r="4606" ht="105.75" customHeight="1">
      <c r="A4606" s="11"/>
      <c r="B4606" s="12"/>
      <c r="C4606" s="11"/>
      <c r="D4606" s="13"/>
      <c r="E4606" s="14"/>
      <c r="F4606" s="14"/>
      <c r="G4606" s="14"/>
      <c r="H4606" s="15"/>
      <c r="I4606" s="15"/>
      <c r="J4606" s="3"/>
      <c r="K4606" s="3"/>
      <c r="L4606" s="3"/>
      <c r="M4606" s="3"/>
      <c r="N4606" s="3"/>
      <c r="O4606" s="3"/>
      <c r="P4606" s="3"/>
      <c r="Q4606" s="3"/>
      <c r="R4606" s="3"/>
      <c r="S4606" s="3"/>
      <c r="T4606" s="3"/>
      <c r="U4606" s="3"/>
      <c r="V4606" s="3"/>
      <c r="W4606" s="3"/>
      <c r="X4606" s="3"/>
      <c r="Y4606" s="3"/>
      <c r="Z4606" s="3"/>
      <c r="AA4606" s="3"/>
    </row>
    <row r="4607" ht="105.75" customHeight="1">
      <c r="A4607" s="11"/>
      <c r="B4607" s="12"/>
      <c r="C4607" s="11"/>
      <c r="D4607" s="13"/>
      <c r="E4607" s="14"/>
      <c r="F4607" s="14"/>
      <c r="G4607" s="14"/>
      <c r="H4607" s="15"/>
      <c r="I4607" s="15"/>
      <c r="J4607" s="3"/>
      <c r="K4607" s="3"/>
      <c r="L4607" s="3"/>
      <c r="M4607" s="3"/>
      <c r="N4607" s="3"/>
      <c r="O4607" s="3"/>
      <c r="P4607" s="3"/>
      <c r="Q4607" s="3"/>
      <c r="R4607" s="3"/>
      <c r="S4607" s="3"/>
      <c r="T4607" s="3"/>
      <c r="U4607" s="3"/>
      <c r="V4607" s="3"/>
      <c r="W4607" s="3"/>
      <c r="X4607" s="3"/>
      <c r="Y4607" s="3"/>
      <c r="Z4607" s="3"/>
      <c r="AA4607" s="3"/>
    </row>
    <row r="4608" ht="105.75" customHeight="1">
      <c r="A4608" s="11"/>
      <c r="B4608" s="12"/>
      <c r="C4608" s="11"/>
      <c r="D4608" s="13"/>
      <c r="E4608" s="14"/>
      <c r="F4608" s="14"/>
      <c r="G4608" s="14"/>
      <c r="H4608" s="15"/>
      <c r="I4608" s="15"/>
      <c r="J4608" s="3"/>
      <c r="K4608" s="3"/>
      <c r="L4608" s="3"/>
      <c r="M4608" s="3"/>
      <c r="N4608" s="3"/>
      <c r="O4608" s="3"/>
      <c r="P4608" s="3"/>
      <c r="Q4608" s="3"/>
      <c r="R4608" s="3"/>
      <c r="S4608" s="3"/>
      <c r="T4608" s="3"/>
      <c r="U4608" s="3"/>
      <c r="V4608" s="3"/>
      <c r="W4608" s="3"/>
      <c r="X4608" s="3"/>
      <c r="Y4608" s="3"/>
      <c r="Z4608" s="3"/>
      <c r="AA4608" s="3"/>
    </row>
    <row r="4609" ht="105.75" customHeight="1">
      <c r="A4609" s="11"/>
      <c r="B4609" s="12"/>
      <c r="C4609" s="11"/>
      <c r="D4609" s="13"/>
      <c r="E4609" s="14"/>
      <c r="F4609" s="14"/>
      <c r="G4609" s="14"/>
      <c r="H4609" s="15"/>
      <c r="I4609" s="15"/>
      <c r="J4609" s="3"/>
      <c r="K4609" s="3"/>
      <c r="L4609" s="3"/>
      <c r="M4609" s="3"/>
      <c r="N4609" s="3"/>
      <c r="O4609" s="3"/>
      <c r="P4609" s="3"/>
      <c r="Q4609" s="3"/>
      <c r="R4609" s="3"/>
      <c r="S4609" s="3"/>
      <c r="T4609" s="3"/>
      <c r="U4609" s="3"/>
      <c r="V4609" s="3"/>
      <c r="W4609" s="3"/>
      <c r="X4609" s="3"/>
      <c r="Y4609" s="3"/>
      <c r="Z4609" s="3"/>
      <c r="AA4609" s="3"/>
    </row>
    <row r="4610" ht="105.75" customHeight="1">
      <c r="A4610" s="11"/>
      <c r="B4610" s="12"/>
      <c r="C4610" s="11"/>
      <c r="D4610" s="13"/>
      <c r="E4610" s="14"/>
      <c r="F4610" s="14"/>
      <c r="G4610" s="14"/>
      <c r="H4610" s="15"/>
      <c r="I4610" s="15"/>
      <c r="J4610" s="3"/>
      <c r="K4610" s="3"/>
      <c r="L4610" s="3"/>
      <c r="M4610" s="3"/>
      <c r="N4610" s="3"/>
      <c r="O4610" s="3"/>
      <c r="P4610" s="3"/>
      <c r="Q4610" s="3"/>
      <c r="R4610" s="3"/>
      <c r="S4610" s="3"/>
      <c r="T4610" s="3"/>
      <c r="U4610" s="3"/>
      <c r="V4610" s="3"/>
      <c r="W4610" s="3"/>
      <c r="X4610" s="3"/>
      <c r="Y4610" s="3"/>
      <c r="Z4610" s="3"/>
      <c r="AA4610" s="3"/>
    </row>
    <row r="4611" ht="105.75" customHeight="1">
      <c r="A4611" s="11"/>
      <c r="B4611" s="12"/>
      <c r="C4611" s="11"/>
      <c r="D4611" s="13"/>
      <c r="E4611" s="14"/>
      <c r="F4611" s="14"/>
      <c r="G4611" s="14"/>
      <c r="H4611" s="15"/>
      <c r="I4611" s="15"/>
      <c r="J4611" s="3"/>
      <c r="K4611" s="3"/>
      <c r="L4611" s="3"/>
      <c r="M4611" s="3"/>
      <c r="N4611" s="3"/>
      <c r="O4611" s="3"/>
      <c r="P4611" s="3"/>
      <c r="Q4611" s="3"/>
      <c r="R4611" s="3"/>
      <c r="S4611" s="3"/>
      <c r="T4611" s="3"/>
      <c r="U4611" s="3"/>
      <c r="V4611" s="3"/>
      <c r="W4611" s="3"/>
      <c r="X4611" s="3"/>
      <c r="Y4611" s="3"/>
      <c r="Z4611" s="3"/>
      <c r="AA4611" s="3"/>
    </row>
    <row r="4612" ht="105.75" customHeight="1">
      <c r="A4612" s="11"/>
      <c r="B4612" s="12"/>
      <c r="C4612" s="11"/>
      <c r="D4612" s="13"/>
      <c r="E4612" s="14"/>
      <c r="F4612" s="14"/>
      <c r="G4612" s="14"/>
      <c r="H4612" s="15"/>
      <c r="I4612" s="15"/>
      <c r="J4612" s="3"/>
      <c r="K4612" s="3"/>
      <c r="L4612" s="3"/>
      <c r="M4612" s="3"/>
      <c r="N4612" s="3"/>
      <c r="O4612" s="3"/>
      <c r="P4612" s="3"/>
      <c r="Q4612" s="3"/>
      <c r="R4612" s="3"/>
      <c r="S4612" s="3"/>
      <c r="T4612" s="3"/>
      <c r="U4612" s="3"/>
      <c r="V4612" s="3"/>
      <c r="W4612" s="3"/>
      <c r="X4612" s="3"/>
      <c r="Y4612" s="3"/>
      <c r="Z4612" s="3"/>
      <c r="AA4612" s="3"/>
    </row>
    <row r="4613" ht="105.75" customHeight="1">
      <c r="A4613" s="11"/>
      <c r="B4613" s="12"/>
      <c r="C4613" s="11"/>
      <c r="D4613" s="13"/>
      <c r="E4613" s="14"/>
      <c r="F4613" s="14"/>
      <c r="G4613" s="14"/>
      <c r="H4613" s="15"/>
      <c r="I4613" s="15"/>
      <c r="J4613" s="3"/>
      <c r="K4613" s="3"/>
      <c r="L4613" s="3"/>
      <c r="M4613" s="3"/>
      <c r="N4613" s="3"/>
      <c r="O4613" s="3"/>
      <c r="P4613" s="3"/>
      <c r="Q4613" s="3"/>
      <c r="R4613" s="3"/>
      <c r="S4613" s="3"/>
      <c r="T4613" s="3"/>
      <c r="U4613" s="3"/>
      <c r="V4613" s="3"/>
      <c r="W4613" s="3"/>
      <c r="X4613" s="3"/>
      <c r="Y4613" s="3"/>
      <c r="Z4613" s="3"/>
      <c r="AA4613" s="3"/>
    </row>
    <row r="4614" ht="105.75" customHeight="1">
      <c r="A4614" s="11"/>
      <c r="B4614" s="12"/>
      <c r="C4614" s="11"/>
      <c r="D4614" s="13"/>
      <c r="E4614" s="14"/>
      <c r="F4614" s="14"/>
      <c r="G4614" s="14"/>
      <c r="H4614" s="15"/>
      <c r="I4614" s="15"/>
      <c r="J4614" s="3"/>
      <c r="K4614" s="3"/>
      <c r="L4614" s="3"/>
      <c r="M4614" s="3"/>
      <c r="N4614" s="3"/>
      <c r="O4614" s="3"/>
      <c r="P4614" s="3"/>
      <c r="Q4614" s="3"/>
      <c r="R4614" s="3"/>
      <c r="S4614" s="3"/>
      <c r="T4614" s="3"/>
      <c r="U4614" s="3"/>
      <c r="V4614" s="3"/>
      <c r="W4614" s="3"/>
      <c r="X4614" s="3"/>
      <c r="Y4614" s="3"/>
      <c r="Z4614" s="3"/>
      <c r="AA4614" s="3"/>
    </row>
    <row r="4615" ht="105.75" customHeight="1">
      <c r="A4615" s="11"/>
      <c r="B4615" s="12"/>
      <c r="C4615" s="11"/>
      <c r="D4615" s="13"/>
      <c r="E4615" s="14"/>
      <c r="F4615" s="14"/>
      <c r="G4615" s="14"/>
      <c r="H4615" s="15"/>
      <c r="I4615" s="15"/>
      <c r="J4615" s="3"/>
      <c r="K4615" s="3"/>
      <c r="L4615" s="3"/>
      <c r="M4615" s="3"/>
      <c r="N4615" s="3"/>
      <c r="O4615" s="3"/>
      <c r="P4615" s="3"/>
      <c r="Q4615" s="3"/>
      <c r="R4615" s="3"/>
      <c r="S4615" s="3"/>
      <c r="T4615" s="3"/>
      <c r="U4615" s="3"/>
      <c r="V4615" s="3"/>
      <c r="W4615" s="3"/>
      <c r="X4615" s="3"/>
      <c r="Y4615" s="3"/>
      <c r="Z4615" s="3"/>
      <c r="AA4615" s="3"/>
    </row>
    <row r="4616" ht="105.75" customHeight="1">
      <c r="A4616" s="11"/>
      <c r="B4616" s="12"/>
      <c r="C4616" s="11"/>
      <c r="D4616" s="13"/>
      <c r="E4616" s="14"/>
      <c r="F4616" s="14"/>
      <c r="G4616" s="14"/>
      <c r="H4616" s="15"/>
      <c r="I4616" s="15"/>
      <c r="J4616" s="3"/>
      <c r="K4616" s="3"/>
      <c r="L4616" s="3"/>
      <c r="M4616" s="3"/>
      <c r="N4616" s="3"/>
      <c r="O4616" s="3"/>
      <c r="P4616" s="3"/>
      <c r="Q4616" s="3"/>
      <c r="R4616" s="3"/>
      <c r="S4616" s="3"/>
      <c r="T4616" s="3"/>
      <c r="U4616" s="3"/>
      <c r="V4616" s="3"/>
      <c r="W4616" s="3"/>
      <c r="X4616" s="3"/>
      <c r="Y4616" s="3"/>
      <c r="Z4616" s="3"/>
      <c r="AA4616" s="3"/>
    </row>
    <row r="4617" ht="105.75" customHeight="1">
      <c r="A4617" s="11"/>
      <c r="B4617" s="12"/>
      <c r="C4617" s="11"/>
      <c r="D4617" s="13"/>
      <c r="E4617" s="14"/>
      <c r="F4617" s="14"/>
      <c r="G4617" s="14"/>
      <c r="H4617" s="15"/>
      <c r="I4617" s="15"/>
      <c r="J4617" s="3"/>
      <c r="K4617" s="3"/>
      <c r="L4617" s="3"/>
      <c r="M4617" s="3"/>
      <c r="N4617" s="3"/>
      <c r="O4617" s="3"/>
      <c r="P4617" s="3"/>
      <c r="Q4617" s="3"/>
      <c r="R4617" s="3"/>
      <c r="S4617" s="3"/>
      <c r="T4617" s="3"/>
      <c r="U4617" s="3"/>
      <c r="V4617" s="3"/>
      <c r="W4617" s="3"/>
      <c r="X4617" s="3"/>
      <c r="Y4617" s="3"/>
      <c r="Z4617" s="3"/>
      <c r="AA4617" s="3"/>
    </row>
    <row r="4618" ht="105.75" customHeight="1">
      <c r="A4618" s="11"/>
      <c r="B4618" s="12"/>
      <c r="C4618" s="11"/>
      <c r="D4618" s="13"/>
      <c r="E4618" s="14"/>
      <c r="F4618" s="14"/>
      <c r="G4618" s="14"/>
      <c r="H4618" s="15"/>
      <c r="I4618" s="15"/>
      <c r="J4618" s="3"/>
      <c r="K4618" s="3"/>
      <c r="L4618" s="3"/>
      <c r="M4618" s="3"/>
      <c r="N4618" s="3"/>
      <c r="O4618" s="3"/>
      <c r="P4618" s="3"/>
      <c r="Q4618" s="3"/>
      <c r="R4618" s="3"/>
      <c r="S4618" s="3"/>
      <c r="T4618" s="3"/>
      <c r="U4618" s="3"/>
      <c r="V4618" s="3"/>
      <c r="W4618" s="3"/>
      <c r="X4618" s="3"/>
      <c r="Y4618" s="3"/>
      <c r="Z4618" s="3"/>
      <c r="AA4618" s="3"/>
    </row>
    <row r="4619" ht="105.75" customHeight="1">
      <c r="A4619" s="11"/>
      <c r="B4619" s="12"/>
      <c r="C4619" s="11"/>
      <c r="D4619" s="13"/>
      <c r="E4619" s="14"/>
      <c r="F4619" s="14"/>
      <c r="G4619" s="14"/>
      <c r="H4619" s="15"/>
      <c r="I4619" s="15"/>
      <c r="J4619" s="3"/>
      <c r="K4619" s="3"/>
      <c r="L4619" s="3"/>
      <c r="M4619" s="3"/>
      <c r="N4619" s="3"/>
      <c r="O4619" s="3"/>
      <c r="P4619" s="3"/>
      <c r="Q4619" s="3"/>
      <c r="R4619" s="3"/>
      <c r="S4619" s="3"/>
      <c r="T4619" s="3"/>
      <c r="U4619" s="3"/>
      <c r="V4619" s="3"/>
      <c r="W4619" s="3"/>
      <c r="X4619" s="3"/>
      <c r="Y4619" s="3"/>
      <c r="Z4619" s="3"/>
      <c r="AA4619" s="3"/>
    </row>
    <row r="4620" ht="105.75" customHeight="1">
      <c r="A4620" s="11"/>
      <c r="B4620" s="12"/>
      <c r="C4620" s="11"/>
      <c r="D4620" s="13"/>
      <c r="E4620" s="14"/>
      <c r="F4620" s="14"/>
      <c r="G4620" s="14"/>
      <c r="H4620" s="15"/>
      <c r="I4620" s="15"/>
      <c r="J4620" s="3"/>
      <c r="K4620" s="3"/>
      <c r="L4620" s="3"/>
      <c r="M4620" s="3"/>
      <c r="N4620" s="3"/>
      <c r="O4620" s="3"/>
      <c r="P4620" s="3"/>
      <c r="Q4620" s="3"/>
      <c r="R4620" s="3"/>
      <c r="S4620" s="3"/>
      <c r="T4620" s="3"/>
      <c r="U4620" s="3"/>
      <c r="V4620" s="3"/>
      <c r="W4620" s="3"/>
      <c r="X4620" s="3"/>
      <c r="Y4620" s="3"/>
      <c r="Z4620" s="3"/>
      <c r="AA4620" s="3"/>
    </row>
    <row r="4621" ht="105.75" customHeight="1">
      <c r="A4621" s="11"/>
      <c r="B4621" s="12"/>
      <c r="C4621" s="11"/>
      <c r="D4621" s="13"/>
      <c r="E4621" s="14"/>
      <c r="F4621" s="14"/>
      <c r="G4621" s="14"/>
      <c r="H4621" s="15"/>
      <c r="I4621" s="15"/>
      <c r="J4621" s="3"/>
      <c r="K4621" s="3"/>
      <c r="L4621" s="3"/>
      <c r="M4621" s="3"/>
      <c r="N4621" s="3"/>
      <c r="O4621" s="3"/>
      <c r="P4621" s="3"/>
      <c r="Q4621" s="3"/>
      <c r="R4621" s="3"/>
      <c r="S4621" s="3"/>
      <c r="T4621" s="3"/>
      <c r="U4621" s="3"/>
      <c r="V4621" s="3"/>
      <c r="W4621" s="3"/>
      <c r="X4621" s="3"/>
      <c r="Y4621" s="3"/>
      <c r="Z4621" s="3"/>
      <c r="AA4621" s="3"/>
    </row>
    <row r="4622" ht="105.75" customHeight="1">
      <c r="A4622" s="11"/>
      <c r="B4622" s="12"/>
      <c r="C4622" s="11"/>
      <c r="D4622" s="13"/>
      <c r="E4622" s="14"/>
      <c r="F4622" s="14"/>
      <c r="G4622" s="14"/>
      <c r="H4622" s="15"/>
      <c r="I4622" s="15"/>
      <c r="J4622" s="3"/>
      <c r="K4622" s="3"/>
      <c r="L4622" s="3"/>
      <c r="M4622" s="3"/>
      <c r="N4622" s="3"/>
      <c r="O4622" s="3"/>
      <c r="P4622" s="3"/>
      <c r="Q4622" s="3"/>
      <c r="R4622" s="3"/>
      <c r="S4622" s="3"/>
      <c r="T4622" s="3"/>
      <c r="U4622" s="3"/>
      <c r="V4622" s="3"/>
      <c r="W4622" s="3"/>
      <c r="X4622" s="3"/>
      <c r="Y4622" s="3"/>
      <c r="Z4622" s="3"/>
      <c r="AA4622" s="3"/>
    </row>
    <row r="4623" ht="105.75" customHeight="1">
      <c r="A4623" s="11"/>
      <c r="B4623" s="12"/>
      <c r="C4623" s="11"/>
      <c r="D4623" s="13"/>
      <c r="E4623" s="14"/>
      <c r="F4623" s="14"/>
      <c r="G4623" s="14"/>
      <c r="H4623" s="15"/>
      <c r="I4623" s="15"/>
      <c r="J4623" s="3"/>
      <c r="K4623" s="3"/>
      <c r="L4623" s="3"/>
      <c r="M4623" s="3"/>
      <c r="N4623" s="3"/>
      <c r="O4623" s="3"/>
      <c r="P4623" s="3"/>
      <c r="Q4623" s="3"/>
      <c r="R4623" s="3"/>
      <c r="S4623" s="3"/>
      <c r="T4623" s="3"/>
      <c r="U4623" s="3"/>
      <c r="V4623" s="3"/>
      <c r="W4623" s="3"/>
      <c r="X4623" s="3"/>
      <c r="Y4623" s="3"/>
      <c r="Z4623" s="3"/>
      <c r="AA4623" s="3"/>
    </row>
    <row r="4624" ht="105.75" customHeight="1">
      <c r="A4624" s="11"/>
      <c r="B4624" s="12"/>
      <c r="C4624" s="11"/>
      <c r="D4624" s="13"/>
      <c r="E4624" s="14"/>
      <c r="F4624" s="14"/>
      <c r="G4624" s="14"/>
      <c r="H4624" s="15"/>
      <c r="I4624" s="15"/>
      <c r="J4624" s="3"/>
      <c r="K4624" s="3"/>
      <c r="L4624" s="3"/>
      <c r="M4624" s="3"/>
      <c r="N4624" s="3"/>
      <c r="O4624" s="3"/>
      <c r="P4624" s="3"/>
      <c r="Q4624" s="3"/>
      <c r="R4624" s="3"/>
      <c r="S4624" s="3"/>
      <c r="T4624" s="3"/>
      <c r="U4624" s="3"/>
      <c r="V4624" s="3"/>
      <c r="W4624" s="3"/>
      <c r="X4624" s="3"/>
      <c r="Y4624" s="3"/>
      <c r="Z4624" s="3"/>
      <c r="AA4624" s="3"/>
    </row>
    <row r="4625" ht="105.75" customHeight="1">
      <c r="A4625" s="11"/>
      <c r="B4625" s="12"/>
      <c r="C4625" s="11"/>
      <c r="D4625" s="13"/>
      <c r="E4625" s="14"/>
      <c r="F4625" s="14"/>
      <c r="G4625" s="14"/>
      <c r="H4625" s="15"/>
      <c r="I4625" s="15"/>
      <c r="J4625" s="3"/>
      <c r="K4625" s="3"/>
      <c r="L4625" s="3"/>
      <c r="M4625" s="3"/>
      <c r="N4625" s="3"/>
      <c r="O4625" s="3"/>
      <c r="P4625" s="3"/>
      <c r="Q4625" s="3"/>
      <c r="R4625" s="3"/>
      <c r="S4625" s="3"/>
      <c r="T4625" s="3"/>
      <c r="U4625" s="3"/>
      <c r="V4625" s="3"/>
      <c r="W4625" s="3"/>
      <c r="X4625" s="3"/>
      <c r="Y4625" s="3"/>
      <c r="Z4625" s="3"/>
      <c r="AA4625" s="3"/>
    </row>
    <row r="4626" ht="105.75" customHeight="1">
      <c r="A4626" s="11"/>
      <c r="B4626" s="12"/>
      <c r="C4626" s="11"/>
      <c r="D4626" s="13"/>
      <c r="E4626" s="14"/>
      <c r="F4626" s="14"/>
      <c r="G4626" s="14"/>
      <c r="H4626" s="15"/>
      <c r="I4626" s="15"/>
      <c r="J4626" s="3"/>
      <c r="K4626" s="3"/>
      <c r="L4626" s="3"/>
      <c r="M4626" s="3"/>
      <c r="N4626" s="3"/>
      <c r="O4626" s="3"/>
      <c r="P4626" s="3"/>
      <c r="Q4626" s="3"/>
      <c r="R4626" s="3"/>
      <c r="S4626" s="3"/>
      <c r="T4626" s="3"/>
      <c r="U4626" s="3"/>
      <c r="V4626" s="3"/>
      <c r="W4626" s="3"/>
      <c r="X4626" s="3"/>
      <c r="Y4626" s="3"/>
      <c r="Z4626" s="3"/>
      <c r="AA4626" s="3"/>
    </row>
    <row r="4627" ht="105.75" customHeight="1">
      <c r="A4627" s="11"/>
      <c r="B4627" s="12"/>
      <c r="C4627" s="11"/>
      <c r="D4627" s="13"/>
      <c r="E4627" s="14"/>
      <c r="F4627" s="14"/>
      <c r="G4627" s="14"/>
      <c r="H4627" s="15"/>
      <c r="I4627" s="15"/>
      <c r="J4627" s="3"/>
      <c r="K4627" s="3"/>
      <c r="L4627" s="3"/>
      <c r="M4627" s="3"/>
      <c r="N4627" s="3"/>
      <c r="O4627" s="3"/>
      <c r="P4627" s="3"/>
      <c r="Q4627" s="3"/>
      <c r="R4627" s="3"/>
      <c r="S4627" s="3"/>
      <c r="T4627" s="3"/>
      <c r="U4627" s="3"/>
      <c r="V4627" s="3"/>
      <c r="W4627" s="3"/>
      <c r="X4627" s="3"/>
      <c r="Y4627" s="3"/>
      <c r="Z4627" s="3"/>
      <c r="AA4627" s="3"/>
    </row>
    <row r="4628" ht="105.75" customHeight="1">
      <c r="A4628" s="11"/>
      <c r="B4628" s="12"/>
      <c r="C4628" s="11"/>
      <c r="D4628" s="13"/>
      <c r="E4628" s="14"/>
      <c r="F4628" s="14"/>
      <c r="G4628" s="14"/>
      <c r="H4628" s="15"/>
      <c r="I4628" s="15"/>
      <c r="J4628" s="3"/>
      <c r="K4628" s="3"/>
      <c r="L4628" s="3"/>
      <c r="M4628" s="3"/>
      <c r="N4628" s="3"/>
      <c r="O4628" s="3"/>
      <c r="P4628" s="3"/>
      <c r="Q4628" s="3"/>
      <c r="R4628" s="3"/>
      <c r="S4628" s="3"/>
      <c r="T4628" s="3"/>
      <c r="U4628" s="3"/>
      <c r="V4628" s="3"/>
      <c r="W4628" s="3"/>
      <c r="X4628" s="3"/>
      <c r="Y4628" s="3"/>
      <c r="Z4628" s="3"/>
      <c r="AA4628" s="3"/>
    </row>
    <row r="4629" ht="105.75" customHeight="1">
      <c r="A4629" s="11"/>
      <c r="B4629" s="12"/>
      <c r="C4629" s="11"/>
      <c r="D4629" s="13"/>
      <c r="E4629" s="14"/>
      <c r="F4629" s="14"/>
      <c r="G4629" s="14"/>
      <c r="H4629" s="15"/>
      <c r="I4629" s="15"/>
      <c r="J4629" s="3"/>
      <c r="K4629" s="3"/>
      <c r="L4629" s="3"/>
      <c r="M4629" s="3"/>
      <c r="N4629" s="3"/>
      <c r="O4629" s="3"/>
      <c r="P4629" s="3"/>
      <c r="Q4629" s="3"/>
      <c r="R4629" s="3"/>
      <c r="S4629" s="3"/>
      <c r="T4629" s="3"/>
      <c r="U4629" s="3"/>
      <c r="V4629" s="3"/>
      <c r="W4629" s="3"/>
      <c r="X4629" s="3"/>
      <c r="Y4629" s="3"/>
      <c r="Z4629" s="3"/>
      <c r="AA4629" s="3"/>
    </row>
    <row r="4630" ht="105.75" customHeight="1">
      <c r="A4630" s="11"/>
      <c r="B4630" s="12"/>
      <c r="C4630" s="11"/>
      <c r="D4630" s="13"/>
      <c r="E4630" s="14"/>
      <c r="F4630" s="14"/>
      <c r="G4630" s="14"/>
      <c r="H4630" s="15"/>
      <c r="I4630" s="15"/>
      <c r="J4630" s="3"/>
      <c r="K4630" s="3"/>
      <c r="L4630" s="3"/>
      <c r="M4630" s="3"/>
      <c r="N4630" s="3"/>
      <c r="O4630" s="3"/>
      <c r="P4630" s="3"/>
      <c r="Q4630" s="3"/>
      <c r="R4630" s="3"/>
      <c r="S4630" s="3"/>
      <c r="T4630" s="3"/>
      <c r="U4630" s="3"/>
      <c r="V4630" s="3"/>
      <c r="W4630" s="3"/>
      <c r="X4630" s="3"/>
      <c r="Y4630" s="3"/>
      <c r="Z4630" s="3"/>
      <c r="AA4630" s="3"/>
    </row>
    <row r="4631" ht="105.75" customHeight="1">
      <c r="A4631" s="11"/>
      <c r="B4631" s="12"/>
      <c r="C4631" s="11"/>
      <c r="D4631" s="13"/>
      <c r="E4631" s="14"/>
      <c r="F4631" s="14"/>
      <c r="G4631" s="14"/>
      <c r="H4631" s="15"/>
      <c r="I4631" s="15"/>
      <c r="J4631" s="3"/>
      <c r="K4631" s="3"/>
      <c r="L4631" s="3"/>
      <c r="M4631" s="3"/>
      <c r="N4631" s="3"/>
      <c r="O4631" s="3"/>
      <c r="P4631" s="3"/>
      <c r="Q4631" s="3"/>
      <c r="R4631" s="3"/>
      <c r="S4631" s="3"/>
      <c r="T4631" s="3"/>
      <c r="U4631" s="3"/>
      <c r="V4631" s="3"/>
      <c r="W4631" s="3"/>
      <c r="X4631" s="3"/>
      <c r="Y4631" s="3"/>
      <c r="Z4631" s="3"/>
      <c r="AA4631" s="3"/>
    </row>
    <row r="4632" ht="105.75" customHeight="1">
      <c r="A4632" s="11"/>
      <c r="B4632" s="12"/>
      <c r="C4632" s="11"/>
      <c r="D4632" s="13"/>
      <c r="E4632" s="14"/>
      <c r="F4632" s="14"/>
      <c r="G4632" s="14"/>
      <c r="H4632" s="15"/>
      <c r="I4632" s="15"/>
      <c r="J4632" s="3"/>
      <c r="K4632" s="3"/>
      <c r="L4632" s="3"/>
      <c r="M4632" s="3"/>
      <c r="N4632" s="3"/>
      <c r="O4632" s="3"/>
      <c r="P4632" s="3"/>
      <c r="Q4632" s="3"/>
      <c r="R4632" s="3"/>
      <c r="S4632" s="3"/>
      <c r="T4632" s="3"/>
      <c r="U4632" s="3"/>
      <c r="V4632" s="3"/>
      <c r="W4632" s="3"/>
      <c r="X4632" s="3"/>
      <c r="Y4632" s="3"/>
      <c r="Z4632" s="3"/>
      <c r="AA4632" s="3"/>
    </row>
    <row r="4633" ht="105.75" customHeight="1">
      <c r="A4633" s="11"/>
      <c r="B4633" s="12"/>
      <c r="C4633" s="11"/>
      <c r="D4633" s="13"/>
      <c r="E4633" s="14"/>
      <c r="F4633" s="14"/>
      <c r="G4633" s="14"/>
      <c r="H4633" s="15"/>
      <c r="I4633" s="15"/>
      <c r="J4633" s="3"/>
      <c r="K4633" s="3"/>
      <c r="L4633" s="3"/>
      <c r="M4633" s="3"/>
      <c r="N4633" s="3"/>
      <c r="O4633" s="3"/>
      <c r="P4633" s="3"/>
      <c r="Q4633" s="3"/>
      <c r="R4633" s="3"/>
      <c r="S4633" s="3"/>
      <c r="T4633" s="3"/>
      <c r="U4633" s="3"/>
      <c r="V4633" s="3"/>
      <c r="W4633" s="3"/>
      <c r="X4633" s="3"/>
      <c r="Y4633" s="3"/>
      <c r="Z4633" s="3"/>
      <c r="AA4633" s="3"/>
    </row>
    <row r="4634" ht="105.75" customHeight="1">
      <c r="A4634" s="11"/>
      <c r="B4634" s="12"/>
      <c r="C4634" s="11"/>
      <c r="D4634" s="13"/>
      <c r="E4634" s="14"/>
      <c r="F4634" s="14"/>
      <c r="G4634" s="14"/>
      <c r="H4634" s="15"/>
      <c r="I4634" s="15"/>
      <c r="J4634" s="3"/>
      <c r="K4634" s="3"/>
      <c r="L4634" s="3"/>
      <c r="M4634" s="3"/>
      <c r="N4634" s="3"/>
      <c r="O4634" s="3"/>
      <c r="P4634" s="3"/>
      <c r="Q4634" s="3"/>
      <c r="R4634" s="3"/>
      <c r="S4634" s="3"/>
      <c r="T4634" s="3"/>
      <c r="U4634" s="3"/>
      <c r="V4634" s="3"/>
      <c r="W4634" s="3"/>
      <c r="X4634" s="3"/>
      <c r="Y4634" s="3"/>
      <c r="Z4634" s="3"/>
      <c r="AA4634" s="3"/>
    </row>
    <row r="4635" ht="105.75" customHeight="1">
      <c r="A4635" s="11"/>
      <c r="B4635" s="12"/>
      <c r="C4635" s="11"/>
      <c r="D4635" s="13"/>
      <c r="E4635" s="14"/>
      <c r="F4635" s="14"/>
      <c r="G4635" s="14"/>
      <c r="H4635" s="15"/>
      <c r="I4635" s="15"/>
      <c r="J4635" s="3"/>
      <c r="K4635" s="3"/>
      <c r="L4635" s="3"/>
      <c r="M4635" s="3"/>
      <c r="N4635" s="3"/>
      <c r="O4635" s="3"/>
      <c r="P4635" s="3"/>
      <c r="Q4635" s="3"/>
      <c r="R4635" s="3"/>
      <c r="S4635" s="3"/>
      <c r="T4635" s="3"/>
      <c r="U4635" s="3"/>
      <c r="V4635" s="3"/>
      <c r="W4635" s="3"/>
      <c r="X4635" s="3"/>
      <c r="Y4635" s="3"/>
      <c r="Z4635" s="3"/>
      <c r="AA4635" s="3"/>
    </row>
    <row r="4636" ht="105.75" customHeight="1">
      <c r="A4636" s="11"/>
      <c r="B4636" s="12"/>
      <c r="C4636" s="11"/>
      <c r="D4636" s="13"/>
      <c r="E4636" s="14"/>
      <c r="F4636" s="14"/>
      <c r="G4636" s="14"/>
      <c r="H4636" s="15"/>
      <c r="I4636" s="15"/>
      <c r="J4636" s="3"/>
      <c r="K4636" s="3"/>
      <c r="L4636" s="3"/>
      <c r="M4636" s="3"/>
      <c r="N4636" s="3"/>
      <c r="O4636" s="3"/>
      <c r="P4636" s="3"/>
      <c r="Q4636" s="3"/>
      <c r="R4636" s="3"/>
      <c r="S4636" s="3"/>
      <c r="T4636" s="3"/>
      <c r="U4636" s="3"/>
      <c r="V4636" s="3"/>
      <c r="W4636" s="3"/>
      <c r="X4636" s="3"/>
      <c r="Y4636" s="3"/>
      <c r="Z4636" s="3"/>
      <c r="AA4636" s="3"/>
    </row>
    <row r="4637" ht="105.75" customHeight="1">
      <c r="A4637" s="11"/>
      <c r="B4637" s="12"/>
      <c r="C4637" s="11"/>
      <c r="D4637" s="13"/>
      <c r="E4637" s="14"/>
      <c r="F4637" s="14"/>
      <c r="G4637" s="14"/>
      <c r="H4637" s="15"/>
      <c r="I4637" s="15"/>
      <c r="J4637" s="3"/>
      <c r="K4637" s="3"/>
      <c r="L4637" s="3"/>
      <c r="M4637" s="3"/>
      <c r="N4637" s="3"/>
      <c r="O4637" s="3"/>
      <c r="P4637" s="3"/>
      <c r="Q4637" s="3"/>
      <c r="R4637" s="3"/>
      <c r="S4637" s="3"/>
      <c r="T4637" s="3"/>
      <c r="U4637" s="3"/>
      <c r="V4637" s="3"/>
      <c r="W4637" s="3"/>
      <c r="X4637" s="3"/>
      <c r="Y4637" s="3"/>
      <c r="Z4637" s="3"/>
      <c r="AA4637" s="3"/>
    </row>
    <row r="4638" ht="105.75" customHeight="1">
      <c r="A4638" s="11"/>
      <c r="B4638" s="12"/>
      <c r="C4638" s="11"/>
      <c r="D4638" s="13"/>
      <c r="E4638" s="14"/>
      <c r="F4638" s="14"/>
      <c r="G4638" s="14"/>
      <c r="H4638" s="15"/>
      <c r="I4638" s="15"/>
      <c r="J4638" s="3"/>
      <c r="K4638" s="3"/>
      <c r="L4638" s="3"/>
      <c r="M4638" s="3"/>
      <c r="N4638" s="3"/>
      <c r="O4638" s="3"/>
      <c r="P4638" s="3"/>
      <c r="Q4638" s="3"/>
      <c r="R4638" s="3"/>
      <c r="S4638" s="3"/>
      <c r="T4638" s="3"/>
      <c r="U4638" s="3"/>
      <c r="V4638" s="3"/>
      <c r="W4638" s="3"/>
      <c r="X4638" s="3"/>
      <c r="Y4638" s="3"/>
      <c r="Z4638" s="3"/>
      <c r="AA4638" s="3"/>
    </row>
    <row r="4639" ht="105.75" customHeight="1">
      <c r="A4639" s="11"/>
      <c r="B4639" s="12"/>
      <c r="C4639" s="11"/>
      <c r="D4639" s="13"/>
      <c r="E4639" s="14"/>
      <c r="F4639" s="14"/>
      <c r="G4639" s="14"/>
      <c r="H4639" s="15"/>
      <c r="I4639" s="15"/>
      <c r="J4639" s="3"/>
      <c r="K4639" s="3"/>
      <c r="L4639" s="3"/>
      <c r="M4639" s="3"/>
      <c r="N4639" s="3"/>
      <c r="O4639" s="3"/>
      <c r="P4639" s="3"/>
      <c r="Q4639" s="3"/>
      <c r="R4639" s="3"/>
      <c r="S4639" s="3"/>
      <c r="T4639" s="3"/>
      <c r="U4639" s="3"/>
      <c r="V4639" s="3"/>
      <c r="W4639" s="3"/>
      <c r="X4639" s="3"/>
      <c r="Y4639" s="3"/>
      <c r="Z4639" s="3"/>
      <c r="AA4639" s="3"/>
    </row>
    <row r="4640" ht="105.75" customHeight="1">
      <c r="A4640" s="11"/>
      <c r="B4640" s="12"/>
      <c r="C4640" s="11"/>
      <c r="D4640" s="13"/>
      <c r="E4640" s="14"/>
      <c r="F4640" s="14"/>
      <c r="G4640" s="14"/>
      <c r="H4640" s="15"/>
      <c r="I4640" s="15"/>
      <c r="J4640" s="3"/>
      <c r="K4640" s="3"/>
      <c r="L4640" s="3"/>
      <c r="M4640" s="3"/>
      <c r="N4640" s="3"/>
      <c r="O4640" s="3"/>
      <c r="P4640" s="3"/>
      <c r="Q4640" s="3"/>
      <c r="R4640" s="3"/>
      <c r="S4640" s="3"/>
      <c r="T4640" s="3"/>
      <c r="U4640" s="3"/>
      <c r="V4640" s="3"/>
      <c r="W4640" s="3"/>
      <c r="X4640" s="3"/>
      <c r="Y4640" s="3"/>
      <c r="Z4640" s="3"/>
      <c r="AA4640" s="3"/>
    </row>
    <row r="4641" ht="105.75" customHeight="1">
      <c r="A4641" s="11"/>
      <c r="B4641" s="12"/>
      <c r="C4641" s="11"/>
      <c r="D4641" s="13"/>
      <c r="E4641" s="14"/>
      <c r="F4641" s="14"/>
      <c r="G4641" s="14"/>
      <c r="H4641" s="15"/>
      <c r="I4641" s="15"/>
      <c r="J4641" s="3"/>
      <c r="K4641" s="3"/>
      <c r="L4641" s="3"/>
      <c r="M4641" s="3"/>
      <c r="N4641" s="3"/>
      <c r="O4641" s="3"/>
      <c r="P4641" s="3"/>
      <c r="Q4641" s="3"/>
      <c r="R4641" s="3"/>
      <c r="S4641" s="3"/>
      <c r="T4641" s="3"/>
      <c r="U4641" s="3"/>
      <c r="V4641" s="3"/>
      <c r="W4641" s="3"/>
      <c r="X4641" s="3"/>
      <c r="Y4641" s="3"/>
      <c r="Z4641" s="3"/>
      <c r="AA4641" s="3"/>
    </row>
    <row r="4642" ht="105.75" customHeight="1">
      <c r="A4642" s="11"/>
      <c r="B4642" s="12"/>
      <c r="C4642" s="11"/>
      <c r="D4642" s="13"/>
      <c r="E4642" s="14"/>
      <c r="F4642" s="14"/>
      <c r="G4642" s="14"/>
      <c r="H4642" s="15"/>
      <c r="I4642" s="15"/>
      <c r="J4642" s="3"/>
      <c r="K4642" s="3"/>
      <c r="L4642" s="3"/>
      <c r="M4642" s="3"/>
      <c r="N4642" s="3"/>
      <c r="O4642" s="3"/>
      <c r="P4642" s="3"/>
      <c r="Q4642" s="3"/>
      <c r="R4642" s="3"/>
      <c r="S4642" s="3"/>
      <c r="T4642" s="3"/>
      <c r="U4642" s="3"/>
      <c r="V4642" s="3"/>
      <c r="W4642" s="3"/>
      <c r="X4642" s="3"/>
      <c r="Y4642" s="3"/>
      <c r="Z4642" s="3"/>
      <c r="AA4642" s="3"/>
    </row>
    <row r="4643" ht="105.75" customHeight="1">
      <c r="A4643" s="11"/>
      <c r="B4643" s="12"/>
      <c r="C4643" s="11"/>
      <c r="D4643" s="13"/>
      <c r="E4643" s="14"/>
      <c r="F4643" s="14"/>
      <c r="G4643" s="14"/>
      <c r="H4643" s="15"/>
      <c r="I4643" s="15"/>
      <c r="J4643" s="3"/>
      <c r="K4643" s="3"/>
      <c r="L4643" s="3"/>
      <c r="M4643" s="3"/>
      <c r="N4643" s="3"/>
      <c r="O4643" s="3"/>
      <c r="P4643" s="3"/>
      <c r="Q4643" s="3"/>
      <c r="R4643" s="3"/>
      <c r="S4643" s="3"/>
      <c r="T4643" s="3"/>
      <c r="U4643" s="3"/>
      <c r="V4643" s="3"/>
      <c r="W4643" s="3"/>
      <c r="X4643" s="3"/>
      <c r="Y4643" s="3"/>
      <c r="Z4643" s="3"/>
      <c r="AA4643" s="3"/>
    </row>
    <row r="4644" ht="105.75" customHeight="1">
      <c r="A4644" s="11"/>
      <c r="B4644" s="12"/>
      <c r="C4644" s="11"/>
      <c r="D4644" s="13"/>
      <c r="E4644" s="14"/>
      <c r="F4644" s="14"/>
      <c r="G4644" s="14"/>
      <c r="H4644" s="15"/>
      <c r="I4644" s="15"/>
      <c r="J4644" s="3"/>
      <c r="K4644" s="3"/>
      <c r="L4644" s="3"/>
      <c r="M4644" s="3"/>
      <c r="N4644" s="3"/>
      <c r="O4644" s="3"/>
      <c r="P4644" s="3"/>
      <c r="Q4644" s="3"/>
      <c r="R4644" s="3"/>
      <c r="S4644" s="3"/>
      <c r="T4644" s="3"/>
      <c r="U4644" s="3"/>
      <c r="V4644" s="3"/>
      <c r="W4644" s="3"/>
      <c r="X4644" s="3"/>
      <c r="Y4644" s="3"/>
      <c r="Z4644" s="3"/>
      <c r="AA4644" s="3"/>
    </row>
    <row r="4645" ht="105.75" customHeight="1">
      <c r="A4645" s="11"/>
      <c r="B4645" s="12"/>
      <c r="C4645" s="11"/>
      <c r="D4645" s="13"/>
      <c r="E4645" s="14"/>
      <c r="F4645" s="14"/>
      <c r="G4645" s="14"/>
      <c r="H4645" s="15"/>
      <c r="I4645" s="15"/>
      <c r="J4645" s="3"/>
      <c r="K4645" s="3"/>
      <c r="L4645" s="3"/>
      <c r="M4645" s="3"/>
      <c r="N4645" s="3"/>
      <c r="O4645" s="3"/>
      <c r="P4645" s="3"/>
      <c r="Q4645" s="3"/>
      <c r="R4645" s="3"/>
      <c r="S4645" s="3"/>
      <c r="T4645" s="3"/>
      <c r="U4645" s="3"/>
      <c r="V4645" s="3"/>
      <c r="W4645" s="3"/>
      <c r="X4645" s="3"/>
      <c r="Y4645" s="3"/>
      <c r="Z4645" s="3"/>
      <c r="AA4645" s="3"/>
    </row>
    <row r="4646" ht="105.75" customHeight="1">
      <c r="A4646" s="11"/>
      <c r="B4646" s="12"/>
      <c r="C4646" s="11"/>
      <c r="D4646" s="13"/>
      <c r="E4646" s="14"/>
      <c r="F4646" s="14"/>
      <c r="G4646" s="14"/>
      <c r="H4646" s="15"/>
      <c r="I4646" s="15"/>
      <c r="J4646" s="3"/>
      <c r="K4646" s="3"/>
      <c r="L4646" s="3"/>
      <c r="M4646" s="3"/>
      <c r="N4646" s="3"/>
      <c r="O4646" s="3"/>
      <c r="P4646" s="3"/>
      <c r="Q4646" s="3"/>
      <c r="R4646" s="3"/>
      <c r="S4646" s="3"/>
      <c r="T4646" s="3"/>
      <c r="U4646" s="3"/>
      <c r="V4646" s="3"/>
      <c r="W4646" s="3"/>
      <c r="X4646" s="3"/>
      <c r="Y4646" s="3"/>
      <c r="Z4646" s="3"/>
      <c r="AA4646" s="3"/>
    </row>
    <row r="4647" ht="105.75" customHeight="1">
      <c r="A4647" s="11"/>
      <c r="B4647" s="12"/>
      <c r="C4647" s="11"/>
      <c r="D4647" s="13"/>
      <c r="E4647" s="14"/>
      <c r="F4647" s="14"/>
      <c r="G4647" s="14"/>
      <c r="H4647" s="15"/>
      <c r="I4647" s="15"/>
      <c r="J4647" s="3"/>
      <c r="K4647" s="3"/>
      <c r="L4647" s="3"/>
      <c r="M4647" s="3"/>
      <c r="N4647" s="3"/>
      <c r="O4647" s="3"/>
      <c r="P4647" s="3"/>
      <c r="Q4647" s="3"/>
      <c r="R4647" s="3"/>
      <c r="S4647" s="3"/>
      <c r="T4647" s="3"/>
      <c r="U4647" s="3"/>
      <c r="V4647" s="3"/>
      <c r="W4647" s="3"/>
      <c r="X4647" s="3"/>
      <c r="Y4647" s="3"/>
      <c r="Z4647" s="3"/>
      <c r="AA4647" s="3"/>
    </row>
    <row r="4648" ht="105.75" customHeight="1">
      <c r="A4648" s="11"/>
      <c r="B4648" s="12"/>
      <c r="C4648" s="11"/>
      <c r="D4648" s="13"/>
      <c r="E4648" s="14"/>
      <c r="F4648" s="14"/>
      <c r="G4648" s="14"/>
      <c r="H4648" s="15"/>
      <c r="I4648" s="15"/>
      <c r="J4648" s="3"/>
      <c r="K4648" s="3"/>
      <c r="L4648" s="3"/>
      <c r="M4648" s="3"/>
      <c r="N4648" s="3"/>
      <c r="O4648" s="3"/>
      <c r="P4648" s="3"/>
      <c r="Q4648" s="3"/>
      <c r="R4648" s="3"/>
      <c r="S4648" s="3"/>
      <c r="T4648" s="3"/>
      <c r="U4648" s="3"/>
      <c r="V4648" s="3"/>
      <c r="W4648" s="3"/>
      <c r="X4648" s="3"/>
      <c r="Y4648" s="3"/>
      <c r="Z4648" s="3"/>
      <c r="AA4648" s="3"/>
    </row>
    <row r="4649" ht="105.75" customHeight="1">
      <c r="A4649" s="11"/>
      <c r="B4649" s="12"/>
      <c r="C4649" s="11"/>
      <c r="D4649" s="13"/>
      <c r="E4649" s="14"/>
      <c r="F4649" s="14"/>
      <c r="G4649" s="14"/>
      <c r="H4649" s="15"/>
      <c r="I4649" s="15"/>
      <c r="J4649" s="3"/>
      <c r="K4649" s="3"/>
      <c r="L4649" s="3"/>
      <c r="M4649" s="3"/>
      <c r="N4649" s="3"/>
      <c r="O4649" s="3"/>
      <c r="P4649" s="3"/>
      <c r="Q4649" s="3"/>
      <c r="R4649" s="3"/>
      <c r="S4649" s="3"/>
      <c r="T4649" s="3"/>
      <c r="U4649" s="3"/>
      <c r="V4649" s="3"/>
      <c r="W4649" s="3"/>
      <c r="X4649" s="3"/>
      <c r="Y4649" s="3"/>
      <c r="Z4649" s="3"/>
      <c r="AA4649" s="3"/>
    </row>
    <row r="4650" ht="105.75" customHeight="1">
      <c r="A4650" s="11"/>
      <c r="B4650" s="12"/>
      <c r="C4650" s="11"/>
      <c r="D4650" s="13"/>
      <c r="E4650" s="14"/>
      <c r="F4650" s="14"/>
      <c r="G4650" s="14"/>
      <c r="H4650" s="15"/>
      <c r="I4650" s="15"/>
      <c r="J4650" s="3"/>
      <c r="K4650" s="3"/>
      <c r="L4650" s="3"/>
      <c r="M4650" s="3"/>
      <c r="N4650" s="3"/>
      <c r="O4650" s="3"/>
      <c r="P4650" s="3"/>
      <c r="Q4650" s="3"/>
      <c r="R4650" s="3"/>
      <c r="S4650" s="3"/>
      <c r="T4650" s="3"/>
      <c r="U4650" s="3"/>
      <c r="V4650" s="3"/>
      <c r="W4650" s="3"/>
      <c r="X4650" s="3"/>
      <c r="Y4650" s="3"/>
      <c r="Z4650" s="3"/>
      <c r="AA4650" s="3"/>
    </row>
    <row r="4651" ht="105.75" customHeight="1">
      <c r="A4651" s="11"/>
      <c r="B4651" s="12"/>
      <c r="C4651" s="11"/>
      <c r="D4651" s="13"/>
      <c r="E4651" s="14"/>
      <c r="F4651" s="14"/>
      <c r="G4651" s="14"/>
      <c r="H4651" s="15"/>
      <c r="I4651" s="15"/>
      <c r="J4651" s="3"/>
      <c r="K4651" s="3"/>
      <c r="L4651" s="3"/>
      <c r="M4651" s="3"/>
      <c r="N4651" s="3"/>
      <c r="O4651" s="3"/>
      <c r="P4651" s="3"/>
      <c r="Q4651" s="3"/>
      <c r="R4651" s="3"/>
      <c r="S4651" s="3"/>
      <c r="T4651" s="3"/>
      <c r="U4651" s="3"/>
      <c r="V4651" s="3"/>
      <c r="W4651" s="3"/>
      <c r="X4651" s="3"/>
      <c r="Y4651" s="3"/>
      <c r="Z4651" s="3"/>
      <c r="AA4651" s="3"/>
    </row>
    <row r="4652" ht="105.75" customHeight="1">
      <c r="A4652" s="11"/>
      <c r="B4652" s="12"/>
      <c r="C4652" s="11"/>
      <c r="D4652" s="13"/>
      <c r="E4652" s="14"/>
      <c r="F4652" s="14"/>
      <c r="G4652" s="14"/>
      <c r="H4652" s="15"/>
      <c r="I4652" s="15"/>
      <c r="J4652" s="3"/>
      <c r="K4652" s="3"/>
      <c r="L4652" s="3"/>
      <c r="M4652" s="3"/>
      <c r="N4652" s="3"/>
      <c r="O4652" s="3"/>
      <c r="P4652" s="3"/>
      <c r="Q4652" s="3"/>
      <c r="R4652" s="3"/>
      <c r="S4652" s="3"/>
      <c r="T4652" s="3"/>
      <c r="U4652" s="3"/>
      <c r="V4652" s="3"/>
      <c r="W4652" s="3"/>
      <c r="X4652" s="3"/>
      <c r="Y4652" s="3"/>
      <c r="Z4652" s="3"/>
      <c r="AA4652" s="3"/>
    </row>
    <row r="4653" ht="105.75" customHeight="1">
      <c r="A4653" s="11"/>
      <c r="B4653" s="12"/>
      <c r="C4653" s="11"/>
      <c r="D4653" s="13"/>
      <c r="E4653" s="14"/>
      <c r="F4653" s="14"/>
      <c r="G4653" s="14"/>
      <c r="H4653" s="15"/>
      <c r="I4653" s="15"/>
      <c r="J4653" s="3"/>
      <c r="K4653" s="3"/>
      <c r="L4653" s="3"/>
      <c r="M4653" s="3"/>
      <c r="N4653" s="3"/>
      <c r="O4653" s="3"/>
      <c r="P4653" s="3"/>
      <c r="Q4653" s="3"/>
      <c r="R4653" s="3"/>
      <c r="S4653" s="3"/>
      <c r="T4653" s="3"/>
      <c r="U4653" s="3"/>
      <c r="V4653" s="3"/>
      <c r="W4653" s="3"/>
      <c r="X4653" s="3"/>
      <c r="Y4653" s="3"/>
      <c r="Z4653" s="3"/>
      <c r="AA4653" s="3"/>
    </row>
    <row r="4654" ht="105.75" customHeight="1">
      <c r="A4654" s="11"/>
      <c r="B4654" s="12"/>
      <c r="C4654" s="11"/>
      <c r="D4654" s="13"/>
      <c r="E4654" s="14"/>
      <c r="F4654" s="14"/>
      <c r="G4654" s="14"/>
      <c r="H4654" s="15"/>
      <c r="I4654" s="15"/>
      <c r="J4654" s="3"/>
      <c r="K4654" s="3"/>
      <c r="L4654" s="3"/>
      <c r="M4654" s="3"/>
      <c r="N4654" s="3"/>
      <c r="O4654" s="3"/>
      <c r="P4654" s="3"/>
      <c r="Q4654" s="3"/>
      <c r="R4654" s="3"/>
      <c r="S4654" s="3"/>
      <c r="T4654" s="3"/>
      <c r="U4654" s="3"/>
      <c r="V4654" s="3"/>
      <c r="W4654" s="3"/>
      <c r="X4654" s="3"/>
      <c r="Y4654" s="3"/>
      <c r="Z4654" s="3"/>
      <c r="AA4654" s="3"/>
    </row>
    <row r="4655" ht="105.75" customHeight="1">
      <c r="A4655" s="11"/>
      <c r="B4655" s="12"/>
      <c r="C4655" s="11"/>
      <c r="D4655" s="13"/>
      <c r="E4655" s="14"/>
      <c r="F4655" s="14"/>
      <c r="G4655" s="14"/>
      <c r="H4655" s="15"/>
      <c r="I4655" s="15"/>
      <c r="J4655" s="3"/>
      <c r="K4655" s="3"/>
      <c r="L4655" s="3"/>
      <c r="M4655" s="3"/>
      <c r="N4655" s="3"/>
      <c r="O4655" s="3"/>
      <c r="P4655" s="3"/>
      <c r="Q4655" s="3"/>
      <c r="R4655" s="3"/>
      <c r="S4655" s="3"/>
      <c r="T4655" s="3"/>
      <c r="U4655" s="3"/>
      <c r="V4655" s="3"/>
      <c r="W4655" s="3"/>
      <c r="X4655" s="3"/>
      <c r="Y4655" s="3"/>
      <c r="Z4655" s="3"/>
      <c r="AA4655" s="3"/>
    </row>
    <row r="4656" ht="105.75" customHeight="1">
      <c r="A4656" s="11"/>
      <c r="B4656" s="12"/>
      <c r="C4656" s="11"/>
      <c r="D4656" s="13"/>
      <c r="E4656" s="14"/>
      <c r="F4656" s="14"/>
      <c r="G4656" s="14"/>
      <c r="H4656" s="15"/>
      <c r="I4656" s="15"/>
      <c r="J4656" s="3"/>
      <c r="K4656" s="3"/>
      <c r="L4656" s="3"/>
      <c r="M4656" s="3"/>
      <c r="N4656" s="3"/>
      <c r="O4656" s="3"/>
      <c r="P4656" s="3"/>
      <c r="Q4656" s="3"/>
      <c r="R4656" s="3"/>
      <c r="S4656" s="3"/>
      <c r="T4656" s="3"/>
      <c r="U4656" s="3"/>
      <c r="V4656" s="3"/>
      <c r="W4656" s="3"/>
      <c r="X4656" s="3"/>
      <c r="Y4656" s="3"/>
      <c r="Z4656" s="3"/>
      <c r="AA4656" s="3"/>
    </row>
    <row r="4657" ht="105.75" customHeight="1">
      <c r="A4657" s="11"/>
      <c r="B4657" s="12"/>
      <c r="C4657" s="11"/>
      <c r="D4657" s="13"/>
      <c r="E4657" s="14"/>
      <c r="F4657" s="14"/>
      <c r="G4657" s="14"/>
      <c r="H4657" s="15"/>
      <c r="I4657" s="15"/>
      <c r="J4657" s="3"/>
      <c r="K4657" s="3"/>
      <c r="L4657" s="3"/>
      <c r="M4657" s="3"/>
      <c r="N4657" s="3"/>
      <c r="O4657" s="3"/>
      <c r="P4657" s="3"/>
      <c r="Q4657" s="3"/>
      <c r="R4657" s="3"/>
      <c r="S4657" s="3"/>
      <c r="T4657" s="3"/>
      <c r="U4657" s="3"/>
      <c r="V4657" s="3"/>
      <c r="W4657" s="3"/>
      <c r="X4657" s="3"/>
      <c r="Y4657" s="3"/>
      <c r="Z4657" s="3"/>
      <c r="AA4657" s="3"/>
    </row>
    <row r="4658" ht="105.75" customHeight="1">
      <c r="A4658" s="11"/>
      <c r="B4658" s="12"/>
      <c r="C4658" s="11"/>
      <c r="D4658" s="13"/>
      <c r="E4658" s="14"/>
      <c r="F4658" s="14"/>
      <c r="G4658" s="14"/>
      <c r="H4658" s="15"/>
      <c r="I4658" s="15"/>
      <c r="J4658" s="3"/>
      <c r="K4658" s="3"/>
      <c r="L4658" s="3"/>
      <c r="M4658" s="3"/>
      <c r="N4658" s="3"/>
      <c r="O4658" s="3"/>
      <c r="P4658" s="3"/>
      <c r="Q4658" s="3"/>
      <c r="R4658" s="3"/>
      <c r="S4658" s="3"/>
      <c r="T4658" s="3"/>
      <c r="U4658" s="3"/>
      <c r="V4658" s="3"/>
      <c r="W4658" s="3"/>
      <c r="X4658" s="3"/>
      <c r="Y4658" s="3"/>
      <c r="Z4658" s="3"/>
      <c r="AA4658" s="3"/>
    </row>
    <row r="4659" ht="105.75" customHeight="1">
      <c r="A4659" s="11"/>
      <c r="B4659" s="12"/>
      <c r="C4659" s="11"/>
      <c r="D4659" s="13"/>
      <c r="E4659" s="14"/>
      <c r="F4659" s="14"/>
      <c r="G4659" s="14"/>
      <c r="H4659" s="15"/>
      <c r="I4659" s="15"/>
      <c r="J4659" s="3"/>
      <c r="K4659" s="3"/>
      <c r="L4659" s="3"/>
      <c r="M4659" s="3"/>
      <c r="N4659" s="3"/>
      <c r="O4659" s="3"/>
      <c r="P4659" s="3"/>
      <c r="Q4659" s="3"/>
      <c r="R4659" s="3"/>
      <c r="S4659" s="3"/>
      <c r="T4659" s="3"/>
      <c r="U4659" s="3"/>
      <c r="V4659" s="3"/>
      <c r="W4659" s="3"/>
      <c r="X4659" s="3"/>
      <c r="Y4659" s="3"/>
      <c r="Z4659" s="3"/>
      <c r="AA4659" s="3"/>
    </row>
    <row r="4660" ht="105.75" customHeight="1">
      <c r="A4660" s="11"/>
      <c r="B4660" s="12"/>
      <c r="C4660" s="11"/>
      <c r="D4660" s="13"/>
      <c r="E4660" s="14"/>
      <c r="F4660" s="14"/>
      <c r="G4660" s="14"/>
      <c r="H4660" s="15"/>
      <c r="I4660" s="15"/>
      <c r="J4660" s="3"/>
      <c r="K4660" s="3"/>
      <c r="L4660" s="3"/>
      <c r="M4660" s="3"/>
      <c r="N4660" s="3"/>
      <c r="O4660" s="3"/>
      <c r="P4660" s="3"/>
      <c r="Q4660" s="3"/>
      <c r="R4660" s="3"/>
      <c r="S4660" s="3"/>
      <c r="T4660" s="3"/>
      <c r="U4660" s="3"/>
      <c r="V4660" s="3"/>
      <c r="W4660" s="3"/>
      <c r="X4660" s="3"/>
      <c r="Y4660" s="3"/>
      <c r="Z4660" s="3"/>
      <c r="AA4660" s="3"/>
    </row>
    <row r="4661" ht="105.75" customHeight="1">
      <c r="A4661" s="11"/>
      <c r="B4661" s="12"/>
      <c r="C4661" s="11"/>
      <c r="D4661" s="13"/>
      <c r="E4661" s="14"/>
      <c r="F4661" s="14"/>
      <c r="G4661" s="14"/>
      <c r="H4661" s="15"/>
      <c r="I4661" s="15"/>
      <c r="J4661" s="3"/>
      <c r="K4661" s="3"/>
      <c r="L4661" s="3"/>
      <c r="M4661" s="3"/>
      <c r="N4661" s="3"/>
      <c r="O4661" s="3"/>
      <c r="P4661" s="3"/>
      <c r="Q4661" s="3"/>
      <c r="R4661" s="3"/>
      <c r="S4661" s="3"/>
      <c r="T4661" s="3"/>
      <c r="U4661" s="3"/>
      <c r="V4661" s="3"/>
      <c r="W4661" s="3"/>
      <c r="X4661" s="3"/>
      <c r="Y4661" s="3"/>
      <c r="Z4661" s="3"/>
      <c r="AA4661" s="3"/>
    </row>
    <row r="4662" ht="105.75" customHeight="1">
      <c r="A4662" s="11"/>
      <c r="B4662" s="12"/>
      <c r="C4662" s="11"/>
      <c r="D4662" s="13"/>
      <c r="E4662" s="14"/>
      <c r="F4662" s="14"/>
      <c r="G4662" s="14"/>
      <c r="H4662" s="15"/>
      <c r="I4662" s="15"/>
      <c r="J4662" s="3"/>
      <c r="K4662" s="3"/>
      <c r="L4662" s="3"/>
      <c r="M4662" s="3"/>
      <c r="N4662" s="3"/>
      <c r="O4662" s="3"/>
      <c r="P4662" s="3"/>
      <c r="Q4662" s="3"/>
      <c r="R4662" s="3"/>
      <c r="S4662" s="3"/>
      <c r="T4662" s="3"/>
      <c r="U4662" s="3"/>
      <c r="V4662" s="3"/>
      <c r="W4662" s="3"/>
      <c r="X4662" s="3"/>
      <c r="Y4662" s="3"/>
      <c r="Z4662" s="3"/>
      <c r="AA4662" s="3"/>
    </row>
    <row r="4663" ht="105.75" customHeight="1">
      <c r="A4663" s="11"/>
      <c r="B4663" s="12"/>
      <c r="C4663" s="11"/>
      <c r="D4663" s="13"/>
      <c r="E4663" s="14"/>
      <c r="F4663" s="14"/>
      <c r="G4663" s="14"/>
      <c r="H4663" s="15"/>
      <c r="I4663" s="15"/>
      <c r="J4663" s="3"/>
      <c r="K4663" s="3"/>
      <c r="L4663" s="3"/>
      <c r="M4663" s="3"/>
      <c r="N4663" s="3"/>
      <c r="O4663" s="3"/>
      <c r="P4663" s="3"/>
      <c r="Q4663" s="3"/>
      <c r="R4663" s="3"/>
      <c r="S4663" s="3"/>
      <c r="T4663" s="3"/>
      <c r="U4663" s="3"/>
      <c r="V4663" s="3"/>
      <c r="W4663" s="3"/>
      <c r="X4663" s="3"/>
      <c r="Y4663" s="3"/>
      <c r="Z4663" s="3"/>
      <c r="AA4663" s="3"/>
    </row>
    <row r="4664" ht="105.75" customHeight="1">
      <c r="A4664" s="11"/>
      <c r="B4664" s="12"/>
      <c r="C4664" s="11"/>
      <c r="D4664" s="13"/>
      <c r="E4664" s="14"/>
      <c r="F4664" s="14"/>
      <c r="G4664" s="14"/>
      <c r="H4664" s="15"/>
      <c r="I4664" s="15"/>
      <c r="J4664" s="3"/>
      <c r="K4664" s="3"/>
      <c r="L4664" s="3"/>
      <c r="M4664" s="3"/>
      <c r="N4664" s="3"/>
      <c r="O4664" s="3"/>
      <c r="P4664" s="3"/>
      <c r="Q4664" s="3"/>
      <c r="R4664" s="3"/>
      <c r="S4664" s="3"/>
      <c r="T4664" s="3"/>
      <c r="U4664" s="3"/>
      <c r="V4664" s="3"/>
      <c r="W4664" s="3"/>
      <c r="X4664" s="3"/>
      <c r="Y4664" s="3"/>
      <c r="Z4664" s="3"/>
      <c r="AA4664" s="3"/>
    </row>
    <row r="4665" ht="105.75" customHeight="1">
      <c r="A4665" s="11"/>
      <c r="B4665" s="12"/>
      <c r="C4665" s="11"/>
      <c r="D4665" s="13"/>
      <c r="E4665" s="14"/>
      <c r="F4665" s="14"/>
      <c r="G4665" s="14"/>
      <c r="H4665" s="15"/>
      <c r="I4665" s="15"/>
      <c r="J4665" s="3"/>
      <c r="K4665" s="3"/>
      <c r="L4665" s="3"/>
      <c r="M4665" s="3"/>
      <c r="N4665" s="3"/>
      <c r="O4665" s="3"/>
      <c r="P4665" s="3"/>
      <c r="Q4665" s="3"/>
      <c r="R4665" s="3"/>
      <c r="S4665" s="3"/>
      <c r="T4665" s="3"/>
      <c r="U4665" s="3"/>
      <c r="V4665" s="3"/>
      <c r="W4665" s="3"/>
      <c r="X4665" s="3"/>
      <c r="Y4665" s="3"/>
      <c r="Z4665" s="3"/>
      <c r="AA4665" s="3"/>
    </row>
    <row r="4666" ht="105.75" customHeight="1">
      <c r="A4666" s="11"/>
      <c r="B4666" s="12"/>
      <c r="C4666" s="11"/>
      <c r="D4666" s="13"/>
      <c r="E4666" s="14"/>
      <c r="F4666" s="14"/>
      <c r="G4666" s="14"/>
      <c r="H4666" s="15"/>
      <c r="I4666" s="15"/>
      <c r="J4666" s="3"/>
      <c r="K4666" s="3"/>
      <c r="L4666" s="3"/>
      <c r="M4666" s="3"/>
      <c r="N4666" s="3"/>
      <c r="O4666" s="3"/>
      <c r="P4666" s="3"/>
      <c r="Q4666" s="3"/>
      <c r="R4666" s="3"/>
      <c r="S4666" s="3"/>
      <c r="T4666" s="3"/>
      <c r="U4666" s="3"/>
      <c r="V4666" s="3"/>
      <c r="W4666" s="3"/>
      <c r="X4666" s="3"/>
      <c r="Y4666" s="3"/>
      <c r="Z4666" s="3"/>
      <c r="AA4666" s="3"/>
    </row>
    <row r="4667" ht="105.75" customHeight="1">
      <c r="A4667" s="11"/>
      <c r="B4667" s="12"/>
      <c r="C4667" s="11"/>
      <c r="D4667" s="13"/>
      <c r="E4667" s="14"/>
      <c r="F4667" s="14"/>
      <c r="G4667" s="14"/>
      <c r="H4667" s="15"/>
      <c r="I4667" s="15"/>
      <c r="J4667" s="3"/>
      <c r="K4667" s="3"/>
      <c r="L4667" s="3"/>
      <c r="M4667" s="3"/>
      <c r="N4667" s="3"/>
      <c r="O4667" s="3"/>
      <c r="P4667" s="3"/>
      <c r="Q4667" s="3"/>
      <c r="R4667" s="3"/>
      <c r="S4667" s="3"/>
      <c r="T4667" s="3"/>
      <c r="U4667" s="3"/>
      <c r="V4667" s="3"/>
      <c r="W4667" s="3"/>
      <c r="X4667" s="3"/>
      <c r="Y4667" s="3"/>
      <c r="Z4667" s="3"/>
      <c r="AA4667" s="3"/>
    </row>
    <row r="4668" ht="105.75" customHeight="1">
      <c r="A4668" s="11"/>
      <c r="B4668" s="12"/>
      <c r="C4668" s="11"/>
      <c r="D4668" s="13"/>
      <c r="E4668" s="14"/>
      <c r="F4668" s="14"/>
      <c r="G4668" s="14"/>
      <c r="H4668" s="15"/>
      <c r="I4668" s="15"/>
      <c r="J4668" s="3"/>
      <c r="K4668" s="3"/>
      <c r="L4668" s="3"/>
      <c r="M4668" s="3"/>
      <c r="N4668" s="3"/>
      <c r="O4668" s="3"/>
      <c r="P4668" s="3"/>
      <c r="Q4668" s="3"/>
      <c r="R4668" s="3"/>
      <c r="S4668" s="3"/>
      <c r="T4668" s="3"/>
      <c r="U4668" s="3"/>
      <c r="V4668" s="3"/>
      <c r="W4668" s="3"/>
      <c r="X4668" s="3"/>
      <c r="Y4668" s="3"/>
      <c r="Z4668" s="3"/>
      <c r="AA4668" s="3"/>
    </row>
    <row r="4669" ht="105.75" customHeight="1">
      <c r="A4669" s="11"/>
      <c r="B4669" s="12"/>
      <c r="C4669" s="11"/>
      <c r="D4669" s="13"/>
      <c r="E4669" s="14"/>
      <c r="F4669" s="14"/>
      <c r="G4669" s="14"/>
      <c r="H4669" s="15"/>
      <c r="I4669" s="15"/>
      <c r="J4669" s="3"/>
      <c r="K4669" s="3"/>
      <c r="L4669" s="3"/>
      <c r="M4669" s="3"/>
      <c r="N4669" s="3"/>
      <c r="O4669" s="3"/>
      <c r="P4669" s="3"/>
      <c r="Q4669" s="3"/>
      <c r="R4669" s="3"/>
      <c r="S4669" s="3"/>
      <c r="T4669" s="3"/>
      <c r="U4669" s="3"/>
      <c r="V4669" s="3"/>
      <c r="W4669" s="3"/>
      <c r="X4669" s="3"/>
      <c r="Y4669" s="3"/>
      <c r="Z4669" s="3"/>
      <c r="AA4669" s="3"/>
    </row>
    <row r="4670" ht="105.75" customHeight="1">
      <c r="A4670" s="11"/>
      <c r="B4670" s="12"/>
      <c r="C4670" s="11"/>
      <c r="D4670" s="13"/>
      <c r="E4670" s="14"/>
      <c r="F4670" s="14"/>
      <c r="G4670" s="14"/>
      <c r="H4670" s="15"/>
      <c r="I4670" s="15"/>
      <c r="J4670" s="3"/>
      <c r="K4670" s="3"/>
      <c r="L4670" s="3"/>
      <c r="M4670" s="3"/>
      <c r="N4670" s="3"/>
      <c r="O4670" s="3"/>
      <c r="P4670" s="3"/>
      <c r="Q4670" s="3"/>
      <c r="R4670" s="3"/>
      <c r="S4670" s="3"/>
      <c r="T4670" s="3"/>
      <c r="U4670" s="3"/>
      <c r="V4670" s="3"/>
      <c r="W4670" s="3"/>
      <c r="X4670" s="3"/>
      <c r="Y4670" s="3"/>
      <c r="Z4670" s="3"/>
      <c r="AA4670" s="3"/>
    </row>
    <row r="4671" ht="105.75" customHeight="1">
      <c r="A4671" s="11"/>
      <c r="B4671" s="12"/>
      <c r="C4671" s="11"/>
      <c r="D4671" s="13"/>
      <c r="E4671" s="14"/>
      <c r="F4671" s="14"/>
      <c r="G4671" s="14"/>
      <c r="H4671" s="15"/>
      <c r="I4671" s="15"/>
      <c r="J4671" s="3"/>
      <c r="K4671" s="3"/>
      <c r="L4671" s="3"/>
      <c r="M4671" s="3"/>
      <c r="N4671" s="3"/>
      <c r="O4671" s="3"/>
      <c r="P4671" s="3"/>
      <c r="Q4671" s="3"/>
      <c r="R4671" s="3"/>
      <c r="S4671" s="3"/>
      <c r="T4671" s="3"/>
      <c r="U4671" s="3"/>
      <c r="V4671" s="3"/>
      <c r="W4671" s="3"/>
      <c r="X4671" s="3"/>
      <c r="Y4671" s="3"/>
      <c r="Z4671" s="3"/>
      <c r="AA4671" s="3"/>
    </row>
    <row r="4672" ht="105.75" customHeight="1">
      <c r="A4672" s="11"/>
      <c r="B4672" s="12"/>
      <c r="C4672" s="11"/>
      <c r="D4672" s="13"/>
      <c r="E4672" s="14"/>
      <c r="F4672" s="14"/>
      <c r="G4672" s="14"/>
      <c r="H4672" s="15"/>
      <c r="I4672" s="15"/>
      <c r="J4672" s="3"/>
      <c r="K4672" s="3"/>
      <c r="L4672" s="3"/>
      <c r="M4672" s="3"/>
      <c r="N4672" s="3"/>
      <c r="O4672" s="3"/>
      <c r="P4672" s="3"/>
      <c r="Q4672" s="3"/>
      <c r="R4672" s="3"/>
      <c r="S4672" s="3"/>
      <c r="T4672" s="3"/>
      <c r="U4672" s="3"/>
      <c r="V4672" s="3"/>
      <c r="W4672" s="3"/>
      <c r="X4672" s="3"/>
      <c r="Y4672" s="3"/>
      <c r="Z4672" s="3"/>
      <c r="AA4672" s="3"/>
    </row>
    <row r="4673" ht="105.75" customHeight="1">
      <c r="A4673" s="11"/>
      <c r="B4673" s="12"/>
      <c r="C4673" s="11"/>
      <c r="D4673" s="13"/>
      <c r="E4673" s="14"/>
      <c r="F4673" s="14"/>
      <c r="G4673" s="14"/>
      <c r="H4673" s="15"/>
      <c r="I4673" s="15"/>
      <c r="J4673" s="3"/>
      <c r="K4673" s="3"/>
      <c r="L4673" s="3"/>
      <c r="M4673" s="3"/>
      <c r="N4673" s="3"/>
      <c r="O4673" s="3"/>
      <c r="P4673" s="3"/>
      <c r="Q4673" s="3"/>
      <c r="R4673" s="3"/>
      <c r="S4673" s="3"/>
      <c r="T4673" s="3"/>
      <c r="U4673" s="3"/>
      <c r="V4673" s="3"/>
      <c r="W4673" s="3"/>
      <c r="X4673" s="3"/>
      <c r="Y4673" s="3"/>
      <c r="Z4673" s="3"/>
      <c r="AA4673" s="3"/>
    </row>
    <row r="4674" ht="105.75" customHeight="1">
      <c r="A4674" s="11"/>
      <c r="B4674" s="12"/>
      <c r="C4674" s="11"/>
      <c r="D4674" s="13"/>
      <c r="E4674" s="14"/>
      <c r="F4674" s="14"/>
      <c r="G4674" s="14"/>
      <c r="H4674" s="15"/>
      <c r="I4674" s="15"/>
      <c r="J4674" s="3"/>
      <c r="K4674" s="3"/>
      <c r="L4674" s="3"/>
      <c r="M4674" s="3"/>
      <c r="N4674" s="3"/>
      <c r="O4674" s="3"/>
      <c r="P4674" s="3"/>
      <c r="Q4674" s="3"/>
      <c r="R4674" s="3"/>
      <c r="S4674" s="3"/>
      <c r="T4674" s="3"/>
      <c r="U4674" s="3"/>
      <c r="V4674" s="3"/>
      <c r="W4674" s="3"/>
      <c r="X4674" s="3"/>
      <c r="Y4674" s="3"/>
      <c r="Z4674" s="3"/>
      <c r="AA4674" s="3"/>
    </row>
    <row r="4675" ht="105.75" customHeight="1">
      <c r="A4675" s="11"/>
      <c r="B4675" s="12"/>
      <c r="C4675" s="11"/>
      <c r="D4675" s="13"/>
      <c r="E4675" s="14"/>
      <c r="F4675" s="14"/>
      <c r="G4675" s="14"/>
      <c r="H4675" s="15"/>
      <c r="I4675" s="15"/>
      <c r="J4675" s="3"/>
      <c r="K4675" s="3"/>
      <c r="L4675" s="3"/>
      <c r="M4675" s="3"/>
      <c r="N4675" s="3"/>
      <c r="O4675" s="3"/>
      <c r="P4675" s="3"/>
      <c r="Q4675" s="3"/>
      <c r="R4675" s="3"/>
      <c r="S4675" s="3"/>
      <c r="T4675" s="3"/>
      <c r="U4675" s="3"/>
      <c r="V4675" s="3"/>
      <c r="W4675" s="3"/>
      <c r="X4675" s="3"/>
      <c r="Y4675" s="3"/>
      <c r="Z4675" s="3"/>
      <c r="AA4675" s="3"/>
    </row>
    <row r="4676" ht="105.75" customHeight="1">
      <c r="A4676" s="11"/>
      <c r="B4676" s="12"/>
      <c r="C4676" s="11"/>
      <c r="D4676" s="13"/>
      <c r="E4676" s="14"/>
      <c r="F4676" s="14"/>
      <c r="G4676" s="14"/>
      <c r="H4676" s="15"/>
      <c r="I4676" s="15"/>
      <c r="J4676" s="3"/>
      <c r="K4676" s="3"/>
      <c r="L4676" s="3"/>
      <c r="M4676" s="3"/>
      <c r="N4676" s="3"/>
      <c r="O4676" s="3"/>
      <c r="P4676" s="3"/>
      <c r="Q4676" s="3"/>
      <c r="R4676" s="3"/>
      <c r="S4676" s="3"/>
      <c r="T4676" s="3"/>
      <c r="U4676" s="3"/>
      <c r="V4676" s="3"/>
      <c r="W4676" s="3"/>
      <c r="X4676" s="3"/>
      <c r="Y4676" s="3"/>
      <c r="Z4676" s="3"/>
      <c r="AA4676" s="3"/>
    </row>
    <row r="4677" ht="105.75" customHeight="1">
      <c r="A4677" s="11"/>
      <c r="B4677" s="12"/>
      <c r="C4677" s="11"/>
      <c r="D4677" s="13"/>
      <c r="E4677" s="14"/>
      <c r="F4677" s="14"/>
      <c r="G4677" s="14"/>
      <c r="H4677" s="15"/>
      <c r="I4677" s="15"/>
      <c r="J4677" s="3"/>
      <c r="K4677" s="3"/>
      <c r="L4677" s="3"/>
      <c r="M4677" s="3"/>
      <c r="N4677" s="3"/>
      <c r="O4677" s="3"/>
      <c r="P4677" s="3"/>
      <c r="Q4677" s="3"/>
      <c r="R4677" s="3"/>
      <c r="S4677" s="3"/>
      <c r="T4677" s="3"/>
      <c r="U4677" s="3"/>
      <c r="V4677" s="3"/>
      <c r="W4677" s="3"/>
      <c r="X4677" s="3"/>
      <c r="Y4677" s="3"/>
      <c r="Z4677" s="3"/>
      <c r="AA4677" s="3"/>
    </row>
    <row r="4678" ht="105.75" customHeight="1">
      <c r="A4678" s="11"/>
      <c r="B4678" s="12"/>
      <c r="C4678" s="11"/>
      <c r="D4678" s="13"/>
      <c r="E4678" s="14"/>
      <c r="F4678" s="14"/>
      <c r="G4678" s="14"/>
      <c r="H4678" s="15"/>
      <c r="I4678" s="15"/>
      <c r="J4678" s="3"/>
      <c r="K4678" s="3"/>
      <c r="L4678" s="3"/>
      <c r="M4678" s="3"/>
      <c r="N4678" s="3"/>
      <c r="O4678" s="3"/>
      <c r="P4678" s="3"/>
      <c r="Q4678" s="3"/>
      <c r="R4678" s="3"/>
      <c r="S4678" s="3"/>
      <c r="T4678" s="3"/>
      <c r="U4678" s="3"/>
      <c r="V4678" s="3"/>
      <c r="W4678" s="3"/>
      <c r="X4678" s="3"/>
      <c r="Y4678" s="3"/>
      <c r="Z4678" s="3"/>
      <c r="AA4678" s="3"/>
    </row>
    <row r="4679" ht="105.75" customHeight="1">
      <c r="A4679" s="11"/>
      <c r="B4679" s="12"/>
      <c r="C4679" s="11"/>
      <c r="D4679" s="13"/>
      <c r="E4679" s="14"/>
      <c r="F4679" s="14"/>
      <c r="G4679" s="14"/>
      <c r="H4679" s="15"/>
      <c r="I4679" s="15"/>
      <c r="J4679" s="3"/>
      <c r="K4679" s="3"/>
      <c r="L4679" s="3"/>
      <c r="M4679" s="3"/>
      <c r="N4679" s="3"/>
      <c r="O4679" s="3"/>
      <c r="P4679" s="3"/>
      <c r="Q4679" s="3"/>
      <c r="R4679" s="3"/>
      <c r="S4679" s="3"/>
      <c r="T4679" s="3"/>
      <c r="U4679" s="3"/>
      <c r="V4679" s="3"/>
      <c r="W4679" s="3"/>
      <c r="X4679" s="3"/>
      <c r="Y4679" s="3"/>
      <c r="Z4679" s="3"/>
      <c r="AA4679" s="3"/>
    </row>
    <row r="4680" ht="105.75" customHeight="1">
      <c r="A4680" s="11"/>
      <c r="B4680" s="12"/>
      <c r="C4680" s="11"/>
      <c r="D4680" s="13"/>
      <c r="E4680" s="14"/>
      <c r="F4680" s="14"/>
      <c r="G4680" s="14"/>
      <c r="H4680" s="15"/>
      <c r="I4680" s="15"/>
      <c r="J4680" s="3"/>
      <c r="K4680" s="3"/>
      <c r="L4680" s="3"/>
      <c r="M4680" s="3"/>
      <c r="N4680" s="3"/>
      <c r="O4680" s="3"/>
      <c r="P4680" s="3"/>
      <c r="Q4680" s="3"/>
      <c r="R4680" s="3"/>
      <c r="S4680" s="3"/>
      <c r="T4680" s="3"/>
      <c r="U4680" s="3"/>
      <c r="V4680" s="3"/>
      <c r="W4680" s="3"/>
      <c r="X4680" s="3"/>
      <c r="Y4680" s="3"/>
      <c r="Z4680" s="3"/>
      <c r="AA4680" s="3"/>
    </row>
    <row r="4681" ht="105.75" customHeight="1">
      <c r="A4681" s="11"/>
      <c r="B4681" s="12"/>
      <c r="C4681" s="11"/>
      <c r="D4681" s="13"/>
      <c r="E4681" s="14"/>
      <c r="F4681" s="14"/>
      <c r="G4681" s="14"/>
      <c r="H4681" s="15"/>
      <c r="I4681" s="15"/>
      <c r="J4681" s="3"/>
      <c r="K4681" s="3"/>
      <c r="L4681" s="3"/>
      <c r="M4681" s="3"/>
      <c r="N4681" s="3"/>
      <c r="O4681" s="3"/>
      <c r="P4681" s="3"/>
      <c r="Q4681" s="3"/>
      <c r="R4681" s="3"/>
      <c r="S4681" s="3"/>
      <c r="T4681" s="3"/>
      <c r="U4681" s="3"/>
      <c r="V4681" s="3"/>
      <c r="W4681" s="3"/>
      <c r="X4681" s="3"/>
      <c r="Y4681" s="3"/>
      <c r="Z4681" s="3"/>
      <c r="AA4681" s="3"/>
    </row>
    <row r="4682" ht="105.75" customHeight="1">
      <c r="A4682" s="11"/>
      <c r="B4682" s="12"/>
      <c r="C4682" s="11"/>
      <c r="D4682" s="13"/>
      <c r="E4682" s="14"/>
      <c r="F4682" s="14"/>
      <c r="G4682" s="14"/>
      <c r="H4682" s="15"/>
      <c r="I4682" s="15"/>
      <c r="J4682" s="3"/>
      <c r="K4682" s="3"/>
      <c r="L4682" s="3"/>
      <c r="M4682" s="3"/>
      <c r="N4682" s="3"/>
      <c r="O4682" s="3"/>
      <c r="P4682" s="3"/>
      <c r="Q4682" s="3"/>
      <c r="R4682" s="3"/>
      <c r="S4682" s="3"/>
      <c r="T4682" s="3"/>
      <c r="U4682" s="3"/>
      <c r="V4682" s="3"/>
      <c r="W4682" s="3"/>
      <c r="X4682" s="3"/>
      <c r="Y4682" s="3"/>
      <c r="Z4682" s="3"/>
      <c r="AA4682" s="3"/>
    </row>
    <row r="4683" ht="105.75" customHeight="1">
      <c r="A4683" s="11"/>
      <c r="B4683" s="12"/>
      <c r="C4683" s="11"/>
      <c r="D4683" s="13"/>
      <c r="E4683" s="14"/>
      <c r="F4683" s="14"/>
      <c r="G4683" s="14"/>
      <c r="H4683" s="15"/>
      <c r="I4683" s="15"/>
      <c r="J4683" s="3"/>
      <c r="K4683" s="3"/>
      <c r="L4683" s="3"/>
      <c r="M4683" s="3"/>
      <c r="N4683" s="3"/>
      <c r="O4683" s="3"/>
      <c r="P4683" s="3"/>
      <c r="Q4683" s="3"/>
      <c r="R4683" s="3"/>
      <c r="S4683" s="3"/>
      <c r="T4683" s="3"/>
      <c r="U4683" s="3"/>
      <c r="V4683" s="3"/>
      <c r="W4683" s="3"/>
      <c r="X4683" s="3"/>
      <c r="Y4683" s="3"/>
      <c r="Z4683" s="3"/>
      <c r="AA4683" s="3"/>
    </row>
    <row r="4684" ht="105.75" customHeight="1">
      <c r="A4684" s="11"/>
      <c r="B4684" s="12"/>
      <c r="C4684" s="11"/>
      <c r="D4684" s="13"/>
      <c r="E4684" s="14"/>
      <c r="F4684" s="14"/>
      <c r="G4684" s="14"/>
      <c r="H4684" s="15"/>
      <c r="I4684" s="15"/>
      <c r="J4684" s="3"/>
      <c r="K4684" s="3"/>
      <c r="L4684" s="3"/>
      <c r="M4684" s="3"/>
      <c r="N4684" s="3"/>
      <c r="O4684" s="3"/>
      <c r="P4684" s="3"/>
      <c r="Q4684" s="3"/>
      <c r="R4684" s="3"/>
      <c r="S4684" s="3"/>
      <c r="T4684" s="3"/>
      <c r="U4684" s="3"/>
      <c r="V4684" s="3"/>
      <c r="W4684" s="3"/>
      <c r="X4684" s="3"/>
      <c r="Y4684" s="3"/>
      <c r="Z4684" s="3"/>
      <c r="AA4684" s="3"/>
    </row>
    <row r="4685" ht="105.75" customHeight="1">
      <c r="A4685" s="11"/>
      <c r="B4685" s="12"/>
      <c r="C4685" s="11"/>
      <c r="D4685" s="13"/>
      <c r="E4685" s="14"/>
      <c r="F4685" s="14"/>
      <c r="G4685" s="14"/>
      <c r="H4685" s="15"/>
      <c r="I4685" s="15"/>
      <c r="J4685" s="3"/>
      <c r="K4685" s="3"/>
      <c r="L4685" s="3"/>
      <c r="M4685" s="3"/>
      <c r="N4685" s="3"/>
      <c r="O4685" s="3"/>
      <c r="P4685" s="3"/>
      <c r="Q4685" s="3"/>
      <c r="R4685" s="3"/>
      <c r="S4685" s="3"/>
      <c r="T4685" s="3"/>
      <c r="U4685" s="3"/>
      <c r="V4685" s="3"/>
      <c r="W4685" s="3"/>
      <c r="X4685" s="3"/>
      <c r="Y4685" s="3"/>
      <c r="Z4685" s="3"/>
      <c r="AA4685" s="3"/>
    </row>
    <row r="4686" ht="105.75" customHeight="1">
      <c r="A4686" s="11"/>
      <c r="B4686" s="12"/>
      <c r="C4686" s="11"/>
      <c r="D4686" s="13"/>
      <c r="E4686" s="14"/>
      <c r="F4686" s="14"/>
      <c r="G4686" s="14"/>
      <c r="H4686" s="15"/>
      <c r="I4686" s="15"/>
      <c r="J4686" s="3"/>
      <c r="K4686" s="3"/>
      <c r="L4686" s="3"/>
      <c r="M4686" s="3"/>
      <c r="N4686" s="3"/>
      <c r="O4686" s="3"/>
      <c r="P4686" s="3"/>
      <c r="Q4686" s="3"/>
      <c r="R4686" s="3"/>
      <c r="S4686" s="3"/>
      <c r="T4686" s="3"/>
      <c r="U4686" s="3"/>
      <c r="V4686" s="3"/>
      <c r="W4686" s="3"/>
      <c r="X4686" s="3"/>
      <c r="Y4686" s="3"/>
      <c r="Z4686" s="3"/>
      <c r="AA4686" s="3"/>
    </row>
    <row r="4687" ht="105.75" customHeight="1">
      <c r="A4687" s="11"/>
      <c r="B4687" s="12"/>
      <c r="C4687" s="11"/>
      <c r="D4687" s="13"/>
      <c r="E4687" s="14"/>
      <c r="F4687" s="14"/>
      <c r="G4687" s="14"/>
      <c r="H4687" s="15"/>
      <c r="I4687" s="15"/>
      <c r="J4687" s="3"/>
      <c r="K4687" s="3"/>
      <c r="L4687" s="3"/>
      <c r="M4687" s="3"/>
      <c r="N4687" s="3"/>
      <c r="O4687" s="3"/>
      <c r="P4687" s="3"/>
      <c r="Q4687" s="3"/>
      <c r="R4687" s="3"/>
      <c r="S4687" s="3"/>
      <c r="T4687" s="3"/>
      <c r="U4687" s="3"/>
      <c r="V4687" s="3"/>
      <c r="W4687" s="3"/>
      <c r="X4687" s="3"/>
      <c r="Y4687" s="3"/>
      <c r="Z4687" s="3"/>
      <c r="AA4687" s="3"/>
    </row>
    <row r="4688" ht="105.75" customHeight="1">
      <c r="A4688" s="11"/>
      <c r="B4688" s="12"/>
      <c r="C4688" s="11"/>
      <c r="D4688" s="13"/>
      <c r="E4688" s="14"/>
      <c r="F4688" s="14"/>
      <c r="G4688" s="14"/>
      <c r="H4688" s="15"/>
      <c r="I4688" s="15"/>
      <c r="J4688" s="3"/>
      <c r="K4688" s="3"/>
      <c r="L4688" s="3"/>
      <c r="M4688" s="3"/>
      <c r="N4688" s="3"/>
      <c r="O4688" s="3"/>
      <c r="P4688" s="3"/>
      <c r="Q4688" s="3"/>
      <c r="R4688" s="3"/>
      <c r="S4688" s="3"/>
      <c r="T4688" s="3"/>
      <c r="U4688" s="3"/>
      <c r="V4688" s="3"/>
      <c r="W4688" s="3"/>
      <c r="X4688" s="3"/>
      <c r="Y4688" s="3"/>
      <c r="Z4688" s="3"/>
      <c r="AA4688" s="3"/>
    </row>
    <row r="4689" ht="105.75" customHeight="1">
      <c r="A4689" s="11"/>
      <c r="B4689" s="12"/>
      <c r="C4689" s="11"/>
      <c r="D4689" s="13"/>
      <c r="E4689" s="14"/>
      <c r="F4689" s="14"/>
      <c r="G4689" s="14"/>
      <c r="H4689" s="15"/>
      <c r="I4689" s="15"/>
      <c r="J4689" s="3"/>
      <c r="K4689" s="3"/>
      <c r="L4689" s="3"/>
      <c r="M4689" s="3"/>
      <c r="N4689" s="3"/>
      <c r="O4689" s="3"/>
      <c r="P4689" s="3"/>
      <c r="Q4689" s="3"/>
      <c r="R4689" s="3"/>
      <c r="S4689" s="3"/>
      <c r="T4689" s="3"/>
      <c r="U4689" s="3"/>
      <c r="V4689" s="3"/>
      <c r="W4689" s="3"/>
      <c r="X4689" s="3"/>
      <c r="Y4689" s="3"/>
      <c r="Z4689" s="3"/>
      <c r="AA4689" s="3"/>
    </row>
    <row r="4690" ht="105.75" customHeight="1">
      <c r="A4690" s="11"/>
      <c r="B4690" s="12"/>
      <c r="C4690" s="11"/>
      <c r="D4690" s="13"/>
      <c r="E4690" s="14"/>
      <c r="F4690" s="14"/>
      <c r="G4690" s="14"/>
      <c r="H4690" s="15"/>
      <c r="I4690" s="15"/>
      <c r="J4690" s="3"/>
      <c r="K4690" s="3"/>
      <c r="L4690" s="3"/>
      <c r="M4690" s="3"/>
      <c r="N4690" s="3"/>
      <c r="O4690" s="3"/>
      <c r="P4690" s="3"/>
      <c r="Q4690" s="3"/>
      <c r="R4690" s="3"/>
      <c r="S4690" s="3"/>
      <c r="T4690" s="3"/>
      <c r="U4690" s="3"/>
      <c r="V4690" s="3"/>
      <c r="W4690" s="3"/>
      <c r="X4690" s="3"/>
      <c r="Y4690" s="3"/>
      <c r="Z4690" s="3"/>
      <c r="AA4690" s="3"/>
    </row>
    <row r="4691" ht="105.75" customHeight="1">
      <c r="A4691" s="11"/>
      <c r="B4691" s="12"/>
      <c r="C4691" s="11"/>
      <c r="D4691" s="13"/>
      <c r="E4691" s="14"/>
      <c r="F4691" s="14"/>
      <c r="G4691" s="14"/>
      <c r="H4691" s="15"/>
      <c r="I4691" s="15"/>
      <c r="J4691" s="3"/>
      <c r="K4691" s="3"/>
      <c r="L4691" s="3"/>
      <c r="M4691" s="3"/>
      <c r="N4691" s="3"/>
      <c r="O4691" s="3"/>
      <c r="P4691" s="3"/>
      <c r="Q4691" s="3"/>
      <c r="R4691" s="3"/>
      <c r="S4691" s="3"/>
      <c r="T4691" s="3"/>
      <c r="U4691" s="3"/>
      <c r="V4691" s="3"/>
      <c r="W4691" s="3"/>
      <c r="X4691" s="3"/>
      <c r="Y4691" s="3"/>
      <c r="Z4691" s="3"/>
      <c r="AA4691" s="3"/>
    </row>
    <row r="4692" ht="105.75" customHeight="1">
      <c r="A4692" s="11"/>
      <c r="B4692" s="12"/>
      <c r="C4692" s="11"/>
      <c r="D4692" s="13"/>
      <c r="E4692" s="14"/>
      <c r="F4692" s="14"/>
      <c r="G4692" s="14"/>
      <c r="H4692" s="15"/>
      <c r="I4692" s="15"/>
      <c r="J4692" s="3"/>
      <c r="K4692" s="3"/>
      <c r="L4692" s="3"/>
      <c r="M4692" s="3"/>
      <c r="N4692" s="3"/>
      <c r="O4692" s="3"/>
      <c r="P4692" s="3"/>
      <c r="Q4692" s="3"/>
      <c r="R4692" s="3"/>
      <c r="S4692" s="3"/>
      <c r="T4692" s="3"/>
      <c r="U4692" s="3"/>
      <c r="V4692" s="3"/>
      <c r="W4692" s="3"/>
      <c r="X4692" s="3"/>
      <c r="Y4692" s="3"/>
      <c r="Z4692" s="3"/>
      <c r="AA4692" s="3"/>
    </row>
    <row r="4693" ht="105.75" customHeight="1">
      <c r="A4693" s="11"/>
      <c r="B4693" s="12"/>
      <c r="C4693" s="11"/>
      <c r="D4693" s="13"/>
      <c r="E4693" s="14"/>
      <c r="F4693" s="14"/>
      <c r="G4693" s="14"/>
      <c r="H4693" s="15"/>
      <c r="I4693" s="15"/>
      <c r="J4693" s="3"/>
      <c r="K4693" s="3"/>
      <c r="L4693" s="3"/>
      <c r="M4693" s="3"/>
      <c r="N4693" s="3"/>
      <c r="O4693" s="3"/>
      <c r="P4693" s="3"/>
      <c r="Q4693" s="3"/>
      <c r="R4693" s="3"/>
      <c r="S4693" s="3"/>
      <c r="T4693" s="3"/>
      <c r="U4693" s="3"/>
      <c r="V4693" s="3"/>
      <c r="W4693" s="3"/>
      <c r="X4693" s="3"/>
      <c r="Y4693" s="3"/>
      <c r="Z4693" s="3"/>
      <c r="AA4693" s="3"/>
    </row>
    <row r="4694" ht="105.75" customHeight="1">
      <c r="A4694" s="11"/>
      <c r="B4694" s="12"/>
      <c r="C4694" s="11"/>
      <c r="D4694" s="13"/>
      <c r="E4694" s="14"/>
      <c r="F4694" s="14"/>
      <c r="G4694" s="14"/>
      <c r="H4694" s="15"/>
      <c r="I4694" s="15"/>
      <c r="J4694" s="3"/>
      <c r="K4694" s="3"/>
      <c r="L4694" s="3"/>
      <c r="M4694" s="3"/>
      <c r="N4694" s="3"/>
      <c r="O4694" s="3"/>
      <c r="P4694" s="3"/>
      <c r="Q4694" s="3"/>
      <c r="R4694" s="3"/>
      <c r="S4694" s="3"/>
      <c r="T4694" s="3"/>
      <c r="U4694" s="3"/>
      <c r="V4694" s="3"/>
      <c r="W4694" s="3"/>
      <c r="X4694" s="3"/>
      <c r="Y4694" s="3"/>
      <c r="Z4694" s="3"/>
      <c r="AA4694" s="3"/>
    </row>
    <row r="4695" ht="105.75" customHeight="1">
      <c r="A4695" s="11"/>
      <c r="B4695" s="12"/>
      <c r="C4695" s="11"/>
      <c r="D4695" s="13"/>
      <c r="E4695" s="14"/>
      <c r="F4695" s="14"/>
      <c r="G4695" s="14"/>
      <c r="H4695" s="15"/>
      <c r="I4695" s="15"/>
      <c r="J4695" s="3"/>
      <c r="K4695" s="3"/>
      <c r="L4695" s="3"/>
      <c r="M4695" s="3"/>
      <c r="N4695" s="3"/>
      <c r="O4695" s="3"/>
      <c r="P4695" s="3"/>
      <c r="Q4695" s="3"/>
      <c r="R4695" s="3"/>
      <c r="S4695" s="3"/>
      <c r="T4695" s="3"/>
      <c r="U4695" s="3"/>
      <c r="V4695" s="3"/>
      <c r="W4695" s="3"/>
      <c r="X4695" s="3"/>
      <c r="Y4695" s="3"/>
      <c r="Z4695" s="3"/>
      <c r="AA4695" s="3"/>
    </row>
    <row r="4696" ht="105.75" customHeight="1">
      <c r="A4696" s="11"/>
      <c r="B4696" s="12"/>
      <c r="C4696" s="11"/>
      <c r="D4696" s="13"/>
      <c r="E4696" s="14"/>
      <c r="F4696" s="14"/>
      <c r="G4696" s="14"/>
      <c r="H4696" s="15"/>
      <c r="I4696" s="15"/>
      <c r="J4696" s="3"/>
      <c r="K4696" s="3"/>
      <c r="L4696" s="3"/>
      <c r="M4696" s="3"/>
      <c r="N4696" s="3"/>
      <c r="O4696" s="3"/>
      <c r="P4696" s="3"/>
      <c r="Q4696" s="3"/>
      <c r="R4696" s="3"/>
      <c r="S4696" s="3"/>
      <c r="T4696" s="3"/>
      <c r="U4696" s="3"/>
      <c r="V4696" s="3"/>
      <c r="W4696" s="3"/>
      <c r="X4696" s="3"/>
      <c r="Y4696" s="3"/>
      <c r="Z4696" s="3"/>
      <c r="AA4696" s="3"/>
    </row>
    <row r="4697" ht="105.75" customHeight="1">
      <c r="A4697" s="11"/>
      <c r="B4697" s="12"/>
      <c r="C4697" s="11"/>
      <c r="D4697" s="13"/>
      <c r="E4697" s="14"/>
      <c r="F4697" s="14"/>
      <c r="G4697" s="14"/>
      <c r="H4697" s="15"/>
      <c r="I4697" s="15"/>
      <c r="J4697" s="3"/>
      <c r="K4697" s="3"/>
      <c r="L4697" s="3"/>
      <c r="M4697" s="3"/>
      <c r="N4697" s="3"/>
      <c r="O4697" s="3"/>
      <c r="P4697" s="3"/>
      <c r="Q4697" s="3"/>
      <c r="R4697" s="3"/>
      <c r="S4697" s="3"/>
      <c r="T4697" s="3"/>
      <c r="U4697" s="3"/>
      <c r="V4697" s="3"/>
      <c r="W4697" s="3"/>
      <c r="X4697" s="3"/>
      <c r="Y4697" s="3"/>
      <c r="Z4697" s="3"/>
      <c r="AA4697" s="3"/>
    </row>
    <row r="4698" ht="105.75" customHeight="1">
      <c r="A4698" s="11"/>
      <c r="B4698" s="12"/>
      <c r="C4698" s="11"/>
      <c r="D4698" s="13"/>
      <c r="E4698" s="14"/>
      <c r="F4698" s="14"/>
      <c r="G4698" s="14"/>
      <c r="H4698" s="15"/>
      <c r="I4698" s="15"/>
      <c r="J4698" s="3"/>
      <c r="K4698" s="3"/>
      <c r="L4698" s="3"/>
      <c r="M4698" s="3"/>
      <c r="N4698" s="3"/>
      <c r="O4698" s="3"/>
      <c r="P4698" s="3"/>
      <c r="Q4698" s="3"/>
      <c r="R4698" s="3"/>
      <c r="S4698" s="3"/>
      <c r="T4698" s="3"/>
      <c r="U4698" s="3"/>
      <c r="V4698" s="3"/>
      <c r="W4698" s="3"/>
      <c r="X4698" s="3"/>
      <c r="Y4698" s="3"/>
      <c r="Z4698" s="3"/>
      <c r="AA4698" s="3"/>
    </row>
    <row r="4699" ht="105.75" customHeight="1">
      <c r="A4699" s="11"/>
      <c r="B4699" s="12"/>
      <c r="C4699" s="11"/>
      <c r="D4699" s="13"/>
      <c r="E4699" s="14"/>
      <c r="F4699" s="14"/>
      <c r="G4699" s="14"/>
      <c r="H4699" s="15"/>
      <c r="I4699" s="15"/>
      <c r="J4699" s="3"/>
      <c r="K4699" s="3"/>
      <c r="L4699" s="3"/>
      <c r="M4699" s="3"/>
      <c r="N4699" s="3"/>
      <c r="O4699" s="3"/>
      <c r="P4699" s="3"/>
      <c r="Q4699" s="3"/>
      <c r="R4699" s="3"/>
      <c r="S4699" s="3"/>
      <c r="T4699" s="3"/>
      <c r="U4699" s="3"/>
      <c r="V4699" s="3"/>
      <c r="W4699" s="3"/>
      <c r="X4699" s="3"/>
      <c r="Y4699" s="3"/>
      <c r="Z4699" s="3"/>
      <c r="AA4699" s="3"/>
    </row>
    <row r="4700" ht="105.75" customHeight="1">
      <c r="A4700" s="11"/>
      <c r="B4700" s="12"/>
      <c r="C4700" s="11"/>
      <c r="D4700" s="13"/>
      <c r="E4700" s="14"/>
      <c r="F4700" s="14"/>
      <c r="G4700" s="14"/>
      <c r="H4700" s="15"/>
      <c r="I4700" s="15"/>
      <c r="J4700" s="3"/>
      <c r="K4700" s="3"/>
      <c r="L4700" s="3"/>
      <c r="M4700" s="3"/>
      <c r="N4700" s="3"/>
      <c r="O4700" s="3"/>
      <c r="P4700" s="3"/>
      <c r="Q4700" s="3"/>
      <c r="R4700" s="3"/>
      <c r="S4700" s="3"/>
      <c r="T4700" s="3"/>
      <c r="U4700" s="3"/>
      <c r="V4700" s="3"/>
      <c r="W4700" s="3"/>
      <c r="X4700" s="3"/>
      <c r="Y4700" s="3"/>
      <c r="Z4700" s="3"/>
      <c r="AA4700" s="3"/>
    </row>
    <row r="4701" ht="105.75" customHeight="1">
      <c r="A4701" s="11"/>
      <c r="B4701" s="12"/>
      <c r="C4701" s="11"/>
      <c r="D4701" s="13"/>
      <c r="E4701" s="14"/>
      <c r="F4701" s="14"/>
      <c r="G4701" s="14"/>
      <c r="H4701" s="15"/>
      <c r="I4701" s="15"/>
      <c r="J4701" s="3"/>
      <c r="K4701" s="3"/>
      <c r="L4701" s="3"/>
      <c r="M4701" s="3"/>
      <c r="N4701" s="3"/>
      <c r="O4701" s="3"/>
      <c r="P4701" s="3"/>
      <c r="Q4701" s="3"/>
      <c r="R4701" s="3"/>
      <c r="S4701" s="3"/>
      <c r="T4701" s="3"/>
      <c r="U4701" s="3"/>
      <c r="V4701" s="3"/>
      <c r="W4701" s="3"/>
      <c r="X4701" s="3"/>
      <c r="Y4701" s="3"/>
      <c r="Z4701" s="3"/>
      <c r="AA4701" s="3"/>
    </row>
    <row r="4702" ht="105.75" customHeight="1">
      <c r="A4702" s="11"/>
      <c r="B4702" s="12"/>
      <c r="C4702" s="11"/>
      <c r="D4702" s="13"/>
      <c r="E4702" s="14"/>
      <c r="F4702" s="14"/>
      <c r="G4702" s="14"/>
      <c r="H4702" s="15"/>
      <c r="I4702" s="15"/>
      <c r="J4702" s="3"/>
      <c r="K4702" s="3"/>
      <c r="L4702" s="3"/>
      <c r="M4702" s="3"/>
      <c r="N4702" s="3"/>
      <c r="O4702" s="3"/>
      <c r="P4702" s="3"/>
      <c r="Q4702" s="3"/>
      <c r="R4702" s="3"/>
      <c r="S4702" s="3"/>
      <c r="T4702" s="3"/>
      <c r="U4702" s="3"/>
      <c r="V4702" s="3"/>
      <c r="W4702" s="3"/>
      <c r="X4702" s="3"/>
      <c r="Y4702" s="3"/>
      <c r="Z4702" s="3"/>
      <c r="AA4702" s="3"/>
    </row>
    <row r="4703" ht="105.75" customHeight="1">
      <c r="A4703" s="11"/>
      <c r="B4703" s="12"/>
      <c r="C4703" s="11"/>
      <c r="D4703" s="13"/>
      <c r="E4703" s="14"/>
      <c r="F4703" s="14"/>
      <c r="G4703" s="14"/>
      <c r="H4703" s="15"/>
      <c r="I4703" s="15"/>
      <c r="J4703" s="3"/>
      <c r="K4703" s="3"/>
      <c r="L4703" s="3"/>
      <c r="M4703" s="3"/>
      <c r="N4703" s="3"/>
      <c r="O4703" s="3"/>
      <c r="P4703" s="3"/>
      <c r="Q4703" s="3"/>
      <c r="R4703" s="3"/>
      <c r="S4703" s="3"/>
      <c r="T4703" s="3"/>
      <c r="U4703" s="3"/>
      <c r="V4703" s="3"/>
      <c r="W4703" s="3"/>
      <c r="X4703" s="3"/>
      <c r="Y4703" s="3"/>
      <c r="Z4703" s="3"/>
      <c r="AA4703" s="3"/>
    </row>
    <row r="4704" ht="105.75" customHeight="1">
      <c r="A4704" s="11"/>
      <c r="B4704" s="12"/>
      <c r="C4704" s="11"/>
      <c r="D4704" s="13"/>
      <c r="E4704" s="14"/>
      <c r="F4704" s="14"/>
      <c r="G4704" s="14"/>
      <c r="H4704" s="15"/>
      <c r="I4704" s="15"/>
      <c r="J4704" s="3"/>
      <c r="K4704" s="3"/>
      <c r="L4704" s="3"/>
      <c r="M4704" s="3"/>
      <c r="N4704" s="3"/>
      <c r="O4704" s="3"/>
      <c r="P4704" s="3"/>
      <c r="Q4704" s="3"/>
      <c r="R4704" s="3"/>
      <c r="S4704" s="3"/>
      <c r="T4704" s="3"/>
      <c r="U4704" s="3"/>
      <c r="V4704" s="3"/>
      <c r="W4704" s="3"/>
      <c r="X4704" s="3"/>
      <c r="Y4704" s="3"/>
      <c r="Z4704" s="3"/>
      <c r="AA4704" s="3"/>
    </row>
    <row r="4705" ht="105.75" customHeight="1">
      <c r="A4705" s="11"/>
      <c r="B4705" s="12"/>
      <c r="C4705" s="11"/>
      <c r="D4705" s="13"/>
      <c r="E4705" s="14"/>
      <c r="F4705" s="14"/>
      <c r="G4705" s="14"/>
      <c r="H4705" s="15"/>
      <c r="I4705" s="15"/>
      <c r="J4705" s="3"/>
      <c r="K4705" s="3"/>
      <c r="L4705" s="3"/>
      <c r="M4705" s="3"/>
      <c r="N4705" s="3"/>
      <c r="O4705" s="3"/>
      <c r="P4705" s="3"/>
      <c r="Q4705" s="3"/>
      <c r="R4705" s="3"/>
      <c r="S4705" s="3"/>
      <c r="T4705" s="3"/>
      <c r="U4705" s="3"/>
      <c r="V4705" s="3"/>
      <c r="W4705" s="3"/>
      <c r="X4705" s="3"/>
      <c r="Y4705" s="3"/>
      <c r="Z4705" s="3"/>
      <c r="AA4705" s="3"/>
    </row>
    <row r="4706" ht="105.75" customHeight="1">
      <c r="A4706" s="11"/>
      <c r="B4706" s="12"/>
      <c r="C4706" s="11"/>
      <c r="D4706" s="13"/>
      <c r="E4706" s="14"/>
      <c r="F4706" s="14"/>
      <c r="G4706" s="14"/>
      <c r="H4706" s="15"/>
      <c r="I4706" s="15"/>
      <c r="J4706" s="3"/>
      <c r="K4706" s="3"/>
      <c r="L4706" s="3"/>
      <c r="M4706" s="3"/>
      <c r="N4706" s="3"/>
      <c r="O4706" s="3"/>
      <c r="P4706" s="3"/>
      <c r="Q4706" s="3"/>
      <c r="R4706" s="3"/>
      <c r="S4706" s="3"/>
      <c r="T4706" s="3"/>
      <c r="U4706" s="3"/>
      <c r="V4706" s="3"/>
      <c r="W4706" s="3"/>
      <c r="X4706" s="3"/>
      <c r="Y4706" s="3"/>
      <c r="Z4706" s="3"/>
      <c r="AA4706" s="3"/>
    </row>
    <row r="4707" ht="105.75" customHeight="1">
      <c r="A4707" s="11"/>
      <c r="B4707" s="12"/>
      <c r="C4707" s="11"/>
      <c r="D4707" s="13"/>
      <c r="E4707" s="14"/>
      <c r="F4707" s="14"/>
      <c r="G4707" s="14"/>
      <c r="H4707" s="15"/>
      <c r="I4707" s="15"/>
      <c r="J4707" s="3"/>
      <c r="K4707" s="3"/>
      <c r="L4707" s="3"/>
      <c r="M4707" s="3"/>
      <c r="N4707" s="3"/>
      <c r="O4707" s="3"/>
      <c r="P4707" s="3"/>
      <c r="Q4707" s="3"/>
      <c r="R4707" s="3"/>
      <c r="S4707" s="3"/>
      <c r="T4707" s="3"/>
      <c r="U4707" s="3"/>
      <c r="V4707" s="3"/>
      <c r="W4707" s="3"/>
      <c r="X4707" s="3"/>
      <c r="Y4707" s="3"/>
      <c r="Z4707" s="3"/>
      <c r="AA4707" s="3"/>
    </row>
    <row r="4708" ht="105.75" customHeight="1">
      <c r="A4708" s="11"/>
      <c r="B4708" s="12"/>
      <c r="C4708" s="11"/>
      <c r="D4708" s="13"/>
      <c r="E4708" s="14"/>
      <c r="F4708" s="14"/>
      <c r="G4708" s="14"/>
      <c r="H4708" s="15"/>
      <c r="I4708" s="15"/>
      <c r="J4708" s="3"/>
      <c r="K4708" s="3"/>
      <c r="L4708" s="3"/>
      <c r="M4708" s="3"/>
      <c r="N4708" s="3"/>
      <c r="O4708" s="3"/>
      <c r="P4708" s="3"/>
      <c r="Q4708" s="3"/>
      <c r="R4708" s="3"/>
      <c r="S4708" s="3"/>
      <c r="T4708" s="3"/>
      <c r="U4708" s="3"/>
      <c r="V4708" s="3"/>
      <c r="W4708" s="3"/>
      <c r="X4708" s="3"/>
      <c r="Y4708" s="3"/>
      <c r="Z4708" s="3"/>
      <c r="AA4708" s="3"/>
    </row>
    <row r="4709" ht="105.75" customHeight="1">
      <c r="A4709" s="11"/>
      <c r="B4709" s="12"/>
      <c r="C4709" s="11"/>
      <c r="D4709" s="13"/>
      <c r="E4709" s="14"/>
      <c r="F4709" s="14"/>
      <c r="G4709" s="14"/>
      <c r="H4709" s="15"/>
      <c r="I4709" s="15"/>
      <c r="J4709" s="3"/>
      <c r="K4709" s="3"/>
      <c r="L4709" s="3"/>
      <c r="M4709" s="3"/>
      <c r="N4709" s="3"/>
      <c r="O4709" s="3"/>
      <c r="P4709" s="3"/>
      <c r="Q4709" s="3"/>
      <c r="R4709" s="3"/>
      <c r="S4709" s="3"/>
      <c r="T4709" s="3"/>
      <c r="U4709" s="3"/>
      <c r="V4709" s="3"/>
      <c r="W4709" s="3"/>
      <c r="X4709" s="3"/>
      <c r="Y4709" s="3"/>
      <c r="Z4709" s="3"/>
      <c r="AA4709" s="3"/>
    </row>
    <row r="4710" ht="105.75" customHeight="1">
      <c r="A4710" s="11"/>
      <c r="B4710" s="12"/>
      <c r="C4710" s="11"/>
      <c r="D4710" s="13"/>
      <c r="E4710" s="14"/>
      <c r="F4710" s="14"/>
      <c r="G4710" s="14"/>
      <c r="H4710" s="15"/>
      <c r="I4710" s="15"/>
      <c r="J4710" s="3"/>
      <c r="K4710" s="3"/>
      <c r="L4710" s="3"/>
      <c r="M4710" s="3"/>
      <c r="N4710" s="3"/>
      <c r="O4710" s="3"/>
      <c r="P4710" s="3"/>
      <c r="Q4710" s="3"/>
      <c r="R4710" s="3"/>
      <c r="S4710" s="3"/>
      <c r="T4710" s="3"/>
      <c r="U4710" s="3"/>
      <c r="V4710" s="3"/>
      <c r="W4710" s="3"/>
      <c r="X4710" s="3"/>
      <c r="Y4710" s="3"/>
      <c r="Z4710" s="3"/>
      <c r="AA4710" s="3"/>
    </row>
    <row r="4711" ht="105.75" customHeight="1">
      <c r="A4711" s="11"/>
      <c r="B4711" s="12"/>
      <c r="C4711" s="11"/>
      <c r="D4711" s="13"/>
      <c r="E4711" s="14"/>
      <c r="F4711" s="14"/>
      <c r="G4711" s="14"/>
      <c r="H4711" s="15"/>
      <c r="I4711" s="15"/>
      <c r="J4711" s="3"/>
      <c r="K4711" s="3"/>
      <c r="L4711" s="3"/>
      <c r="M4711" s="3"/>
      <c r="N4711" s="3"/>
      <c r="O4711" s="3"/>
      <c r="P4711" s="3"/>
      <c r="Q4711" s="3"/>
      <c r="R4711" s="3"/>
      <c r="S4711" s="3"/>
      <c r="T4711" s="3"/>
      <c r="U4711" s="3"/>
      <c r="V4711" s="3"/>
      <c r="W4711" s="3"/>
      <c r="X4711" s="3"/>
      <c r="Y4711" s="3"/>
      <c r="Z4711" s="3"/>
      <c r="AA4711" s="3"/>
    </row>
    <row r="4712" ht="105.75" customHeight="1">
      <c r="A4712" s="11"/>
      <c r="B4712" s="12"/>
      <c r="C4712" s="11"/>
      <c r="D4712" s="13"/>
      <c r="E4712" s="14"/>
      <c r="F4712" s="14"/>
      <c r="G4712" s="14"/>
      <c r="H4712" s="15"/>
      <c r="I4712" s="15"/>
      <c r="J4712" s="3"/>
      <c r="K4712" s="3"/>
      <c r="L4712" s="3"/>
      <c r="M4712" s="3"/>
      <c r="N4712" s="3"/>
      <c r="O4712" s="3"/>
      <c r="P4712" s="3"/>
      <c r="Q4712" s="3"/>
      <c r="R4712" s="3"/>
      <c r="S4712" s="3"/>
      <c r="T4712" s="3"/>
      <c r="U4712" s="3"/>
      <c r="V4712" s="3"/>
      <c r="W4712" s="3"/>
      <c r="X4712" s="3"/>
      <c r="Y4712" s="3"/>
      <c r="Z4712" s="3"/>
      <c r="AA4712" s="3"/>
    </row>
    <row r="4713" ht="105.75" customHeight="1">
      <c r="A4713" s="11"/>
      <c r="B4713" s="12"/>
      <c r="C4713" s="11"/>
      <c r="D4713" s="13"/>
      <c r="E4713" s="14"/>
      <c r="F4713" s="14"/>
      <c r="G4713" s="14"/>
      <c r="H4713" s="15"/>
      <c r="I4713" s="15"/>
      <c r="J4713" s="3"/>
      <c r="K4713" s="3"/>
      <c r="L4713" s="3"/>
      <c r="M4713" s="3"/>
      <c r="N4713" s="3"/>
      <c r="O4713" s="3"/>
      <c r="P4713" s="3"/>
      <c r="Q4713" s="3"/>
      <c r="R4713" s="3"/>
      <c r="S4713" s="3"/>
      <c r="T4713" s="3"/>
      <c r="U4713" s="3"/>
      <c r="V4713" s="3"/>
      <c r="W4713" s="3"/>
      <c r="X4713" s="3"/>
      <c r="Y4713" s="3"/>
      <c r="Z4713" s="3"/>
      <c r="AA4713" s="3"/>
    </row>
    <row r="4714" ht="105.75" customHeight="1">
      <c r="A4714" s="11"/>
      <c r="B4714" s="12"/>
      <c r="C4714" s="11"/>
      <c r="D4714" s="13"/>
      <c r="E4714" s="14"/>
      <c r="F4714" s="14"/>
      <c r="G4714" s="14"/>
      <c r="H4714" s="15"/>
      <c r="I4714" s="15"/>
      <c r="J4714" s="3"/>
      <c r="K4714" s="3"/>
      <c r="L4714" s="3"/>
      <c r="M4714" s="3"/>
      <c r="N4714" s="3"/>
      <c r="O4714" s="3"/>
      <c r="P4714" s="3"/>
      <c r="Q4714" s="3"/>
      <c r="R4714" s="3"/>
      <c r="S4714" s="3"/>
      <c r="T4714" s="3"/>
      <c r="U4714" s="3"/>
      <c r="V4714" s="3"/>
      <c r="W4714" s="3"/>
      <c r="X4714" s="3"/>
      <c r="Y4714" s="3"/>
      <c r="Z4714" s="3"/>
      <c r="AA4714" s="3"/>
    </row>
    <row r="4715" ht="105.75" customHeight="1">
      <c r="A4715" s="11"/>
      <c r="B4715" s="12"/>
      <c r="C4715" s="11"/>
      <c r="D4715" s="13"/>
      <c r="E4715" s="14"/>
      <c r="F4715" s="14"/>
      <c r="G4715" s="14"/>
      <c r="H4715" s="15"/>
      <c r="I4715" s="15"/>
      <c r="J4715" s="3"/>
      <c r="K4715" s="3"/>
      <c r="L4715" s="3"/>
      <c r="M4715" s="3"/>
      <c r="N4715" s="3"/>
      <c r="O4715" s="3"/>
      <c r="P4715" s="3"/>
      <c r="Q4715" s="3"/>
      <c r="R4715" s="3"/>
      <c r="S4715" s="3"/>
      <c r="T4715" s="3"/>
      <c r="U4715" s="3"/>
      <c r="V4715" s="3"/>
      <c r="W4715" s="3"/>
      <c r="X4715" s="3"/>
      <c r="Y4715" s="3"/>
      <c r="Z4715" s="3"/>
      <c r="AA4715" s="3"/>
    </row>
    <row r="4716" ht="105.75" customHeight="1">
      <c r="A4716" s="11"/>
      <c r="B4716" s="12"/>
      <c r="C4716" s="11"/>
      <c r="D4716" s="13"/>
      <c r="E4716" s="14"/>
      <c r="F4716" s="14"/>
      <c r="G4716" s="14"/>
      <c r="H4716" s="15"/>
      <c r="I4716" s="15"/>
      <c r="J4716" s="3"/>
      <c r="K4716" s="3"/>
      <c r="L4716" s="3"/>
      <c r="M4716" s="3"/>
      <c r="N4716" s="3"/>
      <c r="O4716" s="3"/>
      <c r="P4716" s="3"/>
      <c r="Q4716" s="3"/>
      <c r="R4716" s="3"/>
      <c r="S4716" s="3"/>
      <c r="T4716" s="3"/>
      <c r="U4716" s="3"/>
      <c r="V4716" s="3"/>
      <c r="W4716" s="3"/>
      <c r="X4716" s="3"/>
      <c r="Y4716" s="3"/>
      <c r="Z4716" s="3"/>
      <c r="AA4716" s="3"/>
    </row>
    <row r="4717" ht="105.75" customHeight="1">
      <c r="A4717" s="11"/>
      <c r="B4717" s="12"/>
      <c r="C4717" s="11"/>
      <c r="D4717" s="13"/>
      <c r="E4717" s="14"/>
      <c r="F4717" s="14"/>
      <c r="G4717" s="14"/>
      <c r="H4717" s="15"/>
      <c r="I4717" s="15"/>
      <c r="J4717" s="3"/>
      <c r="K4717" s="3"/>
      <c r="L4717" s="3"/>
      <c r="M4717" s="3"/>
      <c r="N4717" s="3"/>
      <c r="O4717" s="3"/>
      <c r="P4717" s="3"/>
      <c r="Q4717" s="3"/>
      <c r="R4717" s="3"/>
      <c r="S4717" s="3"/>
      <c r="T4717" s="3"/>
      <c r="U4717" s="3"/>
      <c r="V4717" s="3"/>
      <c r="W4717" s="3"/>
      <c r="X4717" s="3"/>
      <c r="Y4717" s="3"/>
      <c r="Z4717" s="3"/>
      <c r="AA4717" s="3"/>
    </row>
    <row r="4718" ht="105.75" customHeight="1">
      <c r="A4718" s="11"/>
      <c r="B4718" s="12"/>
      <c r="C4718" s="11"/>
      <c r="D4718" s="13"/>
      <c r="E4718" s="14"/>
      <c r="F4718" s="14"/>
      <c r="G4718" s="14"/>
      <c r="H4718" s="15"/>
      <c r="I4718" s="15"/>
      <c r="J4718" s="3"/>
      <c r="K4718" s="3"/>
      <c r="L4718" s="3"/>
      <c r="M4718" s="3"/>
      <c r="N4718" s="3"/>
      <c r="O4718" s="3"/>
      <c r="P4718" s="3"/>
      <c r="Q4718" s="3"/>
      <c r="R4718" s="3"/>
      <c r="S4718" s="3"/>
      <c r="T4718" s="3"/>
      <c r="U4718" s="3"/>
      <c r="V4718" s="3"/>
      <c r="W4718" s="3"/>
      <c r="X4718" s="3"/>
      <c r="Y4718" s="3"/>
      <c r="Z4718" s="3"/>
      <c r="AA4718" s="3"/>
    </row>
    <row r="4719" ht="105.75" customHeight="1">
      <c r="A4719" s="11"/>
      <c r="B4719" s="12"/>
      <c r="C4719" s="11"/>
      <c r="D4719" s="13"/>
      <c r="E4719" s="14"/>
      <c r="F4719" s="14"/>
      <c r="G4719" s="14"/>
      <c r="H4719" s="15"/>
      <c r="I4719" s="15"/>
      <c r="J4719" s="3"/>
      <c r="K4719" s="3"/>
      <c r="L4719" s="3"/>
      <c r="M4719" s="3"/>
      <c r="N4719" s="3"/>
      <c r="O4719" s="3"/>
      <c r="P4719" s="3"/>
      <c r="Q4719" s="3"/>
      <c r="R4719" s="3"/>
      <c r="S4719" s="3"/>
      <c r="T4719" s="3"/>
      <c r="U4719" s="3"/>
      <c r="V4719" s="3"/>
      <c r="W4719" s="3"/>
      <c r="X4719" s="3"/>
      <c r="Y4719" s="3"/>
      <c r="Z4719" s="3"/>
      <c r="AA4719" s="3"/>
    </row>
    <row r="4720" ht="105.75" customHeight="1">
      <c r="A4720" s="11"/>
      <c r="B4720" s="12"/>
      <c r="C4720" s="11"/>
      <c r="D4720" s="13"/>
      <c r="E4720" s="14"/>
      <c r="F4720" s="14"/>
      <c r="G4720" s="14"/>
      <c r="H4720" s="15"/>
      <c r="I4720" s="15"/>
      <c r="J4720" s="3"/>
      <c r="K4720" s="3"/>
      <c r="L4720" s="3"/>
      <c r="M4720" s="3"/>
      <c r="N4720" s="3"/>
      <c r="O4720" s="3"/>
      <c r="P4720" s="3"/>
      <c r="Q4720" s="3"/>
      <c r="R4720" s="3"/>
      <c r="S4720" s="3"/>
      <c r="T4720" s="3"/>
      <c r="U4720" s="3"/>
      <c r="V4720" s="3"/>
      <c r="W4720" s="3"/>
      <c r="X4720" s="3"/>
      <c r="Y4720" s="3"/>
      <c r="Z4720" s="3"/>
      <c r="AA4720" s="3"/>
    </row>
    <row r="4721" ht="105.75" customHeight="1">
      <c r="A4721" s="11"/>
      <c r="B4721" s="12"/>
      <c r="C4721" s="11"/>
      <c r="D4721" s="13"/>
      <c r="E4721" s="14"/>
      <c r="F4721" s="14"/>
      <c r="G4721" s="14"/>
      <c r="H4721" s="15"/>
      <c r="I4721" s="15"/>
      <c r="J4721" s="3"/>
      <c r="K4721" s="3"/>
      <c r="L4721" s="3"/>
      <c r="M4721" s="3"/>
      <c r="N4721" s="3"/>
      <c r="O4721" s="3"/>
      <c r="P4721" s="3"/>
      <c r="Q4721" s="3"/>
      <c r="R4721" s="3"/>
      <c r="S4721" s="3"/>
      <c r="T4721" s="3"/>
      <c r="U4721" s="3"/>
      <c r="V4721" s="3"/>
      <c r="W4721" s="3"/>
      <c r="X4721" s="3"/>
      <c r="Y4721" s="3"/>
      <c r="Z4721" s="3"/>
      <c r="AA4721" s="3"/>
    </row>
    <row r="4722" ht="105.75" customHeight="1">
      <c r="A4722" s="11"/>
      <c r="B4722" s="12"/>
      <c r="C4722" s="11"/>
      <c r="D4722" s="13"/>
      <c r="E4722" s="14"/>
      <c r="F4722" s="14"/>
      <c r="G4722" s="14"/>
      <c r="H4722" s="15"/>
      <c r="I4722" s="15"/>
      <c r="J4722" s="3"/>
      <c r="K4722" s="3"/>
      <c r="L4722" s="3"/>
      <c r="M4722" s="3"/>
      <c r="N4722" s="3"/>
      <c r="O4722" s="3"/>
      <c r="P4722" s="3"/>
      <c r="Q4722" s="3"/>
      <c r="R4722" s="3"/>
      <c r="S4722" s="3"/>
      <c r="T4722" s="3"/>
      <c r="U4722" s="3"/>
      <c r="V4722" s="3"/>
      <c r="W4722" s="3"/>
      <c r="X4722" s="3"/>
      <c r="Y4722" s="3"/>
      <c r="Z4722" s="3"/>
      <c r="AA4722" s="3"/>
    </row>
    <row r="4723" ht="105.75" customHeight="1">
      <c r="A4723" s="11"/>
      <c r="B4723" s="12"/>
      <c r="C4723" s="11"/>
      <c r="D4723" s="13"/>
      <c r="E4723" s="14"/>
      <c r="F4723" s="14"/>
      <c r="G4723" s="14"/>
      <c r="H4723" s="15"/>
      <c r="I4723" s="15"/>
      <c r="J4723" s="3"/>
      <c r="K4723" s="3"/>
      <c r="L4723" s="3"/>
      <c r="M4723" s="3"/>
      <c r="N4723" s="3"/>
      <c r="O4723" s="3"/>
      <c r="P4723" s="3"/>
      <c r="Q4723" s="3"/>
      <c r="R4723" s="3"/>
      <c r="S4723" s="3"/>
      <c r="T4723" s="3"/>
      <c r="U4723" s="3"/>
      <c r="V4723" s="3"/>
      <c r="W4723" s="3"/>
      <c r="X4723" s="3"/>
      <c r="Y4723" s="3"/>
      <c r="Z4723" s="3"/>
      <c r="AA4723" s="3"/>
    </row>
    <row r="4724" ht="105.75" customHeight="1">
      <c r="A4724" s="11"/>
      <c r="B4724" s="12"/>
      <c r="C4724" s="11"/>
      <c r="D4724" s="13"/>
      <c r="E4724" s="14"/>
      <c r="F4724" s="14"/>
      <c r="G4724" s="14"/>
      <c r="H4724" s="15"/>
      <c r="I4724" s="15"/>
      <c r="J4724" s="3"/>
      <c r="K4724" s="3"/>
      <c r="L4724" s="3"/>
      <c r="M4724" s="3"/>
      <c r="N4724" s="3"/>
      <c r="O4724" s="3"/>
      <c r="P4724" s="3"/>
      <c r="Q4724" s="3"/>
      <c r="R4724" s="3"/>
      <c r="S4724" s="3"/>
      <c r="T4724" s="3"/>
      <c r="U4724" s="3"/>
      <c r="V4724" s="3"/>
      <c r="W4724" s="3"/>
      <c r="X4724" s="3"/>
      <c r="Y4724" s="3"/>
      <c r="Z4724" s="3"/>
      <c r="AA4724" s="3"/>
    </row>
    <row r="4725" ht="105.75" customHeight="1">
      <c r="A4725" s="11"/>
      <c r="B4725" s="12"/>
      <c r="C4725" s="11"/>
      <c r="D4725" s="13"/>
      <c r="E4725" s="14"/>
      <c r="F4725" s="14"/>
      <c r="G4725" s="14"/>
      <c r="H4725" s="15"/>
      <c r="I4725" s="15"/>
      <c r="J4725" s="3"/>
      <c r="K4725" s="3"/>
      <c r="L4725" s="3"/>
      <c r="M4725" s="3"/>
      <c r="N4725" s="3"/>
      <c r="O4725" s="3"/>
      <c r="P4725" s="3"/>
      <c r="Q4725" s="3"/>
      <c r="R4725" s="3"/>
      <c r="S4725" s="3"/>
      <c r="T4725" s="3"/>
      <c r="U4725" s="3"/>
      <c r="V4725" s="3"/>
      <c r="W4725" s="3"/>
      <c r="X4725" s="3"/>
      <c r="Y4725" s="3"/>
      <c r="Z4725" s="3"/>
      <c r="AA4725" s="3"/>
    </row>
    <row r="4726" ht="105.75" customHeight="1">
      <c r="A4726" s="11"/>
      <c r="B4726" s="12"/>
      <c r="C4726" s="11"/>
      <c r="D4726" s="13"/>
      <c r="E4726" s="14"/>
      <c r="F4726" s="14"/>
      <c r="G4726" s="14"/>
      <c r="H4726" s="15"/>
      <c r="I4726" s="15"/>
      <c r="J4726" s="3"/>
      <c r="K4726" s="3"/>
      <c r="L4726" s="3"/>
      <c r="M4726" s="3"/>
      <c r="N4726" s="3"/>
      <c r="O4726" s="3"/>
      <c r="P4726" s="3"/>
      <c r="Q4726" s="3"/>
      <c r="R4726" s="3"/>
      <c r="S4726" s="3"/>
      <c r="T4726" s="3"/>
      <c r="U4726" s="3"/>
      <c r="V4726" s="3"/>
      <c r="W4726" s="3"/>
      <c r="X4726" s="3"/>
      <c r="Y4726" s="3"/>
      <c r="Z4726" s="3"/>
      <c r="AA4726" s="3"/>
    </row>
    <row r="4727" ht="105.75" customHeight="1">
      <c r="A4727" s="11"/>
      <c r="B4727" s="12"/>
      <c r="C4727" s="11"/>
      <c r="D4727" s="13"/>
      <c r="E4727" s="14"/>
      <c r="F4727" s="14"/>
      <c r="G4727" s="14"/>
      <c r="H4727" s="15"/>
      <c r="I4727" s="15"/>
      <c r="J4727" s="3"/>
      <c r="K4727" s="3"/>
      <c r="L4727" s="3"/>
      <c r="M4727" s="3"/>
      <c r="N4727" s="3"/>
      <c r="O4727" s="3"/>
      <c r="P4727" s="3"/>
      <c r="Q4727" s="3"/>
      <c r="R4727" s="3"/>
      <c r="S4727" s="3"/>
      <c r="T4727" s="3"/>
      <c r="U4727" s="3"/>
      <c r="V4727" s="3"/>
      <c r="W4727" s="3"/>
      <c r="X4727" s="3"/>
      <c r="Y4727" s="3"/>
      <c r="Z4727" s="3"/>
      <c r="AA4727" s="3"/>
    </row>
    <row r="4728" ht="105.75" customHeight="1">
      <c r="A4728" s="11"/>
      <c r="B4728" s="12"/>
      <c r="C4728" s="11"/>
      <c r="D4728" s="13"/>
      <c r="E4728" s="14"/>
      <c r="F4728" s="14"/>
      <c r="G4728" s="14"/>
      <c r="H4728" s="15"/>
      <c r="I4728" s="15"/>
      <c r="J4728" s="3"/>
      <c r="K4728" s="3"/>
      <c r="L4728" s="3"/>
      <c r="M4728" s="3"/>
      <c r="N4728" s="3"/>
      <c r="O4728" s="3"/>
      <c r="P4728" s="3"/>
      <c r="Q4728" s="3"/>
      <c r="R4728" s="3"/>
      <c r="S4728" s="3"/>
      <c r="T4728" s="3"/>
      <c r="U4728" s="3"/>
      <c r="V4728" s="3"/>
      <c r="W4728" s="3"/>
      <c r="X4728" s="3"/>
      <c r="Y4728" s="3"/>
      <c r="Z4728" s="3"/>
      <c r="AA4728" s="3"/>
    </row>
    <row r="4729" ht="105.75" customHeight="1">
      <c r="A4729" s="11"/>
      <c r="B4729" s="12"/>
      <c r="C4729" s="11"/>
      <c r="D4729" s="13"/>
      <c r="E4729" s="14"/>
      <c r="F4729" s="14"/>
      <c r="G4729" s="14"/>
      <c r="H4729" s="15"/>
      <c r="I4729" s="15"/>
      <c r="J4729" s="3"/>
      <c r="K4729" s="3"/>
      <c r="L4729" s="3"/>
      <c r="M4729" s="3"/>
      <c r="N4729" s="3"/>
      <c r="O4729" s="3"/>
      <c r="P4729" s="3"/>
      <c r="Q4729" s="3"/>
      <c r="R4729" s="3"/>
      <c r="S4729" s="3"/>
      <c r="T4729" s="3"/>
      <c r="U4729" s="3"/>
      <c r="V4729" s="3"/>
      <c r="W4729" s="3"/>
      <c r="X4729" s="3"/>
      <c r="Y4729" s="3"/>
      <c r="Z4729" s="3"/>
      <c r="AA4729" s="3"/>
    </row>
    <row r="4730" ht="105.75" customHeight="1">
      <c r="A4730" s="11"/>
      <c r="B4730" s="12"/>
      <c r="C4730" s="11"/>
      <c r="D4730" s="13"/>
      <c r="E4730" s="14"/>
      <c r="F4730" s="14"/>
      <c r="G4730" s="14"/>
      <c r="H4730" s="15"/>
      <c r="I4730" s="15"/>
      <c r="J4730" s="3"/>
      <c r="K4730" s="3"/>
      <c r="L4730" s="3"/>
      <c r="M4730" s="3"/>
      <c r="N4730" s="3"/>
      <c r="O4730" s="3"/>
      <c r="P4730" s="3"/>
      <c r="Q4730" s="3"/>
      <c r="R4730" s="3"/>
      <c r="S4730" s="3"/>
      <c r="T4730" s="3"/>
      <c r="U4730" s="3"/>
      <c r="V4730" s="3"/>
      <c r="W4730" s="3"/>
      <c r="X4730" s="3"/>
      <c r="Y4730" s="3"/>
      <c r="Z4730" s="3"/>
      <c r="AA4730" s="3"/>
    </row>
    <row r="4731" ht="105.75" customHeight="1">
      <c r="A4731" s="11"/>
      <c r="B4731" s="12"/>
      <c r="C4731" s="11"/>
      <c r="D4731" s="13"/>
      <c r="E4731" s="14"/>
      <c r="F4731" s="14"/>
      <c r="G4731" s="14"/>
      <c r="H4731" s="15"/>
      <c r="I4731" s="15"/>
      <c r="J4731" s="3"/>
      <c r="K4731" s="3"/>
      <c r="L4731" s="3"/>
      <c r="M4731" s="3"/>
      <c r="N4731" s="3"/>
      <c r="O4731" s="3"/>
      <c r="P4731" s="3"/>
      <c r="Q4731" s="3"/>
      <c r="R4731" s="3"/>
      <c r="S4731" s="3"/>
      <c r="T4731" s="3"/>
      <c r="U4731" s="3"/>
      <c r="V4731" s="3"/>
      <c r="W4731" s="3"/>
      <c r="X4731" s="3"/>
      <c r="Y4731" s="3"/>
      <c r="Z4731" s="3"/>
      <c r="AA4731" s="3"/>
    </row>
    <row r="4732" ht="105.75" customHeight="1">
      <c r="A4732" s="11"/>
      <c r="B4732" s="12"/>
      <c r="C4732" s="11"/>
      <c r="D4732" s="13"/>
      <c r="E4732" s="14"/>
      <c r="F4732" s="14"/>
      <c r="G4732" s="14"/>
      <c r="H4732" s="15"/>
      <c r="I4732" s="15"/>
      <c r="J4732" s="3"/>
      <c r="K4732" s="3"/>
      <c r="L4732" s="3"/>
      <c r="M4732" s="3"/>
      <c r="N4732" s="3"/>
      <c r="O4732" s="3"/>
      <c r="P4732" s="3"/>
      <c r="Q4732" s="3"/>
      <c r="R4732" s="3"/>
      <c r="S4732" s="3"/>
      <c r="T4732" s="3"/>
      <c r="U4732" s="3"/>
      <c r="V4732" s="3"/>
      <c r="W4732" s="3"/>
      <c r="X4732" s="3"/>
      <c r="Y4732" s="3"/>
      <c r="Z4732" s="3"/>
      <c r="AA4732" s="3"/>
    </row>
    <row r="4733" ht="105.75" customHeight="1">
      <c r="A4733" s="11"/>
      <c r="B4733" s="12"/>
      <c r="C4733" s="11"/>
      <c r="D4733" s="13"/>
      <c r="E4733" s="14"/>
      <c r="F4733" s="14"/>
      <c r="G4733" s="14"/>
      <c r="H4733" s="15"/>
      <c r="I4733" s="15"/>
      <c r="J4733" s="3"/>
      <c r="K4733" s="3"/>
      <c r="L4733" s="3"/>
      <c r="M4733" s="3"/>
      <c r="N4733" s="3"/>
      <c r="O4733" s="3"/>
      <c r="P4733" s="3"/>
      <c r="Q4733" s="3"/>
      <c r="R4733" s="3"/>
      <c r="S4733" s="3"/>
      <c r="T4733" s="3"/>
      <c r="U4733" s="3"/>
      <c r="V4733" s="3"/>
      <c r="W4733" s="3"/>
      <c r="X4733" s="3"/>
      <c r="Y4733" s="3"/>
      <c r="Z4733" s="3"/>
      <c r="AA4733" s="3"/>
    </row>
    <row r="4734" ht="105.75" customHeight="1">
      <c r="A4734" s="11"/>
      <c r="B4734" s="12"/>
      <c r="C4734" s="11"/>
      <c r="D4734" s="13"/>
      <c r="E4734" s="14"/>
      <c r="F4734" s="14"/>
      <c r="G4734" s="14"/>
      <c r="H4734" s="15"/>
      <c r="I4734" s="15"/>
      <c r="J4734" s="3"/>
      <c r="K4734" s="3"/>
      <c r="L4734" s="3"/>
      <c r="M4734" s="3"/>
      <c r="N4734" s="3"/>
      <c r="O4734" s="3"/>
      <c r="P4734" s="3"/>
      <c r="Q4734" s="3"/>
      <c r="R4734" s="3"/>
      <c r="S4734" s="3"/>
      <c r="T4734" s="3"/>
      <c r="U4734" s="3"/>
      <c r="V4734" s="3"/>
      <c r="W4734" s="3"/>
      <c r="X4734" s="3"/>
      <c r="Y4734" s="3"/>
      <c r="Z4734" s="3"/>
      <c r="AA4734" s="3"/>
    </row>
    <row r="4735" ht="105.75" customHeight="1">
      <c r="A4735" s="11"/>
      <c r="B4735" s="12"/>
      <c r="C4735" s="11"/>
      <c r="D4735" s="13"/>
      <c r="E4735" s="14"/>
      <c r="F4735" s="14"/>
      <c r="G4735" s="14"/>
      <c r="H4735" s="15"/>
      <c r="I4735" s="15"/>
      <c r="J4735" s="3"/>
      <c r="K4735" s="3"/>
      <c r="L4735" s="3"/>
      <c r="M4735" s="3"/>
      <c r="N4735" s="3"/>
      <c r="O4735" s="3"/>
      <c r="P4735" s="3"/>
      <c r="Q4735" s="3"/>
      <c r="R4735" s="3"/>
      <c r="S4735" s="3"/>
      <c r="T4735" s="3"/>
      <c r="U4735" s="3"/>
      <c r="V4735" s="3"/>
      <c r="W4735" s="3"/>
      <c r="X4735" s="3"/>
      <c r="Y4735" s="3"/>
      <c r="Z4735" s="3"/>
      <c r="AA4735" s="3"/>
    </row>
    <row r="4736" ht="105.75" customHeight="1">
      <c r="A4736" s="11"/>
      <c r="B4736" s="12"/>
      <c r="C4736" s="11"/>
      <c r="D4736" s="13"/>
      <c r="E4736" s="14"/>
      <c r="F4736" s="14"/>
      <c r="G4736" s="14"/>
      <c r="H4736" s="15"/>
      <c r="I4736" s="15"/>
      <c r="J4736" s="3"/>
      <c r="K4736" s="3"/>
      <c r="L4736" s="3"/>
      <c r="M4736" s="3"/>
      <c r="N4736" s="3"/>
      <c r="O4736" s="3"/>
      <c r="P4736" s="3"/>
      <c r="Q4736" s="3"/>
      <c r="R4736" s="3"/>
      <c r="S4736" s="3"/>
      <c r="T4736" s="3"/>
      <c r="U4736" s="3"/>
      <c r="V4736" s="3"/>
      <c r="W4736" s="3"/>
      <c r="X4736" s="3"/>
      <c r="Y4736" s="3"/>
      <c r="Z4736" s="3"/>
      <c r="AA4736" s="3"/>
    </row>
    <row r="4737" ht="105.75" customHeight="1">
      <c r="A4737" s="11"/>
      <c r="B4737" s="12"/>
      <c r="C4737" s="11"/>
      <c r="D4737" s="13"/>
      <c r="E4737" s="14"/>
      <c r="F4737" s="14"/>
      <c r="G4737" s="14"/>
      <c r="H4737" s="15"/>
      <c r="I4737" s="15"/>
      <c r="J4737" s="3"/>
      <c r="K4737" s="3"/>
      <c r="L4737" s="3"/>
      <c r="M4737" s="3"/>
      <c r="N4737" s="3"/>
      <c r="O4737" s="3"/>
      <c r="P4737" s="3"/>
      <c r="Q4737" s="3"/>
      <c r="R4737" s="3"/>
      <c r="S4737" s="3"/>
      <c r="T4737" s="3"/>
      <c r="U4737" s="3"/>
      <c r="V4737" s="3"/>
      <c r="W4737" s="3"/>
      <c r="X4737" s="3"/>
      <c r="Y4737" s="3"/>
      <c r="Z4737" s="3"/>
      <c r="AA4737" s="3"/>
    </row>
    <row r="4738" ht="105.75" customHeight="1">
      <c r="A4738" s="11"/>
      <c r="B4738" s="12"/>
      <c r="C4738" s="11"/>
      <c r="D4738" s="13"/>
      <c r="E4738" s="14"/>
      <c r="F4738" s="14"/>
      <c r="G4738" s="14"/>
      <c r="H4738" s="15"/>
      <c r="I4738" s="15"/>
      <c r="J4738" s="3"/>
      <c r="K4738" s="3"/>
      <c r="L4738" s="3"/>
      <c r="M4738" s="3"/>
      <c r="N4738" s="3"/>
      <c r="O4738" s="3"/>
      <c r="P4738" s="3"/>
      <c r="Q4738" s="3"/>
      <c r="R4738" s="3"/>
      <c r="S4738" s="3"/>
      <c r="T4738" s="3"/>
      <c r="U4738" s="3"/>
      <c r="V4738" s="3"/>
      <c r="W4738" s="3"/>
      <c r="X4738" s="3"/>
      <c r="Y4738" s="3"/>
      <c r="Z4738" s="3"/>
      <c r="AA4738" s="3"/>
    </row>
    <row r="4739" ht="105.75" customHeight="1">
      <c r="A4739" s="11"/>
      <c r="B4739" s="12"/>
      <c r="C4739" s="11"/>
      <c r="D4739" s="13"/>
      <c r="E4739" s="14"/>
      <c r="F4739" s="14"/>
      <c r="G4739" s="14"/>
      <c r="H4739" s="15"/>
      <c r="I4739" s="15"/>
      <c r="J4739" s="3"/>
      <c r="K4739" s="3"/>
      <c r="L4739" s="3"/>
      <c r="M4739" s="3"/>
      <c r="N4739" s="3"/>
      <c r="O4739" s="3"/>
      <c r="P4739" s="3"/>
      <c r="Q4739" s="3"/>
      <c r="R4739" s="3"/>
      <c r="S4739" s="3"/>
      <c r="T4739" s="3"/>
      <c r="U4739" s="3"/>
      <c r="V4739" s="3"/>
      <c r="W4739" s="3"/>
      <c r="X4739" s="3"/>
      <c r="Y4739" s="3"/>
      <c r="Z4739" s="3"/>
      <c r="AA4739" s="3"/>
    </row>
    <row r="4740" ht="105.75" customHeight="1">
      <c r="A4740" s="11"/>
      <c r="B4740" s="12"/>
      <c r="C4740" s="11"/>
      <c r="D4740" s="13"/>
      <c r="E4740" s="14"/>
      <c r="F4740" s="14"/>
      <c r="G4740" s="14"/>
      <c r="H4740" s="15"/>
      <c r="I4740" s="15"/>
      <c r="J4740" s="3"/>
      <c r="K4740" s="3"/>
      <c r="L4740" s="3"/>
      <c r="M4740" s="3"/>
      <c r="N4740" s="3"/>
      <c r="O4740" s="3"/>
      <c r="P4740" s="3"/>
      <c r="Q4740" s="3"/>
      <c r="R4740" s="3"/>
      <c r="S4740" s="3"/>
      <c r="T4740" s="3"/>
      <c r="U4740" s="3"/>
      <c r="V4740" s="3"/>
      <c r="W4740" s="3"/>
      <c r="X4740" s="3"/>
      <c r="Y4740" s="3"/>
      <c r="Z4740" s="3"/>
      <c r="AA4740" s="3"/>
    </row>
    <row r="4741" ht="105.75" customHeight="1">
      <c r="A4741" s="11"/>
      <c r="B4741" s="12"/>
      <c r="C4741" s="11"/>
      <c r="D4741" s="13"/>
      <c r="E4741" s="14"/>
      <c r="F4741" s="14"/>
      <c r="G4741" s="14"/>
      <c r="H4741" s="15"/>
      <c r="I4741" s="15"/>
      <c r="J4741" s="3"/>
      <c r="K4741" s="3"/>
      <c r="L4741" s="3"/>
      <c r="M4741" s="3"/>
      <c r="N4741" s="3"/>
      <c r="O4741" s="3"/>
      <c r="P4741" s="3"/>
      <c r="Q4741" s="3"/>
      <c r="R4741" s="3"/>
      <c r="S4741" s="3"/>
      <c r="T4741" s="3"/>
      <c r="U4741" s="3"/>
      <c r="V4741" s="3"/>
      <c r="W4741" s="3"/>
      <c r="X4741" s="3"/>
      <c r="Y4741" s="3"/>
      <c r="Z4741" s="3"/>
      <c r="AA4741" s="3"/>
    </row>
    <row r="4742" ht="105.75" customHeight="1">
      <c r="A4742" s="11"/>
      <c r="B4742" s="12"/>
      <c r="C4742" s="11"/>
      <c r="D4742" s="13"/>
      <c r="E4742" s="14"/>
      <c r="F4742" s="14"/>
      <c r="G4742" s="14"/>
      <c r="H4742" s="15"/>
      <c r="I4742" s="15"/>
      <c r="J4742" s="3"/>
      <c r="K4742" s="3"/>
      <c r="L4742" s="3"/>
      <c r="M4742" s="3"/>
      <c r="N4742" s="3"/>
      <c r="O4742" s="3"/>
      <c r="P4742" s="3"/>
      <c r="Q4742" s="3"/>
      <c r="R4742" s="3"/>
      <c r="S4742" s="3"/>
      <c r="T4742" s="3"/>
      <c r="U4742" s="3"/>
      <c r="V4742" s="3"/>
      <c r="W4742" s="3"/>
      <c r="X4742" s="3"/>
      <c r="Y4742" s="3"/>
      <c r="Z4742" s="3"/>
      <c r="AA4742" s="3"/>
    </row>
    <row r="4743" ht="105.75" customHeight="1">
      <c r="A4743" s="11"/>
      <c r="B4743" s="12"/>
      <c r="C4743" s="11"/>
      <c r="D4743" s="13"/>
      <c r="E4743" s="14"/>
      <c r="F4743" s="14"/>
      <c r="G4743" s="14"/>
      <c r="H4743" s="15"/>
      <c r="I4743" s="15"/>
      <c r="J4743" s="3"/>
      <c r="K4743" s="3"/>
      <c r="L4743" s="3"/>
      <c r="M4743" s="3"/>
      <c r="N4743" s="3"/>
      <c r="O4743" s="3"/>
      <c r="P4743" s="3"/>
      <c r="Q4743" s="3"/>
      <c r="R4743" s="3"/>
      <c r="S4743" s="3"/>
      <c r="T4743" s="3"/>
      <c r="U4743" s="3"/>
      <c r="V4743" s="3"/>
      <c r="W4743" s="3"/>
      <c r="X4743" s="3"/>
      <c r="Y4743" s="3"/>
      <c r="Z4743" s="3"/>
      <c r="AA4743" s="3"/>
    </row>
    <row r="4744" ht="105.75" customHeight="1">
      <c r="A4744" s="11"/>
      <c r="B4744" s="12"/>
      <c r="C4744" s="11"/>
      <c r="D4744" s="13"/>
      <c r="E4744" s="14"/>
      <c r="F4744" s="14"/>
      <c r="G4744" s="14"/>
      <c r="H4744" s="15"/>
      <c r="I4744" s="15"/>
      <c r="J4744" s="3"/>
      <c r="K4744" s="3"/>
      <c r="L4744" s="3"/>
      <c r="M4744" s="3"/>
      <c r="N4744" s="3"/>
      <c r="O4744" s="3"/>
      <c r="P4744" s="3"/>
      <c r="Q4744" s="3"/>
      <c r="R4744" s="3"/>
      <c r="S4744" s="3"/>
      <c r="T4744" s="3"/>
      <c r="U4744" s="3"/>
      <c r="V4744" s="3"/>
      <c r="W4744" s="3"/>
      <c r="X4744" s="3"/>
      <c r="Y4744" s="3"/>
      <c r="Z4744" s="3"/>
      <c r="AA4744" s="3"/>
    </row>
    <row r="4745" ht="105.75" customHeight="1">
      <c r="A4745" s="11"/>
      <c r="B4745" s="12"/>
      <c r="C4745" s="11"/>
      <c r="D4745" s="13"/>
      <c r="E4745" s="14"/>
      <c r="F4745" s="14"/>
      <c r="G4745" s="14"/>
      <c r="H4745" s="15"/>
      <c r="I4745" s="15"/>
      <c r="J4745" s="3"/>
      <c r="K4745" s="3"/>
      <c r="L4745" s="3"/>
      <c r="M4745" s="3"/>
      <c r="N4745" s="3"/>
      <c r="O4745" s="3"/>
      <c r="P4745" s="3"/>
      <c r="Q4745" s="3"/>
      <c r="R4745" s="3"/>
      <c r="S4745" s="3"/>
      <c r="T4745" s="3"/>
      <c r="U4745" s="3"/>
      <c r="V4745" s="3"/>
      <c r="W4745" s="3"/>
      <c r="X4745" s="3"/>
      <c r="Y4745" s="3"/>
      <c r="Z4745" s="3"/>
      <c r="AA4745" s="3"/>
    </row>
    <row r="4746" ht="105.75" customHeight="1">
      <c r="A4746" s="11"/>
      <c r="B4746" s="12"/>
      <c r="C4746" s="11"/>
      <c r="D4746" s="13"/>
      <c r="E4746" s="14"/>
      <c r="F4746" s="14"/>
      <c r="G4746" s="14"/>
      <c r="H4746" s="15"/>
      <c r="I4746" s="15"/>
      <c r="J4746" s="3"/>
      <c r="K4746" s="3"/>
      <c r="L4746" s="3"/>
      <c r="M4746" s="3"/>
      <c r="N4746" s="3"/>
      <c r="O4746" s="3"/>
      <c r="P4746" s="3"/>
      <c r="Q4746" s="3"/>
      <c r="R4746" s="3"/>
      <c r="S4746" s="3"/>
      <c r="T4746" s="3"/>
      <c r="U4746" s="3"/>
      <c r="V4746" s="3"/>
      <c r="W4746" s="3"/>
      <c r="X4746" s="3"/>
      <c r="Y4746" s="3"/>
      <c r="Z4746" s="3"/>
      <c r="AA4746" s="3"/>
    </row>
    <row r="4747" ht="105.75" customHeight="1">
      <c r="A4747" s="11"/>
      <c r="B4747" s="12"/>
      <c r="C4747" s="11"/>
      <c r="D4747" s="13"/>
      <c r="E4747" s="14"/>
      <c r="F4747" s="14"/>
      <c r="G4747" s="14"/>
      <c r="H4747" s="15"/>
      <c r="I4747" s="15"/>
      <c r="J4747" s="3"/>
      <c r="K4747" s="3"/>
      <c r="L4747" s="3"/>
      <c r="M4747" s="3"/>
      <c r="N4747" s="3"/>
      <c r="O4747" s="3"/>
      <c r="P4747" s="3"/>
      <c r="Q4747" s="3"/>
      <c r="R4747" s="3"/>
      <c r="S4747" s="3"/>
      <c r="T4747" s="3"/>
      <c r="U4747" s="3"/>
      <c r="V4747" s="3"/>
      <c r="W4747" s="3"/>
      <c r="X4747" s="3"/>
      <c r="Y4747" s="3"/>
      <c r="Z4747" s="3"/>
      <c r="AA4747" s="3"/>
    </row>
    <row r="4748" ht="105.75" customHeight="1">
      <c r="A4748" s="11"/>
      <c r="B4748" s="12"/>
      <c r="C4748" s="11"/>
      <c r="D4748" s="13"/>
      <c r="E4748" s="14"/>
      <c r="F4748" s="14"/>
      <c r="G4748" s="14"/>
      <c r="H4748" s="15"/>
      <c r="I4748" s="15"/>
      <c r="J4748" s="3"/>
      <c r="K4748" s="3"/>
      <c r="L4748" s="3"/>
      <c r="M4748" s="3"/>
      <c r="N4748" s="3"/>
      <c r="O4748" s="3"/>
      <c r="P4748" s="3"/>
      <c r="Q4748" s="3"/>
      <c r="R4748" s="3"/>
      <c r="S4748" s="3"/>
      <c r="T4748" s="3"/>
      <c r="U4748" s="3"/>
      <c r="V4748" s="3"/>
      <c r="W4748" s="3"/>
      <c r="X4748" s="3"/>
      <c r="Y4748" s="3"/>
      <c r="Z4748" s="3"/>
      <c r="AA4748" s="3"/>
    </row>
    <row r="4749" ht="105.75" customHeight="1">
      <c r="A4749" s="11"/>
      <c r="B4749" s="12"/>
      <c r="C4749" s="11"/>
      <c r="D4749" s="13"/>
      <c r="E4749" s="14"/>
      <c r="F4749" s="14"/>
      <c r="G4749" s="14"/>
      <c r="H4749" s="15"/>
      <c r="I4749" s="15"/>
      <c r="J4749" s="3"/>
      <c r="K4749" s="3"/>
      <c r="L4749" s="3"/>
      <c r="M4749" s="3"/>
      <c r="N4749" s="3"/>
      <c r="O4749" s="3"/>
      <c r="P4749" s="3"/>
      <c r="Q4749" s="3"/>
      <c r="R4749" s="3"/>
      <c r="S4749" s="3"/>
      <c r="T4749" s="3"/>
      <c r="U4749" s="3"/>
      <c r="V4749" s="3"/>
      <c r="W4749" s="3"/>
      <c r="X4749" s="3"/>
      <c r="Y4749" s="3"/>
      <c r="Z4749" s="3"/>
      <c r="AA4749" s="3"/>
    </row>
    <row r="4750" ht="105.75" customHeight="1">
      <c r="A4750" s="11"/>
      <c r="B4750" s="12"/>
      <c r="C4750" s="11"/>
      <c r="D4750" s="13"/>
      <c r="E4750" s="14"/>
      <c r="F4750" s="14"/>
      <c r="G4750" s="14"/>
      <c r="H4750" s="15"/>
      <c r="I4750" s="15"/>
      <c r="J4750" s="3"/>
      <c r="K4750" s="3"/>
      <c r="L4750" s="3"/>
      <c r="M4750" s="3"/>
      <c r="N4750" s="3"/>
      <c r="O4750" s="3"/>
      <c r="P4750" s="3"/>
      <c r="Q4750" s="3"/>
      <c r="R4750" s="3"/>
      <c r="S4750" s="3"/>
      <c r="T4750" s="3"/>
      <c r="U4750" s="3"/>
      <c r="V4750" s="3"/>
      <c r="W4750" s="3"/>
      <c r="X4750" s="3"/>
      <c r="Y4750" s="3"/>
      <c r="Z4750" s="3"/>
      <c r="AA4750" s="3"/>
    </row>
    <row r="4751" ht="105.75" customHeight="1">
      <c r="A4751" s="11"/>
      <c r="B4751" s="12"/>
      <c r="C4751" s="11"/>
      <c r="D4751" s="13"/>
      <c r="E4751" s="14"/>
      <c r="F4751" s="14"/>
      <c r="G4751" s="14"/>
      <c r="H4751" s="15"/>
      <c r="I4751" s="15"/>
      <c r="J4751" s="3"/>
      <c r="K4751" s="3"/>
      <c r="L4751" s="3"/>
      <c r="M4751" s="3"/>
      <c r="N4751" s="3"/>
      <c r="O4751" s="3"/>
      <c r="P4751" s="3"/>
      <c r="Q4751" s="3"/>
      <c r="R4751" s="3"/>
      <c r="S4751" s="3"/>
      <c r="T4751" s="3"/>
      <c r="U4751" s="3"/>
      <c r="V4751" s="3"/>
      <c r="W4751" s="3"/>
      <c r="X4751" s="3"/>
      <c r="Y4751" s="3"/>
      <c r="Z4751" s="3"/>
      <c r="AA4751" s="3"/>
    </row>
    <row r="4752" ht="105.75" customHeight="1">
      <c r="A4752" s="11"/>
      <c r="B4752" s="12"/>
      <c r="C4752" s="11"/>
      <c r="D4752" s="13"/>
      <c r="E4752" s="14"/>
      <c r="F4752" s="14"/>
      <c r="G4752" s="14"/>
      <c r="H4752" s="15"/>
      <c r="I4752" s="15"/>
      <c r="J4752" s="3"/>
      <c r="K4752" s="3"/>
      <c r="L4752" s="3"/>
      <c r="M4752" s="3"/>
      <c r="N4752" s="3"/>
      <c r="O4752" s="3"/>
      <c r="P4752" s="3"/>
      <c r="Q4752" s="3"/>
      <c r="R4752" s="3"/>
      <c r="S4752" s="3"/>
      <c r="T4752" s="3"/>
      <c r="U4752" s="3"/>
      <c r="V4752" s="3"/>
      <c r="W4752" s="3"/>
      <c r="X4752" s="3"/>
      <c r="Y4752" s="3"/>
      <c r="Z4752" s="3"/>
      <c r="AA4752" s="3"/>
    </row>
    <row r="4753" ht="105.75" customHeight="1">
      <c r="A4753" s="11"/>
      <c r="B4753" s="12"/>
      <c r="C4753" s="11"/>
      <c r="D4753" s="13"/>
      <c r="E4753" s="14"/>
      <c r="F4753" s="14"/>
      <c r="G4753" s="14"/>
      <c r="H4753" s="15"/>
      <c r="I4753" s="15"/>
      <c r="J4753" s="3"/>
      <c r="K4753" s="3"/>
      <c r="L4753" s="3"/>
      <c r="M4753" s="3"/>
      <c r="N4753" s="3"/>
      <c r="O4753" s="3"/>
      <c r="P4753" s="3"/>
      <c r="Q4753" s="3"/>
      <c r="R4753" s="3"/>
      <c r="S4753" s="3"/>
      <c r="T4753" s="3"/>
      <c r="U4753" s="3"/>
      <c r="V4753" s="3"/>
      <c r="W4753" s="3"/>
      <c r="X4753" s="3"/>
      <c r="Y4753" s="3"/>
      <c r="Z4753" s="3"/>
      <c r="AA4753" s="3"/>
    </row>
    <row r="4754" ht="105.75" customHeight="1">
      <c r="A4754" s="11"/>
      <c r="B4754" s="12"/>
      <c r="C4754" s="11"/>
      <c r="D4754" s="13"/>
      <c r="E4754" s="14"/>
      <c r="F4754" s="14"/>
      <c r="G4754" s="14"/>
      <c r="H4754" s="15"/>
      <c r="I4754" s="15"/>
      <c r="J4754" s="3"/>
      <c r="K4754" s="3"/>
      <c r="L4754" s="3"/>
      <c r="M4754" s="3"/>
      <c r="N4754" s="3"/>
      <c r="O4754" s="3"/>
      <c r="P4754" s="3"/>
      <c r="Q4754" s="3"/>
      <c r="R4754" s="3"/>
      <c r="S4754" s="3"/>
      <c r="T4754" s="3"/>
      <c r="U4754" s="3"/>
      <c r="V4754" s="3"/>
      <c r="W4754" s="3"/>
      <c r="X4754" s="3"/>
      <c r="Y4754" s="3"/>
      <c r="Z4754" s="3"/>
      <c r="AA4754" s="3"/>
    </row>
    <row r="4755" ht="105.75" customHeight="1">
      <c r="A4755" s="11"/>
      <c r="B4755" s="12"/>
      <c r="C4755" s="11"/>
      <c r="D4755" s="13"/>
      <c r="E4755" s="14"/>
      <c r="F4755" s="14"/>
      <c r="G4755" s="14"/>
      <c r="H4755" s="15"/>
      <c r="I4755" s="15"/>
      <c r="J4755" s="3"/>
      <c r="K4755" s="3"/>
      <c r="L4755" s="3"/>
      <c r="M4755" s="3"/>
      <c r="N4755" s="3"/>
      <c r="O4755" s="3"/>
      <c r="P4755" s="3"/>
      <c r="Q4755" s="3"/>
      <c r="R4755" s="3"/>
      <c r="S4755" s="3"/>
      <c r="T4755" s="3"/>
      <c r="U4755" s="3"/>
      <c r="V4755" s="3"/>
      <c r="W4755" s="3"/>
      <c r="X4755" s="3"/>
      <c r="Y4755" s="3"/>
      <c r="Z4755" s="3"/>
      <c r="AA4755" s="3"/>
    </row>
    <row r="4756" ht="105.75" customHeight="1">
      <c r="A4756" s="11"/>
      <c r="B4756" s="12"/>
      <c r="C4756" s="11"/>
      <c r="D4756" s="13"/>
      <c r="E4756" s="14"/>
      <c r="F4756" s="14"/>
      <c r="G4756" s="14"/>
      <c r="H4756" s="15"/>
      <c r="I4756" s="15"/>
      <c r="J4756" s="3"/>
      <c r="K4756" s="3"/>
      <c r="L4756" s="3"/>
      <c r="M4756" s="3"/>
      <c r="N4756" s="3"/>
      <c r="O4756" s="3"/>
      <c r="P4756" s="3"/>
      <c r="Q4756" s="3"/>
      <c r="R4756" s="3"/>
      <c r="S4756" s="3"/>
      <c r="T4756" s="3"/>
      <c r="U4756" s="3"/>
      <c r="V4756" s="3"/>
      <c r="W4756" s="3"/>
      <c r="X4756" s="3"/>
      <c r="Y4756" s="3"/>
      <c r="Z4756" s="3"/>
      <c r="AA4756" s="3"/>
    </row>
    <row r="4757" ht="105.75" customHeight="1">
      <c r="A4757" s="11"/>
      <c r="B4757" s="12"/>
      <c r="C4757" s="11"/>
      <c r="D4757" s="13"/>
      <c r="E4757" s="14"/>
      <c r="F4757" s="14"/>
      <c r="G4757" s="14"/>
      <c r="H4757" s="15"/>
      <c r="I4757" s="15"/>
      <c r="J4757" s="3"/>
      <c r="K4757" s="3"/>
      <c r="L4757" s="3"/>
      <c r="M4757" s="3"/>
      <c r="N4757" s="3"/>
      <c r="O4757" s="3"/>
      <c r="P4757" s="3"/>
      <c r="Q4757" s="3"/>
      <c r="R4757" s="3"/>
      <c r="S4757" s="3"/>
      <c r="T4757" s="3"/>
      <c r="U4757" s="3"/>
      <c r="V4757" s="3"/>
      <c r="W4757" s="3"/>
      <c r="X4757" s="3"/>
      <c r="Y4757" s="3"/>
      <c r="Z4757" s="3"/>
      <c r="AA4757" s="3"/>
    </row>
    <row r="4758" ht="105.75" customHeight="1">
      <c r="A4758" s="11"/>
      <c r="B4758" s="12"/>
      <c r="C4758" s="11"/>
      <c r="D4758" s="13"/>
      <c r="E4758" s="14"/>
      <c r="F4758" s="14"/>
      <c r="G4758" s="14"/>
      <c r="H4758" s="15"/>
      <c r="I4758" s="15"/>
      <c r="J4758" s="3"/>
      <c r="K4758" s="3"/>
      <c r="L4758" s="3"/>
      <c r="M4758" s="3"/>
      <c r="N4758" s="3"/>
      <c r="O4758" s="3"/>
      <c r="P4758" s="3"/>
      <c r="Q4758" s="3"/>
      <c r="R4758" s="3"/>
      <c r="S4758" s="3"/>
      <c r="T4758" s="3"/>
      <c r="U4758" s="3"/>
      <c r="V4758" s="3"/>
      <c r="W4758" s="3"/>
      <c r="X4758" s="3"/>
      <c r="Y4758" s="3"/>
      <c r="Z4758" s="3"/>
      <c r="AA4758" s="3"/>
    </row>
    <row r="4759" ht="105.75" customHeight="1">
      <c r="A4759" s="11"/>
      <c r="B4759" s="12"/>
      <c r="C4759" s="11"/>
      <c r="D4759" s="13"/>
      <c r="E4759" s="14"/>
      <c r="F4759" s="14"/>
      <c r="G4759" s="14"/>
      <c r="H4759" s="15"/>
      <c r="I4759" s="15"/>
      <c r="J4759" s="3"/>
      <c r="K4759" s="3"/>
      <c r="L4759" s="3"/>
      <c r="M4759" s="3"/>
      <c r="N4759" s="3"/>
      <c r="O4759" s="3"/>
      <c r="P4759" s="3"/>
      <c r="Q4759" s="3"/>
      <c r="R4759" s="3"/>
      <c r="S4759" s="3"/>
      <c r="T4759" s="3"/>
      <c r="U4759" s="3"/>
      <c r="V4759" s="3"/>
      <c r="W4759" s="3"/>
      <c r="X4759" s="3"/>
      <c r="Y4759" s="3"/>
      <c r="Z4759" s="3"/>
      <c r="AA4759" s="3"/>
    </row>
    <row r="4760" ht="105.75" customHeight="1">
      <c r="A4760" s="11"/>
      <c r="B4760" s="12"/>
      <c r="C4760" s="11"/>
      <c r="D4760" s="13"/>
      <c r="E4760" s="14"/>
      <c r="F4760" s="14"/>
      <c r="G4760" s="14"/>
      <c r="H4760" s="15"/>
      <c r="I4760" s="15"/>
      <c r="J4760" s="3"/>
      <c r="K4760" s="3"/>
      <c r="L4760" s="3"/>
      <c r="M4760" s="3"/>
      <c r="N4760" s="3"/>
      <c r="O4760" s="3"/>
      <c r="P4760" s="3"/>
      <c r="Q4760" s="3"/>
      <c r="R4760" s="3"/>
      <c r="S4760" s="3"/>
      <c r="T4760" s="3"/>
      <c r="U4760" s="3"/>
      <c r="V4760" s="3"/>
      <c r="W4760" s="3"/>
      <c r="X4760" s="3"/>
      <c r="Y4760" s="3"/>
      <c r="Z4760" s="3"/>
      <c r="AA4760" s="3"/>
    </row>
    <row r="4761" ht="105.75" customHeight="1">
      <c r="A4761" s="11"/>
      <c r="B4761" s="12"/>
      <c r="C4761" s="11"/>
      <c r="D4761" s="13"/>
      <c r="E4761" s="14"/>
      <c r="F4761" s="14"/>
      <c r="G4761" s="14"/>
      <c r="H4761" s="15"/>
      <c r="I4761" s="15"/>
      <c r="J4761" s="3"/>
      <c r="K4761" s="3"/>
      <c r="L4761" s="3"/>
      <c r="M4761" s="3"/>
      <c r="N4761" s="3"/>
      <c r="O4761" s="3"/>
      <c r="P4761" s="3"/>
      <c r="Q4761" s="3"/>
      <c r="R4761" s="3"/>
      <c r="S4761" s="3"/>
      <c r="T4761" s="3"/>
      <c r="U4761" s="3"/>
      <c r="V4761" s="3"/>
      <c r="W4761" s="3"/>
      <c r="X4761" s="3"/>
      <c r="Y4761" s="3"/>
      <c r="Z4761" s="3"/>
      <c r="AA4761" s="3"/>
    </row>
    <row r="4762" ht="105.75" customHeight="1">
      <c r="A4762" s="11"/>
      <c r="B4762" s="12"/>
      <c r="C4762" s="11"/>
      <c r="D4762" s="13"/>
      <c r="E4762" s="14"/>
      <c r="F4762" s="14"/>
      <c r="G4762" s="14"/>
      <c r="H4762" s="15"/>
      <c r="I4762" s="15"/>
      <c r="J4762" s="3"/>
      <c r="K4762" s="3"/>
      <c r="L4762" s="3"/>
      <c r="M4762" s="3"/>
      <c r="N4762" s="3"/>
      <c r="O4762" s="3"/>
      <c r="P4762" s="3"/>
      <c r="Q4762" s="3"/>
      <c r="R4762" s="3"/>
      <c r="S4762" s="3"/>
      <c r="T4762" s="3"/>
      <c r="U4762" s="3"/>
      <c r="V4762" s="3"/>
      <c r="W4762" s="3"/>
      <c r="X4762" s="3"/>
      <c r="Y4762" s="3"/>
      <c r="Z4762" s="3"/>
      <c r="AA4762" s="3"/>
    </row>
    <row r="4763" ht="105.75" customHeight="1">
      <c r="A4763" s="11"/>
      <c r="B4763" s="12"/>
      <c r="C4763" s="11"/>
      <c r="D4763" s="13"/>
      <c r="E4763" s="14"/>
      <c r="F4763" s="14"/>
      <c r="G4763" s="14"/>
      <c r="H4763" s="15"/>
      <c r="I4763" s="15"/>
      <c r="J4763" s="3"/>
      <c r="K4763" s="3"/>
      <c r="L4763" s="3"/>
      <c r="M4763" s="3"/>
      <c r="N4763" s="3"/>
      <c r="O4763" s="3"/>
      <c r="P4763" s="3"/>
      <c r="Q4763" s="3"/>
      <c r="R4763" s="3"/>
      <c r="S4763" s="3"/>
      <c r="T4763" s="3"/>
      <c r="U4763" s="3"/>
      <c r="V4763" s="3"/>
      <c r="W4763" s="3"/>
      <c r="X4763" s="3"/>
      <c r="Y4763" s="3"/>
      <c r="Z4763" s="3"/>
      <c r="AA4763" s="3"/>
    </row>
    <row r="4764" ht="105.75" customHeight="1">
      <c r="A4764" s="11"/>
      <c r="B4764" s="12"/>
      <c r="C4764" s="11"/>
      <c r="D4764" s="13"/>
      <c r="E4764" s="14"/>
      <c r="F4764" s="14"/>
      <c r="G4764" s="14"/>
      <c r="H4764" s="15"/>
      <c r="I4764" s="15"/>
      <c r="J4764" s="3"/>
      <c r="K4764" s="3"/>
      <c r="L4764" s="3"/>
      <c r="M4764" s="3"/>
      <c r="N4764" s="3"/>
      <c r="O4764" s="3"/>
      <c r="P4764" s="3"/>
      <c r="Q4764" s="3"/>
      <c r="R4764" s="3"/>
      <c r="S4764" s="3"/>
      <c r="T4764" s="3"/>
      <c r="U4764" s="3"/>
      <c r="V4764" s="3"/>
      <c r="W4764" s="3"/>
      <c r="X4764" s="3"/>
      <c r="Y4764" s="3"/>
      <c r="Z4764" s="3"/>
      <c r="AA4764" s="3"/>
    </row>
    <row r="4765" ht="105.75" customHeight="1">
      <c r="A4765" s="11"/>
      <c r="B4765" s="12"/>
      <c r="C4765" s="11"/>
      <c r="D4765" s="13"/>
      <c r="E4765" s="14"/>
      <c r="F4765" s="14"/>
      <c r="G4765" s="14"/>
      <c r="H4765" s="15"/>
      <c r="I4765" s="15"/>
      <c r="J4765" s="3"/>
      <c r="K4765" s="3"/>
      <c r="L4765" s="3"/>
      <c r="M4765" s="3"/>
      <c r="N4765" s="3"/>
      <c r="O4765" s="3"/>
      <c r="P4765" s="3"/>
      <c r="Q4765" s="3"/>
      <c r="R4765" s="3"/>
      <c r="S4765" s="3"/>
      <c r="T4765" s="3"/>
      <c r="U4765" s="3"/>
      <c r="V4765" s="3"/>
      <c r="W4765" s="3"/>
      <c r="X4765" s="3"/>
      <c r="Y4765" s="3"/>
      <c r="Z4765" s="3"/>
      <c r="AA4765" s="3"/>
    </row>
    <row r="4766" ht="105.75" customHeight="1">
      <c r="A4766" s="11"/>
      <c r="B4766" s="12"/>
      <c r="C4766" s="11"/>
      <c r="D4766" s="13"/>
      <c r="E4766" s="14"/>
      <c r="F4766" s="14"/>
      <c r="G4766" s="14"/>
      <c r="H4766" s="15"/>
      <c r="I4766" s="15"/>
      <c r="J4766" s="3"/>
      <c r="K4766" s="3"/>
      <c r="L4766" s="3"/>
      <c r="M4766" s="3"/>
      <c r="N4766" s="3"/>
      <c r="O4766" s="3"/>
      <c r="P4766" s="3"/>
      <c r="Q4766" s="3"/>
      <c r="R4766" s="3"/>
      <c r="S4766" s="3"/>
      <c r="T4766" s="3"/>
      <c r="U4766" s="3"/>
      <c r="V4766" s="3"/>
      <c r="W4766" s="3"/>
      <c r="X4766" s="3"/>
      <c r="Y4766" s="3"/>
      <c r="Z4766" s="3"/>
      <c r="AA4766" s="3"/>
    </row>
    <row r="4767" ht="105.75" customHeight="1">
      <c r="A4767" s="11"/>
      <c r="B4767" s="12"/>
      <c r="C4767" s="11"/>
      <c r="D4767" s="13"/>
      <c r="E4767" s="14"/>
      <c r="F4767" s="14"/>
      <c r="G4767" s="14"/>
      <c r="H4767" s="15"/>
      <c r="I4767" s="15"/>
      <c r="J4767" s="3"/>
      <c r="K4767" s="3"/>
      <c r="L4767" s="3"/>
      <c r="M4767" s="3"/>
      <c r="N4767" s="3"/>
      <c r="O4767" s="3"/>
      <c r="P4767" s="3"/>
      <c r="Q4767" s="3"/>
      <c r="R4767" s="3"/>
      <c r="S4767" s="3"/>
      <c r="T4767" s="3"/>
      <c r="U4767" s="3"/>
      <c r="V4767" s="3"/>
      <c r="W4767" s="3"/>
      <c r="X4767" s="3"/>
      <c r="Y4767" s="3"/>
      <c r="Z4767" s="3"/>
      <c r="AA4767" s="3"/>
    </row>
    <row r="4768" ht="105.75" customHeight="1">
      <c r="A4768" s="11"/>
      <c r="B4768" s="12"/>
      <c r="C4768" s="11"/>
      <c r="D4768" s="13"/>
      <c r="E4768" s="14"/>
      <c r="F4768" s="14"/>
      <c r="G4768" s="14"/>
      <c r="H4768" s="15"/>
      <c r="I4768" s="15"/>
      <c r="J4768" s="3"/>
      <c r="K4768" s="3"/>
      <c r="L4768" s="3"/>
      <c r="M4768" s="3"/>
      <c r="N4768" s="3"/>
      <c r="O4768" s="3"/>
      <c r="P4768" s="3"/>
      <c r="Q4768" s="3"/>
      <c r="R4768" s="3"/>
      <c r="S4768" s="3"/>
      <c r="T4768" s="3"/>
      <c r="U4768" s="3"/>
      <c r="V4768" s="3"/>
      <c r="W4768" s="3"/>
      <c r="X4768" s="3"/>
      <c r="Y4768" s="3"/>
      <c r="Z4768" s="3"/>
      <c r="AA4768" s="3"/>
    </row>
    <row r="4769" ht="105.75" customHeight="1">
      <c r="A4769" s="11"/>
      <c r="B4769" s="12"/>
      <c r="C4769" s="11"/>
      <c r="D4769" s="13"/>
      <c r="E4769" s="14"/>
      <c r="F4769" s="14"/>
      <c r="G4769" s="14"/>
      <c r="H4769" s="15"/>
      <c r="I4769" s="15"/>
      <c r="J4769" s="3"/>
      <c r="K4769" s="3"/>
      <c r="L4769" s="3"/>
      <c r="M4769" s="3"/>
      <c r="N4769" s="3"/>
      <c r="O4769" s="3"/>
      <c r="P4769" s="3"/>
      <c r="Q4769" s="3"/>
      <c r="R4769" s="3"/>
      <c r="S4769" s="3"/>
      <c r="T4769" s="3"/>
      <c r="U4769" s="3"/>
      <c r="V4769" s="3"/>
      <c r="W4769" s="3"/>
      <c r="X4769" s="3"/>
      <c r="Y4769" s="3"/>
      <c r="Z4769" s="3"/>
      <c r="AA4769" s="3"/>
    </row>
    <row r="4770" ht="105.75" customHeight="1">
      <c r="A4770" s="11"/>
      <c r="B4770" s="12"/>
      <c r="C4770" s="11"/>
      <c r="D4770" s="13"/>
      <c r="E4770" s="14"/>
      <c r="F4770" s="14"/>
      <c r="G4770" s="14"/>
      <c r="H4770" s="15"/>
      <c r="I4770" s="15"/>
      <c r="J4770" s="3"/>
      <c r="K4770" s="3"/>
      <c r="L4770" s="3"/>
      <c r="M4770" s="3"/>
      <c r="N4770" s="3"/>
      <c r="O4770" s="3"/>
      <c r="P4770" s="3"/>
      <c r="Q4770" s="3"/>
      <c r="R4770" s="3"/>
      <c r="S4770" s="3"/>
      <c r="T4770" s="3"/>
      <c r="U4770" s="3"/>
      <c r="V4770" s="3"/>
      <c r="W4770" s="3"/>
      <c r="X4770" s="3"/>
      <c r="Y4770" s="3"/>
      <c r="Z4770" s="3"/>
      <c r="AA4770" s="3"/>
    </row>
    <row r="4771" ht="105.75" customHeight="1">
      <c r="A4771" s="11"/>
      <c r="B4771" s="12"/>
      <c r="C4771" s="11"/>
      <c r="D4771" s="13"/>
      <c r="E4771" s="14"/>
      <c r="F4771" s="14"/>
      <c r="G4771" s="14"/>
      <c r="H4771" s="15"/>
      <c r="I4771" s="15"/>
      <c r="J4771" s="3"/>
      <c r="K4771" s="3"/>
      <c r="L4771" s="3"/>
      <c r="M4771" s="3"/>
      <c r="N4771" s="3"/>
      <c r="O4771" s="3"/>
      <c r="P4771" s="3"/>
      <c r="Q4771" s="3"/>
      <c r="R4771" s="3"/>
      <c r="S4771" s="3"/>
      <c r="T4771" s="3"/>
      <c r="U4771" s="3"/>
      <c r="V4771" s="3"/>
      <c r="W4771" s="3"/>
      <c r="X4771" s="3"/>
      <c r="Y4771" s="3"/>
      <c r="Z4771" s="3"/>
      <c r="AA4771" s="3"/>
    </row>
    <row r="4772" ht="105.75" customHeight="1">
      <c r="A4772" s="11"/>
      <c r="B4772" s="12"/>
      <c r="C4772" s="11"/>
      <c r="D4772" s="13"/>
      <c r="E4772" s="14"/>
      <c r="F4772" s="14"/>
      <c r="G4772" s="14"/>
      <c r="H4772" s="15"/>
      <c r="I4772" s="15"/>
      <c r="J4772" s="3"/>
      <c r="K4772" s="3"/>
      <c r="L4772" s="3"/>
      <c r="M4772" s="3"/>
      <c r="N4772" s="3"/>
      <c r="O4772" s="3"/>
      <c r="P4772" s="3"/>
      <c r="Q4772" s="3"/>
      <c r="R4772" s="3"/>
      <c r="S4772" s="3"/>
      <c r="T4772" s="3"/>
      <c r="U4772" s="3"/>
      <c r="V4772" s="3"/>
      <c r="W4772" s="3"/>
      <c r="X4772" s="3"/>
      <c r="Y4772" s="3"/>
      <c r="Z4772" s="3"/>
      <c r="AA4772" s="3"/>
    </row>
    <row r="4773" ht="105.75" customHeight="1">
      <c r="A4773" s="11"/>
      <c r="B4773" s="12"/>
      <c r="C4773" s="11"/>
      <c r="D4773" s="13"/>
      <c r="E4773" s="14"/>
      <c r="F4773" s="14"/>
      <c r="G4773" s="14"/>
      <c r="H4773" s="15"/>
      <c r="I4773" s="15"/>
      <c r="J4773" s="3"/>
      <c r="K4773" s="3"/>
      <c r="L4773" s="3"/>
      <c r="M4773" s="3"/>
      <c r="N4773" s="3"/>
      <c r="O4773" s="3"/>
      <c r="P4773" s="3"/>
      <c r="Q4773" s="3"/>
      <c r="R4773" s="3"/>
      <c r="S4773" s="3"/>
      <c r="T4773" s="3"/>
      <c r="U4773" s="3"/>
      <c r="V4773" s="3"/>
      <c r="W4773" s="3"/>
      <c r="X4773" s="3"/>
      <c r="Y4773" s="3"/>
      <c r="Z4773" s="3"/>
      <c r="AA4773" s="3"/>
    </row>
    <row r="4774" ht="105.75" customHeight="1">
      <c r="A4774" s="11"/>
      <c r="B4774" s="12"/>
      <c r="C4774" s="11"/>
      <c r="D4774" s="13"/>
      <c r="E4774" s="14"/>
      <c r="F4774" s="14"/>
      <c r="G4774" s="14"/>
      <c r="H4774" s="15"/>
      <c r="I4774" s="15"/>
      <c r="J4774" s="3"/>
      <c r="K4774" s="3"/>
      <c r="L4774" s="3"/>
      <c r="M4774" s="3"/>
      <c r="N4774" s="3"/>
      <c r="O4774" s="3"/>
      <c r="P4774" s="3"/>
      <c r="Q4774" s="3"/>
      <c r="R4774" s="3"/>
      <c r="S4774" s="3"/>
      <c r="T4774" s="3"/>
      <c r="U4774" s="3"/>
      <c r="V4774" s="3"/>
      <c r="W4774" s="3"/>
      <c r="X4774" s="3"/>
      <c r="Y4774" s="3"/>
      <c r="Z4774" s="3"/>
      <c r="AA4774" s="3"/>
    </row>
    <row r="4775" ht="105.75" customHeight="1">
      <c r="A4775" s="11"/>
      <c r="B4775" s="12"/>
      <c r="C4775" s="11"/>
      <c r="D4775" s="13"/>
      <c r="E4775" s="14"/>
      <c r="F4775" s="14"/>
      <c r="G4775" s="14"/>
      <c r="H4775" s="15"/>
      <c r="I4775" s="15"/>
      <c r="J4775" s="3"/>
      <c r="K4775" s="3"/>
      <c r="L4775" s="3"/>
      <c r="M4775" s="3"/>
      <c r="N4775" s="3"/>
      <c r="O4775" s="3"/>
      <c r="P4775" s="3"/>
      <c r="Q4775" s="3"/>
      <c r="R4775" s="3"/>
      <c r="S4775" s="3"/>
      <c r="T4775" s="3"/>
      <c r="U4775" s="3"/>
      <c r="V4775" s="3"/>
      <c r="W4775" s="3"/>
      <c r="X4775" s="3"/>
      <c r="Y4775" s="3"/>
      <c r="Z4775" s="3"/>
      <c r="AA4775" s="3"/>
    </row>
    <row r="4776" ht="105.75" customHeight="1">
      <c r="A4776" s="11"/>
      <c r="B4776" s="12"/>
      <c r="C4776" s="11"/>
      <c r="D4776" s="13"/>
      <c r="E4776" s="14"/>
      <c r="F4776" s="14"/>
      <c r="G4776" s="14"/>
      <c r="H4776" s="15"/>
      <c r="I4776" s="15"/>
      <c r="J4776" s="3"/>
      <c r="K4776" s="3"/>
      <c r="L4776" s="3"/>
      <c r="M4776" s="3"/>
      <c r="N4776" s="3"/>
      <c r="O4776" s="3"/>
      <c r="P4776" s="3"/>
      <c r="Q4776" s="3"/>
      <c r="R4776" s="3"/>
      <c r="S4776" s="3"/>
      <c r="T4776" s="3"/>
      <c r="U4776" s="3"/>
      <c r="V4776" s="3"/>
      <c r="W4776" s="3"/>
      <c r="X4776" s="3"/>
      <c r="Y4776" s="3"/>
      <c r="Z4776" s="3"/>
      <c r="AA4776" s="3"/>
    </row>
    <row r="4777" ht="105.75" customHeight="1">
      <c r="A4777" s="11"/>
      <c r="B4777" s="12"/>
      <c r="C4777" s="11"/>
      <c r="D4777" s="13"/>
      <c r="E4777" s="14"/>
      <c r="F4777" s="14"/>
      <c r="G4777" s="14"/>
      <c r="H4777" s="15"/>
      <c r="I4777" s="15"/>
      <c r="J4777" s="3"/>
      <c r="K4777" s="3"/>
      <c r="L4777" s="3"/>
      <c r="M4777" s="3"/>
      <c r="N4777" s="3"/>
      <c r="O4777" s="3"/>
      <c r="P4777" s="3"/>
      <c r="Q4777" s="3"/>
      <c r="R4777" s="3"/>
      <c r="S4777" s="3"/>
      <c r="T4777" s="3"/>
      <c r="U4777" s="3"/>
      <c r="V4777" s="3"/>
      <c r="W4777" s="3"/>
      <c r="X4777" s="3"/>
      <c r="Y4777" s="3"/>
      <c r="Z4777" s="3"/>
      <c r="AA4777" s="3"/>
    </row>
    <row r="4778" ht="105.75" customHeight="1">
      <c r="A4778" s="11"/>
      <c r="B4778" s="12"/>
      <c r="C4778" s="11"/>
      <c r="D4778" s="13"/>
      <c r="E4778" s="14"/>
      <c r="F4778" s="14"/>
      <c r="G4778" s="14"/>
      <c r="H4778" s="15"/>
      <c r="I4778" s="15"/>
      <c r="J4778" s="3"/>
      <c r="K4778" s="3"/>
      <c r="L4778" s="3"/>
      <c r="M4778" s="3"/>
      <c r="N4778" s="3"/>
      <c r="O4778" s="3"/>
      <c r="P4778" s="3"/>
      <c r="Q4778" s="3"/>
      <c r="R4778" s="3"/>
      <c r="S4778" s="3"/>
      <c r="T4778" s="3"/>
      <c r="U4778" s="3"/>
      <c r="V4778" s="3"/>
      <c r="W4778" s="3"/>
      <c r="X4778" s="3"/>
      <c r="Y4778" s="3"/>
      <c r="Z4778" s="3"/>
      <c r="AA4778" s="3"/>
    </row>
    <row r="4779" ht="105.75" customHeight="1">
      <c r="A4779" s="11"/>
      <c r="B4779" s="12"/>
      <c r="C4779" s="11"/>
      <c r="D4779" s="13"/>
      <c r="E4779" s="14"/>
      <c r="F4779" s="14"/>
      <c r="G4779" s="14"/>
      <c r="H4779" s="15"/>
      <c r="I4779" s="15"/>
      <c r="J4779" s="3"/>
      <c r="K4779" s="3"/>
      <c r="L4779" s="3"/>
      <c r="M4779" s="3"/>
      <c r="N4779" s="3"/>
      <c r="O4779" s="3"/>
      <c r="P4779" s="3"/>
      <c r="Q4779" s="3"/>
      <c r="R4779" s="3"/>
      <c r="S4779" s="3"/>
      <c r="T4779" s="3"/>
      <c r="U4779" s="3"/>
      <c r="V4779" s="3"/>
      <c r="W4779" s="3"/>
      <c r="X4779" s="3"/>
      <c r="Y4779" s="3"/>
      <c r="Z4779" s="3"/>
      <c r="AA4779" s="3"/>
    </row>
    <row r="4780" ht="105.75" customHeight="1">
      <c r="A4780" s="11"/>
      <c r="B4780" s="12"/>
      <c r="C4780" s="11"/>
      <c r="D4780" s="13"/>
      <c r="E4780" s="14"/>
      <c r="F4780" s="14"/>
      <c r="G4780" s="14"/>
      <c r="H4780" s="15"/>
      <c r="I4780" s="15"/>
      <c r="J4780" s="3"/>
      <c r="K4780" s="3"/>
      <c r="L4780" s="3"/>
      <c r="M4780" s="3"/>
      <c r="N4780" s="3"/>
      <c r="O4780" s="3"/>
      <c r="P4780" s="3"/>
      <c r="Q4780" s="3"/>
      <c r="R4780" s="3"/>
      <c r="S4780" s="3"/>
      <c r="T4780" s="3"/>
      <c r="U4780" s="3"/>
      <c r="V4780" s="3"/>
      <c r="W4780" s="3"/>
      <c r="X4780" s="3"/>
      <c r="Y4780" s="3"/>
      <c r="Z4780" s="3"/>
      <c r="AA4780" s="3"/>
    </row>
    <row r="4781" ht="105.75" customHeight="1">
      <c r="A4781" s="11"/>
      <c r="B4781" s="12"/>
      <c r="C4781" s="11"/>
      <c r="D4781" s="13"/>
      <c r="E4781" s="14"/>
      <c r="F4781" s="14"/>
      <c r="G4781" s="14"/>
      <c r="H4781" s="15"/>
      <c r="I4781" s="15"/>
      <c r="J4781" s="3"/>
      <c r="K4781" s="3"/>
      <c r="L4781" s="3"/>
      <c r="M4781" s="3"/>
      <c r="N4781" s="3"/>
      <c r="O4781" s="3"/>
      <c r="P4781" s="3"/>
      <c r="Q4781" s="3"/>
      <c r="R4781" s="3"/>
      <c r="S4781" s="3"/>
      <c r="T4781" s="3"/>
      <c r="U4781" s="3"/>
      <c r="V4781" s="3"/>
      <c r="W4781" s="3"/>
      <c r="X4781" s="3"/>
      <c r="Y4781" s="3"/>
      <c r="Z4781" s="3"/>
      <c r="AA4781" s="3"/>
    </row>
    <row r="4782" ht="105.75" customHeight="1">
      <c r="A4782" s="11"/>
      <c r="B4782" s="12"/>
      <c r="C4782" s="11"/>
      <c r="D4782" s="13"/>
      <c r="E4782" s="14"/>
      <c r="F4782" s="14"/>
      <c r="G4782" s="14"/>
      <c r="H4782" s="15"/>
      <c r="I4782" s="15"/>
      <c r="J4782" s="3"/>
      <c r="K4782" s="3"/>
      <c r="L4782" s="3"/>
      <c r="M4782" s="3"/>
      <c r="N4782" s="3"/>
      <c r="O4782" s="3"/>
      <c r="P4782" s="3"/>
      <c r="Q4782" s="3"/>
      <c r="R4782" s="3"/>
      <c r="S4782" s="3"/>
      <c r="T4782" s="3"/>
      <c r="U4782" s="3"/>
      <c r="V4782" s="3"/>
      <c r="W4782" s="3"/>
      <c r="X4782" s="3"/>
      <c r="Y4782" s="3"/>
      <c r="Z4782" s="3"/>
      <c r="AA4782" s="3"/>
    </row>
    <row r="4783" ht="105.75" customHeight="1">
      <c r="A4783" s="11"/>
      <c r="B4783" s="12"/>
      <c r="C4783" s="11"/>
      <c r="D4783" s="13"/>
      <c r="E4783" s="14"/>
      <c r="F4783" s="14"/>
      <c r="G4783" s="14"/>
      <c r="H4783" s="15"/>
      <c r="I4783" s="15"/>
      <c r="J4783" s="3"/>
      <c r="K4783" s="3"/>
      <c r="L4783" s="3"/>
      <c r="M4783" s="3"/>
      <c r="N4783" s="3"/>
      <c r="O4783" s="3"/>
      <c r="P4783" s="3"/>
      <c r="Q4783" s="3"/>
      <c r="R4783" s="3"/>
      <c r="S4783" s="3"/>
      <c r="T4783" s="3"/>
      <c r="U4783" s="3"/>
      <c r="V4783" s="3"/>
      <c r="W4783" s="3"/>
      <c r="X4783" s="3"/>
      <c r="Y4783" s="3"/>
      <c r="Z4783" s="3"/>
      <c r="AA4783" s="3"/>
    </row>
    <row r="4784" ht="105.75" customHeight="1">
      <c r="A4784" s="11"/>
      <c r="B4784" s="12"/>
      <c r="C4784" s="11"/>
      <c r="D4784" s="13"/>
      <c r="E4784" s="14"/>
      <c r="F4784" s="14"/>
      <c r="G4784" s="14"/>
      <c r="H4784" s="15"/>
      <c r="I4784" s="15"/>
      <c r="J4784" s="3"/>
      <c r="K4784" s="3"/>
      <c r="L4784" s="3"/>
      <c r="M4784" s="3"/>
      <c r="N4784" s="3"/>
      <c r="O4784" s="3"/>
      <c r="P4784" s="3"/>
      <c r="Q4784" s="3"/>
      <c r="R4784" s="3"/>
      <c r="S4784" s="3"/>
      <c r="T4784" s="3"/>
      <c r="U4784" s="3"/>
      <c r="V4784" s="3"/>
      <c r="W4784" s="3"/>
      <c r="X4784" s="3"/>
      <c r="Y4784" s="3"/>
      <c r="Z4784" s="3"/>
      <c r="AA4784" s="3"/>
    </row>
    <row r="4785" ht="105.75" customHeight="1">
      <c r="A4785" s="11"/>
      <c r="B4785" s="12"/>
      <c r="C4785" s="11"/>
      <c r="D4785" s="13"/>
      <c r="E4785" s="14"/>
      <c r="F4785" s="14"/>
      <c r="G4785" s="14"/>
      <c r="H4785" s="15"/>
      <c r="I4785" s="15"/>
      <c r="J4785" s="3"/>
      <c r="K4785" s="3"/>
      <c r="L4785" s="3"/>
      <c r="M4785" s="3"/>
      <c r="N4785" s="3"/>
      <c r="O4785" s="3"/>
      <c r="P4785" s="3"/>
      <c r="Q4785" s="3"/>
      <c r="R4785" s="3"/>
      <c r="S4785" s="3"/>
      <c r="T4785" s="3"/>
      <c r="U4785" s="3"/>
      <c r="V4785" s="3"/>
      <c r="W4785" s="3"/>
      <c r="X4785" s="3"/>
      <c r="Y4785" s="3"/>
      <c r="Z4785" s="3"/>
      <c r="AA4785" s="3"/>
    </row>
    <row r="4786" ht="105.75" customHeight="1">
      <c r="A4786" s="11"/>
      <c r="B4786" s="12"/>
      <c r="C4786" s="11"/>
      <c r="D4786" s="13"/>
      <c r="E4786" s="14"/>
      <c r="F4786" s="14"/>
      <c r="G4786" s="14"/>
      <c r="H4786" s="15"/>
      <c r="I4786" s="15"/>
      <c r="J4786" s="3"/>
      <c r="K4786" s="3"/>
      <c r="L4786" s="3"/>
      <c r="M4786" s="3"/>
      <c r="N4786" s="3"/>
      <c r="O4786" s="3"/>
      <c r="P4786" s="3"/>
      <c r="Q4786" s="3"/>
      <c r="R4786" s="3"/>
      <c r="S4786" s="3"/>
      <c r="T4786" s="3"/>
      <c r="U4786" s="3"/>
      <c r="V4786" s="3"/>
      <c r="W4786" s="3"/>
      <c r="X4786" s="3"/>
      <c r="Y4786" s="3"/>
      <c r="Z4786" s="3"/>
      <c r="AA4786" s="3"/>
    </row>
    <row r="4787" ht="105.75" customHeight="1">
      <c r="A4787" s="11"/>
      <c r="B4787" s="12"/>
      <c r="C4787" s="11"/>
      <c r="D4787" s="13"/>
      <c r="E4787" s="14"/>
      <c r="F4787" s="14"/>
      <c r="G4787" s="14"/>
      <c r="H4787" s="15"/>
      <c r="I4787" s="15"/>
      <c r="J4787" s="3"/>
      <c r="K4787" s="3"/>
      <c r="L4787" s="3"/>
      <c r="M4787" s="3"/>
      <c r="N4787" s="3"/>
      <c r="O4787" s="3"/>
      <c r="P4787" s="3"/>
      <c r="Q4787" s="3"/>
      <c r="R4787" s="3"/>
      <c r="S4787" s="3"/>
      <c r="T4787" s="3"/>
      <c r="U4787" s="3"/>
      <c r="V4787" s="3"/>
      <c r="W4787" s="3"/>
      <c r="X4787" s="3"/>
      <c r="Y4787" s="3"/>
      <c r="Z4787" s="3"/>
      <c r="AA4787" s="3"/>
    </row>
    <row r="4788" ht="105.75" customHeight="1">
      <c r="A4788" s="11"/>
      <c r="B4788" s="12"/>
      <c r="C4788" s="11"/>
      <c r="D4788" s="13"/>
      <c r="E4788" s="14"/>
      <c r="F4788" s="14"/>
      <c r="G4788" s="14"/>
      <c r="H4788" s="15"/>
      <c r="I4788" s="15"/>
      <c r="J4788" s="3"/>
      <c r="K4788" s="3"/>
      <c r="L4788" s="3"/>
      <c r="M4788" s="3"/>
      <c r="N4788" s="3"/>
      <c r="O4788" s="3"/>
      <c r="P4788" s="3"/>
      <c r="Q4788" s="3"/>
      <c r="R4788" s="3"/>
      <c r="S4788" s="3"/>
      <c r="T4788" s="3"/>
      <c r="U4788" s="3"/>
      <c r="V4788" s="3"/>
      <c r="W4788" s="3"/>
      <c r="X4788" s="3"/>
      <c r="Y4788" s="3"/>
      <c r="Z4788" s="3"/>
      <c r="AA4788" s="3"/>
    </row>
    <row r="4789" ht="105.75" customHeight="1">
      <c r="A4789" s="11"/>
      <c r="B4789" s="12"/>
      <c r="C4789" s="11"/>
      <c r="D4789" s="13"/>
      <c r="E4789" s="14"/>
      <c r="F4789" s="14"/>
      <c r="G4789" s="14"/>
      <c r="H4789" s="15"/>
      <c r="I4789" s="15"/>
      <c r="J4789" s="3"/>
      <c r="K4789" s="3"/>
      <c r="L4789" s="3"/>
      <c r="M4789" s="3"/>
      <c r="N4789" s="3"/>
      <c r="O4789" s="3"/>
      <c r="P4789" s="3"/>
      <c r="Q4789" s="3"/>
      <c r="R4789" s="3"/>
      <c r="S4789" s="3"/>
      <c r="T4789" s="3"/>
      <c r="U4789" s="3"/>
      <c r="V4789" s="3"/>
      <c r="W4789" s="3"/>
      <c r="X4789" s="3"/>
      <c r="Y4789" s="3"/>
      <c r="Z4789" s="3"/>
      <c r="AA4789" s="3"/>
    </row>
    <row r="4790" ht="105.75" customHeight="1">
      <c r="A4790" s="11"/>
      <c r="B4790" s="12"/>
      <c r="C4790" s="11"/>
      <c r="D4790" s="13"/>
      <c r="E4790" s="14"/>
      <c r="F4790" s="14"/>
      <c r="G4790" s="14"/>
      <c r="H4790" s="15"/>
      <c r="I4790" s="15"/>
      <c r="J4790" s="3"/>
      <c r="K4790" s="3"/>
      <c r="L4790" s="3"/>
      <c r="M4790" s="3"/>
      <c r="N4790" s="3"/>
      <c r="O4790" s="3"/>
      <c r="P4790" s="3"/>
      <c r="Q4790" s="3"/>
      <c r="R4790" s="3"/>
      <c r="S4790" s="3"/>
      <c r="T4790" s="3"/>
      <c r="U4790" s="3"/>
      <c r="V4790" s="3"/>
      <c r="W4790" s="3"/>
      <c r="X4790" s="3"/>
      <c r="Y4790" s="3"/>
      <c r="Z4790" s="3"/>
      <c r="AA4790" s="3"/>
    </row>
    <row r="4791" ht="105.75" customHeight="1">
      <c r="A4791" s="11"/>
      <c r="B4791" s="12"/>
      <c r="C4791" s="11"/>
      <c r="D4791" s="13"/>
      <c r="E4791" s="14"/>
      <c r="F4791" s="14"/>
      <c r="G4791" s="14"/>
      <c r="H4791" s="15"/>
      <c r="I4791" s="15"/>
      <c r="J4791" s="3"/>
      <c r="K4791" s="3"/>
      <c r="L4791" s="3"/>
      <c r="M4791" s="3"/>
      <c r="N4791" s="3"/>
      <c r="O4791" s="3"/>
      <c r="P4791" s="3"/>
      <c r="Q4791" s="3"/>
      <c r="R4791" s="3"/>
      <c r="S4791" s="3"/>
      <c r="T4791" s="3"/>
      <c r="U4791" s="3"/>
      <c r="V4791" s="3"/>
      <c r="W4791" s="3"/>
      <c r="X4791" s="3"/>
      <c r="Y4791" s="3"/>
      <c r="Z4791" s="3"/>
      <c r="AA4791" s="3"/>
    </row>
    <row r="4792" ht="105.75" customHeight="1">
      <c r="A4792" s="11"/>
      <c r="B4792" s="12"/>
      <c r="C4792" s="11"/>
      <c r="D4792" s="13"/>
      <c r="E4792" s="14"/>
      <c r="F4792" s="14"/>
      <c r="G4792" s="14"/>
      <c r="H4792" s="15"/>
      <c r="I4792" s="15"/>
      <c r="J4792" s="3"/>
      <c r="K4792" s="3"/>
      <c r="L4792" s="3"/>
      <c r="M4792" s="3"/>
      <c r="N4792" s="3"/>
      <c r="O4792" s="3"/>
      <c r="P4792" s="3"/>
      <c r="Q4792" s="3"/>
      <c r="R4792" s="3"/>
      <c r="S4792" s="3"/>
      <c r="T4792" s="3"/>
      <c r="U4792" s="3"/>
      <c r="V4792" s="3"/>
      <c r="W4792" s="3"/>
      <c r="X4792" s="3"/>
      <c r="Y4792" s="3"/>
      <c r="Z4792" s="3"/>
      <c r="AA4792" s="3"/>
    </row>
    <row r="4793" ht="105.75" customHeight="1">
      <c r="A4793" s="11"/>
      <c r="B4793" s="12"/>
      <c r="C4793" s="11"/>
      <c r="D4793" s="13"/>
      <c r="E4793" s="14"/>
      <c r="F4793" s="14"/>
      <c r="G4793" s="14"/>
      <c r="H4793" s="15"/>
      <c r="I4793" s="15"/>
      <c r="J4793" s="3"/>
      <c r="K4793" s="3"/>
      <c r="L4793" s="3"/>
      <c r="M4793" s="3"/>
      <c r="N4793" s="3"/>
      <c r="O4793" s="3"/>
      <c r="P4793" s="3"/>
      <c r="Q4793" s="3"/>
      <c r="R4793" s="3"/>
      <c r="S4793" s="3"/>
      <c r="T4793" s="3"/>
      <c r="U4793" s="3"/>
      <c r="V4793" s="3"/>
      <c r="W4793" s="3"/>
      <c r="X4793" s="3"/>
      <c r="Y4793" s="3"/>
      <c r="Z4793" s="3"/>
      <c r="AA4793" s="3"/>
    </row>
    <row r="4794" ht="105.75" customHeight="1">
      <c r="A4794" s="11"/>
      <c r="B4794" s="12"/>
      <c r="C4794" s="11"/>
      <c r="D4794" s="13"/>
      <c r="E4794" s="14"/>
      <c r="F4794" s="14"/>
      <c r="G4794" s="14"/>
      <c r="H4794" s="15"/>
      <c r="I4794" s="15"/>
      <c r="J4794" s="3"/>
      <c r="K4794" s="3"/>
      <c r="L4794" s="3"/>
      <c r="M4794" s="3"/>
      <c r="N4794" s="3"/>
      <c r="O4794" s="3"/>
      <c r="P4794" s="3"/>
      <c r="Q4794" s="3"/>
      <c r="R4794" s="3"/>
      <c r="S4794" s="3"/>
      <c r="T4794" s="3"/>
      <c r="U4794" s="3"/>
      <c r="V4794" s="3"/>
      <c r="W4794" s="3"/>
      <c r="X4794" s="3"/>
      <c r="Y4794" s="3"/>
      <c r="Z4794" s="3"/>
      <c r="AA4794" s="3"/>
    </row>
    <row r="4795" ht="105.75" customHeight="1">
      <c r="A4795" s="11"/>
      <c r="B4795" s="12"/>
      <c r="C4795" s="11"/>
      <c r="D4795" s="13"/>
      <c r="E4795" s="14"/>
      <c r="F4795" s="14"/>
      <c r="G4795" s="14"/>
      <c r="H4795" s="15"/>
      <c r="I4795" s="15"/>
      <c r="J4795" s="3"/>
      <c r="K4795" s="3"/>
      <c r="L4795" s="3"/>
      <c r="M4795" s="3"/>
      <c r="N4795" s="3"/>
      <c r="O4795" s="3"/>
      <c r="P4795" s="3"/>
      <c r="Q4795" s="3"/>
      <c r="R4795" s="3"/>
      <c r="S4795" s="3"/>
      <c r="T4795" s="3"/>
      <c r="U4795" s="3"/>
      <c r="V4795" s="3"/>
      <c r="W4795" s="3"/>
      <c r="X4795" s="3"/>
      <c r="Y4795" s="3"/>
      <c r="Z4795" s="3"/>
      <c r="AA4795" s="3"/>
    </row>
    <row r="4796" ht="105.75" customHeight="1">
      <c r="A4796" s="11"/>
      <c r="B4796" s="12"/>
      <c r="C4796" s="11"/>
      <c r="D4796" s="13"/>
      <c r="E4796" s="14"/>
      <c r="F4796" s="14"/>
      <c r="G4796" s="14"/>
      <c r="H4796" s="15"/>
      <c r="I4796" s="15"/>
      <c r="J4796" s="3"/>
      <c r="K4796" s="3"/>
      <c r="L4796" s="3"/>
      <c r="M4796" s="3"/>
      <c r="N4796" s="3"/>
      <c r="O4796" s="3"/>
      <c r="P4796" s="3"/>
      <c r="Q4796" s="3"/>
      <c r="R4796" s="3"/>
      <c r="S4796" s="3"/>
      <c r="T4796" s="3"/>
      <c r="U4796" s="3"/>
      <c r="V4796" s="3"/>
      <c r="W4796" s="3"/>
      <c r="X4796" s="3"/>
      <c r="Y4796" s="3"/>
      <c r="Z4796" s="3"/>
      <c r="AA4796" s="3"/>
    </row>
    <row r="4797" ht="105.75" customHeight="1">
      <c r="A4797" s="11"/>
      <c r="B4797" s="12"/>
      <c r="C4797" s="11"/>
      <c r="D4797" s="13"/>
      <c r="E4797" s="14"/>
      <c r="F4797" s="14"/>
      <c r="G4797" s="14"/>
      <c r="H4797" s="15"/>
      <c r="I4797" s="15"/>
      <c r="J4797" s="3"/>
      <c r="K4797" s="3"/>
      <c r="L4797" s="3"/>
      <c r="M4797" s="3"/>
      <c r="N4797" s="3"/>
      <c r="O4797" s="3"/>
      <c r="P4797" s="3"/>
      <c r="Q4797" s="3"/>
      <c r="R4797" s="3"/>
      <c r="S4797" s="3"/>
      <c r="T4797" s="3"/>
      <c r="U4797" s="3"/>
      <c r="V4797" s="3"/>
      <c r="W4797" s="3"/>
      <c r="X4797" s="3"/>
      <c r="Y4797" s="3"/>
      <c r="Z4797" s="3"/>
      <c r="AA4797" s="3"/>
    </row>
    <row r="4798" ht="105.75" customHeight="1">
      <c r="A4798" s="11"/>
      <c r="B4798" s="12"/>
      <c r="C4798" s="11"/>
      <c r="D4798" s="13"/>
      <c r="E4798" s="14"/>
      <c r="F4798" s="14"/>
      <c r="G4798" s="14"/>
      <c r="H4798" s="15"/>
      <c r="I4798" s="15"/>
      <c r="J4798" s="3"/>
      <c r="K4798" s="3"/>
      <c r="L4798" s="3"/>
      <c r="M4798" s="3"/>
      <c r="N4798" s="3"/>
      <c r="O4798" s="3"/>
      <c r="P4798" s="3"/>
      <c r="Q4798" s="3"/>
      <c r="R4798" s="3"/>
      <c r="S4798" s="3"/>
      <c r="T4798" s="3"/>
      <c r="U4798" s="3"/>
      <c r="V4798" s="3"/>
      <c r="W4798" s="3"/>
      <c r="X4798" s="3"/>
      <c r="Y4798" s="3"/>
      <c r="Z4798" s="3"/>
      <c r="AA4798" s="3"/>
    </row>
    <row r="4799" ht="105.75" customHeight="1">
      <c r="A4799" s="11"/>
      <c r="B4799" s="12"/>
      <c r="C4799" s="11"/>
      <c r="D4799" s="13"/>
      <c r="E4799" s="14"/>
      <c r="F4799" s="14"/>
      <c r="G4799" s="14"/>
      <c r="H4799" s="15"/>
      <c r="I4799" s="15"/>
      <c r="J4799" s="3"/>
      <c r="K4799" s="3"/>
      <c r="L4799" s="3"/>
      <c r="M4799" s="3"/>
      <c r="N4799" s="3"/>
      <c r="O4799" s="3"/>
      <c r="P4799" s="3"/>
      <c r="Q4799" s="3"/>
      <c r="R4799" s="3"/>
      <c r="S4799" s="3"/>
      <c r="T4799" s="3"/>
      <c r="U4799" s="3"/>
      <c r="V4799" s="3"/>
      <c r="W4799" s="3"/>
      <c r="X4799" s="3"/>
      <c r="Y4799" s="3"/>
      <c r="Z4799" s="3"/>
      <c r="AA4799" s="3"/>
    </row>
    <row r="4800" ht="105.75" customHeight="1">
      <c r="A4800" s="11"/>
      <c r="B4800" s="12"/>
      <c r="C4800" s="11"/>
      <c r="D4800" s="13"/>
      <c r="E4800" s="14"/>
      <c r="F4800" s="14"/>
      <c r="G4800" s="14"/>
      <c r="H4800" s="15"/>
      <c r="I4800" s="15"/>
      <c r="J4800" s="3"/>
      <c r="K4800" s="3"/>
      <c r="L4800" s="3"/>
      <c r="M4800" s="3"/>
      <c r="N4800" s="3"/>
      <c r="O4800" s="3"/>
      <c r="P4800" s="3"/>
      <c r="Q4800" s="3"/>
      <c r="R4800" s="3"/>
      <c r="S4800" s="3"/>
      <c r="T4800" s="3"/>
      <c r="U4800" s="3"/>
      <c r="V4800" s="3"/>
      <c r="W4800" s="3"/>
      <c r="X4800" s="3"/>
      <c r="Y4800" s="3"/>
      <c r="Z4800" s="3"/>
      <c r="AA4800" s="3"/>
    </row>
    <row r="4801" ht="105.75" customHeight="1">
      <c r="A4801" s="11"/>
      <c r="B4801" s="12"/>
      <c r="C4801" s="11"/>
      <c r="D4801" s="13"/>
      <c r="E4801" s="14"/>
      <c r="F4801" s="14"/>
      <c r="G4801" s="14"/>
      <c r="H4801" s="15"/>
      <c r="I4801" s="15"/>
      <c r="J4801" s="3"/>
      <c r="K4801" s="3"/>
      <c r="L4801" s="3"/>
      <c r="M4801" s="3"/>
      <c r="N4801" s="3"/>
      <c r="O4801" s="3"/>
      <c r="P4801" s="3"/>
      <c r="Q4801" s="3"/>
      <c r="R4801" s="3"/>
      <c r="S4801" s="3"/>
      <c r="T4801" s="3"/>
      <c r="U4801" s="3"/>
      <c r="V4801" s="3"/>
      <c r="W4801" s="3"/>
      <c r="X4801" s="3"/>
      <c r="Y4801" s="3"/>
      <c r="Z4801" s="3"/>
      <c r="AA4801" s="3"/>
    </row>
    <row r="4802" ht="105.75" customHeight="1">
      <c r="A4802" s="11"/>
      <c r="B4802" s="12"/>
      <c r="C4802" s="11"/>
      <c r="D4802" s="13"/>
      <c r="E4802" s="14"/>
      <c r="F4802" s="14"/>
      <c r="G4802" s="14"/>
      <c r="H4802" s="15"/>
      <c r="I4802" s="15"/>
      <c r="J4802" s="3"/>
      <c r="K4802" s="3"/>
      <c r="L4802" s="3"/>
      <c r="M4802" s="3"/>
      <c r="N4802" s="3"/>
      <c r="O4802" s="3"/>
      <c r="P4802" s="3"/>
      <c r="Q4802" s="3"/>
      <c r="R4802" s="3"/>
      <c r="S4802" s="3"/>
      <c r="T4802" s="3"/>
      <c r="U4802" s="3"/>
      <c r="V4802" s="3"/>
      <c r="W4802" s="3"/>
      <c r="X4802" s="3"/>
      <c r="Y4802" s="3"/>
      <c r="Z4802" s="3"/>
      <c r="AA4802" s="3"/>
    </row>
    <row r="4803" ht="105.75" customHeight="1">
      <c r="A4803" s="11"/>
      <c r="B4803" s="12"/>
      <c r="C4803" s="11"/>
      <c r="D4803" s="13"/>
      <c r="E4803" s="14"/>
      <c r="F4803" s="14"/>
      <c r="G4803" s="14"/>
      <c r="H4803" s="15"/>
      <c r="I4803" s="15"/>
      <c r="J4803" s="3"/>
      <c r="K4803" s="3"/>
      <c r="L4803" s="3"/>
      <c r="M4803" s="3"/>
      <c r="N4803" s="3"/>
      <c r="O4803" s="3"/>
      <c r="P4803" s="3"/>
      <c r="Q4803" s="3"/>
      <c r="R4803" s="3"/>
      <c r="S4803" s="3"/>
      <c r="T4803" s="3"/>
      <c r="U4803" s="3"/>
      <c r="V4803" s="3"/>
      <c r="W4803" s="3"/>
      <c r="X4803" s="3"/>
      <c r="Y4803" s="3"/>
      <c r="Z4803" s="3"/>
      <c r="AA4803" s="3"/>
    </row>
    <row r="4804" ht="105.75" customHeight="1">
      <c r="A4804" s="11"/>
      <c r="B4804" s="12"/>
      <c r="C4804" s="11"/>
      <c r="D4804" s="13"/>
      <c r="E4804" s="14"/>
      <c r="F4804" s="14"/>
      <c r="G4804" s="14"/>
      <c r="H4804" s="15"/>
      <c r="I4804" s="15"/>
      <c r="J4804" s="3"/>
      <c r="K4804" s="3"/>
      <c r="L4804" s="3"/>
      <c r="M4804" s="3"/>
      <c r="N4804" s="3"/>
      <c r="O4804" s="3"/>
      <c r="P4804" s="3"/>
      <c r="Q4804" s="3"/>
      <c r="R4804" s="3"/>
      <c r="S4804" s="3"/>
      <c r="T4804" s="3"/>
      <c r="U4804" s="3"/>
      <c r="V4804" s="3"/>
      <c r="W4804" s="3"/>
      <c r="X4804" s="3"/>
      <c r="Y4804" s="3"/>
      <c r="Z4804" s="3"/>
      <c r="AA4804" s="3"/>
    </row>
    <row r="4805" ht="105.75" customHeight="1">
      <c r="A4805" s="11"/>
      <c r="B4805" s="12"/>
      <c r="C4805" s="11"/>
      <c r="D4805" s="13"/>
      <c r="E4805" s="14"/>
      <c r="F4805" s="14"/>
      <c r="G4805" s="14"/>
      <c r="H4805" s="15"/>
      <c r="I4805" s="15"/>
      <c r="J4805" s="3"/>
      <c r="K4805" s="3"/>
      <c r="L4805" s="3"/>
      <c r="M4805" s="3"/>
      <c r="N4805" s="3"/>
      <c r="O4805" s="3"/>
      <c r="P4805" s="3"/>
      <c r="Q4805" s="3"/>
      <c r="R4805" s="3"/>
      <c r="S4805" s="3"/>
      <c r="T4805" s="3"/>
      <c r="U4805" s="3"/>
      <c r="V4805" s="3"/>
      <c r="W4805" s="3"/>
      <c r="X4805" s="3"/>
      <c r="Y4805" s="3"/>
      <c r="Z4805" s="3"/>
      <c r="AA4805" s="3"/>
    </row>
    <row r="4806" ht="105.75" customHeight="1">
      <c r="A4806" s="11"/>
      <c r="B4806" s="12"/>
      <c r="C4806" s="11"/>
      <c r="D4806" s="13"/>
      <c r="E4806" s="14"/>
      <c r="F4806" s="14"/>
      <c r="G4806" s="14"/>
      <c r="H4806" s="15"/>
      <c r="I4806" s="15"/>
      <c r="J4806" s="3"/>
      <c r="K4806" s="3"/>
      <c r="L4806" s="3"/>
      <c r="M4806" s="3"/>
      <c r="N4806" s="3"/>
      <c r="O4806" s="3"/>
      <c r="P4806" s="3"/>
      <c r="Q4806" s="3"/>
      <c r="R4806" s="3"/>
      <c r="S4806" s="3"/>
      <c r="T4806" s="3"/>
      <c r="U4806" s="3"/>
      <c r="V4806" s="3"/>
      <c r="W4806" s="3"/>
      <c r="X4806" s="3"/>
      <c r="Y4806" s="3"/>
      <c r="Z4806" s="3"/>
      <c r="AA4806" s="3"/>
    </row>
    <row r="4807" ht="105.75" customHeight="1">
      <c r="A4807" s="11"/>
      <c r="B4807" s="12"/>
      <c r="C4807" s="11"/>
      <c r="D4807" s="13"/>
      <c r="E4807" s="14"/>
      <c r="F4807" s="14"/>
      <c r="G4807" s="14"/>
      <c r="H4807" s="15"/>
      <c r="I4807" s="15"/>
      <c r="J4807" s="3"/>
      <c r="K4807" s="3"/>
      <c r="L4807" s="3"/>
      <c r="M4807" s="3"/>
      <c r="N4807" s="3"/>
      <c r="O4807" s="3"/>
      <c r="P4807" s="3"/>
      <c r="Q4807" s="3"/>
      <c r="R4807" s="3"/>
      <c r="S4807" s="3"/>
      <c r="T4807" s="3"/>
      <c r="U4807" s="3"/>
      <c r="V4807" s="3"/>
      <c r="W4807" s="3"/>
      <c r="X4807" s="3"/>
      <c r="Y4807" s="3"/>
      <c r="Z4807" s="3"/>
      <c r="AA4807" s="3"/>
    </row>
    <row r="4808" ht="105.75" customHeight="1">
      <c r="A4808" s="11"/>
      <c r="B4808" s="12"/>
      <c r="C4808" s="11"/>
      <c r="D4808" s="13"/>
      <c r="E4808" s="14"/>
      <c r="F4808" s="14"/>
      <c r="G4808" s="14"/>
      <c r="H4808" s="15"/>
      <c r="I4808" s="15"/>
      <c r="J4808" s="3"/>
      <c r="K4808" s="3"/>
      <c r="L4808" s="3"/>
      <c r="M4808" s="3"/>
      <c r="N4808" s="3"/>
      <c r="O4808" s="3"/>
      <c r="P4808" s="3"/>
      <c r="Q4808" s="3"/>
      <c r="R4808" s="3"/>
      <c r="S4808" s="3"/>
      <c r="T4808" s="3"/>
      <c r="U4808" s="3"/>
      <c r="V4808" s="3"/>
      <c r="W4808" s="3"/>
      <c r="X4808" s="3"/>
      <c r="Y4808" s="3"/>
      <c r="Z4808" s="3"/>
      <c r="AA4808" s="3"/>
    </row>
    <row r="4809" ht="105.75" customHeight="1">
      <c r="A4809" s="11"/>
      <c r="B4809" s="12"/>
      <c r="C4809" s="11"/>
      <c r="D4809" s="13"/>
      <c r="E4809" s="14"/>
      <c r="F4809" s="14"/>
      <c r="G4809" s="14"/>
      <c r="H4809" s="15"/>
      <c r="I4809" s="15"/>
      <c r="J4809" s="3"/>
      <c r="K4809" s="3"/>
      <c r="L4809" s="3"/>
      <c r="M4809" s="3"/>
      <c r="N4809" s="3"/>
      <c r="O4809" s="3"/>
      <c r="P4809" s="3"/>
      <c r="Q4809" s="3"/>
      <c r="R4809" s="3"/>
      <c r="S4809" s="3"/>
      <c r="T4809" s="3"/>
      <c r="U4809" s="3"/>
      <c r="V4809" s="3"/>
      <c r="W4809" s="3"/>
      <c r="X4809" s="3"/>
      <c r="Y4809" s="3"/>
      <c r="Z4809" s="3"/>
      <c r="AA4809" s="3"/>
    </row>
    <row r="4810" ht="105.75" customHeight="1">
      <c r="A4810" s="11"/>
      <c r="B4810" s="12"/>
      <c r="C4810" s="11"/>
      <c r="D4810" s="13"/>
      <c r="E4810" s="14"/>
      <c r="F4810" s="14"/>
      <c r="G4810" s="14"/>
      <c r="H4810" s="15"/>
      <c r="I4810" s="15"/>
      <c r="J4810" s="3"/>
      <c r="K4810" s="3"/>
      <c r="L4810" s="3"/>
      <c r="M4810" s="3"/>
      <c r="N4810" s="3"/>
      <c r="O4810" s="3"/>
      <c r="P4810" s="3"/>
      <c r="Q4810" s="3"/>
      <c r="R4810" s="3"/>
      <c r="S4810" s="3"/>
      <c r="T4810" s="3"/>
      <c r="U4810" s="3"/>
      <c r="V4810" s="3"/>
      <c r="W4810" s="3"/>
      <c r="X4810" s="3"/>
      <c r="Y4810" s="3"/>
      <c r="Z4810" s="3"/>
      <c r="AA4810" s="3"/>
    </row>
    <row r="4811" ht="105.75" customHeight="1">
      <c r="A4811" s="11"/>
      <c r="B4811" s="12"/>
      <c r="C4811" s="11"/>
      <c r="D4811" s="13"/>
      <c r="E4811" s="14"/>
      <c r="F4811" s="14"/>
      <c r="G4811" s="14"/>
      <c r="H4811" s="15"/>
      <c r="I4811" s="15"/>
      <c r="J4811" s="3"/>
      <c r="K4811" s="3"/>
      <c r="L4811" s="3"/>
      <c r="M4811" s="3"/>
      <c r="N4811" s="3"/>
      <c r="O4811" s="3"/>
      <c r="P4811" s="3"/>
      <c r="Q4811" s="3"/>
      <c r="R4811" s="3"/>
      <c r="S4811" s="3"/>
      <c r="T4811" s="3"/>
      <c r="U4811" s="3"/>
      <c r="V4811" s="3"/>
      <c r="W4811" s="3"/>
      <c r="X4811" s="3"/>
      <c r="Y4811" s="3"/>
      <c r="Z4811" s="3"/>
      <c r="AA4811" s="3"/>
    </row>
    <row r="4812" ht="105.75" customHeight="1">
      <c r="A4812" s="11"/>
      <c r="B4812" s="12"/>
      <c r="C4812" s="11"/>
      <c r="D4812" s="13"/>
      <c r="E4812" s="14"/>
      <c r="F4812" s="14"/>
      <c r="G4812" s="14"/>
      <c r="H4812" s="15"/>
      <c r="I4812" s="15"/>
      <c r="J4812" s="3"/>
      <c r="K4812" s="3"/>
      <c r="L4812" s="3"/>
      <c r="M4812" s="3"/>
      <c r="N4812" s="3"/>
      <c r="O4812" s="3"/>
      <c r="P4812" s="3"/>
      <c r="Q4812" s="3"/>
      <c r="R4812" s="3"/>
      <c r="S4812" s="3"/>
      <c r="T4812" s="3"/>
      <c r="U4812" s="3"/>
      <c r="V4812" s="3"/>
      <c r="W4812" s="3"/>
      <c r="X4812" s="3"/>
      <c r="Y4812" s="3"/>
      <c r="Z4812" s="3"/>
      <c r="AA4812" s="3"/>
    </row>
    <row r="4813" ht="105.75" customHeight="1">
      <c r="A4813" s="11"/>
      <c r="B4813" s="12"/>
      <c r="C4813" s="11"/>
      <c r="D4813" s="13"/>
      <c r="E4813" s="14"/>
      <c r="F4813" s="14"/>
      <c r="G4813" s="14"/>
      <c r="H4813" s="15"/>
      <c r="I4813" s="15"/>
      <c r="J4813" s="3"/>
      <c r="K4813" s="3"/>
      <c r="L4813" s="3"/>
      <c r="M4813" s="3"/>
      <c r="N4813" s="3"/>
      <c r="O4813" s="3"/>
      <c r="P4813" s="3"/>
      <c r="Q4813" s="3"/>
      <c r="R4813" s="3"/>
      <c r="S4813" s="3"/>
      <c r="T4813" s="3"/>
      <c r="U4813" s="3"/>
      <c r="V4813" s="3"/>
      <c r="W4813" s="3"/>
      <c r="X4813" s="3"/>
      <c r="Y4813" s="3"/>
      <c r="Z4813" s="3"/>
      <c r="AA4813" s="3"/>
    </row>
    <row r="4814" ht="105.75" customHeight="1">
      <c r="A4814" s="11"/>
      <c r="B4814" s="12"/>
      <c r="C4814" s="11"/>
      <c r="D4814" s="13"/>
      <c r="E4814" s="14"/>
      <c r="F4814" s="14"/>
      <c r="G4814" s="14"/>
      <c r="H4814" s="15"/>
      <c r="I4814" s="15"/>
      <c r="J4814" s="3"/>
      <c r="K4814" s="3"/>
      <c r="L4814" s="3"/>
      <c r="M4814" s="3"/>
      <c r="N4814" s="3"/>
      <c r="O4814" s="3"/>
      <c r="P4814" s="3"/>
      <c r="Q4814" s="3"/>
      <c r="R4814" s="3"/>
      <c r="S4814" s="3"/>
      <c r="T4814" s="3"/>
      <c r="U4814" s="3"/>
      <c r="V4814" s="3"/>
      <c r="W4814" s="3"/>
      <c r="X4814" s="3"/>
      <c r="Y4814" s="3"/>
      <c r="Z4814" s="3"/>
      <c r="AA4814" s="3"/>
    </row>
    <row r="4815" ht="105.75" customHeight="1">
      <c r="A4815" s="11"/>
      <c r="B4815" s="12"/>
      <c r="C4815" s="11"/>
      <c r="D4815" s="13"/>
      <c r="E4815" s="14"/>
      <c r="F4815" s="14"/>
      <c r="G4815" s="14"/>
      <c r="H4815" s="15"/>
      <c r="I4815" s="15"/>
      <c r="J4815" s="3"/>
      <c r="K4815" s="3"/>
      <c r="L4815" s="3"/>
      <c r="M4815" s="3"/>
      <c r="N4815" s="3"/>
      <c r="O4815" s="3"/>
      <c r="P4815" s="3"/>
      <c r="Q4815" s="3"/>
      <c r="R4815" s="3"/>
      <c r="S4815" s="3"/>
      <c r="T4815" s="3"/>
      <c r="U4815" s="3"/>
      <c r="V4815" s="3"/>
      <c r="W4815" s="3"/>
      <c r="X4815" s="3"/>
      <c r="Y4815" s="3"/>
      <c r="Z4815" s="3"/>
      <c r="AA4815" s="3"/>
    </row>
    <row r="4816" ht="105.75" customHeight="1">
      <c r="A4816" s="11"/>
      <c r="B4816" s="12"/>
      <c r="C4816" s="11"/>
      <c r="D4816" s="13"/>
      <c r="E4816" s="14"/>
      <c r="F4816" s="14"/>
      <c r="G4816" s="14"/>
      <c r="H4816" s="15"/>
      <c r="I4816" s="15"/>
      <c r="J4816" s="3"/>
      <c r="K4816" s="3"/>
      <c r="L4816" s="3"/>
      <c r="M4816" s="3"/>
      <c r="N4816" s="3"/>
      <c r="O4816" s="3"/>
      <c r="P4816" s="3"/>
      <c r="Q4816" s="3"/>
      <c r="R4816" s="3"/>
      <c r="S4816" s="3"/>
      <c r="T4816" s="3"/>
      <c r="U4816" s="3"/>
      <c r="V4816" s="3"/>
      <c r="W4816" s="3"/>
      <c r="X4816" s="3"/>
      <c r="Y4816" s="3"/>
      <c r="Z4816" s="3"/>
      <c r="AA4816" s="3"/>
    </row>
    <row r="4817" ht="105.75" customHeight="1">
      <c r="A4817" s="11"/>
      <c r="B4817" s="12"/>
      <c r="C4817" s="11"/>
      <c r="D4817" s="13"/>
      <c r="E4817" s="14"/>
      <c r="F4817" s="14"/>
      <c r="G4817" s="14"/>
      <c r="H4817" s="15"/>
      <c r="I4817" s="15"/>
      <c r="J4817" s="3"/>
      <c r="K4817" s="3"/>
      <c r="L4817" s="3"/>
      <c r="M4817" s="3"/>
      <c r="N4817" s="3"/>
      <c r="O4817" s="3"/>
      <c r="P4817" s="3"/>
      <c r="Q4817" s="3"/>
      <c r="R4817" s="3"/>
      <c r="S4817" s="3"/>
      <c r="T4817" s="3"/>
      <c r="U4817" s="3"/>
      <c r="V4817" s="3"/>
      <c r="W4817" s="3"/>
      <c r="X4817" s="3"/>
      <c r="Y4817" s="3"/>
      <c r="Z4817" s="3"/>
      <c r="AA4817" s="3"/>
    </row>
    <row r="4818" ht="105.75" customHeight="1">
      <c r="A4818" s="11"/>
      <c r="B4818" s="12"/>
      <c r="C4818" s="11"/>
      <c r="D4818" s="13"/>
      <c r="E4818" s="14"/>
      <c r="F4818" s="14"/>
      <c r="G4818" s="14"/>
      <c r="H4818" s="15"/>
      <c r="I4818" s="15"/>
      <c r="J4818" s="3"/>
      <c r="K4818" s="3"/>
      <c r="L4818" s="3"/>
      <c r="M4818" s="3"/>
      <c r="N4818" s="3"/>
      <c r="O4818" s="3"/>
      <c r="P4818" s="3"/>
      <c r="Q4818" s="3"/>
      <c r="R4818" s="3"/>
      <c r="S4818" s="3"/>
      <c r="T4818" s="3"/>
      <c r="U4818" s="3"/>
      <c r="V4818" s="3"/>
      <c r="W4818" s="3"/>
      <c r="X4818" s="3"/>
      <c r="Y4818" s="3"/>
      <c r="Z4818" s="3"/>
      <c r="AA4818" s="3"/>
    </row>
    <row r="4819" ht="105.75" customHeight="1">
      <c r="A4819" s="11"/>
      <c r="B4819" s="12"/>
      <c r="C4819" s="11"/>
      <c r="D4819" s="13"/>
      <c r="E4819" s="14"/>
      <c r="F4819" s="14"/>
      <c r="G4819" s="14"/>
      <c r="H4819" s="15"/>
      <c r="I4819" s="15"/>
      <c r="J4819" s="3"/>
      <c r="K4819" s="3"/>
      <c r="L4819" s="3"/>
      <c r="M4819" s="3"/>
      <c r="N4819" s="3"/>
      <c r="O4819" s="3"/>
      <c r="P4819" s="3"/>
      <c r="Q4819" s="3"/>
      <c r="R4819" s="3"/>
      <c r="S4819" s="3"/>
      <c r="T4819" s="3"/>
      <c r="U4819" s="3"/>
      <c r="V4819" s="3"/>
      <c r="W4819" s="3"/>
      <c r="X4819" s="3"/>
      <c r="Y4819" s="3"/>
      <c r="Z4819" s="3"/>
      <c r="AA4819" s="3"/>
    </row>
    <row r="4820" ht="105.75" customHeight="1">
      <c r="A4820" s="11"/>
      <c r="B4820" s="12"/>
      <c r="C4820" s="11"/>
      <c r="D4820" s="13"/>
      <c r="E4820" s="14"/>
      <c r="F4820" s="14"/>
      <c r="G4820" s="14"/>
      <c r="H4820" s="15"/>
      <c r="I4820" s="15"/>
      <c r="J4820" s="3"/>
      <c r="K4820" s="3"/>
      <c r="L4820" s="3"/>
      <c r="M4820" s="3"/>
      <c r="N4820" s="3"/>
      <c r="O4820" s="3"/>
      <c r="P4820" s="3"/>
      <c r="Q4820" s="3"/>
      <c r="R4820" s="3"/>
      <c r="S4820" s="3"/>
      <c r="T4820" s="3"/>
      <c r="U4820" s="3"/>
      <c r="V4820" s="3"/>
      <c r="W4820" s="3"/>
      <c r="X4820" s="3"/>
      <c r="Y4820" s="3"/>
      <c r="Z4820" s="3"/>
      <c r="AA4820" s="3"/>
    </row>
    <row r="4821" ht="105.75" customHeight="1">
      <c r="A4821" s="11"/>
      <c r="B4821" s="12"/>
      <c r="C4821" s="11"/>
      <c r="D4821" s="13"/>
      <c r="E4821" s="14"/>
      <c r="F4821" s="14"/>
      <c r="G4821" s="14"/>
      <c r="H4821" s="15"/>
      <c r="I4821" s="15"/>
      <c r="J4821" s="3"/>
      <c r="K4821" s="3"/>
      <c r="L4821" s="3"/>
      <c r="M4821" s="3"/>
      <c r="N4821" s="3"/>
      <c r="O4821" s="3"/>
      <c r="P4821" s="3"/>
      <c r="Q4821" s="3"/>
      <c r="R4821" s="3"/>
      <c r="S4821" s="3"/>
      <c r="T4821" s="3"/>
      <c r="U4821" s="3"/>
      <c r="V4821" s="3"/>
      <c r="W4821" s="3"/>
      <c r="X4821" s="3"/>
      <c r="Y4821" s="3"/>
      <c r="Z4821" s="3"/>
      <c r="AA4821" s="3"/>
    </row>
    <row r="4822" ht="105.75" customHeight="1">
      <c r="A4822" s="11"/>
      <c r="B4822" s="12"/>
      <c r="C4822" s="11"/>
      <c r="D4822" s="13"/>
      <c r="E4822" s="14"/>
      <c r="F4822" s="14"/>
      <c r="G4822" s="14"/>
      <c r="H4822" s="15"/>
      <c r="I4822" s="15"/>
      <c r="J4822" s="3"/>
      <c r="K4822" s="3"/>
      <c r="L4822" s="3"/>
      <c r="M4822" s="3"/>
      <c r="N4822" s="3"/>
      <c r="O4822" s="3"/>
      <c r="P4822" s="3"/>
      <c r="Q4822" s="3"/>
      <c r="R4822" s="3"/>
      <c r="S4822" s="3"/>
      <c r="T4822" s="3"/>
      <c r="U4822" s="3"/>
      <c r="V4822" s="3"/>
      <c r="W4822" s="3"/>
      <c r="X4822" s="3"/>
      <c r="Y4822" s="3"/>
      <c r="Z4822" s="3"/>
      <c r="AA4822" s="3"/>
    </row>
    <row r="4823" ht="105.75" customHeight="1">
      <c r="A4823" s="11"/>
      <c r="B4823" s="12"/>
      <c r="C4823" s="11"/>
      <c r="D4823" s="13"/>
      <c r="E4823" s="14"/>
      <c r="F4823" s="14"/>
      <c r="G4823" s="14"/>
      <c r="H4823" s="15"/>
      <c r="I4823" s="15"/>
      <c r="J4823" s="3"/>
      <c r="K4823" s="3"/>
      <c r="L4823" s="3"/>
      <c r="M4823" s="3"/>
      <c r="N4823" s="3"/>
      <c r="O4823" s="3"/>
      <c r="P4823" s="3"/>
      <c r="Q4823" s="3"/>
      <c r="R4823" s="3"/>
      <c r="S4823" s="3"/>
      <c r="T4823" s="3"/>
      <c r="U4823" s="3"/>
      <c r="V4823" s="3"/>
      <c r="W4823" s="3"/>
      <c r="X4823" s="3"/>
      <c r="Y4823" s="3"/>
      <c r="Z4823" s="3"/>
      <c r="AA4823" s="3"/>
    </row>
    <row r="4824" ht="105.75" customHeight="1">
      <c r="A4824" s="11"/>
      <c r="B4824" s="12"/>
      <c r="C4824" s="11"/>
      <c r="D4824" s="13"/>
      <c r="E4824" s="14"/>
      <c r="F4824" s="14"/>
      <c r="G4824" s="14"/>
      <c r="H4824" s="15"/>
      <c r="I4824" s="15"/>
      <c r="J4824" s="3"/>
      <c r="K4824" s="3"/>
      <c r="L4824" s="3"/>
      <c r="M4824" s="3"/>
      <c r="N4824" s="3"/>
      <c r="O4824" s="3"/>
      <c r="P4824" s="3"/>
      <c r="Q4824" s="3"/>
      <c r="R4824" s="3"/>
      <c r="S4824" s="3"/>
      <c r="T4824" s="3"/>
      <c r="U4824" s="3"/>
      <c r="V4824" s="3"/>
      <c r="W4824" s="3"/>
      <c r="X4824" s="3"/>
      <c r="Y4824" s="3"/>
      <c r="Z4824" s="3"/>
      <c r="AA4824" s="3"/>
    </row>
    <row r="4825" ht="105.75" customHeight="1">
      <c r="A4825" s="11"/>
      <c r="B4825" s="12"/>
      <c r="C4825" s="11"/>
      <c r="D4825" s="13"/>
      <c r="E4825" s="14"/>
      <c r="F4825" s="14"/>
      <c r="G4825" s="14"/>
      <c r="H4825" s="15"/>
      <c r="I4825" s="15"/>
      <c r="J4825" s="3"/>
      <c r="K4825" s="3"/>
      <c r="L4825" s="3"/>
      <c r="M4825" s="3"/>
      <c r="N4825" s="3"/>
      <c r="O4825" s="3"/>
      <c r="P4825" s="3"/>
      <c r="Q4825" s="3"/>
      <c r="R4825" s="3"/>
      <c r="S4825" s="3"/>
      <c r="T4825" s="3"/>
      <c r="U4825" s="3"/>
      <c r="V4825" s="3"/>
      <c r="W4825" s="3"/>
      <c r="X4825" s="3"/>
      <c r="Y4825" s="3"/>
      <c r="Z4825" s="3"/>
      <c r="AA4825" s="3"/>
    </row>
    <row r="4826" ht="105.75" customHeight="1">
      <c r="A4826" s="11"/>
      <c r="B4826" s="12"/>
      <c r="C4826" s="11"/>
      <c r="D4826" s="13"/>
      <c r="E4826" s="14"/>
      <c r="F4826" s="14"/>
      <c r="G4826" s="14"/>
      <c r="H4826" s="15"/>
      <c r="I4826" s="15"/>
      <c r="J4826" s="3"/>
      <c r="K4826" s="3"/>
      <c r="L4826" s="3"/>
      <c r="M4826" s="3"/>
      <c r="N4826" s="3"/>
      <c r="O4826" s="3"/>
      <c r="P4826" s="3"/>
      <c r="Q4826" s="3"/>
      <c r="R4826" s="3"/>
      <c r="S4826" s="3"/>
      <c r="T4826" s="3"/>
      <c r="U4826" s="3"/>
      <c r="V4826" s="3"/>
      <c r="W4826" s="3"/>
      <c r="X4826" s="3"/>
      <c r="Y4826" s="3"/>
      <c r="Z4826" s="3"/>
      <c r="AA4826" s="3"/>
    </row>
    <row r="4827" ht="105.75" customHeight="1">
      <c r="A4827" s="11"/>
      <c r="B4827" s="12"/>
      <c r="C4827" s="11"/>
      <c r="D4827" s="13"/>
      <c r="E4827" s="14"/>
      <c r="F4827" s="14"/>
      <c r="G4827" s="14"/>
      <c r="H4827" s="15"/>
      <c r="I4827" s="15"/>
      <c r="J4827" s="3"/>
      <c r="K4827" s="3"/>
      <c r="L4827" s="3"/>
      <c r="M4827" s="3"/>
      <c r="N4827" s="3"/>
      <c r="O4827" s="3"/>
      <c r="P4827" s="3"/>
      <c r="Q4827" s="3"/>
      <c r="R4827" s="3"/>
      <c r="S4827" s="3"/>
      <c r="T4827" s="3"/>
      <c r="U4827" s="3"/>
      <c r="V4827" s="3"/>
      <c r="W4827" s="3"/>
      <c r="X4827" s="3"/>
      <c r="Y4827" s="3"/>
      <c r="Z4827" s="3"/>
      <c r="AA4827" s="3"/>
    </row>
    <row r="4828" ht="105.75" customHeight="1">
      <c r="A4828" s="11"/>
      <c r="B4828" s="12"/>
      <c r="C4828" s="11"/>
      <c r="D4828" s="13"/>
      <c r="E4828" s="14"/>
      <c r="F4828" s="14"/>
      <c r="G4828" s="14"/>
      <c r="H4828" s="15"/>
      <c r="I4828" s="15"/>
      <c r="J4828" s="3"/>
      <c r="K4828" s="3"/>
      <c r="L4828" s="3"/>
      <c r="M4828" s="3"/>
      <c r="N4828" s="3"/>
      <c r="O4828" s="3"/>
      <c r="P4828" s="3"/>
      <c r="Q4828" s="3"/>
      <c r="R4828" s="3"/>
      <c r="S4828" s="3"/>
      <c r="T4828" s="3"/>
      <c r="U4828" s="3"/>
      <c r="V4828" s="3"/>
      <c r="W4828" s="3"/>
      <c r="X4828" s="3"/>
      <c r="Y4828" s="3"/>
      <c r="Z4828" s="3"/>
      <c r="AA4828" s="3"/>
    </row>
    <row r="4829" ht="105.75" customHeight="1">
      <c r="A4829" s="11"/>
      <c r="B4829" s="12"/>
      <c r="C4829" s="11"/>
      <c r="D4829" s="13"/>
      <c r="E4829" s="14"/>
      <c r="F4829" s="14"/>
      <c r="G4829" s="14"/>
      <c r="H4829" s="15"/>
      <c r="I4829" s="15"/>
      <c r="J4829" s="3"/>
      <c r="K4829" s="3"/>
      <c r="L4829" s="3"/>
      <c r="M4829" s="3"/>
      <c r="N4829" s="3"/>
      <c r="O4829" s="3"/>
      <c r="P4829" s="3"/>
      <c r="Q4829" s="3"/>
      <c r="R4829" s="3"/>
      <c r="S4829" s="3"/>
      <c r="T4829" s="3"/>
      <c r="U4829" s="3"/>
      <c r="V4829" s="3"/>
      <c r="W4829" s="3"/>
      <c r="X4829" s="3"/>
      <c r="Y4829" s="3"/>
      <c r="Z4829" s="3"/>
      <c r="AA4829" s="3"/>
    </row>
    <row r="4830" ht="105.75" customHeight="1">
      <c r="A4830" s="11"/>
      <c r="B4830" s="12"/>
      <c r="C4830" s="11"/>
      <c r="D4830" s="13"/>
      <c r="E4830" s="14"/>
      <c r="F4830" s="14"/>
      <c r="G4830" s="14"/>
      <c r="H4830" s="15"/>
      <c r="I4830" s="15"/>
      <c r="J4830" s="3"/>
      <c r="K4830" s="3"/>
      <c r="L4830" s="3"/>
      <c r="M4830" s="3"/>
      <c r="N4830" s="3"/>
      <c r="O4830" s="3"/>
      <c r="P4830" s="3"/>
      <c r="Q4830" s="3"/>
      <c r="R4830" s="3"/>
      <c r="S4830" s="3"/>
      <c r="T4830" s="3"/>
      <c r="U4830" s="3"/>
      <c r="V4830" s="3"/>
      <c r="W4830" s="3"/>
      <c r="X4830" s="3"/>
      <c r="Y4830" s="3"/>
      <c r="Z4830" s="3"/>
      <c r="AA4830" s="3"/>
    </row>
    <row r="4831" ht="105.75" customHeight="1">
      <c r="A4831" s="11"/>
      <c r="B4831" s="12"/>
      <c r="C4831" s="11"/>
      <c r="D4831" s="13"/>
      <c r="E4831" s="14"/>
      <c r="F4831" s="14"/>
      <c r="G4831" s="14"/>
      <c r="H4831" s="15"/>
      <c r="I4831" s="15"/>
      <c r="J4831" s="3"/>
      <c r="K4831" s="3"/>
      <c r="L4831" s="3"/>
      <c r="M4831" s="3"/>
      <c r="N4831" s="3"/>
      <c r="O4831" s="3"/>
      <c r="P4831" s="3"/>
      <c r="Q4831" s="3"/>
      <c r="R4831" s="3"/>
      <c r="S4831" s="3"/>
      <c r="T4831" s="3"/>
      <c r="U4831" s="3"/>
      <c r="V4831" s="3"/>
      <c r="W4831" s="3"/>
      <c r="X4831" s="3"/>
      <c r="Y4831" s="3"/>
      <c r="Z4831" s="3"/>
      <c r="AA4831" s="3"/>
    </row>
    <row r="4832" ht="105.75" customHeight="1">
      <c r="A4832" s="11"/>
      <c r="B4832" s="12"/>
      <c r="C4832" s="11"/>
      <c r="D4832" s="13"/>
      <c r="E4832" s="14"/>
      <c r="F4832" s="14"/>
      <c r="G4832" s="14"/>
      <c r="H4832" s="15"/>
      <c r="I4832" s="15"/>
      <c r="J4832" s="3"/>
      <c r="K4832" s="3"/>
      <c r="L4832" s="3"/>
      <c r="M4832" s="3"/>
      <c r="N4832" s="3"/>
      <c r="O4832" s="3"/>
      <c r="P4832" s="3"/>
      <c r="Q4832" s="3"/>
      <c r="R4832" s="3"/>
      <c r="S4832" s="3"/>
      <c r="T4832" s="3"/>
      <c r="U4832" s="3"/>
      <c r="V4832" s="3"/>
      <c r="W4832" s="3"/>
      <c r="X4832" s="3"/>
      <c r="Y4832" s="3"/>
      <c r="Z4832" s="3"/>
      <c r="AA4832" s="3"/>
    </row>
    <row r="4833" ht="105.75" customHeight="1">
      <c r="A4833" s="11"/>
      <c r="B4833" s="12"/>
      <c r="C4833" s="11"/>
      <c r="D4833" s="13"/>
      <c r="E4833" s="14"/>
      <c r="F4833" s="14"/>
      <c r="G4833" s="14"/>
      <c r="H4833" s="15"/>
      <c r="I4833" s="15"/>
      <c r="J4833" s="3"/>
      <c r="K4833" s="3"/>
      <c r="L4833" s="3"/>
      <c r="M4833" s="3"/>
      <c r="N4833" s="3"/>
      <c r="O4833" s="3"/>
      <c r="P4833" s="3"/>
      <c r="Q4833" s="3"/>
      <c r="R4833" s="3"/>
      <c r="S4833" s="3"/>
      <c r="T4833" s="3"/>
      <c r="U4833" s="3"/>
      <c r="V4833" s="3"/>
      <c r="W4833" s="3"/>
      <c r="X4833" s="3"/>
      <c r="Y4833" s="3"/>
      <c r="Z4833" s="3"/>
      <c r="AA4833" s="3"/>
    </row>
    <row r="4834" ht="105.75" customHeight="1">
      <c r="A4834" s="11"/>
      <c r="B4834" s="12"/>
      <c r="C4834" s="11"/>
      <c r="D4834" s="13"/>
      <c r="E4834" s="14"/>
      <c r="F4834" s="14"/>
      <c r="G4834" s="14"/>
      <c r="H4834" s="15"/>
      <c r="I4834" s="15"/>
      <c r="J4834" s="3"/>
      <c r="K4834" s="3"/>
      <c r="L4834" s="3"/>
      <c r="M4834" s="3"/>
      <c r="N4834" s="3"/>
      <c r="O4834" s="3"/>
      <c r="P4834" s="3"/>
      <c r="Q4834" s="3"/>
      <c r="R4834" s="3"/>
      <c r="S4834" s="3"/>
      <c r="T4834" s="3"/>
      <c r="U4834" s="3"/>
      <c r="V4834" s="3"/>
      <c r="W4834" s="3"/>
      <c r="X4834" s="3"/>
      <c r="Y4834" s="3"/>
      <c r="Z4834" s="3"/>
      <c r="AA4834" s="3"/>
    </row>
    <row r="4835" ht="105.75" customHeight="1">
      <c r="A4835" s="11"/>
      <c r="B4835" s="12"/>
      <c r="C4835" s="11"/>
      <c r="D4835" s="13"/>
      <c r="E4835" s="14"/>
      <c r="F4835" s="14"/>
      <c r="G4835" s="14"/>
      <c r="H4835" s="15"/>
      <c r="I4835" s="15"/>
      <c r="J4835" s="3"/>
      <c r="K4835" s="3"/>
      <c r="L4835" s="3"/>
      <c r="M4835" s="3"/>
      <c r="N4835" s="3"/>
      <c r="O4835" s="3"/>
      <c r="P4835" s="3"/>
      <c r="Q4835" s="3"/>
      <c r="R4835" s="3"/>
      <c r="S4835" s="3"/>
      <c r="T4835" s="3"/>
      <c r="U4835" s="3"/>
      <c r="V4835" s="3"/>
      <c r="W4835" s="3"/>
      <c r="X4835" s="3"/>
      <c r="Y4835" s="3"/>
      <c r="Z4835" s="3"/>
      <c r="AA4835" s="3"/>
    </row>
    <row r="4836" ht="105.75" customHeight="1">
      <c r="A4836" s="11"/>
      <c r="B4836" s="12"/>
      <c r="C4836" s="11"/>
      <c r="D4836" s="13"/>
      <c r="E4836" s="14"/>
      <c r="F4836" s="14"/>
      <c r="G4836" s="14"/>
      <c r="H4836" s="15"/>
      <c r="I4836" s="15"/>
      <c r="J4836" s="3"/>
      <c r="K4836" s="3"/>
      <c r="L4836" s="3"/>
      <c r="M4836" s="3"/>
      <c r="N4836" s="3"/>
      <c r="O4836" s="3"/>
      <c r="P4836" s="3"/>
      <c r="Q4836" s="3"/>
      <c r="R4836" s="3"/>
      <c r="S4836" s="3"/>
      <c r="T4836" s="3"/>
      <c r="U4836" s="3"/>
      <c r="V4836" s="3"/>
      <c r="W4836" s="3"/>
      <c r="X4836" s="3"/>
      <c r="Y4836" s="3"/>
      <c r="Z4836" s="3"/>
      <c r="AA4836" s="3"/>
    </row>
    <row r="4837" ht="105.75" customHeight="1">
      <c r="A4837" s="11"/>
      <c r="B4837" s="12"/>
      <c r="C4837" s="11"/>
      <c r="D4837" s="13"/>
      <c r="E4837" s="14"/>
      <c r="F4837" s="14"/>
      <c r="G4837" s="14"/>
      <c r="H4837" s="15"/>
      <c r="I4837" s="15"/>
      <c r="J4837" s="3"/>
      <c r="K4837" s="3"/>
      <c r="L4837" s="3"/>
      <c r="M4837" s="3"/>
      <c r="N4837" s="3"/>
      <c r="O4837" s="3"/>
      <c r="P4837" s="3"/>
      <c r="Q4837" s="3"/>
      <c r="R4837" s="3"/>
      <c r="S4837" s="3"/>
      <c r="T4837" s="3"/>
      <c r="U4837" s="3"/>
      <c r="V4837" s="3"/>
      <c r="W4837" s="3"/>
      <c r="X4837" s="3"/>
      <c r="Y4837" s="3"/>
      <c r="Z4837" s="3"/>
      <c r="AA4837" s="3"/>
    </row>
    <row r="4838" ht="105.75" customHeight="1">
      <c r="A4838" s="11"/>
      <c r="B4838" s="12"/>
      <c r="C4838" s="11"/>
      <c r="D4838" s="13"/>
      <c r="E4838" s="14"/>
      <c r="F4838" s="14"/>
      <c r="G4838" s="14"/>
      <c r="H4838" s="15"/>
      <c r="I4838" s="15"/>
      <c r="J4838" s="3"/>
      <c r="K4838" s="3"/>
      <c r="L4838" s="3"/>
      <c r="M4838" s="3"/>
      <c r="N4838" s="3"/>
      <c r="O4838" s="3"/>
      <c r="P4838" s="3"/>
      <c r="Q4838" s="3"/>
      <c r="R4838" s="3"/>
      <c r="S4838" s="3"/>
      <c r="T4838" s="3"/>
      <c r="U4838" s="3"/>
      <c r="V4838" s="3"/>
      <c r="W4838" s="3"/>
      <c r="X4838" s="3"/>
      <c r="Y4838" s="3"/>
      <c r="Z4838" s="3"/>
      <c r="AA4838" s="3"/>
    </row>
    <row r="4839" ht="105.75" customHeight="1">
      <c r="A4839" s="11"/>
      <c r="B4839" s="12"/>
      <c r="C4839" s="11"/>
      <c r="D4839" s="13"/>
      <c r="E4839" s="14"/>
      <c r="F4839" s="14"/>
      <c r="G4839" s="14"/>
      <c r="H4839" s="15"/>
      <c r="I4839" s="15"/>
      <c r="J4839" s="3"/>
      <c r="K4839" s="3"/>
      <c r="L4839" s="3"/>
      <c r="M4839" s="3"/>
      <c r="N4839" s="3"/>
      <c r="O4839" s="3"/>
      <c r="P4839" s="3"/>
      <c r="Q4839" s="3"/>
      <c r="R4839" s="3"/>
      <c r="S4839" s="3"/>
      <c r="T4839" s="3"/>
      <c r="U4839" s="3"/>
      <c r="V4839" s="3"/>
      <c r="W4839" s="3"/>
      <c r="X4839" s="3"/>
      <c r="Y4839" s="3"/>
      <c r="Z4839" s="3"/>
      <c r="AA4839" s="3"/>
    </row>
    <row r="4840" ht="105.75" customHeight="1">
      <c r="A4840" s="11"/>
      <c r="B4840" s="12"/>
      <c r="C4840" s="11"/>
      <c r="D4840" s="13"/>
      <c r="E4840" s="14"/>
      <c r="F4840" s="14"/>
      <c r="G4840" s="14"/>
      <c r="H4840" s="15"/>
      <c r="I4840" s="15"/>
      <c r="J4840" s="3"/>
      <c r="K4840" s="3"/>
      <c r="L4840" s="3"/>
      <c r="M4840" s="3"/>
      <c r="N4840" s="3"/>
      <c r="O4840" s="3"/>
      <c r="P4840" s="3"/>
      <c r="Q4840" s="3"/>
      <c r="R4840" s="3"/>
      <c r="S4840" s="3"/>
      <c r="T4840" s="3"/>
      <c r="U4840" s="3"/>
      <c r="V4840" s="3"/>
      <c r="W4840" s="3"/>
      <c r="X4840" s="3"/>
      <c r="Y4840" s="3"/>
      <c r="Z4840" s="3"/>
      <c r="AA4840" s="3"/>
    </row>
    <row r="4841" ht="105.75" customHeight="1">
      <c r="A4841" s="11"/>
      <c r="B4841" s="12"/>
      <c r="C4841" s="11"/>
      <c r="D4841" s="13"/>
      <c r="E4841" s="14"/>
      <c r="F4841" s="14"/>
      <c r="G4841" s="14"/>
      <c r="H4841" s="15"/>
      <c r="I4841" s="15"/>
      <c r="J4841" s="3"/>
      <c r="K4841" s="3"/>
      <c r="L4841" s="3"/>
      <c r="M4841" s="3"/>
      <c r="N4841" s="3"/>
      <c r="O4841" s="3"/>
      <c r="P4841" s="3"/>
      <c r="Q4841" s="3"/>
      <c r="R4841" s="3"/>
      <c r="S4841" s="3"/>
      <c r="T4841" s="3"/>
      <c r="U4841" s="3"/>
      <c r="V4841" s="3"/>
      <c r="W4841" s="3"/>
      <c r="X4841" s="3"/>
      <c r="Y4841" s="3"/>
      <c r="Z4841" s="3"/>
      <c r="AA4841" s="3"/>
    </row>
    <row r="4842" ht="105.75" customHeight="1">
      <c r="A4842" s="11"/>
      <c r="B4842" s="12"/>
      <c r="C4842" s="11"/>
      <c r="D4842" s="13"/>
      <c r="E4842" s="14"/>
      <c r="F4842" s="14"/>
      <c r="G4842" s="14"/>
      <c r="H4842" s="15"/>
      <c r="I4842" s="15"/>
      <c r="J4842" s="3"/>
      <c r="K4842" s="3"/>
      <c r="L4842" s="3"/>
      <c r="M4842" s="3"/>
      <c r="N4842" s="3"/>
      <c r="O4842" s="3"/>
      <c r="P4842" s="3"/>
      <c r="Q4842" s="3"/>
      <c r="R4842" s="3"/>
      <c r="S4842" s="3"/>
      <c r="T4842" s="3"/>
      <c r="U4842" s="3"/>
      <c r="V4842" s="3"/>
      <c r="W4842" s="3"/>
      <c r="X4842" s="3"/>
      <c r="Y4842" s="3"/>
      <c r="Z4842" s="3"/>
      <c r="AA4842" s="3"/>
    </row>
    <row r="4843" ht="105.75" customHeight="1">
      <c r="A4843" s="11"/>
      <c r="B4843" s="12"/>
      <c r="C4843" s="11"/>
      <c r="D4843" s="13"/>
      <c r="E4843" s="14"/>
      <c r="F4843" s="14"/>
      <c r="G4843" s="14"/>
      <c r="H4843" s="15"/>
      <c r="I4843" s="15"/>
      <c r="J4843" s="3"/>
      <c r="K4843" s="3"/>
      <c r="L4843" s="3"/>
      <c r="M4843" s="3"/>
      <c r="N4843" s="3"/>
      <c r="O4843" s="3"/>
      <c r="P4843" s="3"/>
      <c r="Q4843" s="3"/>
      <c r="R4843" s="3"/>
      <c r="S4843" s="3"/>
      <c r="T4843" s="3"/>
      <c r="U4843" s="3"/>
      <c r="V4843" s="3"/>
      <c r="W4843" s="3"/>
      <c r="X4843" s="3"/>
      <c r="Y4843" s="3"/>
      <c r="Z4843" s="3"/>
      <c r="AA4843" s="3"/>
    </row>
    <row r="4844" ht="105.75" customHeight="1">
      <c r="A4844" s="11"/>
      <c r="B4844" s="12"/>
      <c r="C4844" s="11"/>
      <c r="D4844" s="13"/>
      <c r="E4844" s="14"/>
      <c r="F4844" s="14"/>
      <c r="G4844" s="14"/>
      <c r="H4844" s="15"/>
      <c r="I4844" s="15"/>
      <c r="J4844" s="3"/>
      <c r="K4844" s="3"/>
      <c r="L4844" s="3"/>
      <c r="M4844" s="3"/>
      <c r="N4844" s="3"/>
      <c r="O4844" s="3"/>
      <c r="P4844" s="3"/>
      <c r="Q4844" s="3"/>
      <c r="R4844" s="3"/>
      <c r="S4844" s="3"/>
      <c r="T4844" s="3"/>
      <c r="U4844" s="3"/>
      <c r="V4844" s="3"/>
      <c r="W4844" s="3"/>
      <c r="X4844" s="3"/>
      <c r="Y4844" s="3"/>
      <c r="Z4844" s="3"/>
      <c r="AA4844" s="3"/>
    </row>
    <row r="4845" ht="105.75" customHeight="1">
      <c r="A4845" s="11"/>
      <c r="B4845" s="12"/>
      <c r="C4845" s="11"/>
      <c r="D4845" s="13"/>
      <c r="E4845" s="14"/>
      <c r="F4845" s="14"/>
      <c r="G4845" s="14"/>
      <c r="H4845" s="15"/>
      <c r="I4845" s="15"/>
      <c r="J4845" s="3"/>
      <c r="K4845" s="3"/>
      <c r="L4845" s="3"/>
      <c r="M4845" s="3"/>
      <c r="N4845" s="3"/>
      <c r="O4845" s="3"/>
      <c r="P4845" s="3"/>
      <c r="Q4845" s="3"/>
      <c r="R4845" s="3"/>
      <c r="S4845" s="3"/>
      <c r="T4845" s="3"/>
      <c r="U4845" s="3"/>
      <c r="V4845" s="3"/>
      <c r="W4845" s="3"/>
      <c r="X4845" s="3"/>
      <c r="Y4845" s="3"/>
      <c r="Z4845" s="3"/>
      <c r="AA4845" s="3"/>
    </row>
    <row r="4846" ht="105.75" customHeight="1">
      <c r="A4846" s="11"/>
      <c r="B4846" s="12"/>
      <c r="C4846" s="11"/>
      <c r="D4846" s="13"/>
      <c r="E4846" s="14"/>
      <c r="F4846" s="14"/>
      <c r="G4846" s="14"/>
      <c r="H4846" s="15"/>
      <c r="I4846" s="15"/>
      <c r="J4846" s="3"/>
      <c r="K4846" s="3"/>
      <c r="L4846" s="3"/>
      <c r="M4846" s="3"/>
      <c r="N4846" s="3"/>
      <c r="O4846" s="3"/>
      <c r="P4846" s="3"/>
      <c r="Q4846" s="3"/>
      <c r="R4846" s="3"/>
      <c r="S4846" s="3"/>
      <c r="T4846" s="3"/>
      <c r="U4846" s="3"/>
      <c r="V4846" s="3"/>
      <c r="W4846" s="3"/>
      <c r="X4846" s="3"/>
      <c r="Y4846" s="3"/>
      <c r="Z4846" s="3"/>
      <c r="AA4846" s="3"/>
    </row>
    <row r="4847" ht="105.75" customHeight="1">
      <c r="A4847" s="11"/>
      <c r="B4847" s="12"/>
      <c r="C4847" s="11"/>
      <c r="D4847" s="13"/>
      <c r="E4847" s="14"/>
      <c r="F4847" s="14"/>
      <c r="G4847" s="14"/>
      <c r="H4847" s="15"/>
      <c r="I4847" s="15"/>
      <c r="J4847" s="3"/>
      <c r="K4847" s="3"/>
      <c r="L4847" s="3"/>
      <c r="M4847" s="3"/>
      <c r="N4847" s="3"/>
      <c r="O4847" s="3"/>
      <c r="P4847" s="3"/>
      <c r="Q4847" s="3"/>
      <c r="R4847" s="3"/>
      <c r="S4847" s="3"/>
      <c r="T4847" s="3"/>
      <c r="U4847" s="3"/>
      <c r="V4847" s="3"/>
      <c r="W4847" s="3"/>
      <c r="X4847" s="3"/>
      <c r="Y4847" s="3"/>
      <c r="Z4847" s="3"/>
      <c r="AA4847" s="3"/>
    </row>
    <row r="4848" ht="105.75" customHeight="1">
      <c r="A4848" s="11"/>
      <c r="B4848" s="12"/>
      <c r="C4848" s="11"/>
      <c r="D4848" s="13"/>
      <c r="E4848" s="14"/>
      <c r="F4848" s="14"/>
      <c r="G4848" s="14"/>
      <c r="H4848" s="15"/>
      <c r="I4848" s="15"/>
      <c r="J4848" s="3"/>
      <c r="K4848" s="3"/>
      <c r="L4848" s="3"/>
      <c r="M4848" s="3"/>
      <c r="N4848" s="3"/>
      <c r="O4848" s="3"/>
      <c r="P4848" s="3"/>
      <c r="Q4848" s="3"/>
      <c r="R4848" s="3"/>
      <c r="S4848" s="3"/>
      <c r="T4848" s="3"/>
      <c r="U4848" s="3"/>
      <c r="V4848" s="3"/>
      <c r="W4848" s="3"/>
      <c r="X4848" s="3"/>
      <c r="Y4848" s="3"/>
      <c r="Z4848" s="3"/>
      <c r="AA4848" s="3"/>
    </row>
    <row r="4849" ht="105.75" customHeight="1">
      <c r="A4849" s="11"/>
      <c r="B4849" s="12"/>
      <c r="C4849" s="11"/>
      <c r="D4849" s="13"/>
      <c r="E4849" s="14"/>
      <c r="F4849" s="14"/>
      <c r="G4849" s="14"/>
      <c r="H4849" s="15"/>
      <c r="I4849" s="15"/>
      <c r="J4849" s="3"/>
      <c r="K4849" s="3"/>
      <c r="L4849" s="3"/>
      <c r="M4849" s="3"/>
      <c r="N4849" s="3"/>
      <c r="O4849" s="3"/>
      <c r="P4849" s="3"/>
      <c r="Q4849" s="3"/>
      <c r="R4849" s="3"/>
      <c r="S4849" s="3"/>
      <c r="T4849" s="3"/>
      <c r="U4849" s="3"/>
      <c r="V4849" s="3"/>
      <c r="W4849" s="3"/>
      <c r="X4849" s="3"/>
      <c r="Y4849" s="3"/>
      <c r="Z4849" s="3"/>
      <c r="AA4849" s="3"/>
    </row>
    <row r="4850" ht="105.75" customHeight="1">
      <c r="A4850" s="11"/>
      <c r="B4850" s="12"/>
      <c r="C4850" s="11"/>
      <c r="D4850" s="13"/>
      <c r="E4850" s="14"/>
      <c r="F4850" s="14"/>
      <c r="G4850" s="14"/>
      <c r="H4850" s="15"/>
      <c r="I4850" s="15"/>
      <c r="J4850" s="3"/>
      <c r="K4850" s="3"/>
      <c r="L4850" s="3"/>
      <c r="M4850" s="3"/>
      <c r="N4850" s="3"/>
      <c r="O4850" s="3"/>
      <c r="P4850" s="3"/>
      <c r="Q4850" s="3"/>
      <c r="R4850" s="3"/>
      <c r="S4850" s="3"/>
      <c r="T4850" s="3"/>
      <c r="U4850" s="3"/>
      <c r="V4850" s="3"/>
      <c r="W4850" s="3"/>
      <c r="X4850" s="3"/>
      <c r="Y4850" s="3"/>
      <c r="Z4850" s="3"/>
      <c r="AA4850" s="3"/>
    </row>
    <row r="4851" ht="105.75" customHeight="1">
      <c r="A4851" s="11"/>
      <c r="B4851" s="12"/>
      <c r="C4851" s="11"/>
      <c r="D4851" s="13"/>
      <c r="E4851" s="14"/>
      <c r="F4851" s="14"/>
      <c r="G4851" s="14"/>
      <c r="H4851" s="15"/>
      <c r="I4851" s="15"/>
      <c r="J4851" s="3"/>
      <c r="K4851" s="3"/>
      <c r="L4851" s="3"/>
      <c r="M4851" s="3"/>
      <c r="N4851" s="3"/>
      <c r="O4851" s="3"/>
      <c r="P4851" s="3"/>
      <c r="Q4851" s="3"/>
      <c r="R4851" s="3"/>
      <c r="S4851" s="3"/>
      <c r="T4851" s="3"/>
      <c r="U4851" s="3"/>
      <c r="V4851" s="3"/>
      <c r="W4851" s="3"/>
      <c r="X4851" s="3"/>
      <c r="Y4851" s="3"/>
      <c r="Z4851" s="3"/>
      <c r="AA4851" s="3"/>
    </row>
    <row r="4852" ht="105.75" customHeight="1">
      <c r="A4852" s="11"/>
      <c r="B4852" s="12"/>
      <c r="C4852" s="11"/>
      <c r="D4852" s="13"/>
      <c r="E4852" s="14"/>
      <c r="F4852" s="14"/>
      <c r="G4852" s="14"/>
      <c r="H4852" s="15"/>
      <c r="I4852" s="15"/>
      <c r="J4852" s="3"/>
      <c r="K4852" s="3"/>
      <c r="L4852" s="3"/>
      <c r="M4852" s="3"/>
      <c r="N4852" s="3"/>
      <c r="O4852" s="3"/>
      <c r="P4852" s="3"/>
      <c r="Q4852" s="3"/>
      <c r="R4852" s="3"/>
      <c r="S4852" s="3"/>
      <c r="T4852" s="3"/>
      <c r="U4852" s="3"/>
      <c r="V4852" s="3"/>
      <c r="W4852" s="3"/>
      <c r="X4852" s="3"/>
      <c r="Y4852" s="3"/>
      <c r="Z4852" s="3"/>
      <c r="AA4852" s="3"/>
    </row>
    <row r="4853" ht="105.75" customHeight="1">
      <c r="A4853" s="11"/>
      <c r="B4853" s="12"/>
      <c r="C4853" s="11"/>
      <c r="D4853" s="13"/>
      <c r="E4853" s="14"/>
      <c r="F4853" s="14"/>
      <c r="G4853" s="14"/>
      <c r="H4853" s="15"/>
      <c r="I4853" s="15"/>
      <c r="J4853" s="3"/>
      <c r="K4853" s="3"/>
      <c r="L4853" s="3"/>
      <c r="M4853" s="3"/>
      <c r="N4853" s="3"/>
      <c r="O4853" s="3"/>
      <c r="P4853" s="3"/>
      <c r="Q4853" s="3"/>
      <c r="R4853" s="3"/>
      <c r="S4853" s="3"/>
      <c r="T4853" s="3"/>
      <c r="U4853" s="3"/>
      <c r="V4853" s="3"/>
      <c r="W4853" s="3"/>
      <c r="X4853" s="3"/>
      <c r="Y4853" s="3"/>
      <c r="Z4853" s="3"/>
      <c r="AA4853" s="3"/>
    </row>
    <row r="4854" ht="105.75" customHeight="1">
      <c r="A4854" s="11"/>
      <c r="B4854" s="12"/>
      <c r="C4854" s="11"/>
      <c r="D4854" s="13"/>
      <c r="E4854" s="14"/>
      <c r="F4854" s="14"/>
      <c r="G4854" s="14"/>
      <c r="H4854" s="15"/>
      <c r="I4854" s="15"/>
      <c r="J4854" s="3"/>
      <c r="K4854" s="3"/>
      <c r="L4854" s="3"/>
      <c r="M4854" s="3"/>
      <c r="N4854" s="3"/>
      <c r="O4854" s="3"/>
      <c r="P4854" s="3"/>
      <c r="Q4854" s="3"/>
      <c r="R4854" s="3"/>
      <c r="S4854" s="3"/>
      <c r="T4854" s="3"/>
      <c r="U4854" s="3"/>
      <c r="V4854" s="3"/>
      <c r="W4854" s="3"/>
      <c r="X4854" s="3"/>
      <c r="Y4854" s="3"/>
      <c r="Z4854" s="3"/>
      <c r="AA4854" s="3"/>
    </row>
    <row r="4855" ht="105.75" customHeight="1">
      <c r="A4855" s="11"/>
      <c r="B4855" s="12"/>
      <c r="C4855" s="11"/>
      <c r="D4855" s="13"/>
      <c r="E4855" s="14"/>
      <c r="F4855" s="14"/>
      <c r="G4855" s="14"/>
      <c r="H4855" s="15"/>
      <c r="I4855" s="15"/>
      <c r="J4855" s="3"/>
      <c r="K4855" s="3"/>
      <c r="L4855" s="3"/>
      <c r="M4855" s="3"/>
      <c r="N4855" s="3"/>
      <c r="O4855" s="3"/>
      <c r="P4855" s="3"/>
      <c r="Q4855" s="3"/>
      <c r="R4855" s="3"/>
      <c r="S4855" s="3"/>
      <c r="T4855" s="3"/>
      <c r="U4855" s="3"/>
      <c r="V4855" s="3"/>
      <c r="W4855" s="3"/>
      <c r="X4855" s="3"/>
      <c r="Y4855" s="3"/>
      <c r="Z4855" s="3"/>
      <c r="AA4855" s="3"/>
    </row>
    <row r="4856" ht="105.75" customHeight="1">
      <c r="A4856" s="11"/>
      <c r="B4856" s="12"/>
      <c r="C4856" s="11"/>
      <c r="D4856" s="13"/>
      <c r="E4856" s="14"/>
      <c r="F4856" s="14"/>
      <c r="G4856" s="14"/>
      <c r="H4856" s="15"/>
      <c r="I4856" s="15"/>
      <c r="J4856" s="3"/>
      <c r="K4856" s="3"/>
      <c r="L4856" s="3"/>
      <c r="M4856" s="3"/>
      <c r="N4856" s="3"/>
      <c r="O4856" s="3"/>
      <c r="P4856" s="3"/>
      <c r="Q4856" s="3"/>
      <c r="R4856" s="3"/>
      <c r="S4856" s="3"/>
      <c r="T4856" s="3"/>
      <c r="U4856" s="3"/>
      <c r="V4856" s="3"/>
      <c r="W4856" s="3"/>
      <c r="X4856" s="3"/>
      <c r="Y4856" s="3"/>
      <c r="Z4856" s="3"/>
      <c r="AA4856" s="3"/>
    </row>
    <row r="4857" ht="105.75" customHeight="1">
      <c r="A4857" s="11"/>
      <c r="B4857" s="12"/>
      <c r="C4857" s="11"/>
      <c r="D4857" s="13"/>
      <c r="E4857" s="14"/>
      <c r="F4857" s="14"/>
      <c r="G4857" s="14"/>
      <c r="H4857" s="15"/>
      <c r="I4857" s="15"/>
      <c r="J4857" s="3"/>
      <c r="K4857" s="3"/>
      <c r="L4857" s="3"/>
      <c r="M4857" s="3"/>
      <c r="N4857" s="3"/>
      <c r="O4857" s="3"/>
      <c r="P4857" s="3"/>
      <c r="Q4857" s="3"/>
      <c r="R4857" s="3"/>
      <c r="S4857" s="3"/>
      <c r="T4857" s="3"/>
      <c r="U4857" s="3"/>
      <c r="V4857" s="3"/>
      <c r="W4857" s="3"/>
      <c r="X4857" s="3"/>
      <c r="Y4857" s="3"/>
      <c r="Z4857" s="3"/>
      <c r="AA4857" s="3"/>
    </row>
    <row r="4858" ht="105.75" customHeight="1">
      <c r="A4858" s="11"/>
      <c r="B4858" s="12"/>
      <c r="C4858" s="11"/>
      <c r="D4858" s="13"/>
      <c r="E4858" s="14"/>
      <c r="F4858" s="14"/>
      <c r="G4858" s="14"/>
      <c r="H4858" s="15"/>
      <c r="I4858" s="15"/>
      <c r="J4858" s="3"/>
      <c r="K4858" s="3"/>
      <c r="L4858" s="3"/>
      <c r="M4858" s="3"/>
      <c r="N4858" s="3"/>
      <c r="O4858" s="3"/>
      <c r="P4858" s="3"/>
      <c r="Q4858" s="3"/>
      <c r="R4858" s="3"/>
      <c r="S4858" s="3"/>
      <c r="T4858" s="3"/>
      <c r="U4858" s="3"/>
      <c r="V4858" s="3"/>
      <c r="W4858" s="3"/>
      <c r="X4858" s="3"/>
      <c r="Y4858" s="3"/>
      <c r="Z4858" s="3"/>
      <c r="AA4858" s="3"/>
    </row>
    <row r="4859" ht="105.75" customHeight="1">
      <c r="A4859" s="11"/>
      <c r="B4859" s="12"/>
      <c r="C4859" s="11"/>
      <c r="D4859" s="13"/>
      <c r="E4859" s="14"/>
      <c r="F4859" s="14"/>
      <c r="G4859" s="14"/>
      <c r="H4859" s="15"/>
      <c r="I4859" s="15"/>
      <c r="J4859" s="3"/>
      <c r="K4859" s="3"/>
      <c r="L4859" s="3"/>
      <c r="M4859" s="3"/>
      <c r="N4859" s="3"/>
      <c r="O4859" s="3"/>
      <c r="P4859" s="3"/>
      <c r="Q4859" s="3"/>
      <c r="R4859" s="3"/>
      <c r="S4859" s="3"/>
      <c r="T4859" s="3"/>
      <c r="U4859" s="3"/>
      <c r="V4859" s="3"/>
      <c r="W4859" s="3"/>
      <c r="X4859" s="3"/>
      <c r="Y4859" s="3"/>
      <c r="Z4859" s="3"/>
      <c r="AA4859" s="3"/>
    </row>
    <row r="4860" ht="105.75" customHeight="1">
      <c r="A4860" s="11"/>
      <c r="B4860" s="12"/>
      <c r="C4860" s="11"/>
      <c r="D4860" s="13"/>
      <c r="E4860" s="14"/>
      <c r="F4860" s="14"/>
      <c r="G4860" s="14"/>
      <c r="H4860" s="15"/>
      <c r="I4860" s="15"/>
      <c r="J4860" s="3"/>
      <c r="K4860" s="3"/>
      <c r="L4860" s="3"/>
      <c r="M4860" s="3"/>
      <c r="N4860" s="3"/>
      <c r="O4860" s="3"/>
      <c r="P4860" s="3"/>
      <c r="Q4860" s="3"/>
      <c r="R4860" s="3"/>
      <c r="S4860" s="3"/>
      <c r="T4860" s="3"/>
      <c r="U4860" s="3"/>
      <c r="V4860" s="3"/>
      <c r="W4860" s="3"/>
      <c r="X4860" s="3"/>
      <c r="Y4860" s="3"/>
      <c r="Z4860" s="3"/>
      <c r="AA4860" s="3"/>
    </row>
    <row r="4861" ht="105.75" customHeight="1">
      <c r="A4861" s="11"/>
      <c r="B4861" s="12"/>
      <c r="C4861" s="11"/>
      <c r="D4861" s="13"/>
      <c r="E4861" s="14"/>
      <c r="F4861" s="14"/>
      <c r="G4861" s="14"/>
      <c r="H4861" s="15"/>
      <c r="I4861" s="15"/>
      <c r="J4861" s="3"/>
      <c r="K4861" s="3"/>
      <c r="L4861" s="3"/>
      <c r="M4861" s="3"/>
      <c r="N4861" s="3"/>
      <c r="O4861" s="3"/>
      <c r="P4861" s="3"/>
      <c r="Q4861" s="3"/>
      <c r="R4861" s="3"/>
      <c r="S4861" s="3"/>
      <c r="T4861" s="3"/>
      <c r="U4861" s="3"/>
      <c r="V4861" s="3"/>
      <c r="W4861" s="3"/>
      <c r="X4861" s="3"/>
      <c r="Y4861" s="3"/>
      <c r="Z4861" s="3"/>
      <c r="AA4861" s="3"/>
    </row>
    <row r="4862" ht="105.75" customHeight="1">
      <c r="A4862" s="11"/>
      <c r="B4862" s="12"/>
      <c r="C4862" s="11"/>
      <c r="D4862" s="13"/>
      <c r="E4862" s="14"/>
      <c r="F4862" s="14"/>
      <c r="G4862" s="14"/>
      <c r="H4862" s="15"/>
      <c r="I4862" s="15"/>
      <c r="J4862" s="3"/>
      <c r="K4862" s="3"/>
      <c r="L4862" s="3"/>
      <c r="M4862" s="3"/>
      <c r="N4862" s="3"/>
      <c r="O4862" s="3"/>
      <c r="P4862" s="3"/>
      <c r="Q4862" s="3"/>
      <c r="R4862" s="3"/>
      <c r="S4862" s="3"/>
      <c r="T4862" s="3"/>
      <c r="U4862" s="3"/>
      <c r="V4862" s="3"/>
      <c r="W4862" s="3"/>
      <c r="X4862" s="3"/>
      <c r="Y4862" s="3"/>
      <c r="Z4862" s="3"/>
      <c r="AA4862" s="3"/>
    </row>
    <row r="4863" ht="105.75" customHeight="1">
      <c r="A4863" s="11"/>
      <c r="B4863" s="12"/>
      <c r="C4863" s="11"/>
      <c r="D4863" s="13"/>
      <c r="E4863" s="14"/>
      <c r="F4863" s="14"/>
      <c r="G4863" s="14"/>
      <c r="H4863" s="15"/>
      <c r="I4863" s="15"/>
      <c r="J4863" s="3"/>
      <c r="K4863" s="3"/>
      <c r="L4863" s="3"/>
      <c r="M4863" s="3"/>
      <c r="N4863" s="3"/>
      <c r="O4863" s="3"/>
      <c r="P4863" s="3"/>
      <c r="Q4863" s="3"/>
      <c r="R4863" s="3"/>
      <c r="S4863" s="3"/>
      <c r="T4863" s="3"/>
      <c r="U4863" s="3"/>
      <c r="V4863" s="3"/>
      <c r="W4863" s="3"/>
      <c r="X4863" s="3"/>
      <c r="Y4863" s="3"/>
      <c r="Z4863" s="3"/>
      <c r="AA4863" s="3"/>
    </row>
    <row r="4864" ht="105.75" customHeight="1">
      <c r="A4864" s="11"/>
      <c r="B4864" s="12"/>
      <c r="C4864" s="11"/>
      <c r="D4864" s="13"/>
      <c r="E4864" s="14"/>
      <c r="F4864" s="14"/>
      <c r="G4864" s="14"/>
      <c r="H4864" s="15"/>
      <c r="I4864" s="15"/>
      <c r="J4864" s="3"/>
      <c r="K4864" s="3"/>
      <c r="L4864" s="3"/>
      <c r="M4864" s="3"/>
      <c r="N4864" s="3"/>
      <c r="O4864" s="3"/>
      <c r="P4864" s="3"/>
      <c r="Q4864" s="3"/>
      <c r="R4864" s="3"/>
      <c r="S4864" s="3"/>
      <c r="T4864" s="3"/>
      <c r="U4864" s="3"/>
      <c r="V4864" s="3"/>
      <c r="W4864" s="3"/>
      <c r="X4864" s="3"/>
      <c r="Y4864" s="3"/>
      <c r="Z4864" s="3"/>
      <c r="AA4864" s="3"/>
    </row>
    <row r="4865" ht="105.75" customHeight="1">
      <c r="A4865" s="11"/>
      <c r="B4865" s="12"/>
      <c r="C4865" s="11"/>
      <c r="D4865" s="13"/>
      <c r="E4865" s="14"/>
      <c r="F4865" s="14"/>
      <c r="G4865" s="14"/>
      <c r="H4865" s="15"/>
      <c r="I4865" s="15"/>
      <c r="J4865" s="3"/>
      <c r="K4865" s="3"/>
      <c r="L4865" s="3"/>
      <c r="M4865" s="3"/>
      <c r="N4865" s="3"/>
      <c r="O4865" s="3"/>
      <c r="P4865" s="3"/>
      <c r="Q4865" s="3"/>
      <c r="R4865" s="3"/>
      <c r="S4865" s="3"/>
      <c r="T4865" s="3"/>
      <c r="U4865" s="3"/>
      <c r="V4865" s="3"/>
      <c r="W4865" s="3"/>
      <c r="X4865" s="3"/>
      <c r="Y4865" s="3"/>
      <c r="Z4865" s="3"/>
      <c r="AA4865" s="3"/>
    </row>
    <row r="4866" ht="105.75" customHeight="1">
      <c r="A4866" s="11"/>
      <c r="B4866" s="12"/>
      <c r="C4866" s="11"/>
      <c r="D4866" s="13"/>
      <c r="E4866" s="14"/>
      <c r="F4866" s="14"/>
      <c r="G4866" s="14"/>
      <c r="H4866" s="15"/>
      <c r="I4866" s="15"/>
      <c r="J4866" s="3"/>
      <c r="K4866" s="3"/>
      <c r="L4866" s="3"/>
      <c r="M4866" s="3"/>
      <c r="N4866" s="3"/>
      <c r="O4866" s="3"/>
      <c r="P4866" s="3"/>
      <c r="Q4866" s="3"/>
      <c r="R4866" s="3"/>
      <c r="S4866" s="3"/>
      <c r="T4866" s="3"/>
      <c r="U4866" s="3"/>
      <c r="V4866" s="3"/>
      <c r="W4866" s="3"/>
      <c r="X4866" s="3"/>
      <c r="Y4866" s="3"/>
      <c r="Z4866" s="3"/>
      <c r="AA4866" s="3"/>
    </row>
    <row r="4867" ht="105.75" customHeight="1">
      <c r="A4867" s="11"/>
      <c r="B4867" s="12"/>
      <c r="C4867" s="11"/>
      <c r="D4867" s="13"/>
      <c r="E4867" s="14"/>
      <c r="F4867" s="14"/>
      <c r="G4867" s="14"/>
      <c r="H4867" s="15"/>
      <c r="I4867" s="15"/>
      <c r="J4867" s="3"/>
      <c r="K4867" s="3"/>
      <c r="L4867" s="3"/>
      <c r="M4867" s="3"/>
      <c r="N4867" s="3"/>
      <c r="O4867" s="3"/>
      <c r="P4867" s="3"/>
      <c r="Q4867" s="3"/>
      <c r="R4867" s="3"/>
      <c r="S4867" s="3"/>
      <c r="T4867" s="3"/>
      <c r="U4867" s="3"/>
      <c r="V4867" s="3"/>
      <c r="W4867" s="3"/>
      <c r="X4867" s="3"/>
      <c r="Y4867" s="3"/>
      <c r="Z4867" s="3"/>
      <c r="AA4867" s="3"/>
    </row>
    <row r="4868" ht="105.75" customHeight="1">
      <c r="A4868" s="11"/>
      <c r="B4868" s="12"/>
      <c r="C4868" s="11"/>
      <c r="D4868" s="13"/>
      <c r="E4868" s="14"/>
      <c r="F4868" s="14"/>
      <c r="G4868" s="14"/>
      <c r="H4868" s="15"/>
      <c r="I4868" s="15"/>
      <c r="J4868" s="3"/>
      <c r="K4868" s="3"/>
      <c r="L4868" s="3"/>
      <c r="M4868" s="3"/>
      <c r="N4868" s="3"/>
      <c r="O4868" s="3"/>
      <c r="P4868" s="3"/>
      <c r="Q4868" s="3"/>
      <c r="R4868" s="3"/>
      <c r="S4868" s="3"/>
      <c r="T4868" s="3"/>
      <c r="U4868" s="3"/>
      <c r="V4868" s="3"/>
      <c r="W4868" s="3"/>
      <c r="X4868" s="3"/>
      <c r="Y4868" s="3"/>
      <c r="Z4868" s="3"/>
      <c r="AA4868" s="3"/>
    </row>
    <row r="4869" ht="105.75" customHeight="1">
      <c r="A4869" s="11"/>
      <c r="B4869" s="12"/>
      <c r="C4869" s="11"/>
      <c r="D4869" s="13"/>
      <c r="E4869" s="14"/>
      <c r="F4869" s="14"/>
      <c r="G4869" s="14"/>
      <c r="H4869" s="15"/>
      <c r="I4869" s="15"/>
      <c r="J4869" s="3"/>
      <c r="K4869" s="3"/>
      <c r="L4869" s="3"/>
      <c r="M4869" s="3"/>
      <c r="N4869" s="3"/>
      <c r="O4869" s="3"/>
      <c r="P4869" s="3"/>
      <c r="Q4869" s="3"/>
      <c r="R4869" s="3"/>
      <c r="S4869" s="3"/>
      <c r="T4869" s="3"/>
      <c r="U4869" s="3"/>
      <c r="V4869" s="3"/>
      <c r="W4869" s="3"/>
      <c r="X4869" s="3"/>
      <c r="Y4869" s="3"/>
      <c r="Z4869" s="3"/>
      <c r="AA4869" s="3"/>
    </row>
    <row r="4870" ht="105.75" customHeight="1">
      <c r="A4870" s="11"/>
      <c r="B4870" s="12"/>
      <c r="C4870" s="11"/>
      <c r="D4870" s="13"/>
      <c r="E4870" s="14"/>
      <c r="F4870" s="14"/>
      <c r="G4870" s="14"/>
      <c r="H4870" s="15"/>
      <c r="I4870" s="15"/>
      <c r="J4870" s="3"/>
      <c r="K4870" s="3"/>
      <c r="L4870" s="3"/>
      <c r="M4870" s="3"/>
      <c r="N4870" s="3"/>
      <c r="O4870" s="3"/>
      <c r="P4870" s="3"/>
      <c r="Q4870" s="3"/>
      <c r="R4870" s="3"/>
      <c r="S4870" s="3"/>
      <c r="T4870" s="3"/>
      <c r="U4870" s="3"/>
      <c r="V4870" s="3"/>
      <c r="W4870" s="3"/>
      <c r="X4870" s="3"/>
      <c r="Y4870" s="3"/>
      <c r="Z4870" s="3"/>
      <c r="AA4870" s="3"/>
    </row>
    <row r="4871" ht="105.75" customHeight="1">
      <c r="A4871" s="11"/>
      <c r="B4871" s="12"/>
      <c r="C4871" s="11"/>
      <c r="D4871" s="13"/>
      <c r="E4871" s="14"/>
      <c r="F4871" s="14"/>
      <c r="G4871" s="14"/>
      <c r="H4871" s="15"/>
      <c r="I4871" s="15"/>
      <c r="J4871" s="3"/>
      <c r="K4871" s="3"/>
      <c r="L4871" s="3"/>
      <c r="M4871" s="3"/>
      <c r="N4871" s="3"/>
      <c r="O4871" s="3"/>
      <c r="P4871" s="3"/>
      <c r="Q4871" s="3"/>
      <c r="R4871" s="3"/>
      <c r="S4871" s="3"/>
      <c r="T4871" s="3"/>
      <c r="U4871" s="3"/>
      <c r="V4871" s="3"/>
      <c r="W4871" s="3"/>
      <c r="X4871" s="3"/>
      <c r="Y4871" s="3"/>
      <c r="Z4871" s="3"/>
      <c r="AA4871" s="3"/>
    </row>
    <row r="4872" ht="105.75" customHeight="1">
      <c r="A4872" s="11"/>
      <c r="B4872" s="12"/>
      <c r="C4872" s="11"/>
      <c r="D4872" s="13"/>
      <c r="E4872" s="14"/>
      <c r="F4872" s="14"/>
      <c r="G4872" s="14"/>
      <c r="H4872" s="15"/>
      <c r="I4872" s="15"/>
      <c r="J4872" s="3"/>
      <c r="K4872" s="3"/>
      <c r="L4872" s="3"/>
      <c r="M4872" s="3"/>
      <c r="N4872" s="3"/>
      <c r="O4872" s="3"/>
      <c r="P4872" s="3"/>
      <c r="Q4872" s="3"/>
      <c r="R4872" s="3"/>
      <c r="S4872" s="3"/>
      <c r="T4872" s="3"/>
      <c r="U4872" s="3"/>
      <c r="V4872" s="3"/>
      <c r="W4872" s="3"/>
      <c r="X4872" s="3"/>
      <c r="Y4872" s="3"/>
      <c r="Z4872" s="3"/>
      <c r="AA4872" s="3"/>
    </row>
    <row r="4873" ht="105.75" customHeight="1">
      <c r="A4873" s="11"/>
      <c r="B4873" s="12"/>
      <c r="C4873" s="11"/>
      <c r="D4873" s="13"/>
      <c r="E4873" s="14"/>
      <c r="F4873" s="14"/>
      <c r="G4873" s="14"/>
      <c r="H4873" s="15"/>
      <c r="I4873" s="15"/>
      <c r="J4873" s="3"/>
      <c r="K4873" s="3"/>
      <c r="L4873" s="3"/>
      <c r="M4873" s="3"/>
      <c r="N4873" s="3"/>
      <c r="O4873" s="3"/>
      <c r="P4873" s="3"/>
      <c r="Q4873" s="3"/>
      <c r="R4873" s="3"/>
      <c r="S4873" s="3"/>
      <c r="T4873" s="3"/>
      <c r="U4873" s="3"/>
      <c r="V4873" s="3"/>
      <c r="W4873" s="3"/>
      <c r="X4873" s="3"/>
      <c r="Y4873" s="3"/>
      <c r="Z4873" s="3"/>
      <c r="AA4873" s="3"/>
    </row>
    <row r="4874" ht="105.75" customHeight="1">
      <c r="A4874" s="11"/>
      <c r="B4874" s="12"/>
      <c r="C4874" s="11"/>
      <c r="D4874" s="13"/>
      <c r="E4874" s="14"/>
      <c r="F4874" s="14"/>
      <c r="G4874" s="14"/>
      <c r="H4874" s="15"/>
      <c r="I4874" s="15"/>
      <c r="J4874" s="3"/>
      <c r="K4874" s="3"/>
      <c r="L4874" s="3"/>
      <c r="M4874" s="3"/>
      <c r="N4874" s="3"/>
      <c r="O4874" s="3"/>
      <c r="P4874" s="3"/>
      <c r="Q4874" s="3"/>
      <c r="R4874" s="3"/>
      <c r="S4874" s="3"/>
      <c r="T4874" s="3"/>
      <c r="U4874" s="3"/>
      <c r="V4874" s="3"/>
      <c r="W4874" s="3"/>
      <c r="X4874" s="3"/>
      <c r="Y4874" s="3"/>
      <c r="Z4874" s="3"/>
      <c r="AA4874" s="3"/>
    </row>
    <row r="4875" ht="105.75" customHeight="1">
      <c r="A4875" s="11"/>
      <c r="B4875" s="12"/>
      <c r="C4875" s="11"/>
      <c r="D4875" s="13"/>
      <c r="E4875" s="14"/>
      <c r="F4875" s="14"/>
      <c r="G4875" s="14"/>
      <c r="H4875" s="15"/>
      <c r="I4875" s="15"/>
      <c r="J4875" s="3"/>
      <c r="K4875" s="3"/>
      <c r="L4875" s="3"/>
      <c r="M4875" s="3"/>
      <c r="N4875" s="3"/>
      <c r="O4875" s="3"/>
      <c r="P4875" s="3"/>
      <c r="Q4875" s="3"/>
      <c r="R4875" s="3"/>
      <c r="S4875" s="3"/>
      <c r="T4875" s="3"/>
      <c r="U4875" s="3"/>
      <c r="V4875" s="3"/>
      <c r="W4875" s="3"/>
      <c r="X4875" s="3"/>
      <c r="Y4875" s="3"/>
      <c r="Z4875" s="3"/>
      <c r="AA4875" s="3"/>
    </row>
    <row r="4876" ht="105.75" customHeight="1">
      <c r="A4876" s="11"/>
      <c r="B4876" s="12"/>
      <c r="C4876" s="11"/>
      <c r="D4876" s="13"/>
      <c r="E4876" s="14"/>
      <c r="F4876" s="14"/>
      <c r="G4876" s="14"/>
      <c r="H4876" s="15"/>
      <c r="I4876" s="15"/>
      <c r="J4876" s="3"/>
      <c r="K4876" s="3"/>
      <c r="L4876" s="3"/>
      <c r="M4876" s="3"/>
      <c r="N4876" s="3"/>
      <c r="O4876" s="3"/>
      <c r="P4876" s="3"/>
      <c r="Q4876" s="3"/>
      <c r="R4876" s="3"/>
      <c r="S4876" s="3"/>
      <c r="T4876" s="3"/>
      <c r="U4876" s="3"/>
      <c r="V4876" s="3"/>
      <c r="W4876" s="3"/>
      <c r="X4876" s="3"/>
      <c r="Y4876" s="3"/>
      <c r="Z4876" s="3"/>
      <c r="AA4876" s="3"/>
    </row>
    <row r="4877" ht="105.75" customHeight="1">
      <c r="A4877" s="11"/>
      <c r="B4877" s="12"/>
      <c r="C4877" s="11"/>
      <c r="D4877" s="13"/>
      <c r="E4877" s="14"/>
      <c r="F4877" s="14"/>
      <c r="G4877" s="14"/>
      <c r="H4877" s="15"/>
      <c r="I4877" s="15"/>
      <c r="J4877" s="3"/>
      <c r="K4877" s="3"/>
      <c r="L4877" s="3"/>
      <c r="M4877" s="3"/>
      <c r="N4877" s="3"/>
      <c r="O4877" s="3"/>
      <c r="P4877" s="3"/>
      <c r="Q4877" s="3"/>
      <c r="R4877" s="3"/>
      <c r="S4877" s="3"/>
      <c r="T4877" s="3"/>
      <c r="U4877" s="3"/>
      <c r="V4877" s="3"/>
      <c r="W4877" s="3"/>
      <c r="X4877" s="3"/>
      <c r="Y4877" s="3"/>
      <c r="Z4877" s="3"/>
      <c r="AA4877" s="3"/>
    </row>
    <row r="4878" ht="105.75" customHeight="1">
      <c r="A4878" s="11"/>
      <c r="B4878" s="12"/>
      <c r="C4878" s="11"/>
      <c r="D4878" s="13"/>
      <c r="E4878" s="14"/>
      <c r="F4878" s="14"/>
      <c r="G4878" s="14"/>
      <c r="H4878" s="15"/>
      <c r="I4878" s="15"/>
      <c r="J4878" s="3"/>
      <c r="K4878" s="3"/>
      <c r="L4878" s="3"/>
      <c r="M4878" s="3"/>
      <c r="N4878" s="3"/>
      <c r="O4878" s="3"/>
      <c r="P4878" s="3"/>
      <c r="Q4878" s="3"/>
      <c r="R4878" s="3"/>
      <c r="S4878" s="3"/>
      <c r="T4878" s="3"/>
      <c r="U4878" s="3"/>
      <c r="V4878" s="3"/>
      <c r="W4878" s="3"/>
      <c r="X4878" s="3"/>
      <c r="Y4878" s="3"/>
      <c r="Z4878" s="3"/>
      <c r="AA4878" s="3"/>
    </row>
    <row r="4879" ht="105.75" customHeight="1">
      <c r="A4879" s="11"/>
      <c r="B4879" s="12"/>
      <c r="C4879" s="11"/>
      <c r="D4879" s="13"/>
      <c r="E4879" s="14"/>
      <c r="F4879" s="14"/>
      <c r="G4879" s="14"/>
      <c r="H4879" s="15"/>
      <c r="I4879" s="15"/>
      <c r="J4879" s="3"/>
      <c r="K4879" s="3"/>
      <c r="L4879" s="3"/>
      <c r="M4879" s="3"/>
      <c r="N4879" s="3"/>
      <c r="O4879" s="3"/>
      <c r="P4879" s="3"/>
      <c r="Q4879" s="3"/>
      <c r="R4879" s="3"/>
      <c r="S4879" s="3"/>
      <c r="T4879" s="3"/>
      <c r="U4879" s="3"/>
      <c r="V4879" s="3"/>
      <c r="W4879" s="3"/>
      <c r="X4879" s="3"/>
      <c r="Y4879" s="3"/>
      <c r="Z4879" s="3"/>
      <c r="AA4879" s="3"/>
    </row>
    <row r="4880" ht="105.75" customHeight="1">
      <c r="A4880" s="11"/>
      <c r="B4880" s="12"/>
      <c r="C4880" s="11"/>
      <c r="D4880" s="13"/>
      <c r="E4880" s="14"/>
      <c r="F4880" s="14"/>
      <c r="G4880" s="14"/>
      <c r="H4880" s="15"/>
      <c r="I4880" s="15"/>
      <c r="J4880" s="3"/>
      <c r="K4880" s="3"/>
      <c r="L4880" s="3"/>
      <c r="M4880" s="3"/>
      <c r="N4880" s="3"/>
      <c r="O4880" s="3"/>
      <c r="P4880" s="3"/>
      <c r="Q4880" s="3"/>
      <c r="R4880" s="3"/>
      <c r="S4880" s="3"/>
      <c r="T4880" s="3"/>
      <c r="U4880" s="3"/>
      <c r="V4880" s="3"/>
      <c r="W4880" s="3"/>
      <c r="X4880" s="3"/>
      <c r="Y4880" s="3"/>
      <c r="Z4880" s="3"/>
      <c r="AA4880" s="3"/>
    </row>
    <row r="4881" ht="105.75" customHeight="1">
      <c r="A4881" s="11"/>
      <c r="B4881" s="12"/>
      <c r="C4881" s="11"/>
      <c r="D4881" s="13"/>
      <c r="E4881" s="14"/>
      <c r="F4881" s="14"/>
      <c r="G4881" s="14"/>
      <c r="H4881" s="15"/>
      <c r="I4881" s="15"/>
      <c r="J4881" s="3"/>
      <c r="K4881" s="3"/>
      <c r="L4881" s="3"/>
      <c r="M4881" s="3"/>
      <c r="N4881" s="3"/>
      <c r="O4881" s="3"/>
      <c r="P4881" s="3"/>
      <c r="Q4881" s="3"/>
      <c r="R4881" s="3"/>
      <c r="S4881" s="3"/>
      <c r="T4881" s="3"/>
      <c r="U4881" s="3"/>
      <c r="V4881" s="3"/>
      <c r="W4881" s="3"/>
      <c r="X4881" s="3"/>
      <c r="Y4881" s="3"/>
      <c r="Z4881" s="3"/>
      <c r="AA4881" s="3"/>
    </row>
    <row r="4882" ht="105.75" customHeight="1">
      <c r="A4882" s="11"/>
      <c r="B4882" s="12"/>
      <c r="C4882" s="11"/>
      <c r="D4882" s="13"/>
      <c r="E4882" s="14"/>
      <c r="F4882" s="14"/>
      <c r="G4882" s="14"/>
      <c r="H4882" s="15"/>
      <c r="I4882" s="15"/>
      <c r="J4882" s="3"/>
      <c r="K4882" s="3"/>
      <c r="L4882" s="3"/>
      <c r="M4882" s="3"/>
      <c r="N4882" s="3"/>
      <c r="O4882" s="3"/>
      <c r="P4882" s="3"/>
      <c r="Q4882" s="3"/>
      <c r="R4882" s="3"/>
      <c r="S4882" s="3"/>
      <c r="T4882" s="3"/>
      <c r="U4882" s="3"/>
      <c r="V4882" s="3"/>
      <c r="W4882" s="3"/>
      <c r="X4882" s="3"/>
      <c r="Y4882" s="3"/>
      <c r="Z4882" s="3"/>
      <c r="AA4882" s="3"/>
    </row>
    <row r="4883" ht="105.75" customHeight="1">
      <c r="A4883" s="11"/>
      <c r="B4883" s="12"/>
      <c r="C4883" s="11"/>
      <c r="D4883" s="13"/>
      <c r="E4883" s="14"/>
      <c r="F4883" s="14"/>
      <c r="G4883" s="14"/>
      <c r="H4883" s="15"/>
      <c r="I4883" s="15"/>
      <c r="J4883" s="3"/>
      <c r="K4883" s="3"/>
      <c r="L4883" s="3"/>
      <c r="M4883" s="3"/>
      <c r="N4883" s="3"/>
      <c r="O4883" s="3"/>
      <c r="P4883" s="3"/>
      <c r="Q4883" s="3"/>
      <c r="R4883" s="3"/>
      <c r="S4883" s="3"/>
      <c r="T4883" s="3"/>
      <c r="U4883" s="3"/>
      <c r="V4883" s="3"/>
      <c r="W4883" s="3"/>
      <c r="X4883" s="3"/>
      <c r="Y4883" s="3"/>
      <c r="Z4883" s="3"/>
      <c r="AA4883" s="3"/>
    </row>
    <row r="4884" ht="105.75" customHeight="1">
      <c r="A4884" s="11"/>
      <c r="B4884" s="12"/>
      <c r="C4884" s="11"/>
      <c r="D4884" s="13"/>
      <c r="E4884" s="14"/>
      <c r="F4884" s="14"/>
      <c r="G4884" s="14"/>
      <c r="H4884" s="15"/>
      <c r="I4884" s="15"/>
      <c r="J4884" s="3"/>
      <c r="K4884" s="3"/>
      <c r="L4884" s="3"/>
      <c r="M4884" s="3"/>
      <c r="N4884" s="3"/>
      <c r="O4884" s="3"/>
      <c r="P4884" s="3"/>
      <c r="Q4884" s="3"/>
      <c r="R4884" s="3"/>
      <c r="S4884" s="3"/>
      <c r="T4884" s="3"/>
      <c r="U4884" s="3"/>
      <c r="V4884" s="3"/>
      <c r="W4884" s="3"/>
      <c r="X4884" s="3"/>
      <c r="Y4884" s="3"/>
      <c r="Z4884" s="3"/>
      <c r="AA4884" s="3"/>
    </row>
    <row r="4885" ht="105.75" customHeight="1">
      <c r="A4885" s="11"/>
      <c r="B4885" s="12"/>
      <c r="C4885" s="11"/>
      <c r="D4885" s="13"/>
      <c r="E4885" s="14"/>
      <c r="F4885" s="14"/>
      <c r="G4885" s="14"/>
      <c r="H4885" s="15"/>
      <c r="I4885" s="15"/>
      <c r="J4885" s="3"/>
      <c r="K4885" s="3"/>
      <c r="L4885" s="3"/>
      <c r="M4885" s="3"/>
      <c r="N4885" s="3"/>
      <c r="O4885" s="3"/>
      <c r="P4885" s="3"/>
      <c r="Q4885" s="3"/>
      <c r="R4885" s="3"/>
      <c r="S4885" s="3"/>
      <c r="T4885" s="3"/>
      <c r="U4885" s="3"/>
      <c r="V4885" s="3"/>
      <c r="W4885" s="3"/>
      <c r="X4885" s="3"/>
      <c r="Y4885" s="3"/>
      <c r="Z4885" s="3"/>
      <c r="AA4885" s="3"/>
    </row>
    <row r="4886" ht="105.75" customHeight="1">
      <c r="A4886" s="11"/>
      <c r="B4886" s="12"/>
      <c r="C4886" s="11"/>
      <c r="D4886" s="13"/>
      <c r="E4886" s="14"/>
      <c r="F4886" s="14"/>
      <c r="G4886" s="14"/>
      <c r="H4886" s="15"/>
      <c r="I4886" s="15"/>
      <c r="J4886" s="3"/>
      <c r="K4886" s="3"/>
      <c r="L4886" s="3"/>
      <c r="M4886" s="3"/>
      <c r="N4886" s="3"/>
      <c r="O4886" s="3"/>
      <c r="P4886" s="3"/>
      <c r="Q4886" s="3"/>
      <c r="R4886" s="3"/>
      <c r="S4886" s="3"/>
      <c r="T4886" s="3"/>
      <c r="U4886" s="3"/>
      <c r="V4886" s="3"/>
      <c r="W4886" s="3"/>
      <c r="X4886" s="3"/>
      <c r="Y4886" s="3"/>
      <c r="Z4886" s="3"/>
      <c r="AA4886" s="3"/>
    </row>
    <row r="4887" ht="105.75" customHeight="1">
      <c r="A4887" s="11"/>
      <c r="B4887" s="12"/>
      <c r="C4887" s="11"/>
      <c r="D4887" s="13"/>
      <c r="E4887" s="14"/>
      <c r="F4887" s="14"/>
      <c r="G4887" s="14"/>
      <c r="H4887" s="15"/>
      <c r="I4887" s="15"/>
      <c r="J4887" s="3"/>
      <c r="K4887" s="3"/>
      <c r="L4887" s="3"/>
      <c r="M4887" s="3"/>
      <c r="N4887" s="3"/>
      <c r="O4887" s="3"/>
      <c r="P4887" s="3"/>
      <c r="Q4887" s="3"/>
      <c r="R4887" s="3"/>
      <c r="S4887" s="3"/>
      <c r="T4887" s="3"/>
      <c r="U4887" s="3"/>
      <c r="V4887" s="3"/>
      <c r="W4887" s="3"/>
      <c r="X4887" s="3"/>
      <c r="Y4887" s="3"/>
      <c r="Z4887" s="3"/>
      <c r="AA4887" s="3"/>
    </row>
    <row r="4888" ht="105.75" customHeight="1">
      <c r="A4888" s="11"/>
      <c r="B4888" s="12"/>
      <c r="C4888" s="11"/>
      <c r="D4888" s="13"/>
      <c r="E4888" s="14"/>
      <c r="F4888" s="14"/>
      <c r="G4888" s="14"/>
      <c r="H4888" s="15"/>
      <c r="I4888" s="15"/>
      <c r="J4888" s="3"/>
      <c r="K4888" s="3"/>
      <c r="L4888" s="3"/>
      <c r="M4888" s="3"/>
      <c r="N4888" s="3"/>
      <c r="O4888" s="3"/>
      <c r="P4888" s="3"/>
      <c r="Q4888" s="3"/>
      <c r="R4888" s="3"/>
      <c r="S4888" s="3"/>
      <c r="T4888" s="3"/>
      <c r="U4888" s="3"/>
      <c r="V4888" s="3"/>
      <c r="W4888" s="3"/>
      <c r="X4888" s="3"/>
      <c r="Y4888" s="3"/>
      <c r="Z4888" s="3"/>
      <c r="AA4888" s="3"/>
    </row>
    <row r="4889" ht="105.75" customHeight="1">
      <c r="A4889" s="11"/>
      <c r="B4889" s="12"/>
      <c r="C4889" s="11"/>
      <c r="D4889" s="13"/>
      <c r="E4889" s="14"/>
      <c r="F4889" s="14"/>
      <c r="G4889" s="14"/>
      <c r="H4889" s="15"/>
      <c r="I4889" s="15"/>
      <c r="J4889" s="3"/>
      <c r="K4889" s="3"/>
      <c r="L4889" s="3"/>
      <c r="M4889" s="3"/>
      <c r="N4889" s="3"/>
      <c r="O4889" s="3"/>
      <c r="P4889" s="3"/>
      <c r="Q4889" s="3"/>
      <c r="R4889" s="3"/>
      <c r="S4889" s="3"/>
      <c r="T4889" s="3"/>
      <c r="U4889" s="3"/>
      <c r="V4889" s="3"/>
      <c r="W4889" s="3"/>
      <c r="X4889" s="3"/>
      <c r="Y4889" s="3"/>
      <c r="Z4889" s="3"/>
      <c r="AA4889" s="3"/>
    </row>
    <row r="4890" ht="105.75" customHeight="1">
      <c r="A4890" s="11"/>
      <c r="B4890" s="12"/>
      <c r="C4890" s="11"/>
      <c r="D4890" s="13"/>
      <c r="E4890" s="14"/>
      <c r="F4890" s="14"/>
      <c r="G4890" s="14"/>
      <c r="H4890" s="15"/>
      <c r="I4890" s="15"/>
      <c r="J4890" s="3"/>
      <c r="K4890" s="3"/>
      <c r="L4890" s="3"/>
      <c r="M4890" s="3"/>
      <c r="N4890" s="3"/>
      <c r="O4890" s="3"/>
      <c r="P4890" s="3"/>
      <c r="Q4890" s="3"/>
      <c r="R4890" s="3"/>
      <c r="S4890" s="3"/>
      <c r="T4890" s="3"/>
      <c r="U4890" s="3"/>
      <c r="V4890" s="3"/>
      <c r="W4890" s="3"/>
      <c r="X4890" s="3"/>
      <c r="Y4890" s="3"/>
      <c r="Z4890" s="3"/>
      <c r="AA4890" s="3"/>
    </row>
    <row r="4891" ht="105.75" customHeight="1">
      <c r="A4891" s="11"/>
      <c r="B4891" s="12"/>
      <c r="C4891" s="11"/>
      <c r="D4891" s="13"/>
      <c r="E4891" s="14"/>
      <c r="F4891" s="14"/>
      <c r="G4891" s="14"/>
      <c r="H4891" s="15"/>
      <c r="I4891" s="15"/>
      <c r="J4891" s="3"/>
      <c r="K4891" s="3"/>
      <c r="L4891" s="3"/>
      <c r="M4891" s="3"/>
      <c r="N4891" s="3"/>
      <c r="O4891" s="3"/>
      <c r="P4891" s="3"/>
      <c r="Q4891" s="3"/>
      <c r="R4891" s="3"/>
      <c r="S4891" s="3"/>
      <c r="T4891" s="3"/>
      <c r="U4891" s="3"/>
      <c r="V4891" s="3"/>
      <c r="W4891" s="3"/>
      <c r="X4891" s="3"/>
      <c r="Y4891" s="3"/>
      <c r="Z4891" s="3"/>
      <c r="AA4891" s="3"/>
    </row>
    <row r="4892" ht="105.75" customHeight="1">
      <c r="A4892" s="11"/>
      <c r="B4892" s="12"/>
      <c r="C4892" s="11"/>
      <c r="D4892" s="13"/>
      <c r="E4892" s="14"/>
      <c r="F4892" s="14"/>
      <c r="G4892" s="14"/>
      <c r="H4892" s="15"/>
      <c r="I4892" s="15"/>
      <c r="J4892" s="3"/>
      <c r="K4892" s="3"/>
      <c r="L4892" s="3"/>
      <c r="M4892" s="3"/>
      <c r="N4892" s="3"/>
      <c r="O4892" s="3"/>
      <c r="P4892" s="3"/>
      <c r="Q4892" s="3"/>
      <c r="R4892" s="3"/>
      <c r="S4892" s="3"/>
      <c r="T4892" s="3"/>
      <c r="U4892" s="3"/>
      <c r="V4892" s="3"/>
      <c r="W4892" s="3"/>
      <c r="X4892" s="3"/>
      <c r="Y4892" s="3"/>
      <c r="Z4892" s="3"/>
      <c r="AA4892" s="3"/>
    </row>
    <row r="4893" ht="105.75" customHeight="1">
      <c r="A4893" s="11"/>
      <c r="B4893" s="12"/>
      <c r="C4893" s="11"/>
      <c r="D4893" s="13"/>
      <c r="E4893" s="14"/>
      <c r="F4893" s="14"/>
      <c r="G4893" s="14"/>
      <c r="H4893" s="15"/>
      <c r="I4893" s="15"/>
      <c r="J4893" s="3"/>
      <c r="K4893" s="3"/>
      <c r="L4893" s="3"/>
      <c r="M4893" s="3"/>
      <c r="N4893" s="3"/>
      <c r="O4893" s="3"/>
      <c r="P4893" s="3"/>
      <c r="Q4893" s="3"/>
      <c r="R4893" s="3"/>
      <c r="S4893" s="3"/>
      <c r="T4893" s="3"/>
      <c r="U4893" s="3"/>
      <c r="V4893" s="3"/>
      <c r="W4893" s="3"/>
      <c r="X4893" s="3"/>
      <c r="Y4893" s="3"/>
      <c r="Z4893" s="3"/>
      <c r="AA4893" s="3"/>
    </row>
    <row r="4894" ht="105.75" customHeight="1">
      <c r="A4894" s="11"/>
      <c r="B4894" s="12"/>
      <c r="C4894" s="11"/>
      <c r="D4894" s="13"/>
      <c r="E4894" s="14"/>
      <c r="F4894" s="14"/>
      <c r="G4894" s="14"/>
      <c r="H4894" s="15"/>
      <c r="I4894" s="15"/>
      <c r="J4894" s="3"/>
      <c r="K4894" s="3"/>
      <c r="L4894" s="3"/>
      <c r="M4894" s="3"/>
      <c r="N4894" s="3"/>
      <c r="O4894" s="3"/>
      <c r="P4894" s="3"/>
      <c r="Q4894" s="3"/>
      <c r="R4894" s="3"/>
      <c r="S4894" s="3"/>
      <c r="T4894" s="3"/>
      <c r="U4894" s="3"/>
      <c r="V4894" s="3"/>
      <c r="W4894" s="3"/>
      <c r="X4894" s="3"/>
      <c r="Y4894" s="3"/>
      <c r="Z4894" s="3"/>
      <c r="AA4894" s="3"/>
    </row>
    <row r="4895" ht="105.75" customHeight="1">
      <c r="A4895" s="11"/>
      <c r="B4895" s="12"/>
      <c r="C4895" s="11"/>
      <c r="D4895" s="13"/>
      <c r="E4895" s="14"/>
      <c r="F4895" s="14"/>
      <c r="G4895" s="14"/>
      <c r="H4895" s="15"/>
      <c r="I4895" s="15"/>
      <c r="J4895" s="3"/>
      <c r="K4895" s="3"/>
      <c r="L4895" s="3"/>
      <c r="M4895" s="3"/>
      <c r="N4895" s="3"/>
      <c r="O4895" s="3"/>
      <c r="P4895" s="3"/>
      <c r="Q4895" s="3"/>
      <c r="R4895" s="3"/>
      <c r="S4895" s="3"/>
      <c r="T4895" s="3"/>
      <c r="U4895" s="3"/>
      <c r="V4895" s="3"/>
      <c r="W4895" s="3"/>
      <c r="X4895" s="3"/>
      <c r="Y4895" s="3"/>
      <c r="Z4895" s="3"/>
      <c r="AA4895" s="3"/>
    </row>
    <row r="4896" ht="105.75" customHeight="1">
      <c r="A4896" s="11"/>
      <c r="B4896" s="12"/>
      <c r="C4896" s="11"/>
      <c r="D4896" s="13"/>
      <c r="E4896" s="14"/>
      <c r="F4896" s="14"/>
      <c r="G4896" s="14"/>
      <c r="H4896" s="15"/>
      <c r="I4896" s="15"/>
      <c r="J4896" s="3"/>
      <c r="K4896" s="3"/>
      <c r="L4896" s="3"/>
      <c r="M4896" s="3"/>
      <c r="N4896" s="3"/>
      <c r="O4896" s="3"/>
      <c r="P4896" s="3"/>
      <c r="Q4896" s="3"/>
      <c r="R4896" s="3"/>
      <c r="S4896" s="3"/>
      <c r="T4896" s="3"/>
      <c r="U4896" s="3"/>
      <c r="V4896" s="3"/>
      <c r="W4896" s="3"/>
      <c r="X4896" s="3"/>
      <c r="Y4896" s="3"/>
      <c r="Z4896" s="3"/>
      <c r="AA4896" s="3"/>
    </row>
    <row r="4897" ht="105.75" customHeight="1">
      <c r="A4897" s="11"/>
      <c r="B4897" s="12"/>
      <c r="C4897" s="11"/>
      <c r="D4897" s="13"/>
      <c r="E4897" s="14"/>
      <c r="F4897" s="14"/>
      <c r="G4897" s="14"/>
      <c r="H4897" s="15"/>
      <c r="I4897" s="15"/>
      <c r="J4897" s="3"/>
      <c r="K4897" s="3"/>
      <c r="L4897" s="3"/>
      <c r="M4897" s="3"/>
      <c r="N4897" s="3"/>
      <c r="O4897" s="3"/>
      <c r="P4897" s="3"/>
      <c r="Q4897" s="3"/>
      <c r="R4897" s="3"/>
      <c r="S4897" s="3"/>
      <c r="T4897" s="3"/>
      <c r="U4897" s="3"/>
      <c r="V4897" s="3"/>
      <c r="W4897" s="3"/>
      <c r="X4897" s="3"/>
      <c r="Y4897" s="3"/>
      <c r="Z4897" s="3"/>
      <c r="AA4897" s="3"/>
    </row>
    <row r="4898" ht="105.75" customHeight="1">
      <c r="A4898" s="11"/>
      <c r="B4898" s="12"/>
      <c r="C4898" s="11"/>
      <c r="D4898" s="13"/>
      <c r="E4898" s="14"/>
      <c r="F4898" s="14"/>
      <c r="G4898" s="14"/>
      <c r="H4898" s="15"/>
      <c r="I4898" s="15"/>
      <c r="J4898" s="3"/>
      <c r="K4898" s="3"/>
      <c r="L4898" s="3"/>
      <c r="M4898" s="3"/>
      <c r="N4898" s="3"/>
      <c r="O4898" s="3"/>
      <c r="P4898" s="3"/>
      <c r="Q4898" s="3"/>
      <c r="R4898" s="3"/>
      <c r="S4898" s="3"/>
      <c r="T4898" s="3"/>
      <c r="U4898" s="3"/>
      <c r="V4898" s="3"/>
      <c r="W4898" s="3"/>
      <c r="X4898" s="3"/>
      <c r="Y4898" s="3"/>
      <c r="Z4898" s="3"/>
      <c r="AA4898" s="3"/>
    </row>
    <row r="4899" ht="105.75" customHeight="1">
      <c r="A4899" s="11"/>
      <c r="B4899" s="12"/>
      <c r="C4899" s="11"/>
      <c r="D4899" s="13"/>
      <c r="E4899" s="14"/>
      <c r="F4899" s="14"/>
      <c r="G4899" s="14"/>
      <c r="H4899" s="15"/>
      <c r="I4899" s="15"/>
      <c r="J4899" s="3"/>
      <c r="K4899" s="3"/>
      <c r="L4899" s="3"/>
      <c r="M4899" s="3"/>
      <c r="N4899" s="3"/>
      <c r="O4899" s="3"/>
      <c r="P4899" s="3"/>
      <c r="Q4899" s="3"/>
      <c r="R4899" s="3"/>
      <c r="S4899" s="3"/>
      <c r="T4899" s="3"/>
      <c r="U4899" s="3"/>
      <c r="V4899" s="3"/>
      <c r="W4899" s="3"/>
      <c r="X4899" s="3"/>
      <c r="Y4899" s="3"/>
      <c r="Z4899" s="3"/>
      <c r="AA4899" s="3"/>
    </row>
    <row r="4900" ht="105.75" customHeight="1">
      <c r="A4900" s="11"/>
      <c r="B4900" s="12"/>
      <c r="C4900" s="11"/>
      <c r="D4900" s="13"/>
      <c r="E4900" s="14"/>
      <c r="F4900" s="14"/>
      <c r="G4900" s="14"/>
      <c r="H4900" s="15"/>
      <c r="I4900" s="15"/>
      <c r="J4900" s="3"/>
      <c r="K4900" s="3"/>
      <c r="L4900" s="3"/>
      <c r="M4900" s="3"/>
      <c r="N4900" s="3"/>
      <c r="O4900" s="3"/>
      <c r="P4900" s="3"/>
      <c r="Q4900" s="3"/>
      <c r="R4900" s="3"/>
      <c r="S4900" s="3"/>
      <c r="T4900" s="3"/>
      <c r="U4900" s="3"/>
      <c r="V4900" s="3"/>
      <c r="W4900" s="3"/>
      <c r="X4900" s="3"/>
      <c r="Y4900" s="3"/>
      <c r="Z4900" s="3"/>
      <c r="AA4900" s="3"/>
    </row>
    <row r="4901" ht="105.75" customHeight="1">
      <c r="A4901" s="11"/>
      <c r="B4901" s="12"/>
      <c r="C4901" s="11"/>
      <c r="D4901" s="13"/>
      <c r="E4901" s="14"/>
      <c r="F4901" s="14"/>
      <c r="G4901" s="14"/>
      <c r="H4901" s="15"/>
      <c r="I4901" s="15"/>
      <c r="J4901" s="3"/>
      <c r="K4901" s="3"/>
      <c r="L4901" s="3"/>
      <c r="M4901" s="3"/>
      <c r="N4901" s="3"/>
      <c r="O4901" s="3"/>
      <c r="P4901" s="3"/>
      <c r="Q4901" s="3"/>
      <c r="R4901" s="3"/>
      <c r="S4901" s="3"/>
      <c r="T4901" s="3"/>
      <c r="U4901" s="3"/>
      <c r="V4901" s="3"/>
      <c r="W4901" s="3"/>
      <c r="X4901" s="3"/>
      <c r="Y4901" s="3"/>
      <c r="Z4901" s="3"/>
      <c r="AA4901" s="3"/>
    </row>
    <row r="4902" ht="105.75" customHeight="1">
      <c r="A4902" s="11"/>
      <c r="B4902" s="12"/>
      <c r="C4902" s="11"/>
      <c r="D4902" s="13"/>
      <c r="E4902" s="14"/>
      <c r="F4902" s="14"/>
      <c r="G4902" s="14"/>
      <c r="H4902" s="15"/>
      <c r="I4902" s="15"/>
      <c r="J4902" s="3"/>
      <c r="K4902" s="3"/>
      <c r="L4902" s="3"/>
      <c r="M4902" s="3"/>
      <c r="N4902" s="3"/>
      <c r="O4902" s="3"/>
      <c r="P4902" s="3"/>
      <c r="Q4902" s="3"/>
      <c r="R4902" s="3"/>
      <c r="S4902" s="3"/>
      <c r="T4902" s="3"/>
      <c r="U4902" s="3"/>
      <c r="V4902" s="3"/>
      <c r="W4902" s="3"/>
      <c r="X4902" s="3"/>
      <c r="Y4902" s="3"/>
      <c r="Z4902" s="3"/>
      <c r="AA4902" s="3"/>
    </row>
    <row r="4903" ht="105.75" customHeight="1">
      <c r="A4903" s="11"/>
      <c r="B4903" s="12"/>
      <c r="C4903" s="11"/>
      <c r="D4903" s="13"/>
      <c r="E4903" s="14"/>
      <c r="F4903" s="14"/>
      <c r="G4903" s="14"/>
      <c r="H4903" s="15"/>
      <c r="I4903" s="15"/>
      <c r="J4903" s="3"/>
      <c r="K4903" s="3"/>
      <c r="L4903" s="3"/>
      <c r="M4903" s="3"/>
      <c r="N4903" s="3"/>
      <c r="O4903" s="3"/>
      <c r="P4903" s="3"/>
      <c r="Q4903" s="3"/>
      <c r="R4903" s="3"/>
      <c r="S4903" s="3"/>
      <c r="T4903" s="3"/>
      <c r="U4903" s="3"/>
      <c r="V4903" s="3"/>
      <c r="W4903" s="3"/>
      <c r="X4903" s="3"/>
      <c r="Y4903" s="3"/>
      <c r="Z4903" s="3"/>
      <c r="AA4903" s="3"/>
    </row>
    <row r="4904" ht="105.75" customHeight="1">
      <c r="A4904" s="11"/>
      <c r="B4904" s="12"/>
      <c r="C4904" s="11"/>
      <c r="D4904" s="13"/>
      <c r="E4904" s="14"/>
      <c r="F4904" s="14"/>
      <c r="G4904" s="14"/>
      <c r="H4904" s="15"/>
      <c r="I4904" s="15"/>
      <c r="J4904" s="3"/>
      <c r="K4904" s="3"/>
      <c r="L4904" s="3"/>
      <c r="M4904" s="3"/>
      <c r="N4904" s="3"/>
      <c r="O4904" s="3"/>
      <c r="P4904" s="3"/>
      <c r="Q4904" s="3"/>
      <c r="R4904" s="3"/>
      <c r="S4904" s="3"/>
      <c r="T4904" s="3"/>
      <c r="U4904" s="3"/>
      <c r="V4904" s="3"/>
      <c r="W4904" s="3"/>
      <c r="X4904" s="3"/>
      <c r="Y4904" s="3"/>
      <c r="Z4904" s="3"/>
      <c r="AA4904" s="3"/>
    </row>
    <row r="4905" ht="105.75" customHeight="1">
      <c r="A4905" s="11"/>
      <c r="B4905" s="12"/>
      <c r="C4905" s="11"/>
      <c r="D4905" s="13"/>
      <c r="E4905" s="14"/>
      <c r="F4905" s="14"/>
      <c r="G4905" s="14"/>
      <c r="H4905" s="15"/>
      <c r="I4905" s="15"/>
      <c r="J4905" s="3"/>
      <c r="K4905" s="3"/>
      <c r="L4905" s="3"/>
      <c r="M4905" s="3"/>
      <c r="N4905" s="3"/>
      <c r="O4905" s="3"/>
      <c r="P4905" s="3"/>
      <c r="Q4905" s="3"/>
      <c r="R4905" s="3"/>
      <c r="S4905" s="3"/>
      <c r="T4905" s="3"/>
      <c r="U4905" s="3"/>
      <c r="V4905" s="3"/>
      <c r="W4905" s="3"/>
      <c r="X4905" s="3"/>
      <c r="Y4905" s="3"/>
      <c r="Z4905" s="3"/>
      <c r="AA4905" s="3"/>
    </row>
    <row r="4906" ht="105.75" customHeight="1">
      <c r="A4906" s="11"/>
      <c r="B4906" s="12"/>
      <c r="C4906" s="11"/>
      <c r="D4906" s="13"/>
      <c r="E4906" s="14"/>
      <c r="F4906" s="14"/>
      <c r="G4906" s="14"/>
      <c r="H4906" s="15"/>
      <c r="I4906" s="15"/>
      <c r="J4906" s="3"/>
      <c r="K4906" s="3"/>
      <c r="L4906" s="3"/>
      <c r="M4906" s="3"/>
      <c r="N4906" s="3"/>
      <c r="O4906" s="3"/>
      <c r="P4906" s="3"/>
      <c r="Q4906" s="3"/>
      <c r="R4906" s="3"/>
      <c r="S4906" s="3"/>
      <c r="T4906" s="3"/>
      <c r="U4906" s="3"/>
      <c r="V4906" s="3"/>
      <c r="W4906" s="3"/>
      <c r="X4906" s="3"/>
      <c r="Y4906" s="3"/>
      <c r="Z4906" s="3"/>
      <c r="AA4906" s="3"/>
    </row>
    <row r="4907" ht="105.75" customHeight="1">
      <c r="A4907" s="11"/>
      <c r="B4907" s="12"/>
      <c r="C4907" s="11"/>
      <c r="D4907" s="13"/>
      <c r="E4907" s="14"/>
      <c r="F4907" s="14"/>
      <c r="G4907" s="14"/>
      <c r="H4907" s="15"/>
      <c r="I4907" s="15"/>
      <c r="J4907" s="3"/>
      <c r="K4907" s="3"/>
      <c r="L4907" s="3"/>
      <c r="M4907" s="3"/>
      <c r="N4907" s="3"/>
      <c r="O4907" s="3"/>
      <c r="P4907" s="3"/>
      <c r="Q4907" s="3"/>
      <c r="R4907" s="3"/>
      <c r="S4907" s="3"/>
      <c r="T4907" s="3"/>
      <c r="U4907" s="3"/>
      <c r="V4907" s="3"/>
      <c r="W4907" s="3"/>
      <c r="X4907" s="3"/>
      <c r="Y4907" s="3"/>
      <c r="Z4907" s="3"/>
      <c r="AA4907" s="3"/>
    </row>
    <row r="4908" ht="105.75" customHeight="1">
      <c r="A4908" s="11"/>
      <c r="B4908" s="12"/>
      <c r="C4908" s="11"/>
      <c r="D4908" s="13"/>
      <c r="E4908" s="14"/>
      <c r="F4908" s="14"/>
      <c r="G4908" s="14"/>
      <c r="H4908" s="15"/>
      <c r="I4908" s="15"/>
      <c r="J4908" s="3"/>
      <c r="K4908" s="3"/>
      <c r="L4908" s="3"/>
      <c r="M4908" s="3"/>
      <c r="N4908" s="3"/>
      <c r="O4908" s="3"/>
      <c r="P4908" s="3"/>
      <c r="Q4908" s="3"/>
      <c r="R4908" s="3"/>
      <c r="S4908" s="3"/>
      <c r="T4908" s="3"/>
      <c r="U4908" s="3"/>
      <c r="V4908" s="3"/>
      <c r="W4908" s="3"/>
      <c r="X4908" s="3"/>
      <c r="Y4908" s="3"/>
      <c r="Z4908" s="3"/>
      <c r="AA4908" s="3"/>
    </row>
    <row r="4909" ht="105.75" customHeight="1">
      <c r="A4909" s="11"/>
      <c r="B4909" s="12"/>
      <c r="C4909" s="11"/>
      <c r="D4909" s="13"/>
      <c r="E4909" s="14"/>
      <c r="F4909" s="14"/>
      <c r="G4909" s="14"/>
      <c r="H4909" s="15"/>
      <c r="I4909" s="15"/>
      <c r="J4909" s="3"/>
      <c r="K4909" s="3"/>
      <c r="L4909" s="3"/>
      <c r="M4909" s="3"/>
      <c r="N4909" s="3"/>
      <c r="O4909" s="3"/>
      <c r="P4909" s="3"/>
      <c r="Q4909" s="3"/>
      <c r="R4909" s="3"/>
      <c r="S4909" s="3"/>
      <c r="T4909" s="3"/>
      <c r="U4909" s="3"/>
      <c r="V4909" s="3"/>
      <c r="W4909" s="3"/>
      <c r="X4909" s="3"/>
      <c r="Y4909" s="3"/>
      <c r="Z4909" s="3"/>
      <c r="AA4909" s="3"/>
    </row>
    <row r="4910" ht="105.75" customHeight="1">
      <c r="A4910" s="11"/>
      <c r="B4910" s="12"/>
      <c r="C4910" s="11"/>
      <c r="D4910" s="13"/>
      <c r="E4910" s="14"/>
      <c r="F4910" s="14"/>
      <c r="G4910" s="14"/>
      <c r="H4910" s="15"/>
      <c r="I4910" s="15"/>
      <c r="J4910" s="3"/>
      <c r="K4910" s="3"/>
      <c r="L4910" s="3"/>
      <c r="M4910" s="3"/>
      <c r="N4910" s="3"/>
      <c r="O4910" s="3"/>
      <c r="P4910" s="3"/>
      <c r="Q4910" s="3"/>
      <c r="R4910" s="3"/>
      <c r="S4910" s="3"/>
      <c r="T4910" s="3"/>
      <c r="U4910" s="3"/>
      <c r="V4910" s="3"/>
      <c r="W4910" s="3"/>
      <c r="X4910" s="3"/>
      <c r="Y4910" s="3"/>
      <c r="Z4910" s="3"/>
      <c r="AA4910" s="3"/>
    </row>
    <row r="4911" ht="105.75" customHeight="1">
      <c r="A4911" s="11"/>
      <c r="B4911" s="12"/>
      <c r="C4911" s="11"/>
      <c r="D4911" s="13"/>
      <c r="E4911" s="14"/>
      <c r="F4911" s="14"/>
      <c r="G4911" s="14"/>
      <c r="H4911" s="15"/>
      <c r="I4911" s="15"/>
      <c r="J4911" s="3"/>
      <c r="K4911" s="3"/>
      <c r="L4911" s="3"/>
      <c r="M4911" s="3"/>
      <c r="N4911" s="3"/>
      <c r="O4911" s="3"/>
      <c r="P4911" s="3"/>
      <c r="Q4911" s="3"/>
      <c r="R4911" s="3"/>
      <c r="S4911" s="3"/>
      <c r="T4911" s="3"/>
      <c r="U4911" s="3"/>
      <c r="V4911" s="3"/>
      <c r="W4911" s="3"/>
      <c r="X4911" s="3"/>
      <c r="Y4911" s="3"/>
      <c r="Z4911" s="3"/>
      <c r="AA4911" s="3"/>
    </row>
    <row r="4912" ht="105.75" customHeight="1">
      <c r="A4912" s="11"/>
      <c r="B4912" s="12"/>
      <c r="C4912" s="11"/>
      <c r="D4912" s="13"/>
      <c r="E4912" s="14"/>
      <c r="F4912" s="14"/>
      <c r="G4912" s="14"/>
      <c r="H4912" s="15"/>
      <c r="I4912" s="15"/>
      <c r="J4912" s="3"/>
      <c r="K4912" s="3"/>
      <c r="L4912" s="3"/>
      <c r="M4912" s="3"/>
      <c r="N4912" s="3"/>
      <c r="O4912" s="3"/>
      <c r="P4912" s="3"/>
      <c r="Q4912" s="3"/>
      <c r="R4912" s="3"/>
      <c r="S4912" s="3"/>
      <c r="T4912" s="3"/>
      <c r="U4912" s="3"/>
      <c r="V4912" s="3"/>
      <c r="W4912" s="3"/>
      <c r="X4912" s="3"/>
      <c r="Y4912" s="3"/>
      <c r="Z4912" s="3"/>
      <c r="AA4912" s="3"/>
    </row>
    <row r="4913" ht="105.75" customHeight="1">
      <c r="A4913" s="11"/>
      <c r="B4913" s="12"/>
      <c r="C4913" s="11"/>
      <c r="D4913" s="13"/>
      <c r="E4913" s="14"/>
      <c r="F4913" s="14"/>
      <c r="G4913" s="14"/>
      <c r="H4913" s="15"/>
      <c r="I4913" s="15"/>
      <c r="J4913" s="3"/>
      <c r="K4913" s="3"/>
      <c r="L4913" s="3"/>
      <c r="M4913" s="3"/>
      <c r="N4913" s="3"/>
      <c r="O4913" s="3"/>
      <c r="P4913" s="3"/>
      <c r="Q4913" s="3"/>
      <c r="R4913" s="3"/>
      <c r="S4913" s="3"/>
      <c r="T4913" s="3"/>
      <c r="U4913" s="3"/>
      <c r="V4913" s="3"/>
      <c r="W4913" s="3"/>
      <c r="X4913" s="3"/>
      <c r="Y4913" s="3"/>
      <c r="Z4913" s="3"/>
      <c r="AA4913" s="3"/>
    </row>
    <row r="4914" ht="105.75" customHeight="1">
      <c r="A4914" s="11"/>
      <c r="B4914" s="12"/>
      <c r="C4914" s="11"/>
      <c r="D4914" s="13"/>
      <c r="E4914" s="14"/>
      <c r="F4914" s="14"/>
      <c r="G4914" s="14"/>
      <c r="H4914" s="15"/>
      <c r="I4914" s="15"/>
      <c r="J4914" s="3"/>
      <c r="K4914" s="3"/>
      <c r="L4914" s="3"/>
      <c r="M4914" s="3"/>
      <c r="N4914" s="3"/>
      <c r="O4914" s="3"/>
      <c r="P4914" s="3"/>
      <c r="Q4914" s="3"/>
      <c r="R4914" s="3"/>
      <c r="S4914" s="3"/>
      <c r="T4914" s="3"/>
      <c r="U4914" s="3"/>
      <c r="V4914" s="3"/>
      <c r="W4914" s="3"/>
      <c r="X4914" s="3"/>
      <c r="Y4914" s="3"/>
      <c r="Z4914" s="3"/>
      <c r="AA4914" s="3"/>
    </row>
    <row r="4915" ht="105.75" customHeight="1">
      <c r="A4915" s="11"/>
      <c r="B4915" s="12"/>
      <c r="C4915" s="11"/>
      <c r="D4915" s="13"/>
      <c r="E4915" s="14"/>
      <c r="F4915" s="14"/>
      <c r="G4915" s="14"/>
      <c r="H4915" s="15"/>
      <c r="I4915" s="15"/>
      <c r="J4915" s="3"/>
      <c r="K4915" s="3"/>
      <c r="L4915" s="3"/>
      <c r="M4915" s="3"/>
      <c r="N4915" s="3"/>
      <c r="O4915" s="3"/>
      <c r="P4915" s="3"/>
      <c r="Q4915" s="3"/>
      <c r="R4915" s="3"/>
      <c r="S4915" s="3"/>
      <c r="T4915" s="3"/>
      <c r="U4915" s="3"/>
      <c r="V4915" s="3"/>
      <c r="W4915" s="3"/>
      <c r="X4915" s="3"/>
      <c r="Y4915" s="3"/>
      <c r="Z4915" s="3"/>
      <c r="AA4915" s="3"/>
    </row>
    <row r="4916" ht="105.75" customHeight="1">
      <c r="A4916" s="11"/>
      <c r="B4916" s="12"/>
      <c r="C4916" s="11"/>
      <c r="D4916" s="13"/>
      <c r="E4916" s="14"/>
      <c r="F4916" s="14"/>
      <c r="G4916" s="14"/>
      <c r="H4916" s="15"/>
      <c r="I4916" s="15"/>
      <c r="J4916" s="3"/>
      <c r="K4916" s="3"/>
      <c r="L4916" s="3"/>
      <c r="M4916" s="3"/>
      <c r="N4916" s="3"/>
      <c r="O4916" s="3"/>
      <c r="P4916" s="3"/>
      <c r="Q4916" s="3"/>
      <c r="R4916" s="3"/>
      <c r="S4916" s="3"/>
      <c r="T4916" s="3"/>
      <c r="U4916" s="3"/>
      <c r="V4916" s="3"/>
      <c r="W4916" s="3"/>
      <c r="X4916" s="3"/>
      <c r="Y4916" s="3"/>
      <c r="Z4916" s="3"/>
      <c r="AA4916" s="3"/>
    </row>
    <row r="4917" ht="105.75" customHeight="1">
      <c r="A4917" s="11"/>
      <c r="B4917" s="12"/>
      <c r="C4917" s="11"/>
      <c r="D4917" s="13"/>
      <c r="E4917" s="14"/>
      <c r="F4917" s="14"/>
      <c r="G4917" s="14"/>
      <c r="H4917" s="15"/>
      <c r="I4917" s="15"/>
      <c r="J4917" s="3"/>
      <c r="K4917" s="3"/>
      <c r="L4917" s="3"/>
      <c r="M4917" s="3"/>
      <c r="N4917" s="3"/>
      <c r="O4917" s="3"/>
      <c r="P4917" s="3"/>
      <c r="Q4917" s="3"/>
      <c r="R4917" s="3"/>
      <c r="S4917" s="3"/>
      <c r="T4917" s="3"/>
      <c r="U4917" s="3"/>
      <c r="V4917" s="3"/>
      <c r="W4917" s="3"/>
      <c r="X4917" s="3"/>
      <c r="Y4917" s="3"/>
      <c r="Z4917" s="3"/>
      <c r="AA4917" s="3"/>
    </row>
    <row r="4918" ht="105.75" customHeight="1">
      <c r="A4918" s="11"/>
      <c r="B4918" s="12"/>
      <c r="C4918" s="11"/>
      <c r="D4918" s="13"/>
      <c r="E4918" s="14"/>
      <c r="F4918" s="14"/>
      <c r="G4918" s="14"/>
      <c r="H4918" s="15"/>
      <c r="I4918" s="15"/>
      <c r="J4918" s="3"/>
      <c r="K4918" s="3"/>
      <c r="L4918" s="3"/>
      <c r="M4918" s="3"/>
      <c r="N4918" s="3"/>
      <c r="O4918" s="3"/>
      <c r="P4918" s="3"/>
      <c r="Q4918" s="3"/>
      <c r="R4918" s="3"/>
      <c r="S4918" s="3"/>
      <c r="T4918" s="3"/>
      <c r="U4918" s="3"/>
      <c r="V4918" s="3"/>
      <c r="W4918" s="3"/>
      <c r="X4918" s="3"/>
      <c r="Y4918" s="3"/>
      <c r="Z4918" s="3"/>
      <c r="AA4918" s="3"/>
    </row>
    <row r="4919" ht="105.75" customHeight="1">
      <c r="A4919" s="11"/>
      <c r="B4919" s="12"/>
      <c r="C4919" s="11"/>
      <c r="D4919" s="13"/>
      <c r="E4919" s="14"/>
      <c r="F4919" s="14"/>
      <c r="G4919" s="14"/>
      <c r="H4919" s="15"/>
      <c r="I4919" s="15"/>
      <c r="J4919" s="3"/>
      <c r="K4919" s="3"/>
      <c r="L4919" s="3"/>
      <c r="M4919" s="3"/>
      <c r="N4919" s="3"/>
      <c r="O4919" s="3"/>
      <c r="P4919" s="3"/>
      <c r="Q4919" s="3"/>
      <c r="R4919" s="3"/>
      <c r="S4919" s="3"/>
      <c r="T4919" s="3"/>
      <c r="U4919" s="3"/>
      <c r="V4919" s="3"/>
      <c r="W4919" s="3"/>
      <c r="X4919" s="3"/>
      <c r="Y4919" s="3"/>
      <c r="Z4919" s="3"/>
      <c r="AA4919" s="3"/>
    </row>
    <row r="4920" ht="105.75" customHeight="1">
      <c r="A4920" s="11"/>
      <c r="B4920" s="12"/>
      <c r="C4920" s="11"/>
      <c r="D4920" s="13"/>
      <c r="E4920" s="14"/>
      <c r="F4920" s="14"/>
      <c r="G4920" s="14"/>
      <c r="H4920" s="15"/>
      <c r="I4920" s="15"/>
      <c r="J4920" s="3"/>
      <c r="K4920" s="3"/>
      <c r="L4920" s="3"/>
      <c r="M4920" s="3"/>
      <c r="N4920" s="3"/>
      <c r="O4920" s="3"/>
      <c r="P4920" s="3"/>
      <c r="Q4920" s="3"/>
      <c r="R4920" s="3"/>
      <c r="S4920" s="3"/>
      <c r="T4920" s="3"/>
      <c r="U4920" s="3"/>
      <c r="V4920" s="3"/>
      <c r="W4920" s="3"/>
      <c r="X4920" s="3"/>
      <c r="Y4920" s="3"/>
      <c r="Z4920" s="3"/>
      <c r="AA4920" s="3"/>
    </row>
    <row r="4921" ht="105.75" customHeight="1">
      <c r="A4921" s="11"/>
      <c r="B4921" s="12"/>
      <c r="C4921" s="11"/>
      <c r="D4921" s="13"/>
      <c r="E4921" s="14"/>
      <c r="F4921" s="14"/>
      <c r="G4921" s="14"/>
      <c r="H4921" s="15"/>
      <c r="I4921" s="15"/>
      <c r="J4921" s="3"/>
      <c r="K4921" s="3"/>
      <c r="L4921" s="3"/>
      <c r="M4921" s="3"/>
      <c r="N4921" s="3"/>
      <c r="O4921" s="3"/>
      <c r="P4921" s="3"/>
      <c r="Q4921" s="3"/>
      <c r="R4921" s="3"/>
      <c r="S4921" s="3"/>
      <c r="T4921" s="3"/>
      <c r="U4921" s="3"/>
      <c r="V4921" s="3"/>
      <c r="W4921" s="3"/>
      <c r="X4921" s="3"/>
      <c r="Y4921" s="3"/>
      <c r="Z4921" s="3"/>
      <c r="AA4921" s="3"/>
    </row>
    <row r="4922" ht="105.75" customHeight="1">
      <c r="A4922" s="11"/>
      <c r="B4922" s="12"/>
      <c r="C4922" s="11"/>
      <c r="D4922" s="13"/>
      <c r="E4922" s="14"/>
      <c r="F4922" s="14"/>
      <c r="G4922" s="14"/>
      <c r="H4922" s="15"/>
      <c r="I4922" s="15"/>
      <c r="J4922" s="3"/>
      <c r="K4922" s="3"/>
      <c r="L4922" s="3"/>
      <c r="M4922" s="3"/>
      <c r="N4922" s="3"/>
      <c r="O4922" s="3"/>
      <c r="P4922" s="3"/>
      <c r="Q4922" s="3"/>
      <c r="R4922" s="3"/>
      <c r="S4922" s="3"/>
      <c r="T4922" s="3"/>
      <c r="U4922" s="3"/>
      <c r="V4922" s="3"/>
      <c r="W4922" s="3"/>
      <c r="X4922" s="3"/>
      <c r="Y4922" s="3"/>
      <c r="Z4922" s="3"/>
      <c r="AA4922" s="3"/>
    </row>
    <row r="4923" ht="105.75" customHeight="1">
      <c r="A4923" s="11"/>
      <c r="B4923" s="12"/>
      <c r="C4923" s="11"/>
      <c r="D4923" s="13"/>
      <c r="E4923" s="14"/>
      <c r="F4923" s="14"/>
      <c r="G4923" s="14"/>
      <c r="H4923" s="15"/>
      <c r="I4923" s="15"/>
      <c r="J4923" s="3"/>
      <c r="K4923" s="3"/>
      <c r="L4923" s="3"/>
      <c r="M4923" s="3"/>
      <c r="N4923" s="3"/>
      <c r="O4923" s="3"/>
      <c r="P4923" s="3"/>
      <c r="Q4923" s="3"/>
      <c r="R4923" s="3"/>
      <c r="S4923" s="3"/>
      <c r="T4923" s="3"/>
      <c r="U4923" s="3"/>
      <c r="V4923" s="3"/>
      <c r="W4923" s="3"/>
      <c r="X4923" s="3"/>
      <c r="Y4923" s="3"/>
      <c r="Z4923" s="3"/>
      <c r="AA4923" s="3"/>
    </row>
    <row r="4924" ht="105.75" customHeight="1">
      <c r="A4924" s="11"/>
      <c r="B4924" s="12"/>
      <c r="C4924" s="11"/>
      <c r="D4924" s="13"/>
      <c r="E4924" s="14"/>
      <c r="F4924" s="14"/>
      <c r="G4924" s="14"/>
      <c r="H4924" s="15"/>
      <c r="I4924" s="15"/>
      <c r="J4924" s="3"/>
      <c r="K4924" s="3"/>
      <c r="L4924" s="3"/>
      <c r="M4924" s="3"/>
      <c r="N4924" s="3"/>
      <c r="O4924" s="3"/>
      <c r="P4924" s="3"/>
      <c r="Q4924" s="3"/>
      <c r="R4924" s="3"/>
      <c r="S4924" s="3"/>
      <c r="T4924" s="3"/>
      <c r="U4924" s="3"/>
      <c r="V4924" s="3"/>
      <c r="W4924" s="3"/>
      <c r="X4924" s="3"/>
      <c r="Y4924" s="3"/>
      <c r="Z4924" s="3"/>
      <c r="AA4924" s="3"/>
    </row>
    <row r="4925" ht="105.75" customHeight="1">
      <c r="A4925" s="11"/>
      <c r="B4925" s="12"/>
      <c r="C4925" s="11"/>
      <c r="D4925" s="13"/>
      <c r="E4925" s="14"/>
      <c r="F4925" s="14"/>
      <c r="G4925" s="14"/>
      <c r="H4925" s="15"/>
      <c r="I4925" s="15"/>
      <c r="J4925" s="3"/>
      <c r="K4925" s="3"/>
      <c r="L4925" s="3"/>
      <c r="M4925" s="3"/>
      <c r="N4925" s="3"/>
      <c r="O4925" s="3"/>
      <c r="P4925" s="3"/>
      <c r="Q4925" s="3"/>
      <c r="R4925" s="3"/>
      <c r="S4925" s="3"/>
      <c r="T4925" s="3"/>
      <c r="U4925" s="3"/>
      <c r="V4925" s="3"/>
      <c r="W4925" s="3"/>
      <c r="X4925" s="3"/>
      <c r="Y4925" s="3"/>
      <c r="Z4925" s="3"/>
      <c r="AA4925" s="3"/>
    </row>
    <row r="4926" ht="105.75" customHeight="1">
      <c r="A4926" s="11"/>
      <c r="B4926" s="12"/>
      <c r="C4926" s="11"/>
      <c r="D4926" s="13"/>
      <c r="E4926" s="14"/>
      <c r="F4926" s="14"/>
      <c r="G4926" s="14"/>
      <c r="H4926" s="15"/>
      <c r="I4926" s="15"/>
      <c r="J4926" s="3"/>
      <c r="K4926" s="3"/>
      <c r="L4926" s="3"/>
      <c r="M4926" s="3"/>
      <c r="N4926" s="3"/>
      <c r="O4926" s="3"/>
      <c r="P4926" s="3"/>
      <c r="Q4926" s="3"/>
      <c r="R4926" s="3"/>
      <c r="S4926" s="3"/>
      <c r="T4926" s="3"/>
      <c r="U4926" s="3"/>
      <c r="V4926" s="3"/>
      <c r="W4926" s="3"/>
      <c r="X4926" s="3"/>
      <c r="Y4926" s="3"/>
      <c r="Z4926" s="3"/>
      <c r="AA4926" s="3"/>
    </row>
    <row r="4927" ht="105.75" customHeight="1">
      <c r="A4927" s="11"/>
      <c r="B4927" s="12"/>
      <c r="C4927" s="11"/>
      <c r="D4927" s="13"/>
      <c r="E4927" s="14"/>
      <c r="F4927" s="14"/>
      <c r="G4927" s="14"/>
      <c r="H4927" s="15"/>
      <c r="I4927" s="15"/>
      <c r="J4927" s="3"/>
      <c r="K4927" s="3"/>
      <c r="L4927" s="3"/>
      <c r="M4927" s="3"/>
      <c r="N4927" s="3"/>
      <c r="O4927" s="3"/>
      <c r="P4927" s="3"/>
      <c r="Q4927" s="3"/>
      <c r="R4927" s="3"/>
      <c r="S4927" s="3"/>
      <c r="T4927" s="3"/>
      <c r="U4927" s="3"/>
      <c r="V4927" s="3"/>
      <c r="W4927" s="3"/>
      <c r="X4927" s="3"/>
      <c r="Y4927" s="3"/>
      <c r="Z4927" s="3"/>
      <c r="AA4927" s="3"/>
    </row>
    <row r="4928" ht="105.75" customHeight="1">
      <c r="A4928" s="11"/>
      <c r="B4928" s="12"/>
      <c r="C4928" s="11"/>
      <c r="D4928" s="13"/>
      <c r="E4928" s="14"/>
      <c r="F4928" s="14"/>
      <c r="G4928" s="14"/>
      <c r="H4928" s="15"/>
      <c r="I4928" s="15"/>
      <c r="J4928" s="3"/>
      <c r="K4928" s="3"/>
      <c r="L4928" s="3"/>
      <c r="M4928" s="3"/>
      <c r="N4928" s="3"/>
      <c r="O4928" s="3"/>
      <c r="P4928" s="3"/>
      <c r="Q4928" s="3"/>
      <c r="R4928" s="3"/>
      <c r="S4928" s="3"/>
      <c r="T4928" s="3"/>
      <c r="U4928" s="3"/>
      <c r="V4928" s="3"/>
      <c r="W4928" s="3"/>
      <c r="X4928" s="3"/>
      <c r="Y4928" s="3"/>
      <c r="Z4928" s="3"/>
      <c r="AA4928" s="3"/>
    </row>
    <row r="4929" ht="105.75" customHeight="1">
      <c r="A4929" s="11"/>
      <c r="B4929" s="12"/>
      <c r="C4929" s="11"/>
      <c r="D4929" s="13"/>
      <c r="E4929" s="14"/>
      <c r="F4929" s="14"/>
      <c r="G4929" s="14"/>
      <c r="H4929" s="15"/>
      <c r="I4929" s="15"/>
      <c r="J4929" s="3"/>
      <c r="K4929" s="3"/>
      <c r="L4929" s="3"/>
      <c r="M4929" s="3"/>
      <c r="N4929" s="3"/>
      <c r="O4929" s="3"/>
      <c r="P4929" s="3"/>
      <c r="Q4929" s="3"/>
      <c r="R4929" s="3"/>
      <c r="S4929" s="3"/>
      <c r="T4929" s="3"/>
      <c r="U4929" s="3"/>
      <c r="V4929" s="3"/>
      <c r="W4929" s="3"/>
      <c r="X4929" s="3"/>
      <c r="Y4929" s="3"/>
      <c r="Z4929" s="3"/>
      <c r="AA4929" s="3"/>
    </row>
    <row r="4930" ht="105.75" customHeight="1">
      <c r="A4930" s="11"/>
      <c r="B4930" s="12"/>
      <c r="C4930" s="11"/>
      <c r="D4930" s="13"/>
      <c r="E4930" s="14"/>
      <c r="F4930" s="14"/>
      <c r="G4930" s="14"/>
      <c r="H4930" s="15"/>
      <c r="I4930" s="15"/>
      <c r="J4930" s="3"/>
      <c r="K4930" s="3"/>
      <c r="L4930" s="3"/>
      <c r="M4930" s="3"/>
      <c r="N4930" s="3"/>
      <c r="O4930" s="3"/>
      <c r="P4930" s="3"/>
      <c r="Q4930" s="3"/>
      <c r="R4930" s="3"/>
      <c r="S4930" s="3"/>
      <c r="T4930" s="3"/>
      <c r="U4930" s="3"/>
      <c r="V4930" s="3"/>
      <c r="W4930" s="3"/>
      <c r="X4930" s="3"/>
      <c r="Y4930" s="3"/>
      <c r="Z4930" s="3"/>
      <c r="AA4930" s="3"/>
    </row>
    <row r="4931" ht="105.75" customHeight="1">
      <c r="A4931" s="11"/>
      <c r="B4931" s="12"/>
      <c r="C4931" s="11"/>
      <c r="D4931" s="13"/>
      <c r="E4931" s="14"/>
      <c r="F4931" s="14"/>
      <c r="G4931" s="14"/>
      <c r="H4931" s="15"/>
      <c r="I4931" s="15"/>
      <c r="J4931" s="3"/>
      <c r="K4931" s="3"/>
      <c r="L4931" s="3"/>
      <c r="M4931" s="3"/>
      <c r="N4931" s="3"/>
      <c r="O4931" s="3"/>
      <c r="P4931" s="3"/>
      <c r="Q4931" s="3"/>
      <c r="R4931" s="3"/>
      <c r="S4931" s="3"/>
      <c r="T4931" s="3"/>
      <c r="U4931" s="3"/>
      <c r="V4931" s="3"/>
      <c r="W4931" s="3"/>
      <c r="X4931" s="3"/>
      <c r="Y4931" s="3"/>
      <c r="Z4931" s="3"/>
      <c r="AA4931" s="3"/>
    </row>
    <row r="4932" ht="105.75" customHeight="1">
      <c r="A4932" s="11"/>
      <c r="B4932" s="12"/>
      <c r="C4932" s="11"/>
      <c r="D4932" s="13"/>
      <c r="E4932" s="14"/>
      <c r="F4932" s="14"/>
      <c r="G4932" s="14"/>
      <c r="H4932" s="15"/>
      <c r="I4932" s="15"/>
      <c r="J4932" s="3"/>
      <c r="K4932" s="3"/>
      <c r="L4932" s="3"/>
      <c r="M4932" s="3"/>
      <c r="N4932" s="3"/>
      <c r="O4932" s="3"/>
      <c r="P4932" s="3"/>
      <c r="Q4932" s="3"/>
      <c r="R4932" s="3"/>
      <c r="S4932" s="3"/>
      <c r="T4932" s="3"/>
      <c r="U4932" s="3"/>
      <c r="V4932" s="3"/>
      <c r="W4932" s="3"/>
      <c r="X4932" s="3"/>
      <c r="Y4932" s="3"/>
      <c r="Z4932" s="3"/>
      <c r="AA4932" s="3"/>
    </row>
    <row r="4933" ht="105.75" customHeight="1">
      <c r="A4933" s="11"/>
      <c r="B4933" s="12"/>
      <c r="C4933" s="11"/>
      <c r="D4933" s="13"/>
      <c r="E4933" s="14"/>
      <c r="F4933" s="14"/>
      <c r="G4933" s="14"/>
      <c r="H4933" s="15"/>
      <c r="I4933" s="15"/>
      <c r="J4933" s="3"/>
      <c r="K4933" s="3"/>
      <c r="L4933" s="3"/>
      <c r="M4933" s="3"/>
      <c r="N4933" s="3"/>
      <c r="O4933" s="3"/>
      <c r="P4933" s="3"/>
      <c r="Q4933" s="3"/>
      <c r="R4933" s="3"/>
      <c r="S4933" s="3"/>
      <c r="T4933" s="3"/>
      <c r="U4933" s="3"/>
      <c r="V4933" s="3"/>
      <c r="W4933" s="3"/>
      <c r="X4933" s="3"/>
      <c r="Y4933" s="3"/>
      <c r="Z4933" s="3"/>
      <c r="AA4933" s="3"/>
    </row>
    <row r="4934" ht="105.75" customHeight="1">
      <c r="A4934" s="11"/>
      <c r="B4934" s="12"/>
      <c r="C4934" s="11"/>
      <c r="D4934" s="13"/>
      <c r="E4934" s="14"/>
      <c r="F4934" s="14"/>
      <c r="G4934" s="14"/>
      <c r="H4934" s="15"/>
      <c r="I4934" s="15"/>
      <c r="J4934" s="3"/>
      <c r="K4934" s="3"/>
      <c r="L4934" s="3"/>
      <c r="M4934" s="3"/>
      <c r="N4934" s="3"/>
      <c r="O4934" s="3"/>
      <c r="P4934" s="3"/>
      <c r="Q4934" s="3"/>
      <c r="R4934" s="3"/>
      <c r="S4934" s="3"/>
      <c r="T4934" s="3"/>
      <c r="U4934" s="3"/>
      <c r="V4934" s="3"/>
      <c r="W4934" s="3"/>
      <c r="X4934" s="3"/>
      <c r="Y4934" s="3"/>
      <c r="Z4934" s="3"/>
      <c r="AA4934" s="3"/>
    </row>
    <row r="4935" ht="105.75" customHeight="1">
      <c r="A4935" s="11"/>
      <c r="B4935" s="12"/>
      <c r="C4935" s="11"/>
      <c r="D4935" s="13"/>
      <c r="E4935" s="14"/>
      <c r="F4935" s="14"/>
      <c r="G4935" s="14"/>
      <c r="H4935" s="15"/>
      <c r="I4935" s="15"/>
      <c r="J4935" s="3"/>
      <c r="K4935" s="3"/>
      <c r="L4935" s="3"/>
      <c r="M4935" s="3"/>
      <c r="N4935" s="3"/>
      <c r="O4935" s="3"/>
      <c r="P4935" s="3"/>
      <c r="Q4935" s="3"/>
      <c r="R4935" s="3"/>
      <c r="S4935" s="3"/>
      <c r="T4935" s="3"/>
      <c r="U4935" s="3"/>
      <c r="V4935" s="3"/>
      <c r="W4935" s="3"/>
      <c r="X4935" s="3"/>
      <c r="Y4935" s="3"/>
      <c r="Z4935" s="3"/>
      <c r="AA4935" s="3"/>
    </row>
    <row r="4936" ht="105.75" customHeight="1">
      <c r="A4936" s="11"/>
      <c r="B4936" s="12"/>
      <c r="C4936" s="11"/>
      <c r="D4936" s="13"/>
      <c r="E4936" s="14"/>
      <c r="F4936" s="14"/>
      <c r="G4936" s="14"/>
      <c r="H4936" s="15"/>
      <c r="I4936" s="15"/>
      <c r="J4936" s="3"/>
      <c r="K4936" s="3"/>
      <c r="L4936" s="3"/>
      <c r="M4936" s="3"/>
      <c r="N4936" s="3"/>
      <c r="O4936" s="3"/>
      <c r="P4936" s="3"/>
      <c r="Q4936" s="3"/>
      <c r="R4936" s="3"/>
      <c r="S4936" s="3"/>
      <c r="T4936" s="3"/>
      <c r="U4936" s="3"/>
      <c r="V4936" s="3"/>
      <c r="W4936" s="3"/>
      <c r="X4936" s="3"/>
      <c r="Y4936" s="3"/>
      <c r="Z4936" s="3"/>
      <c r="AA4936" s="3"/>
    </row>
    <row r="4937" ht="105.75" customHeight="1">
      <c r="A4937" s="11"/>
      <c r="B4937" s="12"/>
      <c r="C4937" s="11"/>
      <c r="D4937" s="13"/>
      <c r="E4937" s="14"/>
      <c r="F4937" s="14"/>
      <c r="G4937" s="14"/>
      <c r="H4937" s="15"/>
      <c r="I4937" s="15"/>
      <c r="J4937" s="3"/>
      <c r="K4937" s="3"/>
      <c r="L4937" s="3"/>
      <c r="M4937" s="3"/>
      <c r="N4937" s="3"/>
      <c r="O4937" s="3"/>
      <c r="P4937" s="3"/>
      <c r="Q4937" s="3"/>
      <c r="R4937" s="3"/>
      <c r="S4937" s="3"/>
      <c r="T4937" s="3"/>
      <c r="U4937" s="3"/>
      <c r="V4937" s="3"/>
      <c r="W4937" s="3"/>
      <c r="X4937" s="3"/>
      <c r="Y4937" s="3"/>
      <c r="Z4937" s="3"/>
      <c r="AA4937" s="3"/>
    </row>
    <row r="4938" ht="105.75" customHeight="1">
      <c r="A4938" s="11"/>
      <c r="B4938" s="12"/>
      <c r="C4938" s="11"/>
      <c r="D4938" s="13"/>
      <c r="E4938" s="14"/>
      <c r="F4938" s="14"/>
      <c r="G4938" s="14"/>
      <c r="H4938" s="15"/>
      <c r="I4938" s="15"/>
      <c r="J4938" s="3"/>
      <c r="K4938" s="3"/>
      <c r="L4938" s="3"/>
      <c r="M4938" s="3"/>
      <c r="N4938" s="3"/>
      <c r="O4938" s="3"/>
      <c r="P4938" s="3"/>
      <c r="Q4938" s="3"/>
      <c r="R4938" s="3"/>
      <c r="S4938" s="3"/>
      <c r="T4938" s="3"/>
      <c r="U4938" s="3"/>
      <c r="V4938" s="3"/>
      <c r="W4938" s="3"/>
      <c r="X4938" s="3"/>
      <c r="Y4938" s="3"/>
      <c r="Z4938" s="3"/>
      <c r="AA4938" s="3"/>
    </row>
    <row r="4939" ht="105.75" customHeight="1">
      <c r="A4939" s="11"/>
      <c r="B4939" s="12"/>
      <c r="C4939" s="11"/>
      <c r="D4939" s="13"/>
      <c r="E4939" s="14"/>
      <c r="F4939" s="14"/>
      <c r="G4939" s="14"/>
      <c r="H4939" s="15"/>
      <c r="I4939" s="15"/>
      <c r="J4939" s="3"/>
      <c r="K4939" s="3"/>
      <c r="L4939" s="3"/>
      <c r="M4939" s="3"/>
      <c r="N4939" s="3"/>
      <c r="O4939" s="3"/>
      <c r="P4939" s="3"/>
      <c r="Q4939" s="3"/>
      <c r="R4939" s="3"/>
      <c r="S4939" s="3"/>
      <c r="T4939" s="3"/>
      <c r="U4939" s="3"/>
      <c r="V4939" s="3"/>
      <c r="W4939" s="3"/>
      <c r="X4939" s="3"/>
      <c r="Y4939" s="3"/>
      <c r="Z4939" s="3"/>
      <c r="AA4939" s="3"/>
    </row>
    <row r="4940" ht="105.75" customHeight="1">
      <c r="A4940" s="11"/>
      <c r="B4940" s="12"/>
      <c r="C4940" s="11"/>
      <c r="D4940" s="13"/>
      <c r="E4940" s="14"/>
      <c r="F4940" s="14"/>
      <c r="G4940" s="14"/>
      <c r="H4940" s="15"/>
      <c r="I4940" s="15"/>
      <c r="J4940" s="3"/>
      <c r="K4940" s="3"/>
      <c r="L4940" s="3"/>
      <c r="M4940" s="3"/>
      <c r="N4940" s="3"/>
      <c r="O4940" s="3"/>
      <c r="P4940" s="3"/>
      <c r="Q4940" s="3"/>
      <c r="R4940" s="3"/>
      <c r="S4940" s="3"/>
      <c r="T4940" s="3"/>
      <c r="U4940" s="3"/>
      <c r="V4940" s="3"/>
      <c r="W4940" s="3"/>
      <c r="X4940" s="3"/>
      <c r="Y4940" s="3"/>
      <c r="Z4940" s="3"/>
      <c r="AA4940" s="3"/>
    </row>
    <row r="4941" ht="105.75" customHeight="1">
      <c r="A4941" s="11"/>
      <c r="B4941" s="12"/>
      <c r="C4941" s="11"/>
      <c r="D4941" s="13"/>
      <c r="E4941" s="14"/>
      <c r="F4941" s="14"/>
      <c r="G4941" s="14"/>
      <c r="H4941" s="15"/>
      <c r="I4941" s="15"/>
      <c r="J4941" s="3"/>
      <c r="K4941" s="3"/>
      <c r="L4941" s="3"/>
      <c r="M4941" s="3"/>
      <c r="N4941" s="3"/>
      <c r="O4941" s="3"/>
      <c r="P4941" s="3"/>
      <c r="Q4941" s="3"/>
      <c r="R4941" s="3"/>
      <c r="S4941" s="3"/>
      <c r="T4941" s="3"/>
      <c r="U4941" s="3"/>
      <c r="V4941" s="3"/>
      <c r="W4941" s="3"/>
      <c r="X4941" s="3"/>
      <c r="Y4941" s="3"/>
      <c r="Z4941" s="3"/>
      <c r="AA4941" s="3"/>
    </row>
    <row r="4942" ht="105.75" customHeight="1">
      <c r="A4942" s="11"/>
      <c r="B4942" s="12"/>
      <c r="C4942" s="11"/>
      <c r="D4942" s="13"/>
      <c r="E4942" s="14"/>
      <c r="F4942" s="14"/>
      <c r="G4942" s="14"/>
      <c r="H4942" s="15"/>
      <c r="I4942" s="15"/>
      <c r="J4942" s="3"/>
      <c r="K4942" s="3"/>
      <c r="L4942" s="3"/>
      <c r="M4942" s="3"/>
      <c r="N4942" s="3"/>
      <c r="O4942" s="3"/>
      <c r="P4942" s="3"/>
      <c r="Q4942" s="3"/>
      <c r="R4942" s="3"/>
      <c r="S4942" s="3"/>
      <c r="T4942" s="3"/>
      <c r="U4942" s="3"/>
      <c r="V4942" s="3"/>
      <c r="W4942" s="3"/>
      <c r="X4942" s="3"/>
      <c r="Y4942" s="3"/>
      <c r="Z4942" s="3"/>
      <c r="AA4942" s="3"/>
    </row>
    <row r="4943" ht="105.75" customHeight="1">
      <c r="A4943" s="11"/>
      <c r="B4943" s="12"/>
      <c r="C4943" s="11"/>
      <c r="D4943" s="13"/>
      <c r="E4943" s="14"/>
      <c r="F4943" s="14"/>
      <c r="G4943" s="14"/>
      <c r="H4943" s="15"/>
      <c r="I4943" s="15"/>
      <c r="J4943" s="3"/>
      <c r="K4943" s="3"/>
      <c r="L4943" s="3"/>
      <c r="M4943" s="3"/>
      <c r="N4943" s="3"/>
      <c r="O4943" s="3"/>
      <c r="P4943" s="3"/>
      <c r="Q4943" s="3"/>
      <c r="R4943" s="3"/>
      <c r="S4943" s="3"/>
      <c r="T4943" s="3"/>
      <c r="U4943" s="3"/>
      <c r="V4943" s="3"/>
      <c r="W4943" s="3"/>
      <c r="X4943" s="3"/>
      <c r="Y4943" s="3"/>
      <c r="Z4943" s="3"/>
      <c r="AA4943" s="3"/>
    </row>
    <row r="4944" ht="105.75" customHeight="1">
      <c r="A4944" s="11"/>
      <c r="B4944" s="12"/>
      <c r="C4944" s="11"/>
      <c r="D4944" s="13"/>
      <c r="E4944" s="14"/>
      <c r="F4944" s="14"/>
      <c r="G4944" s="14"/>
      <c r="H4944" s="15"/>
      <c r="I4944" s="15"/>
      <c r="J4944" s="3"/>
      <c r="K4944" s="3"/>
      <c r="L4944" s="3"/>
      <c r="M4944" s="3"/>
      <c r="N4944" s="3"/>
      <c r="O4944" s="3"/>
      <c r="P4944" s="3"/>
      <c r="Q4944" s="3"/>
      <c r="R4944" s="3"/>
      <c r="S4944" s="3"/>
      <c r="T4944" s="3"/>
      <c r="U4944" s="3"/>
      <c r="V4944" s="3"/>
      <c r="W4944" s="3"/>
      <c r="X4944" s="3"/>
      <c r="Y4944" s="3"/>
      <c r="Z4944" s="3"/>
      <c r="AA4944" s="3"/>
    </row>
    <row r="4945" ht="105.75" customHeight="1">
      <c r="A4945" s="11"/>
      <c r="B4945" s="12"/>
      <c r="C4945" s="11"/>
      <c r="D4945" s="13"/>
      <c r="E4945" s="14"/>
      <c r="F4945" s="14"/>
      <c r="G4945" s="14"/>
      <c r="H4945" s="15"/>
      <c r="I4945" s="15"/>
      <c r="J4945" s="3"/>
      <c r="K4945" s="3"/>
      <c r="L4945" s="3"/>
      <c r="M4945" s="3"/>
      <c r="N4945" s="3"/>
      <c r="O4945" s="3"/>
      <c r="P4945" s="3"/>
      <c r="Q4945" s="3"/>
      <c r="R4945" s="3"/>
      <c r="S4945" s="3"/>
      <c r="T4945" s="3"/>
      <c r="U4945" s="3"/>
      <c r="V4945" s="3"/>
      <c r="W4945" s="3"/>
      <c r="X4945" s="3"/>
      <c r="Y4945" s="3"/>
      <c r="Z4945" s="3"/>
      <c r="AA4945" s="3"/>
    </row>
    <row r="4946" ht="105.75" customHeight="1">
      <c r="A4946" s="11"/>
      <c r="B4946" s="12"/>
      <c r="C4946" s="11"/>
      <c r="D4946" s="13"/>
      <c r="E4946" s="14"/>
      <c r="F4946" s="14"/>
      <c r="G4946" s="14"/>
      <c r="H4946" s="15"/>
      <c r="I4946" s="15"/>
      <c r="J4946" s="3"/>
      <c r="K4946" s="3"/>
      <c r="L4946" s="3"/>
      <c r="M4946" s="3"/>
      <c r="N4946" s="3"/>
      <c r="O4946" s="3"/>
      <c r="P4946" s="3"/>
      <c r="Q4946" s="3"/>
      <c r="R4946" s="3"/>
      <c r="S4946" s="3"/>
      <c r="T4946" s="3"/>
      <c r="U4946" s="3"/>
      <c r="V4946" s="3"/>
      <c r="W4946" s="3"/>
      <c r="X4946" s="3"/>
      <c r="Y4946" s="3"/>
      <c r="Z4946" s="3"/>
      <c r="AA4946" s="3"/>
    </row>
    <row r="4947" ht="105.75" customHeight="1">
      <c r="A4947" s="11"/>
      <c r="B4947" s="12"/>
      <c r="C4947" s="11"/>
      <c r="D4947" s="13"/>
      <c r="E4947" s="14"/>
      <c r="F4947" s="14"/>
      <c r="G4947" s="14"/>
      <c r="H4947" s="15"/>
      <c r="I4947" s="15"/>
      <c r="J4947" s="3"/>
      <c r="K4947" s="3"/>
      <c r="L4947" s="3"/>
      <c r="M4947" s="3"/>
      <c r="N4947" s="3"/>
      <c r="O4947" s="3"/>
      <c r="P4947" s="3"/>
      <c r="Q4947" s="3"/>
      <c r="R4947" s="3"/>
      <c r="S4947" s="3"/>
      <c r="T4947" s="3"/>
      <c r="U4947" s="3"/>
      <c r="V4947" s="3"/>
      <c r="W4947" s="3"/>
      <c r="X4947" s="3"/>
      <c r="Y4947" s="3"/>
      <c r="Z4947" s="3"/>
      <c r="AA4947" s="3"/>
    </row>
    <row r="4948" ht="105.75" customHeight="1">
      <c r="A4948" s="11"/>
      <c r="B4948" s="12"/>
      <c r="C4948" s="11"/>
      <c r="D4948" s="13"/>
      <c r="E4948" s="14"/>
      <c r="F4948" s="14"/>
      <c r="G4948" s="14"/>
      <c r="H4948" s="15"/>
      <c r="I4948" s="15"/>
      <c r="J4948" s="3"/>
      <c r="K4948" s="3"/>
      <c r="L4948" s="3"/>
      <c r="M4948" s="3"/>
      <c r="N4948" s="3"/>
      <c r="O4948" s="3"/>
      <c r="P4948" s="3"/>
      <c r="Q4948" s="3"/>
      <c r="R4948" s="3"/>
      <c r="S4948" s="3"/>
      <c r="T4948" s="3"/>
      <c r="U4948" s="3"/>
      <c r="V4948" s="3"/>
      <c r="W4948" s="3"/>
      <c r="X4948" s="3"/>
      <c r="Y4948" s="3"/>
      <c r="Z4948" s="3"/>
      <c r="AA4948" s="3"/>
    </row>
    <row r="4949" ht="105.75" customHeight="1">
      <c r="A4949" s="11"/>
      <c r="B4949" s="12"/>
      <c r="C4949" s="11"/>
      <c r="D4949" s="13"/>
      <c r="E4949" s="14"/>
      <c r="F4949" s="14"/>
      <c r="G4949" s="14"/>
      <c r="H4949" s="15"/>
      <c r="I4949" s="15"/>
      <c r="J4949" s="3"/>
      <c r="K4949" s="3"/>
      <c r="L4949" s="3"/>
      <c r="M4949" s="3"/>
      <c r="N4949" s="3"/>
      <c r="O4949" s="3"/>
      <c r="P4949" s="3"/>
      <c r="Q4949" s="3"/>
      <c r="R4949" s="3"/>
      <c r="S4949" s="3"/>
      <c r="T4949" s="3"/>
      <c r="U4949" s="3"/>
      <c r="V4949" s="3"/>
      <c r="W4949" s="3"/>
      <c r="X4949" s="3"/>
      <c r="Y4949" s="3"/>
      <c r="Z4949" s="3"/>
      <c r="AA4949" s="3"/>
    </row>
    <row r="4950" ht="105.75" customHeight="1">
      <c r="A4950" s="11"/>
      <c r="B4950" s="12"/>
      <c r="C4950" s="11"/>
      <c r="D4950" s="13"/>
      <c r="E4950" s="14"/>
      <c r="F4950" s="14"/>
      <c r="G4950" s="14"/>
      <c r="H4950" s="15"/>
      <c r="I4950" s="15"/>
      <c r="J4950" s="3"/>
      <c r="K4950" s="3"/>
      <c r="L4950" s="3"/>
      <c r="M4950" s="3"/>
      <c r="N4950" s="3"/>
      <c r="O4950" s="3"/>
      <c r="P4950" s="3"/>
      <c r="Q4950" s="3"/>
      <c r="R4950" s="3"/>
      <c r="S4950" s="3"/>
      <c r="T4950" s="3"/>
      <c r="U4950" s="3"/>
      <c r="V4950" s="3"/>
      <c r="W4950" s="3"/>
      <c r="X4950" s="3"/>
      <c r="Y4950" s="3"/>
      <c r="Z4950" s="3"/>
      <c r="AA4950" s="3"/>
    </row>
    <row r="4951" ht="105.75" customHeight="1">
      <c r="A4951" s="11"/>
      <c r="B4951" s="12"/>
      <c r="C4951" s="11"/>
      <c r="D4951" s="13"/>
      <c r="E4951" s="14"/>
      <c r="F4951" s="14"/>
      <c r="G4951" s="14"/>
      <c r="H4951" s="15"/>
      <c r="I4951" s="15"/>
      <c r="J4951" s="3"/>
      <c r="K4951" s="3"/>
      <c r="L4951" s="3"/>
      <c r="M4951" s="3"/>
      <c r="N4951" s="3"/>
      <c r="O4951" s="3"/>
      <c r="P4951" s="3"/>
      <c r="Q4951" s="3"/>
      <c r="R4951" s="3"/>
      <c r="S4951" s="3"/>
      <c r="T4951" s="3"/>
      <c r="U4951" s="3"/>
      <c r="V4951" s="3"/>
      <c r="W4951" s="3"/>
      <c r="X4951" s="3"/>
      <c r="Y4951" s="3"/>
      <c r="Z4951" s="3"/>
      <c r="AA4951" s="3"/>
    </row>
    <row r="4952" ht="105.75" customHeight="1">
      <c r="A4952" s="11"/>
      <c r="B4952" s="12"/>
      <c r="C4952" s="11"/>
      <c r="D4952" s="13"/>
      <c r="E4952" s="14"/>
      <c r="F4952" s="14"/>
      <c r="G4952" s="14"/>
      <c r="H4952" s="15"/>
      <c r="I4952" s="15"/>
      <c r="J4952" s="3"/>
      <c r="K4952" s="3"/>
      <c r="L4952" s="3"/>
      <c r="M4952" s="3"/>
      <c r="N4952" s="3"/>
      <c r="O4952" s="3"/>
      <c r="P4952" s="3"/>
      <c r="Q4952" s="3"/>
      <c r="R4952" s="3"/>
      <c r="S4952" s="3"/>
      <c r="T4952" s="3"/>
      <c r="U4952" s="3"/>
      <c r="V4952" s="3"/>
      <c r="W4952" s="3"/>
      <c r="X4952" s="3"/>
      <c r="Y4952" s="3"/>
      <c r="Z4952" s="3"/>
      <c r="AA4952" s="3"/>
    </row>
    <row r="4953" ht="105.75" customHeight="1">
      <c r="A4953" s="11"/>
      <c r="B4953" s="12"/>
      <c r="C4953" s="11"/>
      <c r="D4953" s="13"/>
      <c r="E4953" s="14"/>
      <c r="F4953" s="14"/>
      <c r="G4953" s="14"/>
      <c r="H4953" s="15"/>
      <c r="I4953" s="15"/>
      <c r="J4953" s="3"/>
      <c r="K4953" s="3"/>
      <c r="L4953" s="3"/>
      <c r="M4953" s="3"/>
      <c r="N4953" s="3"/>
      <c r="O4953" s="3"/>
      <c r="P4953" s="3"/>
      <c r="Q4953" s="3"/>
      <c r="R4953" s="3"/>
      <c r="S4953" s="3"/>
      <c r="T4953" s="3"/>
      <c r="U4953" s="3"/>
      <c r="V4953" s="3"/>
      <c r="W4953" s="3"/>
      <c r="X4953" s="3"/>
      <c r="Y4953" s="3"/>
      <c r="Z4953" s="3"/>
      <c r="AA4953" s="3"/>
    </row>
    <row r="4954" ht="105.75" customHeight="1">
      <c r="A4954" s="11"/>
      <c r="B4954" s="12"/>
      <c r="C4954" s="11"/>
      <c r="D4954" s="13"/>
      <c r="E4954" s="14"/>
      <c r="F4954" s="14"/>
      <c r="G4954" s="14"/>
      <c r="H4954" s="15"/>
      <c r="I4954" s="15"/>
      <c r="J4954" s="3"/>
      <c r="K4954" s="3"/>
      <c r="L4954" s="3"/>
      <c r="M4954" s="3"/>
      <c r="N4954" s="3"/>
      <c r="O4954" s="3"/>
      <c r="P4954" s="3"/>
      <c r="Q4954" s="3"/>
      <c r="R4954" s="3"/>
      <c r="S4954" s="3"/>
      <c r="T4954" s="3"/>
      <c r="U4954" s="3"/>
      <c r="V4954" s="3"/>
      <c r="W4954" s="3"/>
      <c r="X4954" s="3"/>
      <c r="Y4954" s="3"/>
      <c r="Z4954" s="3"/>
      <c r="AA4954" s="3"/>
    </row>
    <row r="4955" ht="105.75" customHeight="1">
      <c r="A4955" s="11"/>
      <c r="B4955" s="12"/>
      <c r="C4955" s="11"/>
      <c r="D4955" s="13"/>
      <c r="E4955" s="14"/>
      <c r="F4955" s="14"/>
      <c r="G4955" s="14"/>
      <c r="H4955" s="15"/>
      <c r="I4955" s="15"/>
      <c r="J4955" s="3"/>
      <c r="K4955" s="3"/>
      <c r="L4955" s="3"/>
      <c r="M4955" s="3"/>
      <c r="N4955" s="3"/>
      <c r="O4955" s="3"/>
      <c r="P4955" s="3"/>
      <c r="Q4955" s="3"/>
      <c r="R4955" s="3"/>
      <c r="S4955" s="3"/>
      <c r="T4955" s="3"/>
      <c r="U4955" s="3"/>
      <c r="V4955" s="3"/>
      <c r="W4955" s="3"/>
      <c r="X4955" s="3"/>
      <c r="Y4955" s="3"/>
      <c r="Z4955" s="3"/>
      <c r="AA4955" s="3"/>
    </row>
    <row r="4956" ht="105.75" customHeight="1">
      <c r="A4956" s="11"/>
      <c r="B4956" s="12"/>
      <c r="C4956" s="11"/>
      <c r="D4956" s="13"/>
      <c r="E4956" s="14"/>
      <c r="F4956" s="14"/>
      <c r="G4956" s="14"/>
      <c r="H4956" s="15"/>
      <c r="I4956" s="15"/>
      <c r="J4956" s="3"/>
      <c r="K4956" s="3"/>
      <c r="L4956" s="3"/>
      <c r="M4956" s="3"/>
      <c r="N4956" s="3"/>
      <c r="O4956" s="3"/>
      <c r="P4956" s="3"/>
      <c r="Q4956" s="3"/>
      <c r="R4956" s="3"/>
      <c r="S4956" s="3"/>
      <c r="T4956" s="3"/>
      <c r="U4956" s="3"/>
      <c r="V4956" s="3"/>
      <c r="W4956" s="3"/>
      <c r="X4956" s="3"/>
      <c r="Y4956" s="3"/>
      <c r="Z4956" s="3"/>
      <c r="AA4956" s="3"/>
    </row>
    <row r="4957" ht="105.75" customHeight="1">
      <c r="A4957" s="11"/>
      <c r="B4957" s="12"/>
      <c r="C4957" s="11"/>
      <c r="D4957" s="13"/>
      <c r="E4957" s="14"/>
      <c r="F4957" s="14"/>
      <c r="G4957" s="14"/>
      <c r="H4957" s="15"/>
      <c r="I4957" s="15"/>
      <c r="J4957" s="3"/>
      <c r="K4957" s="3"/>
      <c r="L4957" s="3"/>
      <c r="M4957" s="3"/>
      <c r="N4957" s="3"/>
      <c r="O4957" s="3"/>
      <c r="P4957" s="3"/>
      <c r="Q4957" s="3"/>
      <c r="R4957" s="3"/>
      <c r="S4957" s="3"/>
      <c r="T4957" s="3"/>
      <c r="U4957" s="3"/>
      <c r="V4957" s="3"/>
      <c r="W4957" s="3"/>
      <c r="X4957" s="3"/>
      <c r="Y4957" s="3"/>
      <c r="Z4957" s="3"/>
      <c r="AA4957" s="3"/>
    </row>
    <row r="4958" ht="105.75" customHeight="1">
      <c r="A4958" s="11"/>
      <c r="B4958" s="12"/>
      <c r="C4958" s="11"/>
      <c r="D4958" s="13"/>
      <c r="E4958" s="14"/>
      <c r="F4958" s="14"/>
      <c r="G4958" s="14"/>
      <c r="H4958" s="15"/>
      <c r="I4958" s="15"/>
      <c r="J4958" s="3"/>
      <c r="K4958" s="3"/>
      <c r="L4958" s="3"/>
      <c r="M4958" s="3"/>
      <c r="N4958" s="3"/>
      <c r="O4958" s="3"/>
      <c r="P4958" s="3"/>
      <c r="Q4958" s="3"/>
      <c r="R4958" s="3"/>
      <c r="S4958" s="3"/>
      <c r="T4958" s="3"/>
      <c r="U4958" s="3"/>
      <c r="V4958" s="3"/>
      <c r="W4958" s="3"/>
      <c r="X4958" s="3"/>
      <c r="Y4958" s="3"/>
      <c r="Z4958" s="3"/>
      <c r="AA4958" s="3"/>
    </row>
    <row r="4959" ht="105.75" customHeight="1">
      <c r="A4959" s="11"/>
      <c r="B4959" s="12"/>
      <c r="C4959" s="11"/>
      <c r="D4959" s="13"/>
      <c r="E4959" s="14"/>
      <c r="F4959" s="14"/>
      <c r="G4959" s="14"/>
      <c r="H4959" s="15"/>
      <c r="I4959" s="15"/>
      <c r="J4959" s="3"/>
      <c r="K4959" s="3"/>
      <c r="L4959" s="3"/>
      <c r="M4959" s="3"/>
      <c r="N4959" s="3"/>
      <c r="O4959" s="3"/>
      <c r="P4959" s="3"/>
      <c r="Q4959" s="3"/>
      <c r="R4959" s="3"/>
      <c r="S4959" s="3"/>
      <c r="T4959" s="3"/>
      <c r="U4959" s="3"/>
      <c r="V4959" s="3"/>
      <c r="W4959" s="3"/>
      <c r="X4959" s="3"/>
      <c r="Y4959" s="3"/>
      <c r="Z4959" s="3"/>
      <c r="AA4959" s="3"/>
    </row>
    <row r="4960" ht="105.75" customHeight="1">
      <c r="A4960" s="11"/>
      <c r="B4960" s="12"/>
      <c r="C4960" s="11"/>
      <c r="D4960" s="13"/>
      <c r="E4960" s="14"/>
      <c r="F4960" s="14"/>
      <c r="G4960" s="14"/>
      <c r="H4960" s="15"/>
      <c r="I4960" s="15"/>
      <c r="J4960" s="3"/>
      <c r="K4960" s="3"/>
      <c r="L4960" s="3"/>
      <c r="M4960" s="3"/>
      <c r="N4960" s="3"/>
      <c r="O4960" s="3"/>
      <c r="P4960" s="3"/>
      <c r="Q4960" s="3"/>
      <c r="R4960" s="3"/>
      <c r="S4960" s="3"/>
      <c r="T4960" s="3"/>
      <c r="U4960" s="3"/>
      <c r="V4960" s="3"/>
      <c r="W4960" s="3"/>
      <c r="X4960" s="3"/>
      <c r="Y4960" s="3"/>
      <c r="Z4960" s="3"/>
      <c r="AA4960" s="3"/>
    </row>
    <row r="4961" ht="105.75" customHeight="1">
      <c r="A4961" s="11"/>
      <c r="B4961" s="12"/>
      <c r="C4961" s="11"/>
      <c r="D4961" s="13"/>
      <c r="E4961" s="14"/>
      <c r="F4961" s="14"/>
      <c r="G4961" s="14"/>
      <c r="H4961" s="15"/>
      <c r="I4961" s="15"/>
      <c r="J4961" s="3"/>
      <c r="K4961" s="3"/>
      <c r="L4961" s="3"/>
      <c r="M4961" s="3"/>
      <c r="N4961" s="3"/>
      <c r="O4961" s="3"/>
      <c r="P4961" s="3"/>
      <c r="Q4961" s="3"/>
      <c r="R4961" s="3"/>
      <c r="S4961" s="3"/>
      <c r="T4961" s="3"/>
      <c r="U4961" s="3"/>
      <c r="V4961" s="3"/>
      <c r="W4961" s="3"/>
      <c r="X4961" s="3"/>
      <c r="Y4961" s="3"/>
      <c r="Z4961" s="3"/>
      <c r="AA4961" s="3"/>
    </row>
    <row r="4962" ht="105.75" customHeight="1">
      <c r="A4962" s="11"/>
      <c r="B4962" s="12"/>
      <c r="C4962" s="11"/>
      <c r="D4962" s="13"/>
      <c r="E4962" s="14"/>
      <c r="F4962" s="14"/>
      <c r="G4962" s="14"/>
      <c r="H4962" s="15"/>
      <c r="I4962" s="15"/>
      <c r="J4962" s="3"/>
      <c r="K4962" s="3"/>
      <c r="L4962" s="3"/>
      <c r="M4962" s="3"/>
      <c r="N4962" s="3"/>
      <c r="O4962" s="3"/>
      <c r="P4962" s="3"/>
      <c r="Q4962" s="3"/>
      <c r="R4962" s="3"/>
      <c r="S4962" s="3"/>
      <c r="T4962" s="3"/>
      <c r="U4962" s="3"/>
      <c r="V4962" s="3"/>
      <c r="W4962" s="3"/>
      <c r="X4962" s="3"/>
      <c r="Y4962" s="3"/>
      <c r="Z4962" s="3"/>
      <c r="AA4962" s="3"/>
    </row>
    <row r="4963" ht="105.75" customHeight="1">
      <c r="A4963" s="11"/>
      <c r="B4963" s="12"/>
      <c r="C4963" s="11"/>
      <c r="D4963" s="13"/>
      <c r="E4963" s="14"/>
      <c r="F4963" s="14"/>
      <c r="G4963" s="14"/>
      <c r="H4963" s="15"/>
      <c r="I4963" s="15"/>
      <c r="J4963" s="3"/>
      <c r="K4963" s="3"/>
      <c r="L4963" s="3"/>
      <c r="M4963" s="3"/>
      <c r="N4963" s="3"/>
      <c r="O4963" s="3"/>
      <c r="P4963" s="3"/>
      <c r="Q4963" s="3"/>
      <c r="R4963" s="3"/>
      <c r="S4963" s="3"/>
      <c r="T4963" s="3"/>
      <c r="U4963" s="3"/>
      <c r="V4963" s="3"/>
      <c r="W4963" s="3"/>
      <c r="X4963" s="3"/>
      <c r="Y4963" s="3"/>
      <c r="Z4963" s="3"/>
      <c r="AA4963" s="3"/>
    </row>
    <row r="4964" ht="105.75" customHeight="1">
      <c r="A4964" s="11"/>
      <c r="B4964" s="12"/>
      <c r="C4964" s="11"/>
      <c r="D4964" s="13"/>
      <c r="E4964" s="14"/>
      <c r="F4964" s="14"/>
      <c r="G4964" s="14"/>
      <c r="H4964" s="15"/>
      <c r="I4964" s="15"/>
      <c r="J4964" s="3"/>
      <c r="K4964" s="3"/>
      <c r="L4964" s="3"/>
      <c r="M4964" s="3"/>
      <c r="N4964" s="3"/>
      <c r="O4964" s="3"/>
      <c r="P4964" s="3"/>
      <c r="Q4964" s="3"/>
      <c r="R4964" s="3"/>
      <c r="S4964" s="3"/>
      <c r="T4964" s="3"/>
      <c r="U4964" s="3"/>
      <c r="V4964" s="3"/>
      <c r="W4964" s="3"/>
      <c r="X4964" s="3"/>
      <c r="Y4964" s="3"/>
      <c r="Z4964" s="3"/>
      <c r="AA4964" s="3"/>
    </row>
    <row r="4965" ht="105.75" customHeight="1">
      <c r="A4965" s="11"/>
      <c r="B4965" s="12"/>
      <c r="C4965" s="11"/>
      <c r="D4965" s="13"/>
      <c r="E4965" s="14"/>
      <c r="F4965" s="14"/>
      <c r="G4965" s="14"/>
      <c r="H4965" s="15"/>
      <c r="I4965" s="15"/>
      <c r="J4965" s="3"/>
      <c r="K4965" s="3"/>
      <c r="L4965" s="3"/>
      <c r="M4965" s="3"/>
      <c r="N4965" s="3"/>
      <c r="O4965" s="3"/>
      <c r="P4965" s="3"/>
      <c r="Q4965" s="3"/>
      <c r="R4965" s="3"/>
      <c r="S4965" s="3"/>
      <c r="T4965" s="3"/>
      <c r="U4965" s="3"/>
      <c r="V4965" s="3"/>
      <c r="W4965" s="3"/>
      <c r="X4965" s="3"/>
      <c r="Y4965" s="3"/>
      <c r="Z4965" s="3"/>
      <c r="AA4965" s="3"/>
    </row>
    <row r="4966" ht="105.75" customHeight="1">
      <c r="A4966" s="11"/>
      <c r="B4966" s="12"/>
      <c r="C4966" s="11"/>
      <c r="D4966" s="13"/>
      <c r="E4966" s="14"/>
      <c r="F4966" s="14"/>
      <c r="G4966" s="14"/>
      <c r="H4966" s="15"/>
      <c r="I4966" s="15"/>
      <c r="J4966" s="3"/>
      <c r="K4966" s="3"/>
      <c r="L4966" s="3"/>
      <c r="M4966" s="3"/>
      <c r="N4966" s="3"/>
      <c r="O4966" s="3"/>
      <c r="P4966" s="3"/>
      <c r="Q4966" s="3"/>
      <c r="R4966" s="3"/>
      <c r="S4966" s="3"/>
      <c r="T4966" s="3"/>
      <c r="U4966" s="3"/>
      <c r="V4966" s="3"/>
      <c r="W4966" s="3"/>
      <c r="X4966" s="3"/>
      <c r="Y4966" s="3"/>
      <c r="Z4966" s="3"/>
      <c r="AA4966" s="3"/>
    </row>
    <row r="4967" ht="105.75" customHeight="1">
      <c r="A4967" s="11"/>
      <c r="B4967" s="12"/>
      <c r="C4967" s="11"/>
      <c r="D4967" s="13"/>
      <c r="E4967" s="14"/>
      <c r="F4967" s="14"/>
      <c r="G4967" s="14"/>
      <c r="H4967" s="15"/>
      <c r="I4967" s="15"/>
      <c r="J4967" s="3"/>
      <c r="K4967" s="3"/>
      <c r="L4967" s="3"/>
      <c r="M4967" s="3"/>
      <c r="N4967" s="3"/>
      <c r="O4967" s="3"/>
      <c r="P4967" s="3"/>
      <c r="Q4967" s="3"/>
      <c r="R4967" s="3"/>
      <c r="S4967" s="3"/>
      <c r="T4967" s="3"/>
      <c r="U4967" s="3"/>
      <c r="V4967" s="3"/>
      <c r="W4967" s="3"/>
      <c r="X4967" s="3"/>
      <c r="Y4967" s="3"/>
      <c r="Z4967" s="3"/>
      <c r="AA4967" s="3"/>
    </row>
    <row r="4968" ht="105.75" customHeight="1">
      <c r="A4968" s="11"/>
      <c r="B4968" s="12"/>
      <c r="C4968" s="11"/>
      <c r="D4968" s="13"/>
      <c r="E4968" s="14"/>
      <c r="F4968" s="14"/>
      <c r="G4968" s="14"/>
      <c r="H4968" s="15"/>
      <c r="I4968" s="15"/>
      <c r="J4968" s="3"/>
      <c r="K4968" s="3"/>
      <c r="L4968" s="3"/>
      <c r="M4968" s="3"/>
      <c r="N4968" s="3"/>
      <c r="O4968" s="3"/>
      <c r="P4968" s="3"/>
      <c r="Q4968" s="3"/>
      <c r="R4968" s="3"/>
      <c r="S4968" s="3"/>
      <c r="T4968" s="3"/>
      <c r="U4968" s="3"/>
      <c r="V4968" s="3"/>
      <c r="W4968" s="3"/>
      <c r="X4968" s="3"/>
      <c r="Y4968" s="3"/>
      <c r="Z4968" s="3"/>
      <c r="AA4968" s="3"/>
    </row>
    <row r="4969" ht="105.75" customHeight="1">
      <c r="A4969" s="11"/>
      <c r="B4969" s="12"/>
      <c r="C4969" s="11"/>
      <c r="D4969" s="13"/>
      <c r="E4969" s="14"/>
      <c r="F4969" s="14"/>
      <c r="G4969" s="14"/>
      <c r="H4969" s="15"/>
      <c r="I4969" s="15"/>
      <c r="J4969" s="3"/>
      <c r="K4969" s="3"/>
      <c r="L4969" s="3"/>
      <c r="M4969" s="3"/>
      <c r="N4969" s="3"/>
      <c r="O4969" s="3"/>
      <c r="P4969" s="3"/>
      <c r="Q4969" s="3"/>
      <c r="R4969" s="3"/>
      <c r="S4969" s="3"/>
      <c r="T4969" s="3"/>
      <c r="U4969" s="3"/>
      <c r="V4969" s="3"/>
      <c r="W4969" s="3"/>
      <c r="X4969" s="3"/>
      <c r="Y4969" s="3"/>
      <c r="Z4969" s="3"/>
      <c r="AA4969" s="3"/>
    </row>
    <row r="4970" ht="105.75" customHeight="1">
      <c r="A4970" s="11"/>
      <c r="B4970" s="12"/>
      <c r="C4970" s="11"/>
      <c r="D4970" s="13"/>
      <c r="E4970" s="14"/>
      <c r="F4970" s="14"/>
      <c r="G4970" s="14"/>
      <c r="H4970" s="15"/>
      <c r="I4970" s="15"/>
      <c r="J4970" s="3"/>
      <c r="K4970" s="3"/>
      <c r="L4970" s="3"/>
      <c r="M4970" s="3"/>
      <c r="N4970" s="3"/>
      <c r="O4970" s="3"/>
      <c r="P4970" s="3"/>
      <c r="Q4970" s="3"/>
      <c r="R4970" s="3"/>
      <c r="S4970" s="3"/>
      <c r="T4970" s="3"/>
      <c r="U4970" s="3"/>
      <c r="V4970" s="3"/>
      <c r="W4970" s="3"/>
      <c r="X4970" s="3"/>
      <c r="Y4970" s="3"/>
      <c r="Z4970" s="3"/>
      <c r="AA4970" s="3"/>
    </row>
    <row r="4971" ht="105.75" customHeight="1">
      <c r="A4971" s="11"/>
      <c r="B4971" s="12"/>
      <c r="C4971" s="11"/>
      <c r="D4971" s="13"/>
      <c r="E4971" s="14"/>
      <c r="F4971" s="14"/>
      <c r="G4971" s="14"/>
      <c r="H4971" s="15"/>
      <c r="I4971" s="15"/>
      <c r="J4971" s="3"/>
      <c r="K4971" s="3"/>
      <c r="L4971" s="3"/>
      <c r="M4971" s="3"/>
      <c r="N4971" s="3"/>
      <c r="O4971" s="3"/>
      <c r="P4971" s="3"/>
      <c r="Q4971" s="3"/>
      <c r="R4971" s="3"/>
      <c r="S4971" s="3"/>
      <c r="T4971" s="3"/>
      <c r="U4971" s="3"/>
      <c r="V4971" s="3"/>
      <c r="W4971" s="3"/>
      <c r="X4971" s="3"/>
      <c r="Y4971" s="3"/>
      <c r="Z4971" s="3"/>
      <c r="AA4971" s="3"/>
    </row>
    <row r="4972" ht="105.75" customHeight="1">
      <c r="A4972" s="11"/>
      <c r="B4972" s="12"/>
      <c r="C4972" s="11"/>
      <c r="D4972" s="13"/>
      <c r="E4972" s="14"/>
      <c r="F4972" s="14"/>
      <c r="G4972" s="14"/>
      <c r="H4972" s="15"/>
      <c r="I4972" s="15"/>
      <c r="J4972" s="3"/>
      <c r="K4972" s="3"/>
      <c r="L4972" s="3"/>
      <c r="M4972" s="3"/>
      <c r="N4972" s="3"/>
      <c r="O4972" s="3"/>
      <c r="P4972" s="3"/>
      <c r="Q4972" s="3"/>
      <c r="R4972" s="3"/>
      <c r="S4972" s="3"/>
      <c r="T4972" s="3"/>
      <c r="U4972" s="3"/>
      <c r="V4972" s="3"/>
      <c r="W4972" s="3"/>
      <c r="X4972" s="3"/>
      <c r="Y4972" s="3"/>
      <c r="Z4972" s="3"/>
      <c r="AA4972" s="3"/>
    </row>
    <row r="4973" ht="105.75" customHeight="1">
      <c r="A4973" s="11"/>
      <c r="B4973" s="12"/>
      <c r="C4973" s="11"/>
      <c r="D4973" s="13"/>
      <c r="E4973" s="14"/>
      <c r="F4973" s="14"/>
      <c r="G4973" s="14"/>
      <c r="H4973" s="15"/>
      <c r="I4973" s="15"/>
      <c r="J4973" s="3"/>
      <c r="K4973" s="3"/>
      <c r="L4973" s="3"/>
      <c r="M4973" s="3"/>
      <c r="N4973" s="3"/>
      <c r="O4973" s="3"/>
      <c r="P4973" s="3"/>
      <c r="Q4973" s="3"/>
      <c r="R4973" s="3"/>
      <c r="S4973" s="3"/>
      <c r="T4973" s="3"/>
      <c r="U4973" s="3"/>
      <c r="V4973" s="3"/>
      <c r="W4973" s="3"/>
      <c r="X4973" s="3"/>
      <c r="Y4973" s="3"/>
      <c r="Z4973" s="3"/>
      <c r="AA4973" s="3"/>
    </row>
    <row r="4974" ht="105.75" customHeight="1">
      <c r="A4974" s="11"/>
      <c r="B4974" s="12"/>
      <c r="C4974" s="11"/>
      <c r="D4974" s="13"/>
      <c r="E4974" s="14"/>
      <c r="F4974" s="14"/>
      <c r="G4974" s="14"/>
      <c r="H4974" s="15"/>
      <c r="I4974" s="15"/>
      <c r="J4974" s="3"/>
      <c r="K4974" s="3"/>
      <c r="L4974" s="3"/>
      <c r="M4974" s="3"/>
      <c r="N4974" s="3"/>
      <c r="O4974" s="3"/>
      <c r="P4974" s="3"/>
      <c r="Q4974" s="3"/>
      <c r="R4974" s="3"/>
      <c r="S4974" s="3"/>
      <c r="T4974" s="3"/>
      <c r="U4974" s="3"/>
      <c r="V4974" s="3"/>
      <c r="W4974" s="3"/>
      <c r="X4974" s="3"/>
      <c r="Y4974" s="3"/>
      <c r="Z4974" s="3"/>
      <c r="AA4974" s="3"/>
    </row>
    <row r="4975" ht="105.75" customHeight="1">
      <c r="A4975" s="11"/>
      <c r="B4975" s="12"/>
      <c r="C4975" s="11"/>
      <c r="D4975" s="13"/>
      <c r="E4975" s="14"/>
      <c r="F4975" s="14"/>
      <c r="G4975" s="14"/>
      <c r="H4975" s="15"/>
      <c r="I4975" s="15"/>
      <c r="J4975" s="3"/>
      <c r="K4975" s="3"/>
      <c r="L4975" s="3"/>
      <c r="M4975" s="3"/>
      <c r="N4975" s="3"/>
      <c r="O4975" s="3"/>
      <c r="P4975" s="3"/>
      <c r="Q4975" s="3"/>
      <c r="R4975" s="3"/>
      <c r="S4975" s="3"/>
      <c r="T4975" s="3"/>
      <c r="U4975" s="3"/>
      <c r="V4975" s="3"/>
      <c r="W4975" s="3"/>
      <c r="X4975" s="3"/>
      <c r="Y4975" s="3"/>
      <c r="Z4975" s="3"/>
      <c r="AA4975" s="3"/>
    </row>
    <row r="4976" ht="105.75" customHeight="1">
      <c r="A4976" s="11"/>
      <c r="B4976" s="12"/>
      <c r="C4976" s="11"/>
      <c r="D4976" s="13"/>
      <c r="E4976" s="14"/>
      <c r="F4976" s="14"/>
      <c r="G4976" s="14"/>
      <c r="H4976" s="15"/>
      <c r="I4976" s="15"/>
      <c r="J4976" s="3"/>
      <c r="K4976" s="3"/>
      <c r="L4976" s="3"/>
      <c r="M4976" s="3"/>
      <c r="N4976" s="3"/>
      <c r="O4976" s="3"/>
      <c r="P4976" s="3"/>
      <c r="Q4976" s="3"/>
      <c r="R4976" s="3"/>
      <c r="S4976" s="3"/>
      <c r="T4976" s="3"/>
      <c r="U4976" s="3"/>
      <c r="V4976" s="3"/>
      <c r="W4976" s="3"/>
      <c r="X4976" s="3"/>
      <c r="Y4976" s="3"/>
      <c r="Z4976" s="3"/>
      <c r="AA4976" s="3"/>
    </row>
    <row r="4977" ht="105.75" customHeight="1">
      <c r="A4977" s="11"/>
      <c r="B4977" s="12"/>
      <c r="C4977" s="11"/>
      <c r="D4977" s="13"/>
      <c r="E4977" s="14"/>
      <c r="F4977" s="14"/>
      <c r="G4977" s="14"/>
      <c r="H4977" s="15"/>
      <c r="I4977" s="15"/>
      <c r="J4977" s="3"/>
      <c r="K4977" s="3"/>
      <c r="L4977" s="3"/>
      <c r="M4977" s="3"/>
      <c r="N4977" s="3"/>
      <c r="O4977" s="3"/>
      <c r="P4977" s="3"/>
      <c r="Q4977" s="3"/>
      <c r="R4977" s="3"/>
      <c r="S4977" s="3"/>
      <c r="T4977" s="3"/>
      <c r="U4977" s="3"/>
      <c r="V4977" s="3"/>
      <c r="W4977" s="3"/>
      <c r="X4977" s="3"/>
      <c r="Y4977" s="3"/>
      <c r="Z4977" s="3"/>
      <c r="AA4977" s="3"/>
    </row>
    <row r="4978" ht="105.75" customHeight="1">
      <c r="A4978" s="11"/>
      <c r="B4978" s="12"/>
      <c r="C4978" s="11"/>
      <c r="D4978" s="13"/>
      <c r="E4978" s="14"/>
      <c r="F4978" s="14"/>
      <c r="G4978" s="14"/>
      <c r="H4978" s="15"/>
      <c r="I4978" s="15"/>
      <c r="J4978" s="3"/>
      <c r="K4978" s="3"/>
      <c r="L4978" s="3"/>
      <c r="M4978" s="3"/>
      <c r="N4978" s="3"/>
      <c r="O4978" s="3"/>
      <c r="P4978" s="3"/>
      <c r="Q4978" s="3"/>
      <c r="R4978" s="3"/>
      <c r="S4978" s="3"/>
      <c r="T4978" s="3"/>
      <c r="U4978" s="3"/>
      <c r="V4978" s="3"/>
      <c r="W4978" s="3"/>
      <c r="X4978" s="3"/>
      <c r="Y4978" s="3"/>
      <c r="Z4978" s="3"/>
      <c r="AA4978" s="3"/>
    </row>
    <row r="4979" ht="105.75" customHeight="1">
      <c r="A4979" s="11"/>
      <c r="B4979" s="12"/>
      <c r="C4979" s="11"/>
      <c r="D4979" s="13"/>
      <c r="E4979" s="14"/>
      <c r="F4979" s="14"/>
      <c r="G4979" s="14"/>
      <c r="H4979" s="15"/>
      <c r="I4979" s="15"/>
      <c r="J4979" s="3"/>
      <c r="K4979" s="3"/>
      <c r="L4979" s="3"/>
      <c r="M4979" s="3"/>
      <c r="N4979" s="3"/>
      <c r="O4979" s="3"/>
      <c r="P4979" s="3"/>
      <c r="Q4979" s="3"/>
      <c r="R4979" s="3"/>
      <c r="S4979" s="3"/>
      <c r="T4979" s="3"/>
      <c r="U4979" s="3"/>
      <c r="V4979" s="3"/>
      <c r="W4979" s="3"/>
      <c r="X4979" s="3"/>
      <c r="Y4979" s="3"/>
      <c r="Z4979" s="3"/>
      <c r="AA4979" s="3"/>
    </row>
    <row r="4980" ht="105.75" customHeight="1">
      <c r="A4980" s="11"/>
      <c r="B4980" s="12"/>
      <c r="C4980" s="11"/>
      <c r="D4980" s="13"/>
      <c r="E4980" s="14"/>
      <c r="F4980" s="14"/>
      <c r="G4980" s="14"/>
      <c r="H4980" s="15"/>
      <c r="I4980" s="15"/>
      <c r="J4980" s="3"/>
      <c r="K4980" s="3"/>
      <c r="L4980" s="3"/>
      <c r="M4980" s="3"/>
      <c r="N4980" s="3"/>
      <c r="O4980" s="3"/>
      <c r="P4980" s="3"/>
      <c r="Q4980" s="3"/>
      <c r="R4980" s="3"/>
      <c r="S4980" s="3"/>
      <c r="T4980" s="3"/>
      <c r="U4980" s="3"/>
      <c r="V4980" s="3"/>
      <c r="W4980" s="3"/>
      <c r="X4980" s="3"/>
      <c r="Y4980" s="3"/>
      <c r="Z4980" s="3"/>
      <c r="AA4980" s="3"/>
    </row>
    <row r="4981" ht="105.75" customHeight="1">
      <c r="A4981" s="11"/>
      <c r="B4981" s="12"/>
      <c r="C4981" s="11"/>
      <c r="D4981" s="13"/>
      <c r="E4981" s="14"/>
      <c r="F4981" s="14"/>
      <c r="G4981" s="14"/>
      <c r="H4981" s="15"/>
      <c r="I4981" s="15"/>
      <c r="J4981" s="3"/>
      <c r="K4981" s="3"/>
      <c r="L4981" s="3"/>
      <c r="M4981" s="3"/>
      <c r="N4981" s="3"/>
      <c r="O4981" s="3"/>
      <c r="P4981" s="3"/>
      <c r="Q4981" s="3"/>
      <c r="R4981" s="3"/>
      <c r="S4981" s="3"/>
      <c r="T4981" s="3"/>
      <c r="U4981" s="3"/>
      <c r="V4981" s="3"/>
      <c r="W4981" s="3"/>
      <c r="X4981" s="3"/>
      <c r="Y4981" s="3"/>
      <c r="Z4981" s="3"/>
      <c r="AA4981" s="3"/>
    </row>
    <row r="4982" ht="105.75" customHeight="1">
      <c r="A4982" s="11"/>
      <c r="B4982" s="12"/>
      <c r="C4982" s="11"/>
      <c r="D4982" s="13"/>
      <c r="E4982" s="14"/>
      <c r="F4982" s="14"/>
      <c r="G4982" s="14"/>
      <c r="H4982" s="15"/>
      <c r="I4982" s="15"/>
      <c r="J4982" s="3"/>
      <c r="K4982" s="3"/>
      <c r="L4982" s="3"/>
      <c r="M4982" s="3"/>
      <c r="N4982" s="3"/>
      <c r="O4982" s="3"/>
      <c r="P4982" s="3"/>
      <c r="Q4982" s="3"/>
      <c r="R4982" s="3"/>
      <c r="S4982" s="3"/>
      <c r="T4982" s="3"/>
      <c r="U4982" s="3"/>
      <c r="V4982" s="3"/>
      <c r="W4982" s="3"/>
      <c r="X4982" s="3"/>
      <c r="Y4982" s="3"/>
      <c r="Z4982" s="3"/>
      <c r="AA4982" s="3"/>
    </row>
    <row r="4983" ht="105.75" customHeight="1">
      <c r="A4983" s="11"/>
      <c r="B4983" s="12"/>
      <c r="C4983" s="11"/>
      <c r="D4983" s="13"/>
      <c r="E4983" s="14"/>
      <c r="F4983" s="14"/>
      <c r="G4983" s="14"/>
      <c r="H4983" s="15"/>
      <c r="I4983" s="15"/>
      <c r="J4983" s="3"/>
      <c r="K4983" s="3"/>
      <c r="L4983" s="3"/>
      <c r="M4983" s="3"/>
      <c r="N4983" s="3"/>
      <c r="O4983" s="3"/>
      <c r="P4983" s="3"/>
      <c r="Q4983" s="3"/>
      <c r="R4983" s="3"/>
      <c r="S4983" s="3"/>
      <c r="T4983" s="3"/>
      <c r="U4983" s="3"/>
      <c r="V4983" s="3"/>
      <c r="W4983" s="3"/>
      <c r="X4983" s="3"/>
      <c r="Y4983" s="3"/>
      <c r="Z4983" s="3"/>
      <c r="AA4983" s="3"/>
    </row>
    <row r="4984" ht="105.75" customHeight="1">
      <c r="A4984" s="11"/>
      <c r="B4984" s="12"/>
      <c r="C4984" s="11"/>
      <c r="D4984" s="13"/>
      <c r="E4984" s="14"/>
      <c r="F4984" s="14"/>
      <c r="G4984" s="14"/>
      <c r="H4984" s="15"/>
      <c r="I4984" s="15"/>
      <c r="J4984" s="3"/>
      <c r="K4984" s="3"/>
      <c r="L4984" s="3"/>
      <c r="M4984" s="3"/>
      <c r="N4984" s="3"/>
      <c r="O4984" s="3"/>
      <c r="P4984" s="3"/>
      <c r="Q4984" s="3"/>
      <c r="R4984" s="3"/>
      <c r="S4984" s="3"/>
      <c r="T4984" s="3"/>
      <c r="U4984" s="3"/>
      <c r="V4984" s="3"/>
      <c r="W4984" s="3"/>
      <c r="X4984" s="3"/>
      <c r="Y4984" s="3"/>
      <c r="Z4984" s="3"/>
      <c r="AA4984" s="3"/>
    </row>
    <row r="4985" ht="105.75" customHeight="1">
      <c r="A4985" s="11"/>
      <c r="B4985" s="12"/>
      <c r="C4985" s="11"/>
      <c r="D4985" s="13"/>
      <c r="E4985" s="14"/>
      <c r="F4985" s="14"/>
      <c r="G4985" s="14"/>
      <c r="H4985" s="15"/>
      <c r="I4985" s="15"/>
      <c r="J4985" s="3"/>
      <c r="K4985" s="3"/>
      <c r="L4985" s="3"/>
      <c r="M4985" s="3"/>
      <c r="N4985" s="3"/>
      <c r="O4985" s="3"/>
      <c r="P4985" s="3"/>
      <c r="Q4985" s="3"/>
      <c r="R4985" s="3"/>
      <c r="S4985" s="3"/>
      <c r="T4985" s="3"/>
      <c r="U4985" s="3"/>
      <c r="V4985" s="3"/>
      <c r="W4985" s="3"/>
      <c r="X4985" s="3"/>
      <c r="Y4985" s="3"/>
      <c r="Z4985" s="3"/>
      <c r="AA4985" s="3"/>
    </row>
    <row r="4986" ht="105.75" customHeight="1">
      <c r="A4986" s="11"/>
      <c r="B4986" s="12"/>
      <c r="C4986" s="11"/>
      <c r="D4986" s="13"/>
      <c r="E4986" s="14"/>
      <c r="F4986" s="14"/>
      <c r="G4986" s="14"/>
      <c r="H4986" s="15"/>
      <c r="I4986" s="15"/>
      <c r="J4986" s="3"/>
      <c r="K4986" s="3"/>
      <c r="L4986" s="3"/>
      <c r="M4986" s="3"/>
      <c r="N4986" s="3"/>
      <c r="O4986" s="3"/>
      <c r="P4986" s="3"/>
      <c r="Q4986" s="3"/>
      <c r="R4986" s="3"/>
      <c r="S4986" s="3"/>
      <c r="T4986" s="3"/>
      <c r="U4986" s="3"/>
      <c r="V4986" s="3"/>
      <c r="W4986" s="3"/>
      <c r="X4986" s="3"/>
      <c r="Y4986" s="3"/>
      <c r="Z4986" s="3"/>
      <c r="AA4986" s="3"/>
    </row>
    <row r="4987" ht="105.75" customHeight="1">
      <c r="A4987" s="11"/>
      <c r="B4987" s="12"/>
      <c r="C4987" s="11"/>
      <c r="D4987" s="13"/>
      <c r="E4987" s="14"/>
      <c r="F4987" s="14"/>
      <c r="G4987" s="14"/>
      <c r="H4987" s="15"/>
      <c r="I4987" s="15"/>
      <c r="J4987" s="3"/>
      <c r="K4987" s="3"/>
      <c r="L4987" s="3"/>
      <c r="M4987" s="3"/>
      <c r="N4987" s="3"/>
      <c r="O4987" s="3"/>
      <c r="P4987" s="3"/>
      <c r="Q4987" s="3"/>
      <c r="R4987" s="3"/>
      <c r="S4987" s="3"/>
      <c r="T4987" s="3"/>
      <c r="U4987" s="3"/>
      <c r="V4987" s="3"/>
      <c r="W4987" s="3"/>
      <c r="X4987" s="3"/>
      <c r="Y4987" s="3"/>
      <c r="Z4987" s="3"/>
      <c r="AA4987" s="3"/>
    </row>
    <row r="4988" ht="105.75" customHeight="1">
      <c r="A4988" s="11"/>
      <c r="B4988" s="12"/>
      <c r="C4988" s="11"/>
      <c r="D4988" s="13"/>
      <c r="E4988" s="14"/>
      <c r="F4988" s="14"/>
      <c r="G4988" s="14"/>
      <c r="H4988" s="15"/>
      <c r="I4988" s="15"/>
      <c r="J4988" s="3"/>
      <c r="K4988" s="3"/>
      <c r="L4988" s="3"/>
      <c r="M4988" s="3"/>
      <c r="N4988" s="3"/>
      <c r="O4988" s="3"/>
      <c r="P4988" s="3"/>
      <c r="Q4988" s="3"/>
      <c r="R4988" s="3"/>
      <c r="S4988" s="3"/>
      <c r="T4988" s="3"/>
      <c r="U4988" s="3"/>
      <c r="V4988" s="3"/>
      <c r="W4988" s="3"/>
      <c r="X4988" s="3"/>
      <c r="Y4988" s="3"/>
      <c r="Z4988" s="3"/>
      <c r="AA4988" s="3"/>
    </row>
    <row r="4989" ht="105.75" customHeight="1">
      <c r="A4989" s="11"/>
      <c r="B4989" s="12"/>
      <c r="C4989" s="11"/>
      <c r="D4989" s="13"/>
      <c r="E4989" s="14"/>
      <c r="F4989" s="14"/>
      <c r="G4989" s="14"/>
      <c r="H4989" s="15"/>
      <c r="I4989" s="15"/>
      <c r="J4989" s="3"/>
      <c r="K4989" s="3"/>
      <c r="L4989" s="3"/>
      <c r="M4989" s="3"/>
      <c r="N4989" s="3"/>
      <c r="O4989" s="3"/>
      <c r="P4989" s="3"/>
      <c r="Q4989" s="3"/>
      <c r="R4989" s="3"/>
      <c r="S4989" s="3"/>
      <c r="T4989" s="3"/>
      <c r="U4989" s="3"/>
      <c r="V4989" s="3"/>
      <c r="W4989" s="3"/>
      <c r="X4989" s="3"/>
      <c r="Y4989" s="3"/>
      <c r="Z4989" s="3"/>
      <c r="AA4989" s="3"/>
    </row>
    <row r="4990" ht="105.75" customHeight="1">
      <c r="A4990" s="11"/>
      <c r="B4990" s="12"/>
      <c r="C4990" s="11"/>
      <c r="D4990" s="13"/>
      <c r="E4990" s="14"/>
      <c r="F4990" s="14"/>
      <c r="G4990" s="14"/>
      <c r="H4990" s="15"/>
      <c r="I4990" s="15"/>
      <c r="J4990" s="3"/>
      <c r="K4990" s="3"/>
      <c r="L4990" s="3"/>
      <c r="M4990" s="3"/>
      <c r="N4990" s="3"/>
      <c r="O4990" s="3"/>
      <c r="P4990" s="3"/>
      <c r="Q4990" s="3"/>
      <c r="R4990" s="3"/>
      <c r="S4990" s="3"/>
      <c r="T4990" s="3"/>
      <c r="U4990" s="3"/>
      <c r="V4990" s="3"/>
      <c r="W4990" s="3"/>
      <c r="X4990" s="3"/>
      <c r="Y4990" s="3"/>
      <c r="Z4990" s="3"/>
      <c r="AA4990" s="3"/>
    </row>
    <row r="4991" ht="105.75" customHeight="1">
      <c r="A4991" s="11"/>
      <c r="B4991" s="12"/>
      <c r="C4991" s="11"/>
      <c r="D4991" s="13"/>
      <c r="E4991" s="14"/>
      <c r="F4991" s="14"/>
      <c r="G4991" s="14"/>
      <c r="H4991" s="15"/>
      <c r="I4991" s="15"/>
      <c r="J4991" s="3"/>
      <c r="K4991" s="3"/>
      <c r="L4991" s="3"/>
      <c r="M4991" s="3"/>
      <c r="N4991" s="3"/>
      <c r="O4991" s="3"/>
      <c r="P4991" s="3"/>
      <c r="Q4991" s="3"/>
      <c r="R4991" s="3"/>
      <c r="S4991" s="3"/>
      <c r="T4991" s="3"/>
      <c r="U4991" s="3"/>
      <c r="V4991" s="3"/>
      <c r="W4991" s="3"/>
      <c r="X4991" s="3"/>
      <c r="Y4991" s="3"/>
      <c r="Z4991" s="3"/>
      <c r="AA4991" s="3"/>
    </row>
    <row r="4992" ht="105.75" customHeight="1">
      <c r="A4992" s="11"/>
      <c r="B4992" s="12"/>
      <c r="C4992" s="11"/>
      <c r="D4992" s="13"/>
      <c r="E4992" s="14"/>
      <c r="F4992" s="14"/>
      <c r="G4992" s="14"/>
      <c r="H4992" s="15"/>
      <c r="I4992" s="15"/>
      <c r="J4992" s="3"/>
      <c r="K4992" s="3"/>
      <c r="L4992" s="3"/>
      <c r="M4992" s="3"/>
      <c r="N4992" s="3"/>
      <c r="O4992" s="3"/>
      <c r="P4992" s="3"/>
      <c r="Q4992" s="3"/>
      <c r="R4992" s="3"/>
      <c r="S4992" s="3"/>
      <c r="T4992" s="3"/>
      <c r="U4992" s="3"/>
      <c r="V4992" s="3"/>
      <c r="W4992" s="3"/>
      <c r="X4992" s="3"/>
      <c r="Y4992" s="3"/>
      <c r="Z4992" s="3"/>
      <c r="AA4992" s="3"/>
    </row>
    <row r="4993" ht="105.75" customHeight="1">
      <c r="A4993" s="11"/>
      <c r="B4993" s="12"/>
      <c r="C4993" s="11"/>
      <c r="D4993" s="13"/>
      <c r="E4993" s="14"/>
      <c r="F4993" s="14"/>
      <c r="G4993" s="14"/>
      <c r="H4993" s="15"/>
      <c r="I4993" s="15"/>
      <c r="J4993" s="3"/>
      <c r="K4993" s="3"/>
      <c r="L4993" s="3"/>
      <c r="M4993" s="3"/>
      <c r="N4993" s="3"/>
      <c r="O4993" s="3"/>
      <c r="P4993" s="3"/>
      <c r="Q4993" s="3"/>
      <c r="R4993" s="3"/>
      <c r="S4993" s="3"/>
      <c r="T4993" s="3"/>
      <c r="U4993" s="3"/>
      <c r="V4993" s="3"/>
      <c r="W4993" s="3"/>
      <c r="X4993" s="3"/>
      <c r="Y4993" s="3"/>
      <c r="Z4993" s="3"/>
      <c r="AA4993" s="3"/>
    </row>
    <row r="4994" ht="105.75" customHeight="1">
      <c r="A4994" s="11"/>
      <c r="B4994" s="12"/>
      <c r="C4994" s="11"/>
      <c r="D4994" s="13"/>
      <c r="E4994" s="14"/>
      <c r="F4994" s="14"/>
      <c r="G4994" s="14"/>
      <c r="H4994" s="15"/>
      <c r="I4994" s="15"/>
      <c r="J4994" s="3"/>
      <c r="K4994" s="3"/>
      <c r="L4994" s="3"/>
      <c r="M4994" s="3"/>
      <c r="N4994" s="3"/>
      <c r="O4994" s="3"/>
      <c r="P4994" s="3"/>
      <c r="Q4994" s="3"/>
      <c r="R4994" s="3"/>
      <c r="S4994" s="3"/>
      <c r="T4994" s="3"/>
      <c r="U4994" s="3"/>
      <c r="V4994" s="3"/>
      <c r="W4994" s="3"/>
      <c r="X4994" s="3"/>
      <c r="Y4994" s="3"/>
      <c r="Z4994" s="3"/>
      <c r="AA4994" s="3"/>
    </row>
    <row r="4995" ht="105.75" customHeight="1">
      <c r="A4995" s="11"/>
      <c r="B4995" s="12"/>
      <c r="C4995" s="11"/>
      <c r="D4995" s="13"/>
      <c r="E4995" s="14"/>
      <c r="F4995" s="14"/>
      <c r="G4995" s="14"/>
      <c r="H4995" s="15"/>
      <c r="I4995" s="15"/>
      <c r="J4995" s="3"/>
      <c r="K4995" s="3"/>
      <c r="L4995" s="3"/>
      <c r="M4995" s="3"/>
      <c r="N4995" s="3"/>
      <c r="O4995" s="3"/>
      <c r="P4995" s="3"/>
      <c r="Q4995" s="3"/>
      <c r="R4995" s="3"/>
      <c r="S4995" s="3"/>
      <c r="T4995" s="3"/>
      <c r="U4995" s="3"/>
      <c r="V4995" s="3"/>
      <c r="W4995" s="3"/>
      <c r="X4995" s="3"/>
      <c r="Y4995" s="3"/>
      <c r="Z4995" s="3"/>
      <c r="AA4995" s="3"/>
    </row>
    <row r="4996" ht="105.75" customHeight="1">
      <c r="A4996" s="11"/>
      <c r="B4996" s="12"/>
      <c r="C4996" s="11"/>
      <c r="D4996" s="13"/>
      <c r="E4996" s="14"/>
      <c r="F4996" s="14"/>
      <c r="G4996" s="14"/>
      <c r="H4996" s="15"/>
      <c r="I4996" s="15"/>
      <c r="J4996" s="3"/>
      <c r="K4996" s="3"/>
      <c r="L4996" s="3"/>
      <c r="M4996" s="3"/>
      <c r="N4996" s="3"/>
      <c r="O4996" s="3"/>
      <c r="P4996" s="3"/>
      <c r="Q4996" s="3"/>
      <c r="R4996" s="3"/>
      <c r="S4996" s="3"/>
      <c r="T4996" s="3"/>
      <c r="U4996" s="3"/>
      <c r="V4996" s="3"/>
      <c r="W4996" s="3"/>
      <c r="X4996" s="3"/>
      <c r="Y4996" s="3"/>
      <c r="Z4996" s="3"/>
      <c r="AA4996" s="3"/>
    </row>
    <row r="4997" ht="105.75" customHeight="1">
      <c r="A4997" s="11"/>
      <c r="B4997" s="12"/>
      <c r="C4997" s="11"/>
      <c r="D4997" s="13"/>
      <c r="E4997" s="14"/>
      <c r="F4997" s="14"/>
      <c r="G4997" s="14"/>
      <c r="H4997" s="15"/>
      <c r="I4997" s="15"/>
      <c r="J4997" s="3"/>
      <c r="K4997" s="3"/>
      <c r="L4997" s="3"/>
      <c r="M4997" s="3"/>
      <c r="N4997" s="3"/>
      <c r="O4997" s="3"/>
      <c r="P4997" s="3"/>
      <c r="Q4997" s="3"/>
      <c r="R4997" s="3"/>
      <c r="S4997" s="3"/>
      <c r="T4997" s="3"/>
      <c r="U4997" s="3"/>
      <c r="V4997" s="3"/>
      <c r="W4997" s="3"/>
      <c r="X4997" s="3"/>
      <c r="Y4997" s="3"/>
      <c r="Z4997" s="3"/>
      <c r="AA4997" s="3"/>
    </row>
    <row r="4998" ht="105.75" customHeight="1">
      <c r="A4998" s="11"/>
      <c r="B4998" s="12"/>
      <c r="C4998" s="11"/>
      <c r="D4998" s="13"/>
      <c r="E4998" s="14"/>
      <c r="F4998" s="14"/>
      <c r="G4998" s="14"/>
      <c r="H4998" s="15"/>
      <c r="I4998" s="15"/>
      <c r="J4998" s="3"/>
      <c r="K4998" s="3"/>
      <c r="L4998" s="3"/>
      <c r="M4998" s="3"/>
      <c r="N4998" s="3"/>
      <c r="O4998" s="3"/>
      <c r="P4998" s="3"/>
      <c r="Q4998" s="3"/>
      <c r="R4998" s="3"/>
      <c r="S4998" s="3"/>
      <c r="T4998" s="3"/>
      <c r="U4998" s="3"/>
      <c r="V4998" s="3"/>
      <c r="W4998" s="3"/>
      <c r="X4998" s="3"/>
      <c r="Y4998" s="3"/>
      <c r="Z4998" s="3"/>
      <c r="AA4998" s="3"/>
    </row>
    <row r="4999" ht="105.75" customHeight="1">
      <c r="A4999" s="11"/>
      <c r="B4999" s="12"/>
      <c r="C4999" s="11"/>
      <c r="D4999" s="13"/>
      <c r="E4999" s="14"/>
      <c r="F4999" s="14"/>
      <c r="G4999" s="14"/>
      <c r="H4999" s="15"/>
      <c r="I4999" s="15"/>
      <c r="J4999" s="3"/>
      <c r="K4999" s="3"/>
      <c r="L4999" s="3"/>
      <c r="M4999" s="3"/>
      <c r="N4999" s="3"/>
      <c r="O4999" s="3"/>
      <c r="P4999" s="3"/>
      <c r="Q4999" s="3"/>
      <c r="R4999" s="3"/>
      <c r="S4999" s="3"/>
      <c r="T4999" s="3"/>
      <c r="U4999" s="3"/>
      <c r="V4999" s="3"/>
      <c r="W4999" s="3"/>
      <c r="X4999" s="3"/>
      <c r="Y4999" s="3"/>
      <c r="Z4999" s="3"/>
      <c r="AA4999" s="3"/>
    </row>
    <row r="5000" ht="105.75" customHeight="1">
      <c r="A5000" s="11"/>
      <c r="B5000" s="12"/>
      <c r="C5000" s="11"/>
      <c r="D5000" s="13"/>
      <c r="E5000" s="14"/>
      <c r="F5000" s="14"/>
      <c r="G5000" s="14"/>
      <c r="H5000" s="15"/>
      <c r="I5000" s="15"/>
      <c r="J5000" s="3"/>
      <c r="K5000" s="3"/>
      <c r="L5000" s="3"/>
      <c r="M5000" s="3"/>
      <c r="N5000" s="3"/>
      <c r="O5000" s="3"/>
      <c r="P5000" s="3"/>
      <c r="Q5000" s="3"/>
      <c r="R5000" s="3"/>
      <c r="S5000" s="3"/>
      <c r="T5000" s="3"/>
      <c r="U5000" s="3"/>
      <c r="V5000" s="3"/>
      <c r="W5000" s="3"/>
      <c r="X5000" s="3"/>
      <c r="Y5000" s="3"/>
      <c r="Z5000" s="3"/>
      <c r="AA5000" s="3"/>
    </row>
    <row r="5001" ht="105.75" customHeight="1">
      <c r="A5001" s="11"/>
      <c r="B5001" s="12"/>
      <c r="C5001" s="11"/>
      <c r="D5001" s="13"/>
      <c r="E5001" s="14"/>
      <c r="F5001" s="14"/>
      <c r="G5001" s="14"/>
      <c r="H5001" s="15"/>
      <c r="I5001" s="15"/>
      <c r="J5001" s="3"/>
      <c r="K5001" s="3"/>
      <c r="L5001" s="3"/>
      <c r="M5001" s="3"/>
      <c r="N5001" s="3"/>
      <c r="O5001" s="3"/>
      <c r="P5001" s="3"/>
      <c r="Q5001" s="3"/>
      <c r="R5001" s="3"/>
      <c r="S5001" s="3"/>
      <c r="T5001" s="3"/>
      <c r="U5001" s="3"/>
      <c r="V5001" s="3"/>
      <c r="W5001" s="3"/>
      <c r="X5001" s="3"/>
      <c r="Y5001" s="3"/>
      <c r="Z5001" s="3"/>
      <c r="AA5001" s="3"/>
    </row>
    <row r="5002" ht="105.75" customHeight="1">
      <c r="A5002" s="11"/>
      <c r="B5002" s="12"/>
      <c r="C5002" s="11"/>
      <c r="D5002" s="13"/>
      <c r="E5002" s="14"/>
      <c r="F5002" s="14"/>
      <c r="G5002" s="14"/>
      <c r="H5002" s="15"/>
      <c r="I5002" s="15"/>
      <c r="J5002" s="3"/>
      <c r="K5002" s="3"/>
      <c r="L5002" s="3"/>
      <c r="M5002" s="3"/>
      <c r="N5002" s="3"/>
      <c r="O5002" s="3"/>
      <c r="P5002" s="3"/>
      <c r="Q5002" s="3"/>
      <c r="R5002" s="3"/>
      <c r="S5002" s="3"/>
      <c r="T5002" s="3"/>
      <c r="U5002" s="3"/>
      <c r="V5002" s="3"/>
      <c r="W5002" s="3"/>
      <c r="X5002" s="3"/>
      <c r="Y5002" s="3"/>
      <c r="Z5002" s="3"/>
      <c r="AA5002" s="3"/>
    </row>
    <row r="5003" ht="105.75" customHeight="1">
      <c r="A5003" s="11"/>
      <c r="B5003" s="12"/>
      <c r="C5003" s="11"/>
      <c r="D5003" s="13"/>
      <c r="E5003" s="14"/>
      <c r="F5003" s="14"/>
      <c r="G5003" s="14"/>
      <c r="H5003" s="15"/>
      <c r="I5003" s="15"/>
      <c r="J5003" s="3"/>
      <c r="K5003" s="3"/>
      <c r="L5003" s="3"/>
      <c r="M5003" s="3"/>
      <c r="N5003" s="3"/>
      <c r="O5003" s="3"/>
      <c r="P5003" s="3"/>
      <c r="Q5003" s="3"/>
      <c r="R5003" s="3"/>
      <c r="S5003" s="3"/>
      <c r="T5003" s="3"/>
      <c r="U5003" s="3"/>
      <c r="V5003" s="3"/>
      <c r="W5003" s="3"/>
      <c r="X5003" s="3"/>
      <c r="Y5003" s="3"/>
      <c r="Z5003" s="3"/>
      <c r="AA5003" s="3"/>
    </row>
    <row r="5004" ht="105.75" customHeight="1">
      <c r="A5004" s="11"/>
      <c r="B5004" s="12"/>
      <c r="C5004" s="11"/>
      <c r="D5004" s="13"/>
      <c r="E5004" s="14"/>
      <c r="F5004" s="14"/>
      <c r="G5004" s="14"/>
      <c r="H5004" s="15"/>
      <c r="I5004" s="15"/>
      <c r="J5004" s="3"/>
      <c r="K5004" s="3"/>
      <c r="L5004" s="3"/>
      <c r="M5004" s="3"/>
      <c r="N5004" s="3"/>
      <c r="O5004" s="3"/>
      <c r="P5004" s="3"/>
      <c r="Q5004" s="3"/>
      <c r="R5004" s="3"/>
      <c r="S5004" s="3"/>
      <c r="T5004" s="3"/>
      <c r="U5004" s="3"/>
      <c r="V5004" s="3"/>
      <c r="W5004" s="3"/>
      <c r="X5004" s="3"/>
      <c r="Y5004" s="3"/>
      <c r="Z5004" s="3"/>
      <c r="AA5004" s="3"/>
    </row>
    <row r="5005" ht="105.75" customHeight="1">
      <c r="A5005" s="11"/>
      <c r="B5005" s="12"/>
      <c r="C5005" s="11"/>
      <c r="D5005" s="13"/>
      <c r="E5005" s="14"/>
      <c r="F5005" s="14"/>
      <c r="G5005" s="14"/>
      <c r="H5005" s="15"/>
      <c r="I5005" s="15"/>
      <c r="J5005" s="3"/>
      <c r="K5005" s="3"/>
      <c r="L5005" s="3"/>
      <c r="M5005" s="3"/>
      <c r="N5005" s="3"/>
      <c r="O5005" s="3"/>
      <c r="P5005" s="3"/>
      <c r="Q5005" s="3"/>
      <c r="R5005" s="3"/>
      <c r="S5005" s="3"/>
      <c r="T5005" s="3"/>
      <c r="U5005" s="3"/>
      <c r="V5005" s="3"/>
      <c r="W5005" s="3"/>
      <c r="X5005" s="3"/>
      <c r="Y5005" s="3"/>
      <c r="Z5005" s="3"/>
      <c r="AA5005" s="3"/>
    </row>
    <row r="5006" ht="105.75" customHeight="1">
      <c r="A5006" s="11"/>
      <c r="B5006" s="12"/>
      <c r="C5006" s="11"/>
      <c r="D5006" s="13"/>
      <c r="E5006" s="14"/>
      <c r="F5006" s="14"/>
      <c r="G5006" s="14"/>
      <c r="H5006" s="15"/>
      <c r="I5006" s="15"/>
      <c r="J5006" s="3"/>
      <c r="K5006" s="3"/>
      <c r="L5006" s="3"/>
      <c r="M5006" s="3"/>
      <c r="N5006" s="3"/>
      <c r="O5006" s="3"/>
      <c r="P5006" s="3"/>
      <c r="Q5006" s="3"/>
      <c r="R5006" s="3"/>
      <c r="S5006" s="3"/>
      <c r="T5006" s="3"/>
      <c r="U5006" s="3"/>
      <c r="V5006" s="3"/>
      <c r="W5006" s="3"/>
      <c r="X5006" s="3"/>
      <c r="Y5006" s="3"/>
      <c r="Z5006" s="3"/>
      <c r="AA5006" s="3"/>
    </row>
    <row r="5007" ht="105.75" customHeight="1">
      <c r="A5007" s="11"/>
      <c r="B5007" s="12"/>
      <c r="C5007" s="11"/>
      <c r="D5007" s="13"/>
      <c r="E5007" s="14"/>
      <c r="F5007" s="14"/>
      <c r="G5007" s="14"/>
      <c r="H5007" s="15"/>
      <c r="I5007" s="15"/>
      <c r="J5007" s="3"/>
      <c r="K5007" s="3"/>
      <c r="L5007" s="3"/>
      <c r="M5007" s="3"/>
      <c r="N5007" s="3"/>
      <c r="O5007" s="3"/>
      <c r="P5007" s="3"/>
      <c r="Q5007" s="3"/>
      <c r="R5007" s="3"/>
      <c r="S5007" s="3"/>
      <c r="T5007" s="3"/>
      <c r="U5007" s="3"/>
      <c r="V5007" s="3"/>
      <c r="W5007" s="3"/>
      <c r="X5007" s="3"/>
      <c r="Y5007" s="3"/>
      <c r="Z5007" s="3"/>
      <c r="AA5007" s="3"/>
    </row>
    <row r="5008" ht="105.75" customHeight="1">
      <c r="A5008" s="11"/>
      <c r="B5008" s="12"/>
      <c r="C5008" s="11"/>
      <c r="D5008" s="13"/>
      <c r="E5008" s="14"/>
      <c r="F5008" s="14"/>
      <c r="G5008" s="14"/>
      <c r="H5008" s="15"/>
      <c r="I5008" s="15"/>
      <c r="J5008" s="3"/>
      <c r="K5008" s="3"/>
      <c r="L5008" s="3"/>
      <c r="M5008" s="3"/>
      <c r="N5008" s="3"/>
      <c r="O5008" s="3"/>
      <c r="P5008" s="3"/>
      <c r="Q5008" s="3"/>
      <c r="R5008" s="3"/>
      <c r="S5008" s="3"/>
      <c r="T5008" s="3"/>
      <c r="U5008" s="3"/>
      <c r="V5008" s="3"/>
      <c r="W5008" s="3"/>
      <c r="X5008" s="3"/>
      <c r="Y5008" s="3"/>
      <c r="Z5008" s="3"/>
      <c r="AA5008" s="3"/>
    </row>
    <row r="5009" ht="105.75" customHeight="1">
      <c r="A5009" s="11"/>
      <c r="B5009" s="12"/>
      <c r="C5009" s="11"/>
      <c r="D5009" s="13"/>
      <c r="E5009" s="14"/>
      <c r="F5009" s="14"/>
      <c r="G5009" s="14"/>
      <c r="H5009" s="15"/>
      <c r="I5009" s="15"/>
      <c r="J5009" s="3"/>
      <c r="K5009" s="3"/>
      <c r="L5009" s="3"/>
      <c r="M5009" s="3"/>
      <c r="N5009" s="3"/>
      <c r="O5009" s="3"/>
      <c r="P5009" s="3"/>
      <c r="Q5009" s="3"/>
      <c r="R5009" s="3"/>
      <c r="S5009" s="3"/>
      <c r="T5009" s="3"/>
      <c r="U5009" s="3"/>
      <c r="V5009" s="3"/>
      <c r="W5009" s="3"/>
      <c r="X5009" s="3"/>
      <c r="Y5009" s="3"/>
      <c r="Z5009" s="3"/>
      <c r="AA5009" s="3"/>
    </row>
    <row r="5010" ht="105.75" customHeight="1">
      <c r="A5010" s="11"/>
      <c r="B5010" s="12"/>
      <c r="C5010" s="11"/>
      <c r="D5010" s="13"/>
      <c r="E5010" s="14"/>
      <c r="F5010" s="14"/>
      <c r="G5010" s="14"/>
      <c r="H5010" s="15"/>
      <c r="I5010" s="15"/>
      <c r="J5010" s="3"/>
      <c r="K5010" s="3"/>
      <c r="L5010" s="3"/>
      <c r="M5010" s="3"/>
      <c r="N5010" s="3"/>
      <c r="O5010" s="3"/>
      <c r="P5010" s="3"/>
      <c r="Q5010" s="3"/>
      <c r="R5010" s="3"/>
      <c r="S5010" s="3"/>
      <c r="T5010" s="3"/>
      <c r="U5010" s="3"/>
      <c r="V5010" s="3"/>
      <c r="W5010" s="3"/>
      <c r="X5010" s="3"/>
      <c r="Y5010" s="3"/>
      <c r="Z5010" s="3"/>
      <c r="AA5010" s="3"/>
    </row>
    <row r="5011" ht="105.75" customHeight="1">
      <c r="A5011" s="11"/>
      <c r="B5011" s="12"/>
      <c r="C5011" s="11"/>
      <c r="D5011" s="13"/>
      <c r="E5011" s="14"/>
      <c r="F5011" s="14"/>
      <c r="G5011" s="14"/>
      <c r="H5011" s="15"/>
      <c r="I5011" s="15"/>
      <c r="J5011" s="3"/>
      <c r="K5011" s="3"/>
      <c r="L5011" s="3"/>
      <c r="M5011" s="3"/>
      <c r="N5011" s="3"/>
      <c r="O5011" s="3"/>
      <c r="P5011" s="3"/>
      <c r="Q5011" s="3"/>
      <c r="R5011" s="3"/>
      <c r="S5011" s="3"/>
      <c r="T5011" s="3"/>
      <c r="U5011" s="3"/>
      <c r="V5011" s="3"/>
      <c r="W5011" s="3"/>
      <c r="X5011" s="3"/>
      <c r="Y5011" s="3"/>
      <c r="Z5011" s="3"/>
      <c r="AA5011" s="3"/>
    </row>
    <row r="5012" ht="105.75" customHeight="1">
      <c r="A5012" s="11"/>
      <c r="B5012" s="12"/>
      <c r="C5012" s="11"/>
      <c r="D5012" s="13"/>
      <c r="E5012" s="14"/>
      <c r="F5012" s="14"/>
      <c r="G5012" s="14"/>
      <c r="H5012" s="15"/>
      <c r="I5012" s="15"/>
      <c r="J5012" s="3"/>
      <c r="K5012" s="3"/>
      <c r="L5012" s="3"/>
      <c r="M5012" s="3"/>
      <c r="N5012" s="3"/>
      <c r="O5012" s="3"/>
      <c r="P5012" s="3"/>
      <c r="Q5012" s="3"/>
      <c r="R5012" s="3"/>
      <c r="S5012" s="3"/>
      <c r="T5012" s="3"/>
      <c r="U5012" s="3"/>
      <c r="V5012" s="3"/>
      <c r="W5012" s="3"/>
      <c r="X5012" s="3"/>
      <c r="Y5012" s="3"/>
      <c r="Z5012" s="3"/>
      <c r="AA5012" s="3"/>
    </row>
    <row r="5013" ht="105.75" customHeight="1">
      <c r="A5013" s="11"/>
      <c r="B5013" s="12"/>
      <c r="C5013" s="11"/>
      <c r="D5013" s="13"/>
      <c r="E5013" s="14"/>
      <c r="F5013" s="14"/>
      <c r="G5013" s="14"/>
      <c r="H5013" s="15"/>
      <c r="I5013" s="15"/>
      <c r="J5013" s="3"/>
      <c r="K5013" s="3"/>
      <c r="L5013" s="3"/>
      <c r="M5013" s="3"/>
      <c r="N5013" s="3"/>
      <c r="O5013" s="3"/>
      <c r="P5013" s="3"/>
      <c r="Q5013" s="3"/>
      <c r="R5013" s="3"/>
      <c r="S5013" s="3"/>
      <c r="T5013" s="3"/>
      <c r="U5013" s="3"/>
      <c r="V5013" s="3"/>
      <c r="W5013" s="3"/>
      <c r="X5013" s="3"/>
      <c r="Y5013" s="3"/>
      <c r="Z5013" s="3"/>
      <c r="AA5013" s="3"/>
    </row>
    <row r="5014" ht="105.75" customHeight="1">
      <c r="A5014" s="11"/>
      <c r="B5014" s="12"/>
      <c r="C5014" s="11"/>
      <c r="D5014" s="13"/>
      <c r="E5014" s="14"/>
      <c r="F5014" s="14"/>
      <c r="G5014" s="14"/>
      <c r="H5014" s="15"/>
      <c r="I5014" s="15"/>
      <c r="J5014" s="3"/>
      <c r="K5014" s="3"/>
      <c r="L5014" s="3"/>
      <c r="M5014" s="3"/>
      <c r="N5014" s="3"/>
      <c r="O5014" s="3"/>
      <c r="P5014" s="3"/>
      <c r="Q5014" s="3"/>
      <c r="R5014" s="3"/>
      <c r="S5014" s="3"/>
      <c r="T5014" s="3"/>
      <c r="U5014" s="3"/>
      <c r="V5014" s="3"/>
      <c r="W5014" s="3"/>
      <c r="X5014" s="3"/>
      <c r="Y5014" s="3"/>
      <c r="Z5014" s="3"/>
      <c r="AA5014" s="3"/>
    </row>
    <row r="5015" ht="105.75" customHeight="1">
      <c r="A5015" s="11"/>
      <c r="B5015" s="12"/>
      <c r="C5015" s="11"/>
      <c r="D5015" s="13"/>
      <c r="E5015" s="14"/>
      <c r="F5015" s="14"/>
      <c r="G5015" s="14"/>
      <c r="H5015" s="15"/>
      <c r="I5015" s="15"/>
      <c r="J5015" s="3"/>
      <c r="K5015" s="3"/>
      <c r="L5015" s="3"/>
      <c r="M5015" s="3"/>
      <c r="N5015" s="3"/>
      <c r="O5015" s="3"/>
      <c r="P5015" s="3"/>
      <c r="Q5015" s="3"/>
      <c r="R5015" s="3"/>
      <c r="S5015" s="3"/>
      <c r="T5015" s="3"/>
      <c r="U5015" s="3"/>
      <c r="V5015" s="3"/>
      <c r="W5015" s="3"/>
      <c r="X5015" s="3"/>
      <c r="Y5015" s="3"/>
      <c r="Z5015" s="3"/>
      <c r="AA5015" s="3"/>
    </row>
    <row r="5016" ht="105.75" customHeight="1">
      <c r="A5016" s="11"/>
      <c r="B5016" s="12"/>
      <c r="C5016" s="11"/>
      <c r="D5016" s="13"/>
      <c r="E5016" s="14"/>
      <c r="F5016" s="14"/>
      <c r="G5016" s="14"/>
      <c r="H5016" s="15"/>
      <c r="I5016" s="15"/>
      <c r="J5016" s="3"/>
      <c r="K5016" s="3"/>
      <c r="L5016" s="3"/>
      <c r="M5016" s="3"/>
      <c r="N5016" s="3"/>
      <c r="O5016" s="3"/>
      <c r="P5016" s="3"/>
      <c r="Q5016" s="3"/>
      <c r="R5016" s="3"/>
      <c r="S5016" s="3"/>
      <c r="T5016" s="3"/>
      <c r="U5016" s="3"/>
      <c r="V5016" s="3"/>
      <c r="W5016" s="3"/>
      <c r="X5016" s="3"/>
      <c r="Y5016" s="3"/>
      <c r="Z5016" s="3"/>
      <c r="AA5016" s="3"/>
    </row>
    <row r="5017" ht="105.75" customHeight="1">
      <c r="A5017" s="11"/>
      <c r="B5017" s="12"/>
      <c r="C5017" s="11"/>
      <c r="D5017" s="13"/>
      <c r="E5017" s="14"/>
      <c r="F5017" s="14"/>
      <c r="G5017" s="14"/>
      <c r="H5017" s="15"/>
      <c r="I5017" s="15"/>
      <c r="J5017" s="3"/>
      <c r="K5017" s="3"/>
      <c r="L5017" s="3"/>
      <c r="M5017" s="3"/>
      <c r="N5017" s="3"/>
      <c r="O5017" s="3"/>
      <c r="P5017" s="3"/>
      <c r="Q5017" s="3"/>
      <c r="R5017" s="3"/>
      <c r="S5017" s="3"/>
      <c r="T5017" s="3"/>
      <c r="U5017" s="3"/>
      <c r="V5017" s="3"/>
      <c r="W5017" s="3"/>
      <c r="X5017" s="3"/>
      <c r="Y5017" s="3"/>
      <c r="Z5017" s="3"/>
      <c r="AA5017" s="3"/>
    </row>
    <row r="5018" ht="105.75" customHeight="1">
      <c r="A5018" s="11"/>
      <c r="B5018" s="12"/>
      <c r="C5018" s="11"/>
      <c r="D5018" s="13"/>
      <c r="E5018" s="14"/>
      <c r="F5018" s="14"/>
      <c r="G5018" s="14"/>
      <c r="H5018" s="15"/>
      <c r="I5018" s="15"/>
      <c r="J5018" s="3"/>
      <c r="K5018" s="3"/>
      <c r="L5018" s="3"/>
      <c r="M5018" s="3"/>
      <c r="N5018" s="3"/>
      <c r="O5018" s="3"/>
      <c r="P5018" s="3"/>
      <c r="Q5018" s="3"/>
      <c r="R5018" s="3"/>
      <c r="S5018" s="3"/>
      <c r="T5018" s="3"/>
      <c r="U5018" s="3"/>
      <c r="V5018" s="3"/>
      <c r="W5018" s="3"/>
      <c r="X5018" s="3"/>
      <c r="Y5018" s="3"/>
      <c r="Z5018" s="3"/>
      <c r="AA5018" s="3"/>
    </row>
    <row r="5019" ht="105.75" customHeight="1">
      <c r="A5019" s="11"/>
      <c r="B5019" s="12"/>
      <c r="C5019" s="11"/>
      <c r="D5019" s="13"/>
      <c r="E5019" s="14"/>
      <c r="F5019" s="14"/>
      <c r="G5019" s="14"/>
      <c r="H5019" s="15"/>
      <c r="I5019" s="15"/>
      <c r="J5019" s="3"/>
      <c r="K5019" s="3"/>
      <c r="L5019" s="3"/>
      <c r="M5019" s="3"/>
      <c r="N5019" s="3"/>
      <c r="O5019" s="3"/>
      <c r="P5019" s="3"/>
      <c r="Q5019" s="3"/>
      <c r="R5019" s="3"/>
      <c r="S5019" s="3"/>
      <c r="T5019" s="3"/>
      <c r="U5019" s="3"/>
      <c r="V5019" s="3"/>
      <c r="W5019" s="3"/>
      <c r="X5019" s="3"/>
      <c r="Y5019" s="3"/>
      <c r="Z5019" s="3"/>
      <c r="AA5019" s="3"/>
    </row>
    <row r="5020" ht="105.75" customHeight="1">
      <c r="A5020" s="11"/>
      <c r="B5020" s="12"/>
      <c r="C5020" s="11"/>
      <c r="D5020" s="13"/>
      <c r="E5020" s="14"/>
      <c r="F5020" s="14"/>
      <c r="G5020" s="14"/>
      <c r="H5020" s="15"/>
      <c r="I5020" s="15"/>
      <c r="J5020" s="3"/>
      <c r="K5020" s="3"/>
      <c r="L5020" s="3"/>
      <c r="M5020" s="3"/>
      <c r="N5020" s="3"/>
      <c r="O5020" s="3"/>
      <c r="P5020" s="3"/>
      <c r="Q5020" s="3"/>
      <c r="R5020" s="3"/>
      <c r="S5020" s="3"/>
      <c r="T5020" s="3"/>
      <c r="U5020" s="3"/>
      <c r="V5020" s="3"/>
      <c r="W5020" s="3"/>
      <c r="X5020" s="3"/>
      <c r="Y5020" s="3"/>
      <c r="Z5020" s="3"/>
      <c r="AA5020" s="3"/>
    </row>
    <row r="5021" ht="105.75" customHeight="1">
      <c r="A5021" s="11"/>
      <c r="B5021" s="12"/>
      <c r="C5021" s="11"/>
      <c r="D5021" s="13"/>
      <c r="E5021" s="14"/>
      <c r="F5021" s="14"/>
      <c r="G5021" s="14"/>
      <c r="H5021" s="15"/>
      <c r="I5021" s="15"/>
      <c r="J5021" s="3"/>
      <c r="K5021" s="3"/>
      <c r="L5021" s="3"/>
      <c r="M5021" s="3"/>
      <c r="N5021" s="3"/>
      <c r="O5021" s="3"/>
      <c r="P5021" s="3"/>
      <c r="Q5021" s="3"/>
      <c r="R5021" s="3"/>
      <c r="S5021" s="3"/>
      <c r="T5021" s="3"/>
      <c r="U5021" s="3"/>
      <c r="V5021" s="3"/>
      <c r="W5021" s="3"/>
      <c r="X5021" s="3"/>
      <c r="Y5021" s="3"/>
      <c r="Z5021" s="3"/>
      <c r="AA5021" s="3"/>
    </row>
    <row r="5022" ht="105.75" customHeight="1">
      <c r="A5022" s="11"/>
      <c r="B5022" s="12"/>
      <c r="C5022" s="11"/>
      <c r="D5022" s="13"/>
      <c r="E5022" s="14"/>
      <c r="F5022" s="14"/>
      <c r="G5022" s="14"/>
      <c r="H5022" s="15"/>
      <c r="I5022" s="15"/>
      <c r="J5022" s="3"/>
      <c r="K5022" s="3"/>
      <c r="L5022" s="3"/>
      <c r="M5022" s="3"/>
      <c r="N5022" s="3"/>
      <c r="O5022" s="3"/>
      <c r="P5022" s="3"/>
      <c r="Q5022" s="3"/>
      <c r="R5022" s="3"/>
      <c r="S5022" s="3"/>
      <c r="T5022" s="3"/>
      <c r="U5022" s="3"/>
      <c r="V5022" s="3"/>
      <c r="W5022" s="3"/>
      <c r="X5022" s="3"/>
      <c r="Y5022" s="3"/>
      <c r="Z5022" s="3"/>
      <c r="AA5022" s="3"/>
    </row>
    <row r="5023" ht="105.75" customHeight="1">
      <c r="A5023" s="11"/>
      <c r="B5023" s="12"/>
      <c r="C5023" s="11"/>
      <c r="D5023" s="13"/>
      <c r="E5023" s="14"/>
      <c r="F5023" s="14"/>
      <c r="G5023" s="14"/>
      <c r="H5023" s="15"/>
      <c r="I5023" s="15"/>
      <c r="J5023" s="3"/>
      <c r="K5023" s="3"/>
      <c r="L5023" s="3"/>
      <c r="M5023" s="3"/>
      <c r="N5023" s="3"/>
      <c r="O5023" s="3"/>
      <c r="P5023" s="3"/>
      <c r="Q5023" s="3"/>
      <c r="R5023" s="3"/>
      <c r="S5023" s="3"/>
      <c r="T5023" s="3"/>
      <c r="U5023" s="3"/>
      <c r="V5023" s="3"/>
      <c r="W5023" s="3"/>
      <c r="X5023" s="3"/>
      <c r="Y5023" s="3"/>
      <c r="Z5023" s="3"/>
      <c r="AA5023" s="3"/>
    </row>
    <row r="5024" ht="105.75" customHeight="1">
      <c r="A5024" s="11"/>
      <c r="B5024" s="12"/>
      <c r="C5024" s="11"/>
      <c r="D5024" s="13"/>
      <c r="E5024" s="14"/>
      <c r="F5024" s="14"/>
      <c r="G5024" s="14"/>
      <c r="H5024" s="15"/>
      <c r="I5024" s="15"/>
      <c r="J5024" s="3"/>
      <c r="K5024" s="3"/>
      <c r="L5024" s="3"/>
      <c r="M5024" s="3"/>
      <c r="N5024" s="3"/>
      <c r="O5024" s="3"/>
      <c r="P5024" s="3"/>
      <c r="Q5024" s="3"/>
      <c r="R5024" s="3"/>
      <c r="S5024" s="3"/>
      <c r="T5024" s="3"/>
      <c r="U5024" s="3"/>
      <c r="V5024" s="3"/>
      <c r="W5024" s="3"/>
      <c r="X5024" s="3"/>
      <c r="Y5024" s="3"/>
      <c r="Z5024" s="3"/>
      <c r="AA5024" s="3"/>
    </row>
    <row r="5025" ht="105.75" customHeight="1">
      <c r="A5025" s="11"/>
      <c r="B5025" s="12"/>
      <c r="C5025" s="11"/>
      <c r="D5025" s="13"/>
      <c r="E5025" s="14"/>
      <c r="F5025" s="14"/>
      <c r="G5025" s="14"/>
      <c r="H5025" s="15"/>
      <c r="I5025" s="15"/>
      <c r="J5025" s="3"/>
      <c r="K5025" s="3"/>
      <c r="L5025" s="3"/>
      <c r="M5025" s="3"/>
      <c r="N5025" s="3"/>
      <c r="O5025" s="3"/>
      <c r="P5025" s="3"/>
      <c r="Q5025" s="3"/>
      <c r="R5025" s="3"/>
      <c r="S5025" s="3"/>
      <c r="T5025" s="3"/>
      <c r="U5025" s="3"/>
      <c r="V5025" s="3"/>
      <c r="W5025" s="3"/>
      <c r="X5025" s="3"/>
      <c r="Y5025" s="3"/>
      <c r="Z5025" s="3"/>
      <c r="AA5025" s="3"/>
    </row>
    <row r="5026" ht="105.75" customHeight="1">
      <c r="A5026" s="11"/>
      <c r="B5026" s="12"/>
      <c r="C5026" s="11"/>
      <c r="D5026" s="13"/>
      <c r="E5026" s="14"/>
      <c r="F5026" s="14"/>
      <c r="G5026" s="14"/>
      <c r="H5026" s="15"/>
      <c r="I5026" s="15"/>
      <c r="J5026" s="3"/>
      <c r="K5026" s="3"/>
      <c r="L5026" s="3"/>
      <c r="M5026" s="3"/>
      <c r="N5026" s="3"/>
      <c r="O5026" s="3"/>
      <c r="P5026" s="3"/>
      <c r="Q5026" s="3"/>
      <c r="R5026" s="3"/>
      <c r="S5026" s="3"/>
      <c r="T5026" s="3"/>
      <c r="U5026" s="3"/>
      <c r="V5026" s="3"/>
      <c r="W5026" s="3"/>
      <c r="X5026" s="3"/>
      <c r="Y5026" s="3"/>
      <c r="Z5026" s="3"/>
      <c r="AA5026" s="3"/>
    </row>
    <row r="5027" ht="105.75" customHeight="1">
      <c r="A5027" s="11"/>
      <c r="B5027" s="12"/>
      <c r="C5027" s="11"/>
      <c r="D5027" s="13"/>
      <c r="E5027" s="14"/>
      <c r="F5027" s="14"/>
      <c r="G5027" s="14"/>
      <c r="H5027" s="15"/>
      <c r="I5027" s="15"/>
      <c r="J5027" s="3"/>
      <c r="K5027" s="3"/>
      <c r="L5027" s="3"/>
      <c r="M5027" s="3"/>
      <c r="N5027" s="3"/>
      <c r="O5027" s="3"/>
      <c r="P5027" s="3"/>
      <c r="Q5027" s="3"/>
      <c r="R5027" s="3"/>
      <c r="S5027" s="3"/>
      <c r="T5027" s="3"/>
      <c r="U5027" s="3"/>
      <c r="V5027" s="3"/>
      <c r="W5027" s="3"/>
      <c r="X5027" s="3"/>
      <c r="Y5027" s="3"/>
      <c r="Z5027" s="3"/>
      <c r="AA5027" s="3"/>
    </row>
    <row r="5028" ht="105.75" customHeight="1">
      <c r="A5028" s="11"/>
      <c r="B5028" s="12"/>
      <c r="C5028" s="11"/>
      <c r="D5028" s="13"/>
      <c r="E5028" s="14"/>
      <c r="F5028" s="14"/>
      <c r="G5028" s="14"/>
      <c r="H5028" s="15"/>
      <c r="I5028" s="15"/>
      <c r="J5028" s="3"/>
      <c r="K5028" s="3"/>
      <c r="L5028" s="3"/>
      <c r="M5028" s="3"/>
      <c r="N5028" s="3"/>
      <c r="O5028" s="3"/>
      <c r="P5028" s="3"/>
      <c r="Q5028" s="3"/>
      <c r="R5028" s="3"/>
      <c r="S5028" s="3"/>
      <c r="T5028" s="3"/>
      <c r="U5028" s="3"/>
      <c r="V5028" s="3"/>
      <c r="W5028" s="3"/>
      <c r="X5028" s="3"/>
      <c r="Y5028" s="3"/>
      <c r="Z5028" s="3"/>
      <c r="AA5028" s="3"/>
    </row>
    <row r="5029" ht="105.75" customHeight="1">
      <c r="A5029" s="11"/>
      <c r="B5029" s="12"/>
      <c r="C5029" s="11"/>
      <c r="D5029" s="13"/>
      <c r="E5029" s="14"/>
      <c r="F5029" s="14"/>
      <c r="G5029" s="14"/>
      <c r="H5029" s="15"/>
      <c r="I5029" s="15"/>
      <c r="J5029" s="3"/>
      <c r="K5029" s="3"/>
      <c r="L5029" s="3"/>
      <c r="M5029" s="3"/>
      <c r="N5029" s="3"/>
      <c r="O5029" s="3"/>
      <c r="P5029" s="3"/>
      <c r="Q5029" s="3"/>
      <c r="R5029" s="3"/>
      <c r="S5029" s="3"/>
      <c r="T5029" s="3"/>
      <c r="U5029" s="3"/>
      <c r="V5029" s="3"/>
      <c r="W5029" s="3"/>
      <c r="X5029" s="3"/>
      <c r="Y5029" s="3"/>
      <c r="Z5029" s="3"/>
      <c r="AA5029" s="3"/>
    </row>
    <row r="5030" ht="105.75" customHeight="1">
      <c r="A5030" s="11"/>
      <c r="B5030" s="12"/>
      <c r="C5030" s="11"/>
      <c r="D5030" s="13"/>
      <c r="E5030" s="14"/>
      <c r="F5030" s="14"/>
      <c r="G5030" s="14"/>
      <c r="H5030" s="15"/>
      <c r="I5030" s="15"/>
      <c r="J5030" s="3"/>
      <c r="K5030" s="3"/>
      <c r="L5030" s="3"/>
      <c r="M5030" s="3"/>
      <c r="N5030" s="3"/>
      <c r="O5030" s="3"/>
      <c r="P5030" s="3"/>
      <c r="Q5030" s="3"/>
      <c r="R5030" s="3"/>
      <c r="S5030" s="3"/>
      <c r="T5030" s="3"/>
      <c r="U5030" s="3"/>
      <c r="V5030" s="3"/>
      <c r="W5030" s="3"/>
      <c r="X5030" s="3"/>
      <c r="Y5030" s="3"/>
      <c r="Z5030" s="3"/>
      <c r="AA5030" s="3"/>
    </row>
    <row r="5031" ht="105.75" customHeight="1">
      <c r="A5031" s="11"/>
      <c r="B5031" s="12"/>
      <c r="C5031" s="11"/>
      <c r="D5031" s="13"/>
      <c r="E5031" s="14"/>
      <c r="F5031" s="14"/>
      <c r="G5031" s="14"/>
      <c r="H5031" s="15"/>
      <c r="I5031" s="15"/>
      <c r="J5031" s="3"/>
      <c r="K5031" s="3"/>
      <c r="L5031" s="3"/>
      <c r="M5031" s="3"/>
      <c r="N5031" s="3"/>
      <c r="O5031" s="3"/>
      <c r="P5031" s="3"/>
      <c r="Q5031" s="3"/>
      <c r="R5031" s="3"/>
      <c r="S5031" s="3"/>
      <c r="T5031" s="3"/>
      <c r="U5031" s="3"/>
      <c r="V5031" s="3"/>
      <c r="W5031" s="3"/>
      <c r="X5031" s="3"/>
      <c r="Y5031" s="3"/>
      <c r="Z5031" s="3"/>
      <c r="AA5031" s="3"/>
    </row>
    <row r="5032" ht="105.75" customHeight="1">
      <c r="A5032" s="11"/>
      <c r="B5032" s="12"/>
      <c r="C5032" s="11"/>
      <c r="D5032" s="13"/>
      <c r="E5032" s="14"/>
      <c r="F5032" s="14"/>
      <c r="G5032" s="14"/>
      <c r="H5032" s="15"/>
      <c r="I5032" s="15"/>
      <c r="J5032" s="3"/>
      <c r="K5032" s="3"/>
      <c r="L5032" s="3"/>
      <c r="M5032" s="3"/>
      <c r="N5032" s="3"/>
      <c r="O5032" s="3"/>
      <c r="P5032" s="3"/>
      <c r="Q5032" s="3"/>
      <c r="R5032" s="3"/>
      <c r="S5032" s="3"/>
      <c r="T5032" s="3"/>
      <c r="U5032" s="3"/>
      <c r="V5032" s="3"/>
      <c r="W5032" s="3"/>
      <c r="X5032" s="3"/>
      <c r="Y5032" s="3"/>
      <c r="Z5032" s="3"/>
      <c r="AA5032" s="3"/>
    </row>
    <row r="5033" ht="105.75" customHeight="1">
      <c r="A5033" s="11"/>
      <c r="B5033" s="12"/>
      <c r="C5033" s="11"/>
      <c r="D5033" s="13"/>
      <c r="E5033" s="14"/>
      <c r="F5033" s="14"/>
      <c r="G5033" s="14"/>
      <c r="H5033" s="15"/>
      <c r="I5033" s="15"/>
      <c r="J5033" s="3"/>
      <c r="K5033" s="3"/>
      <c r="L5033" s="3"/>
      <c r="M5033" s="3"/>
      <c r="N5033" s="3"/>
      <c r="O5033" s="3"/>
      <c r="P5033" s="3"/>
      <c r="Q5033" s="3"/>
      <c r="R5033" s="3"/>
      <c r="S5033" s="3"/>
      <c r="T5033" s="3"/>
      <c r="U5033" s="3"/>
      <c r="V5033" s="3"/>
      <c r="W5033" s="3"/>
      <c r="X5033" s="3"/>
      <c r="Y5033" s="3"/>
      <c r="Z5033" s="3"/>
      <c r="AA5033" s="3"/>
    </row>
    <row r="5034" ht="105.75" customHeight="1">
      <c r="A5034" s="11"/>
      <c r="B5034" s="12"/>
      <c r="C5034" s="11"/>
      <c r="D5034" s="13"/>
      <c r="E5034" s="14"/>
      <c r="F5034" s="14"/>
      <c r="G5034" s="14"/>
      <c r="H5034" s="15"/>
      <c r="I5034" s="15"/>
      <c r="J5034" s="3"/>
      <c r="K5034" s="3"/>
      <c r="L5034" s="3"/>
      <c r="M5034" s="3"/>
      <c r="N5034" s="3"/>
      <c r="O5034" s="3"/>
      <c r="P5034" s="3"/>
      <c r="Q5034" s="3"/>
      <c r="R5034" s="3"/>
      <c r="S5034" s="3"/>
      <c r="T5034" s="3"/>
      <c r="U5034" s="3"/>
      <c r="V5034" s="3"/>
      <c r="W5034" s="3"/>
      <c r="X5034" s="3"/>
      <c r="Y5034" s="3"/>
      <c r="Z5034" s="3"/>
      <c r="AA5034" s="3"/>
    </row>
    <row r="5035" ht="105.75" customHeight="1">
      <c r="A5035" s="11"/>
      <c r="B5035" s="12"/>
      <c r="C5035" s="11"/>
      <c r="D5035" s="13"/>
      <c r="E5035" s="14"/>
      <c r="F5035" s="14"/>
      <c r="G5035" s="14"/>
      <c r="H5035" s="15"/>
      <c r="I5035" s="15"/>
      <c r="J5035" s="3"/>
      <c r="K5035" s="3"/>
      <c r="L5035" s="3"/>
      <c r="M5035" s="3"/>
      <c r="N5035" s="3"/>
      <c r="O5035" s="3"/>
      <c r="P5035" s="3"/>
      <c r="Q5035" s="3"/>
      <c r="R5035" s="3"/>
      <c r="S5035" s="3"/>
      <c r="T5035" s="3"/>
      <c r="U5035" s="3"/>
      <c r="V5035" s="3"/>
      <c r="W5035" s="3"/>
      <c r="X5035" s="3"/>
      <c r="Y5035" s="3"/>
      <c r="Z5035" s="3"/>
      <c r="AA5035" s="3"/>
    </row>
    <row r="5036" ht="105.75" customHeight="1">
      <c r="A5036" s="11"/>
      <c r="B5036" s="12"/>
      <c r="C5036" s="11"/>
      <c r="D5036" s="13"/>
      <c r="E5036" s="14"/>
      <c r="F5036" s="14"/>
      <c r="G5036" s="14"/>
      <c r="H5036" s="15"/>
      <c r="I5036" s="15"/>
      <c r="J5036" s="3"/>
      <c r="K5036" s="3"/>
      <c r="L5036" s="3"/>
      <c r="M5036" s="3"/>
      <c r="N5036" s="3"/>
      <c r="O5036" s="3"/>
      <c r="P5036" s="3"/>
      <c r="Q5036" s="3"/>
      <c r="R5036" s="3"/>
      <c r="S5036" s="3"/>
      <c r="T5036" s="3"/>
      <c r="U5036" s="3"/>
      <c r="V5036" s="3"/>
      <c r="W5036" s="3"/>
      <c r="X5036" s="3"/>
      <c r="Y5036" s="3"/>
      <c r="Z5036" s="3"/>
      <c r="AA5036" s="3"/>
    </row>
    <row r="5037" ht="105.75" customHeight="1">
      <c r="A5037" s="11"/>
      <c r="B5037" s="12"/>
      <c r="C5037" s="11"/>
      <c r="D5037" s="13"/>
      <c r="E5037" s="14"/>
      <c r="F5037" s="14"/>
      <c r="G5037" s="14"/>
      <c r="H5037" s="15"/>
      <c r="I5037" s="15"/>
      <c r="J5037" s="3"/>
      <c r="K5037" s="3"/>
      <c r="L5037" s="3"/>
      <c r="M5037" s="3"/>
      <c r="N5037" s="3"/>
      <c r="O5037" s="3"/>
      <c r="P5037" s="3"/>
      <c r="Q5037" s="3"/>
      <c r="R5037" s="3"/>
      <c r="S5037" s="3"/>
      <c r="T5037" s="3"/>
      <c r="U5037" s="3"/>
      <c r="V5037" s="3"/>
      <c r="W5037" s="3"/>
      <c r="X5037" s="3"/>
      <c r="Y5037" s="3"/>
      <c r="Z5037" s="3"/>
      <c r="AA5037" s="3"/>
    </row>
    <row r="5038" ht="105.75" customHeight="1">
      <c r="A5038" s="11"/>
      <c r="B5038" s="12"/>
      <c r="C5038" s="11"/>
      <c r="D5038" s="13"/>
      <c r="E5038" s="14"/>
      <c r="F5038" s="14"/>
      <c r="G5038" s="14"/>
      <c r="H5038" s="15"/>
      <c r="I5038" s="15"/>
      <c r="J5038" s="3"/>
      <c r="K5038" s="3"/>
      <c r="L5038" s="3"/>
      <c r="M5038" s="3"/>
      <c r="N5038" s="3"/>
      <c r="O5038" s="3"/>
      <c r="P5038" s="3"/>
      <c r="Q5038" s="3"/>
      <c r="R5038" s="3"/>
      <c r="S5038" s="3"/>
      <c r="T5038" s="3"/>
      <c r="U5038" s="3"/>
      <c r="V5038" s="3"/>
      <c r="W5038" s="3"/>
      <c r="X5038" s="3"/>
      <c r="Y5038" s="3"/>
      <c r="Z5038" s="3"/>
      <c r="AA5038" s="3"/>
    </row>
    <row r="5039" ht="105.75" customHeight="1">
      <c r="A5039" s="11"/>
      <c r="B5039" s="12"/>
      <c r="C5039" s="11"/>
      <c r="D5039" s="13"/>
      <c r="E5039" s="14"/>
      <c r="F5039" s="14"/>
      <c r="G5039" s="14"/>
      <c r="H5039" s="15"/>
      <c r="I5039" s="15"/>
      <c r="J5039" s="3"/>
      <c r="K5039" s="3"/>
      <c r="L5039" s="3"/>
      <c r="M5039" s="3"/>
      <c r="N5039" s="3"/>
      <c r="O5039" s="3"/>
      <c r="P5039" s="3"/>
      <c r="Q5039" s="3"/>
      <c r="R5039" s="3"/>
      <c r="S5039" s="3"/>
      <c r="T5039" s="3"/>
      <c r="U5039" s="3"/>
      <c r="V5039" s="3"/>
      <c r="W5039" s="3"/>
      <c r="X5039" s="3"/>
      <c r="Y5039" s="3"/>
      <c r="Z5039" s="3"/>
      <c r="AA5039" s="3"/>
    </row>
    <row r="5040" ht="105.75" customHeight="1">
      <c r="A5040" s="11"/>
      <c r="B5040" s="12"/>
      <c r="C5040" s="11"/>
      <c r="D5040" s="13"/>
      <c r="E5040" s="14"/>
      <c r="F5040" s="14"/>
      <c r="G5040" s="14"/>
      <c r="H5040" s="15"/>
      <c r="I5040" s="15"/>
      <c r="J5040" s="3"/>
      <c r="K5040" s="3"/>
      <c r="L5040" s="3"/>
      <c r="M5040" s="3"/>
      <c r="N5040" s="3"/>
      <c r="O5040" s="3"/>
      <c r="P5040" s="3"/>
      <c r="Q5040" s="3"/>
      <c r="R5040" s="3"/>
      <c r="S5040" s="3"/>
      <c r="T5040" s="3"/>
      <c r="U5040" s="3"/>
      <c r="V5040" s="3"/>
      <c r="W5040" s="3"/>
      <c r="X5040" s="3"/>
      <c r="Y5040" s="3"/>
      <c r="Z5040" s="3"/>
      <c r="AA5040" s="3"/>
    </row>
    <row r="5041" ht="105.75" customHeight="1">
      <c r="A5041" s="11"/>
      <c r="B5041" s="12"/>
      <c r="C5041" s="11"/>
      <c r="D5041" s="13"/>
      <c r="E5041" s="14"/>
      <c r="F5041" s="14"/>
      <c r="G5041" s="14"/>
      <c r="H5041" s="15"/>
      <c r="I5041" s="15"/>
      <c r="J5041" s="3"/>
      <c r="K5041" s="3"/>
      <c r="L5041" s="3"/>
      <c r="M5041" s="3"/>
      <c r="N5041" s="3"/>
      <c r="O5041" s="3"/>
      <c r="P5041" s="3"/>
      <c r="Q5041" s="3"/>
      <c r="R5041" s="3"/>
      <c r="S5041" s="3"/>
      <c r="T5041" s="3"/>
      <c r="U5041" s="3"/>
      <c r="V5041" s="3"/>
      <c r="W5041" s="3"/>
      <c r="X5041" s="3"/>
      <c r="Y5041" s="3"/>
      <c r="Z5041" s="3"/>
      <c r="AA5041" s="3"/>
    </row>
    <row r="5042" ht="105.75" customHeight="1">
      <c r="A5042" s="11"/>
      <c r="B5042" s="12"/>
      <c r="C5042" s="11"/>
      <c r="D5042" s="13"/>
      <c r="E5042" s="14"/>
      <c r="F5042" s="14"/>
      <c r="G5042" s="14"/>
      <c r="H5042" s="15"/>
      <c r="I5042" s="15"/>
      <c r="J5042" s="3"/>
      <c r="K5042" s="3"/>
      <c r="L5042" s="3"/>
      <c r="M5042" s="3"/>
      <c r="N5042" s="3"/>
      <c r="O5042" s="3"/>
      <c r="P5042" s="3"/>
      <c r="Q5042" s="3"/>
      <c r="R5042" s="3"/>
      <c r="S5042" s="3"/>
      <c r="T5042" s="3"/>
      <c r="U5042" s="3"/>
      <c r="V5042" s="3"/>
      <c r="W5042" s="3"/>
      <c r="X5042" s="3"/>
      <c r="Y5042" s="3"/>
      <c r="Z5042" s="3"/>
      <c r="AA5042" s="3"/>
    </row>
    <row r="5043" ht="105.75" customHeight="1">
      <c r="A5043" s="11"/>
      <c r="B5043" s="12"/>
      <c r="C5043" s="11"/>
      <c r="D5043" s="13"/>
      <c r="E5043" s="14"/>
      <c r="F5043" s="14"/>
      <c r="G5043" s="14"/>
      <c r="H5043" s="15"/>
      <c r="I5043" s="15"/>
      <c r="J5043" s="3"/>
      <c r="K5043" s="3"/>
      <c r="L5043" s="3"/>
      <c r="M5043" s="3"/>
      <c r="N5043" s="3"/>
      <c r="O5043" s="3"/>
      <c r="P5043" s="3"/>
      <c r="Q5043" s="3"/>
      <c r="R5043" s="3"/>
      <c r="S5043" s="3"/>
      <c r="T5043" s="3"/>
      <c r="U5043" s="3"/>
      <c r="V5043" s="3"/>
      <c r="W5043" s="3"/>
      <c r="X5043" s="3"/>
      <c r="Y5043" s="3"/>
      <c r="Z5043" s="3"/>
      <c r="AA5043" s="3"/>
    </row>
    <row r="5044" ht="105.75" customHeight="1">
      <c r="A5044" s="11"/>
      <c r="B5044" s="12"/>
      <c r="C5044" s="11"/>
      <c r="D5044" s="13"/>
      <c r="E5044" s="14"/>
      <c r="F5044" s="14"/>
      <c r="G5044" s="14"/>
      <c r="H5044" s="15"/>
      <c r="I5044" s="15"/>
      <c r="J5044" s="3"/>
      <c r="K5044" s="3"/>
      <c r="L5044" s="3"/>
      <c r="M5044" s="3"/>
      <c r="N5044" s="3"/>
      <c r="O5044" s="3"/>
      <c r="P5044" s="3"/>
      <c r="Q5044" s="3"/>
      <c r="R5044" s="3"/>
      <c r="S5044" s="3"/>
      <c r="T5044" s="3"/>
      <c r="U5044" s="3"/>
      <c r="V5044" s="3"/>
      <c r="W5044" s="3"/>
      <c r="X5044" s="3"/>
      <c r="Y5044" s="3"/>
      <c r="Z5044" s="3"/>
      <c r="AA5044" s="3"/>
    </row>
    <row r="5045" ht="105.75" customHeight="1">
      <c r="A5045" s="11"/>
      <c r="B5045" s="12"/>
      <c r="C5045" s="11"/>
      <c r="D5045" s="13"/>
      <c r="E5045" s="14"/>
      <c r="F5045" s="14"/>
      <c r="G5045" s="14"/>
      <c r="H5045" s="15"/>
      <c r="I5045" s="15"/>
      <c r="J5045" s="3"/>
      <c r="K5045" s="3"/>
      <c r="L5045" s="3"/>
      <c r="M5045" s="3"/>
      <c r="N5045" s="3"/>
      <c r="O5045" s="3"/>
      <c r="P5045" s="3"/>
      <c r="Q5045" s="3"/>
      <c r="R5045" s="3"/>
      <c r="S5045" s="3"/>
      <c r="T5045" s="3"/>
      <c r="U5045" s="3"/>
      <c r="V5045" s="3"/>
      <c r="W5045" s="3"/>
      <c r="X5045" s="3"/>
      <c r="Y5045" s="3"/>
      <c r="Z5045" s="3"/>
      <c r="AA5045" s="3"/>
    </row>
    <row r="5046" ht="105.75" customHeight="1">
      <c r="A5046" s="11"/>
      <c r="B5046" s="12"/>
      <c r="C5046" s="11"/>
      <c r="D5046" s="13"/>
      <c r="E5046" s="14"/>
      <c r="F5046" s="14"/>
      <c r="G5046" s="14"/>
      <c r="H5046" s="15"/>
      <c r="I5046" s="15"/>
      <c r="J5046" s="3"/>
      <c r="K5046" s="3"/>
      <c r="L5046" s="3"/>
      <c r="M5046" s="3"/>
      <c r="N5046" s="3"/>
      <c r="O5046" s="3"/>
      <c r="P5046" s="3"/>
      <c r="Q5046" s="3"/>
      <c r="R5046" s="3"/>
      <c r="S5046" s="3"/>
      <c r="T5046" s="3"/>
      <c r="U5046" s="3"/>
      <c r="V5046" s="3"/>
      <c r="W5046" s="3"/>
      <c r="X5046" s="3"/>
      <c r="Y5046" s="3"/>
      <c r="Z5046" s="3"/>
      <c r="AA5046" s="3"/>
    </row>
    <row r="5047" ht="105.75" customHeight="1">
      <c r="A5047" s="11"/>
      <c r="B5047" s="12"/>
      <c r="C5047" s="11"/>
      <c r="D5047" s="13"/>
      <c r="E5047" s="14"/>
      <c r="F5047" s="14"/>
      <c r="G5047" s="14"/>
      <c r="H5047" s="15"/>
      <c r="I5047" s="15"/>
      <c r="J5047" s="3"/>
      <c r="K5047" s="3"/>
      <c r="L5047" s="3"/>
      <c r="M5047" s="3"/>
      <c r="N5047" s="3"/>
      <c r="O5047" s="3"/>
      <c r="P5047" s="3"/>
      <c r="Q5047" s="3"/>
      <c r="R5047" s="3"/>
      <c r="S5047" s="3"/>
      <c r="T5047" s="3"/>
      <c r="U5047" s="3"/>
      <c r="V5047" s="3"/>
      <c r="W5047" s="3"/>
      <c r="X5047" s="3"/>
      <c r="Y5047" s="3"/>
      <c r="Z5047" s="3"/>
      <c r="AA5047" s="3"/>
    </row>
    <row r="5048" ht="105.75" customHeight="1">
      <c r="A5048" s="11"/>
      <c r="B5048" s="12"/>
      <c r="C5048" s="11"/>
      <c r="D5048" s="13"/>
      <c r="E5048" s="14"/>
      <c r="F5048" s="14"/>
      <c r="G5048" s="14"/>
      <c r="H5048" s="15"/>
      <c r="I5048" s="15"/>
      <c r="J5048" s="3"/>
      <c r="K5048" s="3"/>
      <c r="L5048" s="3"/>
      <c r="M5048" s="3"/>
      <c r="N5048" s="3"/>
      <c r="O5048" s="3"/>
      <c r="P5048" s="3"/>
      <c r="Q5048" s="3"/>
      <c r="R5048" s="3"/>
      <c r="S5048" s="3"/>
      <c r="T5048" s="3"/>
      <c r="U5048" s="3"/>
      <c r="V5048" s="3"/>
      <c r="W5048" s="3"/>
      <c r="X5048" s="3"/>
      <c r="Y5048" s="3"/>
      <c r="Z5048" s="3"/>
      <c r="AA5048" s="3"/>
    </row>
    <row r="5049" ht="105.75" customHeight="1">
      <c r="A5049" s="11"/>
      <c r="B5049" s="12"/>
      <c r="C5049" s="11"/>
      <c r="D5049" s="13"/>
      <c r="E5049" s="14"/>
      <c r="F5049" s="14"/>
      <c r="G5049" s="14"/>
      <c r="H5049" s="15"/>
      <c r="I5049" s="15"/>
      <c r="J5049" s="3"/>
      <c r="K5049" s="3"/>
      <c r="L5049" s="3"/>
      <c r="M5049" s="3"/>
      <c r="N5049" s="3"/>
      <c r="O5049" s="3"/>
      <c r="P5049" s="3"/>
      <c r="Q5049" s="3"/>
      <c r="R5049" s="3"/>
      <c r="S5049" s="3"/>
      <c r="T5049" s="3"/>
      <c r="U5049" s="3"/>
      <c r="V5049" s="3"/>
      <c r="W5049" s="3"/>
      <c r="X5049" s="3"/>
      <c r="Y5049" s="3"/>
      <c r="Z5049" s="3"/>
      <c r="AA5049" s="3"/>
    </row>
    <row r="5050" ht="105.75" customHeight="1">
      <c r="A5050" s="11"/>
      <c r="B5050" s="12"/>
      <c r="C5050" s="11"/>
      <c r="D5050" s="13"/>
      <c r="E5050" s="14"/>
      <c r="F5050" s="14"/>
      <c r="G5050" s="14"/>
      <c r="H5050" s="15"/>
      <c r="I5050" s="15"/>
      <c r="J5050" s="3"/>
      <c r="K5050" s="3"/>
      <c r="L5050" s="3"/>
      <c r="M5050" s="3"/>
      <c r="N5050" s="3"/>
      <c r="O5050" s="3"/>
      <c r="P5050" s="3"/>
      <c r="Q5050" s="3"/>
      <c r="R5050" s="3"/>
      <c r="S5050" s="3"/>
      <c r="T5050" s="3"/>
      <c r="U5050" s="3"/>
      <c r="V5050" s="3"/>
      <c r="W5050" s="3"/>
      <c r="X5050" s="3"/>
      <c r="Y5050" s="3"/>
      <c r="Z5050" s="3"/>
      <c r="AA5050" s="3"/>
    </row>
    <row r="5051" ht="105.75" customHeight="1">
      <c r="A5051" s="11"/>
      <c r="B5051" s="12"/>
      <c r="C5051" s="11"/>
      <c r="D5051" s="13"/>
      <c r="E5051" s="14"/>
      <c r="F5051" s="14"/>
      <c r="G5051" s="14"/>
      <c r="H5051" s="15"/>
      <c r="I5051" s="15"/>
      <c r="J5051" s="3"/>
      <c r="K5051" s="3"/>
      <c r="L5051" s="3"/>
      <c r="M5051" s="3"/>
      <c r="N5051" s="3"/>
      <c r="O5051" s="3"/>
      <c r="P5051" s="3"/>
      <c r="Q5051" s="3"/>
      <c r="R5051" s="3"/>
      <c r="S5051" s="3"/>
      <c r="T5051" s="3"/>
      <c r="U5051" s="3"/>
      <c r="V5051" s="3"/>
      <c r="W5051" s="3"/>
      <c r="X5051" s="3"/>
      <c r="Y5051" s="3"/>
      <c r="Z5051" s="3"/>
      <c r="AA5051" s="3"/>
    </row>
    <row r="5052" ht="105.75" customHeight="1">
      <c r="A5052" s="11"/>
      <c r="B5052" s="12"/>
      <c r="C5052" s="11"/>
      <c r="D5052" s="13"/>
      <c r="E5052" s="14"/>
      <c r="F5052" s="14"/>
      <c r="G5052" s="14"/>
      <c r="H5052" s="15"/>
      <c r="I5052" s="15"/>
      <c r="J5052" s="3"/>
      <c r="K5052" s="3"/>
      <c r="L5052" s="3"/>
      <c r="M5052" s="3"/>
      <c r="N5052" s="3"/>
      <c r="O5052" s="3"/>
      <c r="P5052" s="3"/>
      <c r="Q5052" s="3"/>
      <c r="R5052" s="3"/>
      <c r="S5052" s="3"/>
      <c r="T5052" s="3"/>
      <c r="U5052" s="3"/>
      <c r="V5052" s="3"/>
      <c r="W5052" s="3"/>
      <c r="X5052" s="3"/>
      <c r="Y5052" s="3"/>
      <c r="Z5052" s="3"/>
      <c r="AA5052" s="3"/>
    </row>
    <row r="5053" ht="105.75" customHeight="1">
      <c r="A5053" s="11"/>
      <c r="B5053" s="12"/>
      <c r="C5053" s="11"/>
      <c r="D5053" s="13"/>
      <c r="E5053" s="14"/>
      <c r="F5053" s="14"/>
      <c r="G5053" s="14"/>
      <c r="H5053" s="15"/>
      <c r="I5053" s="15"/>
      <c r="J5053" s="3"/>
      <c r="K5053" s="3"/>
      <c r="L5053" s="3"/>
      <c r="M5053" s="3"/>
      <c r="N5053" s="3"/>
      <c r="O5053" s="3"/>
      <c r="P5053" s="3"/>
      <c r="Q5053" s="3"/>
      <c r="R5053" s="3"/>
      <c r="S5053" s="3"/>
      <c r="T5053" s="3"/>
      <c r="U5053" s="3"/>
      <c r="V5053" s="3"/>
      <c r="W5053" s="3"/>
      <c r="X5053" s="3"/>
      <c r="Y5053" s="3"/>
      <c r="Z5053" s="3"/>
      <c r="AA5053" s="3"/>
    </row>
    <row r="5054" ht="105.75" customHeight="1">
      <c r="A5054" s="11"/>
      <c r="B5054" s="12"/>
      <c r="C5054" s="11"/>
      <c r="D5054" s="13"/>
      <c r="E5054" s="14"/>
      <c r="F5054" s="14"/>
      <c r="G5054" s="14"/>
      <c r="H5054" s="15"/>
      <c r="I5054" s="15"/>
      <c r="J5054" s="3"/>
      <c r="K5054" s="3"/>
      <c r="L5054" s="3"/>
      <c r="M5054" s="3"/>
      <c r="N5054" s="3"/>
      <c r="O5054" s="3"/>
      <c r="P5054" s="3"/>
      <c r="Q5054" s="3"/>
      <c r="R5054" s="3"/>
      <c r="S5054" s="3"/>
      <c r="T5054" s="3"/>
      <c r="U5054" s="3"/>
      <c r="V5054" s="3"/>
      <c r="W5054" s="3"/>
      <c r="X5054" s="3"/>
      <c r="Y5054" s="3"/>
      <c r="Z5054" s="3"/>
      <c r="AA5054" s="3"/>
    </row>
    <row r="5055" ht="105.75" customHeight="1">
      <c r="A5055" s="11"/>
      <c r="B5055" s="12"/>
      <c r="C5055" s="11"/>
      <c r="D5055" s="13"/>
      <c r="E5055" s="14"/>
      <c r="F5055" s="14"/>
      <c r="G5055" s="14"/>
      <c r="H5055" s="15"/>
      <c r="I5055" s="15"/>
      <c r="J5055" s="3"/>
      <c r="K5055" s="3"/>
      <c r="L5055" s="3"/>
      <c r="M5055" s="3"/>
      <c r="N5055" s="3"/>
      <c r="O5055" s="3"/>
      <c r="P5055" s="3"/>
      <c r="Q5055" s="3"/>
      <c r="R5055" s="3"/>
      <c r="S5055" s="3"/>
      <c r="T5055" s="3"/>
      <c r="U5055" s="3"/>
      <c r="V5055" s="3"/>
      <c r="W5055" s="3"/>
      <c r="X5055" s="3"/>
      <c r="Y5055" s="3"/>
      <c r="Z5055" s="3"/>
      <c r="AA5055" s="3"/>
    </row>
    <row r="5056" ht="105.75" customHeight="1">
      <c r="A5056" s="11"/>
      <c r="B5056" s="12"/>
      <c r="C5056" s="11"/>
      <c r="D5056" s="13"/>
      <c r="E5056" s="14"/>
      <c r="F5056" s="14"/>
      <c r="G5056" s="14"/>
      <c r="H5056" s="15"/>
      <c r="I5056" s="15"/>
      <c r="J5056" s="3"/>
      <c r="K5056" s="3"/>
      <c r="L5056" s="3"/>
      <c r="M5056" s="3"/>
      <c r="N5056" s="3"/>
      <c r="O5056" s="3"/>
      <c r="P5056" s="3"/>
      <c r="Q5056" s="3"/>
      <c r="R5056" s="3"/>
      <c r="S5056" s="3"/>
      <c r="T5056" s="3"/>
      <c r="U5056" s="3"/>
      <c r="V5056" s="3"/>
      <c r="W5056" s="3"/>
      <c r="X5056" s="3"/>
      <c r="Y5056" s="3"/>
      <c r="Z5056" s="3"/>
      <c r="AA5056" s="3"/>
    </row>
    <row r="5057" ht="105.75" customHeight="1">
      <c r="A5057" s="11"/>
      <c r="B5057" s="12"/>
      <c r="C5057" s="11"/>
      <c r="D5057" s="13"/>
      <c r="E5057" s="14"/>
      <c r="F5057" s="14"/>
      <c r="G5057" s="14"/>
      <c r="H5057" s="15"/>
      <c r="I5057" s="15"/>
      <c r="J5057" s="3"/>
      <c r="K5057" s="3"/>
      <c r="L5057" s="3"/>
      <c r="M5057" s="3"/>
      <c r="N5057" s="3"/>
      <c r="O5057" s="3"/>
      <c r="P5057" s="3"/>
      <c r="Q5057" s="3"/>
      <c r="R5057" s="3"/>
      <c r="S5057" s="3"/>
      <c r="T5057" s="3"/>
      <c r="U5057" s="3"/>
      <c r="V5057" s="3"/>
      <c r="W5057" s="3"/>
      <c r="X5057" s="3"/>
      <c r="Y5057" s="3"/>
      <c r="Z5057" s="3"/>
      <c r="AA5057" s="3"/>
    </row>
    <row r="5058" ht="105.75" customHeight="1">
      <c r="A5058" s="11"/>
      <c r="B5058" s="12"/>
      <c r="C5058" s="11"/>
      <c r="D5058" s="13"/>
      <c r="E5058" s="14"/>
      <c r="F5058" s="14"/>
      <c r="G5058" s="14"/>
      <c r="H5058" s="15"/>
      <c r="I5058" s="15"/>
      <c r="J5058" s="3"/>
      <c r="K5058" s="3"/>
      <c r="L5058" s="3"/>
      <c r="M5058" s="3"/>
      <c r="N5058" s="3"/>
      <c r="O5058" s="3"/>
      <c r="P5058" s="3"/>
      <c r="Q5058" s="3"/>
      <c r="R5058" s="3"/>
      <c r="S5058" s="3"/>
      <c r="T5058" s="3"/>
      <c r="U5058" s="3"/>
      <c r="V5058" s="3"/>
      <c r="W5058" s="3"/>
      <c r="X5058" s="3"/>
      <c r="Y5058" s="3"/>
      <c r="Z5058" s="3"/>
      <c r="AA5058" s="3"/>
    </row>
    <row r="5059" ht="105.75" customHeight="1">
      <c r="A5059" s="11"/>
      <c r="B5059" s="12"/>
      <c r="C5059" s="11"/>
      <c r="D5059" s="13"/>
      <c r="E5059" s="14"/>
      <c r="F5059" s="14"/>
      <c r="G5059" s="14"/>
      <c r="H5059" s="15"/>
      <c r="I5059" s="15"/>
      <c r="J5059" s="3"/>
      <c r="K5059" s="3"/>
      <c r="L5059" s="3"/>
      <c r="M5059" s="3"/>
      <c r="N5059" s="3"/>
      <c r="O5059" s="3"/>
      <c r="P5059" s="3"/>
      <c r="Q5059" s="3"/>
      <c r="R5059" s="3"/>
      <c r="S5059" s="3"/>
      <c r="T5059" s="3"/>
      <c r="U5059" s="3"/>
      <c r="V5059" s="3"/>
      <c r="W5059" s="3"/>
      <c r="X5059" s="3"/>
      <c r="Y5059" s="3"/>
      <c r="Z5059" s="3"/>
      <c r="AA5059" s="3"/>
    </row>
    <row r="5060" ht="105.75" customHeight="1">
      <c r="A5060" s="11"/>
      <c r="B5060" s="12"/>
      <c r="C5060" s="11"/>
      <c r="D5060" s="13"/>
      <c r="E5060" s="14"/>
      <c r="F5060" s="14"/>
      <c r="G5060" s="14"/>
      <c r="H5060" s="15"/>
      <c r="I5060" s="15"/>
      <c r="J5060" s="3"/>
      <c r="K5060" s="3"/>
      <c r="L5060" s="3"/>
      <c r="M5060" s="3"/>
      <c r="N5060" s="3"/>
      <c r="O5060" s="3"/>
      <c r="P5060" s="3"/>
      <c r="Q5060" s="3"/>
      <c r="R5060" s="3"/>
      <c r="S5060" s="3"/>
      <c r="T5060" s="3"/>
      <c r="U5060" s="3"/>
      <c r="V5060" s="3"/>
      <c r="W5060" s="3"/>
      <c r="X5060" s="3"/>
      <c r="Y5060" s="3"/>
      <c r="Z5060" s="3"/>
      <c r="AA5060" s="3"/>
    </row>
    <row r="5061" ht="105.75" customHeight="1">
      <c r="A5061" s="11"/>
      <c r="B5061" s="12"/>
      <c r="C5061" s="11"/>
      <c r="D5061" s="13"/>
      <c r="E5061" s="14"/>
      <c r="F5061" s="14"/>
      <c r="G5061" s="14"/>
      <c r="H5061" s="15"/>
      <c r="I5061" s="15"/>
      <c r="J5061" s="3"/>
      <c r="K5061" s="3"/>
      <c r="L5061" s="3"/>
      <c r="M5061" s="3"/>
      <c r="N5061" s="3"/>
      <c r="O5061" s="3"/>
      <c r="P5061" s="3"/>
      <c r="Q5061" s="3"/>
      <c r="R5061" s="3"/>
      <c r="S5061" s="3"/>
      <c r="T5061" s="3"/>
      <c r="U5061" s="3"/>
      <c r="V5061" s="3"/>
      <c r="W5061" s="3"/>
      <c r="X5061" s="3"/>
      <c r="Y5061" s="3"/>
      <c r="Z5061" s="3"/>
      <c r="AA5061" s="3"/>
    </row>
    <row r="5062" ht="105.75" customHeight="1">
      <c r="A5062" s="11"/>
      <c r="B5062" s="12"/>
      <c r="C5062" s="11"/>
      <c r="D5062" s="13"/>
      <c r="E5062" s="14"/>
      <c r="F5062" s="14"/>
      <c r="G5062" s="14"/>
      <c r="H5062" s="15"/>
      <c r="I5062" s="15"/>
      <c r="J5062" s="3"/>
      <c r="K5062" s="3"/>
      <c r="L5062" s="3"/>
      <c r="M5062" s="3"/>
      <c r="N5062" s="3"/>
      <c r="O5062" s="3"/>
      <c r="P5062" s="3"/>
      <c r="Q5062" s="3"/>
      <c r="R5062" s="3"/>
      <c r="S5062" s="3"/>
      <c r="T5062" s="3"/>
      <c r="U5062" s="3"/>
      <c r="V5062" s="3"/>
      <c r="W5062" s="3"/>
      <c r="X5062" s="3"/>
      <c r="Y5062" s="3"/>
      <c r="Z5062" s="3"/>
      <c r="AA5062" s="3"/>
    </row>
    <row r="5063" ht="105.75" customHeight="1">
      <c r="A5063" s="11"/>
      <c r="B5063" s="12"/>
      <c r="C5063" s="11"/>
      <c r="D5063" s="13"/>
      <c r="E5063" s="14"/>
      <c r="F5063" s="14"/>
      <c r="G5063" s="14"/>
      <c r="H5063" s="15"/>
      <c r="I5063" s="15"/>
      <c r="J5063" s="3"/>
      <c r="K5063" s="3"/>
      <c r="L5063" s="3"/>
      <c r="M5063" s="3"/>
      <c r="N5063" s="3"/>
      <c r="O5063" s="3"/>
      <c r="P5063" s="3"/>
      <c r="Q5063" s="3"/>
      <c r="R5063" s="3"/>
      <c r="S5063" s="3"/>
      <c r="T5063" s="3"/>
      <c r="U5063" s="3"/>
      <c r="V5063" s="3"/>
      <c r="W5063" s="3"/>
      <c r="X5063" s="3"/>
      <c r="Y5063" s="3"/>
      <c r="Z5063" s="3"/>
      <c r="AA5063" s="3"/>
    </row>
    <row r="5064" ht="105.75" customHeight="1">
      <c r="A5064" s="11"/>
      <c r="B5064" s="12"/>
      <c r="C5064" s="11"/>
      <c r="D5064" s="13"/>
      <c r="E5064" s="14"/>
      <c r="F5064" s="14"/>
      <c r="G5064" s="14"/>
      <c r="H5064" s="15"/>
      <c r="I5064" s="15"/>
      <c r="J5064" s="3"/>
      <c r="K5064" s="3"/>
      <c r="L5064" s="3"/>
      <c r="M5064" s="3"/>
      <c r="N5064" s="3"/>
      <c r="O5064" s="3"/>
      <c r="P5064" s="3"/>
      <c r="Q5064" s="3"/>
      <c r="R5064" s="3"/>
      <c r="S5064" s="3"/>
      <c r="T5064" s="3"/>
      <c r="U5064" s="3"/>
      <c r="V5064" s="3"/>
      <c r="W5064" s="3"/>
      <c r="X5064" s="3"/>
      <c r="Y5064" s="3"/>
      <c r="Z5064" s="3"/>
      <c r="AA5064" s="3"/>
    </row>
    <row r="5065" ht="105.75" customHeight="1">
      <c r="A5065" s="11"/>
      <c r="B5065" s="12"/>
      <c r="C5065" s="11"/>
      <c r="D5065" s="13"/>
      <c r="E5065" s="14"/>
      <c r="F5065" s="14"/>
      <c r="G5065" s="14"/>
      <c r="H5065" s="15"/>
      <c r="I5065" s="15"/>
      <c r="J5065" s="3"/>
      <c r="K5065" s="3"/>
      <c r="L5065" s="3"/>
      <c r="M5065" s="3"/>
      <c r="N5065" s="3"/>
      <c r="O5065" s="3"/>
      <c r="P5065" s="3"/>
      <c r="Q5065" s="3"/>
      <c r="R5065" s="3"/>
      <c r="S5065" s="3"/>
      <c r="T5065" s="3"/>
      <c r="U5065" s="3"/>
      <c r="V5065" s="3"/>
      <c r="W5065" s="3"/>
      <c r="X5065" s="3"/>
      <c r="Y5065" s="3"/>
      <c r="Z5065" s="3"/>
      <c r="AA5065" s="3"/>
    </row>
    <row r="5066" ht="105.75" customHeight="1">
      <c r="A5066" s="11"/>
      <c r="B5066" s="12"/>
      <c r="C5066" s="11"/>
      <c r="D5066" s="13"/>
      <c r="E5066" s="14"/>
      <c r="F5066" s="14"/>
      <c r="G5066" s="14"/>
      <c r="H5066" s="15"/>
      <c r="I5066" s="15"/>
      <c r="J5066" s="3"/>
      <c r="K5066" s="3"/>
      <c r="L5066" s="3"/>
      <c r="M5066" s="3"/>
      <c r="N5066" s="3"/>
      <c r="O5066" s="3"/>
      <c r="P5066" s="3"/>
      <c r="Q5066" s="3"/>
      <c r="R5066" s="3"/>
      <c r="S5066" s="3"/>
      <c r="T5066" s="3"/>
      <c r="U5066" s="3"/>
      <c r="V5066" s="3"/>
      <c r="W5066" s="3"/>
      <c r="X5066" s="3"/>
      <c r="Y5066" s="3"/>
      <c r="Z5066" s="3"/>
      <c r="AA5066" s="3"/>
    </row>
    <row r="5067" ht="105.75" customHeight="1">
      <c r="A5067" s="11"/>
      <c r="B5067" s="12"/>
      <c r="C5067" s="11"/>
      <c r="D5067" s="13"/>
      <c r="E5067" s="14"/>
      <c r="F5067" s="14"/>
      <c r="G5067" s="14"/>
      <c r="H5067" s="15"/>
      <c r="I5067" s="15"/>
      <c r="J5067" s="3"/>
      <c r="K5067" s="3"/>
      <c r="L5067" s="3"/>
      <c r="M5067" s="3"/>
      <c r="N5067" s="3"/>
      <c r="O5067" s="3"/>
      <c r="P5067" s="3"/>
      <c r="Q5067" s="3"/>
      <c r="R5067" s="3"/>
      <c r="S5067" s="3"/>
      <c r="T5067" s="3"/>
      <c r="U5067" s="3"/>
      <c r="V5067" s="3"/>
      <c r="W5067" s="3"/>
      <c r="X5067" s="3"/>
      <c r="Y5067" s="3"/>
      <c r="Z5067" s="3"/>
      <c r="AA5067" s="3"/>
    </row>
    <row r="5068" ht="105.75" customHeight="1">
      <c r="A5068" s="11"/>
      <c r="B5068" s="12"/>
      <c r="C5068" s="11"/>
      <c r="D5068" s="13"/>
      <c r="E5068" s="14"/>
      <c r="F5068" s="14"/>
      <c r="G5068" s="14"/>
      <c r="H5068" s="15"/>
      <c r="I5068" s="15"/>
      <c r="J5068" s="3"/>
      <c r="K5068" s="3"/>
      <c r="L5068" s="3"/>
      <c r="M5068" s="3"/>
      <c r="N5068" s="3"/>
      <c r="O5068" s="3"/>
      <c r="P5068" s="3"/>
      <c r="Q5068" s="3"/>
      <c r="R5068" s="3"/>
      <c r="S5068" s="3"/>
      <c r="T5068" s="3"/>
      <c r="U5068" s="3"/>
      <c r="V5068" s="3"/>
      <c r="W5068" s="3"/>
      <c r="X5068" s="3"/>
      <c r="Y5068" s="3"/>
      <c r="Z5068" s="3"/>
      <c r="AA5068" s="3"/>
    </row>
    <row r="5069" ht="105.75" customHeight="1">
      <c r="A5069" s="11"/>
      <c r="B5069" s="12"/>
      <c r="C5069" s="11"/>
      <c r="D5069" s="13"/>
      <c r="E5069" s="14"/>
      <c r="F5069" s="14"/>
      <c r="G5069" s="14"/>
      <c r="H5069" s="15"/>
      <c r="I5069" s="15"/>
      <c r="J5069" s="3"/>
      <c r="K5069" s="3"/>
      <c r="L5069" s="3"/>
      <c r="M5069" s="3"/>
      <c r="N5069" s="3"/>
      <c r="O5069" s="3"/>
      <c r="P5069" s="3"/>
      <c r="Q5069" s="3"/>
      <c r="R5069" s="3"/>
      <c r="S5069" s="3"/>
      <c r="T5069" s="3"/>
      <c r="U5069" s="3"/>
      <c r="V5069" s="3"/>
      <c r="W5069" s="3"/>
      <c r="X5069" s="3"/>
      <c r="Y5069" s="3"/>
      <c r="Z5069" s="3"/>
      <c r="AA5069" s="3"/>
    </row>
    <row r="5070" ht="105.75" customHeight="1">
      <c r="A5070" s="11"/>
      <c r="B5070" s="12"/>
      <c r="C5070" s="11"/>
      <c r="D5070" s="13"/>
      <c r="E5070" s="14"/>
      <c r="F5070" s="14"/>
      <c r="G5070" s="14"/>
      <c r="H5070" s="15"/>
      <c r="I5070" s="15"/>
      <c r="J5070" s="3"/>
      <c r="K5070" s="3"/>
      <c r="L5070" s="3"/>
      <c r="M5070" s="3"/>
      <c r="N5070" s="3"/>
      <c r="O5070" s="3"/>
      <c r="P5070" s="3"/>
      <c r="Q5070" s="3"/>
      <c r="R5070" s="3"/>
      <c r="S5070" s="3"/>
      <c r="T5070" s="3"/>
      <c r="U5070" s="3"/>
      <c r="V5070" s="3"/>
      <c r="W5070" s="3"/>
      <c r="X5070" s="3"/>
      <c r="Y5070" s="3"/>
      <c r="Z5070" s="3"/>
      <c r="AA5070" s="3"/>
    </row>
    <row r="5071" ht="105.75" customHeight="1">
      <c r="A5071" s="11"/>
      <c r="B5071" s="12"/>
      <c r="C5071" s="11"/>
      <c r="D5071" s="13"/>
      <c r="E5071" s="14"/>
      <c r="F5071" s="14"/>
      <c r="G5071" s="14"/>
      <c r="H5071" s="15"/>
      <c r="I5071" s="15"/>
      <c r="J5071" s="3"/>
      <c r="K5071" s="3"/>
      <c r="L5071" s="3"/>
      <c r="M5071" s="3"/>
      <c r="N5071" s="3"/>
      <c r="O5071" s="3"/>
      <c r="P5071" s="3"/>
      <c r="Q5071" s="3"/>
      <c r="R5071" s="3"/>
      <c r="S5071" s="3"/>
      <c r="T5071" s="3"/>
      <c r="U5071" s="3"/>
      <c r="V5071" s="3"/>
      <c r="W5071" s="3"/>
      <c r="X5071" s="3"/>
      <c r="Y5071" s="3"/>
      <c r="Z5071" s="3"/>
      <c r="AA5071" s="3"/>
    </row>
    <row r="5072" ht="105.75" customHeight="1">
      <c r="A5072" s="11"/>
      <c r="B5072" s="12"/>
      <c r="C5072" s="11"/>
      <c r="D5072" s="13"/>
      <c r="E5072" s="14"/>
      <c r="F5072" s="14"/>
      <c r="G5072" s="14"/>
      <c r="H5072" s="15"/>
      <c r="I5072" s="15"/>
      <c r="J5072" s="3"/>
      <c r="K5072" s="3"/>
      <c r="L5072" s="3"/>
      <c r="M5072" s="3"/>
      <c r="N5072" s="3"/>
      <c r="O5072" s="3"/>
      <c r="P5072" s="3"/>
      <c r="Q5072" s="3"/>
      <c r="R5072" s="3"/>
      <c r="S5072" s="3"/>
      <c r="T5072" s="3"/>
      <c r="U5072" s="3"/>
      <c r="V5072" s="3"/>
      <c r="W5072" s="3"/>
      <c r="X5072" s="3"/>
      <c r="Y5072" s="3"/>
      <c r="Z5072" s="3"/>
      <c r="AA5072" s="3"/>
    </row>
    <row r="5073" ht="105.75" customHeight="1">
      <c r="A5073" s="11"/>
      <c r="B5073" s="12"/>
      <c r="C5073" s="11"/>
      <c r="D5073" s="13"/>
      <c r="E5073" s="14"/>
      <c r="F5073" s="14"/>
      <c r="G5073" s="14"/>
      <c r="H5073" s="15"/>
      <c r="I5073" s="15"/>
      <c r="J5073" s="3"/>
      <c r="K5073" s="3"/>
      <c r="L5073" s="3"/>
      <c r="M5073" s="3"/>
      <c r="N5073" s="3"/>
      <c r="O5073" s="3"/>
      <c r="P5073" s="3"/>
      <c r="Q5073" s="3"/>
      <c r="R5073" s="3"/>
      <c r="S5073" s="3"/>
      <c r="T5073" s="3"/>
      <c r="U5073" s="3"/>
      <c r="V5073" s="3"/>
      <c r="W5073" s="3"/>
      <c r="X5073" s="3"/>
      <c r="Y5073" s="3"/>
      <c r="Z5073" s="3"/>
      <c r="AA5073" s="3"/>
    </row>
    <row r="5074" ht="105.75" customHeight="1">
      <c r="A5074" s="11"/>
      <c r="B5074" s="12"/>
      <c r="C5074" s="11"/>
      <c r="D5074" s="13"/>
      <c r="E5074" s="14"/>
      <c r="F5074" s="14"/>
      <c r="G5074" s="14"/>
      <c r="H5074" s="15"/>
      <c r="I5074" s="15"/>
      <c r="J5074" s="3"/>
      <c r="K5074" s="3"/>
      <c r="L5074" s="3"/>
      <c r="M5074" s="3"/>
      <c r="N5074" s="3"/>
      <c r="O5074" s="3"/>
      <c r="P5074" s="3"/>
      <c r="Q5074" s="3"/>
      <c r="R5074" s="3"/>
      <c r="S5074" s="3"/>
      <c r="T5074" s="3"/>
      <c r="U5074" s="3"/>
      <c r="V5074" s="3"/>
      <c r="W5074" s="3"/>
      <c r="X5074" s="3"/>
      <c r="Y5074" s="3"/>
      <c r="Z5074" s="3"/>
      <c r="AA5074" s="3"/>
    </row>
    <row r="5075" ht="105.75" customHeight="1">
      <c r="A5075" s="11"/>
      <c r="B5075" s="12"/>
      <c r="C5075" s="11"/>
      <c r="D5075" s="13"/>
      <c r="E5075" s="14"/>
      <c r="F5075" s="14"/>
      <c r="G5075" s="14"/>
      <c r="H5075" s="15"/>
      <c r="I5075" s="15"/>
      <c r="J5075" s="3"/>
      <c r="K5075" s="3"/>
      <c r="L5075" s="3"/>
      <c r="M5075" s="3"/>
      <c r="N5075" s="3"/>
      <c r="O5075" s="3"/>
      <c r="P5075" s="3"/>
      <c r="Q5075" s="3"/>
      <c r="R5075" s="3"/>
      <c r="S5075" s="3"/>
      <c r="T5075" s="3"/>
      <c r="U5075" s="3"/>
      <c r="V5075" s="3"/>
      <c r="W5075" s="3"/>
      <c r="X5075" s="3"/>
      <c r="Y5075" s="3"/>
      <c r="Z5075" s="3"/>
      <c r="AA5075" s="3"/>
    </row>
    <row r="5076" ht="105.75" customHeight="1">
      <c r="A5076" s="11"/>
      <c r="B5076" s="12"/>
      <c r="C5076" s="11"/>
      <c r="D5076" s="13"/>
      <c r="E5076" s="14"/>
      <c r="F5076" s="14"/>
      <c r="G5076" s="14"/>
      <c r="H5076" s="15"/>
      <c r="I5076" s="15"/>
      <c r="J5076" s="3"/>
      <c r="K5076" s="3"/>
      <c r="L5076" s="3"/>
      <c r="M5076" s="3"/>
      <c r="N5076" s="3"/>
      <c r="O5076" s="3"/>
      <c r="P5076" s="3"/>
      <c r="Q5076" s="3"/>
      <c r="R5076" s="3"/>
      <c r="S5076" s="3"/>
      <c r="T5076" s="3"/>
      <c r="U5076" s="3"/>
      <c r="V5076" s="3"/>
      <c r="W5076" s="3"/>
      <c r="X5076" s="3"/>
      <c r="Y5076" s="3"/>
      <c r="Z5076" s="3"/>
      <c r="AA5076" s="3"/>
    </row>
    <row r="5077" ht="105.75" customHeight="1">
      <c r="A5077" s="11"/>
      <c r="B5077" s="12"/>
      <c r="C5077" s="11"/>
      <c r="D5077" s="13"/>
      <c r="E5077" s="14"/>
      <c r="F5077" s="14"/>
      <c r="G5077" s="14"/>
      <c r="H5077" s="15"/>
      <c r="I5077" s="15"/>
      <c r="J5077" s="3"/>
      <c r="K5077" s="3"/>
      <c r="L5077" s="3"/>
      <c r="M5077" s="3"/>
      <c r="N5077" s="3"/>
      <c r="O5077" s="3"/>
      <c r="P5077" s="3"/>
      <c r="Q5077" s="3"/>
      <c r="R5077" s="3"/>
      <c r="S5077" s="3"/>
      <c r="T5077" s="3"/>
      <c r="U5077" s="3"/>
      <c r="V5077" s="3"/>
      <c r="W5077" s="3"/>
      <c r="X5077" s="3"/>
      <c r="Y5077" s="3"/>
      <c r="Z5077" s="3"/>
      <c r="AA5077" s="3"/>
    </row>
    <row r="5078" ht="105.75" customHeight="1">
      <c r="A5078" s="11"/>
      <c r="B5078" s="12"/>
      <c r="C5078" s="11"/>
      <c r="D5078" s="13"/>
      <c r="E5078" s="14"/>
      <c r="F5078" s="14"/>
      <c r="G5078" s="14"/>
      <c r="H5078" s="15"/>
      <c r="I5078" s="15"/>
      <c r="J5078" s="3"/>
      <c r="K5078" s="3"/>
      <c r="L5078" s="3"/>
      <c r="M5078" s="3"/>
      <c r="N5078" s="3"/>
      <c r="O5078" s="3"/>
      <c r="P5078" s="3"/>
      <c r="Q5078" s="3"/>
      <c r="R5078" s="3"/>
      <c r="S5078" s="3"/>
      <c r="T5078" s="3"/>
      <c r="U5078" s="3"/>
      <c r="V5078" s="3"/>
      <c r="W5078" s="3"/>
      <c r="X5078" s="3"/>
      <c r="Y5078" s="3"/>
      <c r="Z5078" s="3"/>
      <c r="AA5078" s="3"/>
    </row>
    <row r="5079" ht="105.75" customHeight="1">
      <c r="A5079" s="11"/>
      <c r="B5079" s="12"/>
      <c r="C5079" s="11"/>
      <c r="D5079" s="13"/>
      <c r="E5079" s="14"/>
      <c r="F5079" s="14"/>
      <c r="G5079" s="14"/>
      <c r="H5079" s="15"/>
      <c r="I5079" s="15"/>
      <c r="J5079" s="3"/>
      <c r="K5079" s="3"/>
      <c r="L5079" s="3"/>
      <c r="M5079" s="3"/>
      <c r="N5079" s="3"/>
      <c r="O5079" s="3"/>
      <c r="P5079" s="3"/>
      <c r="Q5079" s="3"/>
      <c r="R5079" s="3"/>
      <c r="S5079" s="3"/>
      <c r="T5079" s="3"/>
      <c r="U5079" s="3"/>
      <c r="V5079" s="3"/>
      <c r="W5079" s="3"/>
      <c r="X5079" s="3"/>
      <c r="Y5079" s="3"/>
      <c r="Z5079" s="3"/>
      <c r="AA5079" s="3"/>
    </row>
    <row r="5080" ht="105.75" customHeight="1">
      <c r="A5080" s="11"/>
      <c r="B5080" s="12"/>
      <c r="C5080" s="11"/>
      <c r="D5080" s="13"/>
      <c r="E5080" s="14"/>
      <c r="F5080" s="14"/>
      <c r="G5080" s="14"/>
      <c r="H5080" s="15"/>
      <c r="I5080" s="15"/>
      <c r="J5080" s="3"/>
      <c r="K5080" s="3"/>
      <c r="L5080" s="3"/>
      <c r="M5080" s="3"/>
      <c r="N5080" s="3"/>
      <c r="O5080" s="3"/>
      <c r="P5080" s="3"/>
      <c r="Q5080" s="3"/>
      <c r="R5080" s="3"/>
      <c r="S5080" s="3"/>
      <c r="T5080" s="3"/>
      <c r="U5080" s="3"/>
      <c r="V5080" s="3"/>
      <c r="W5080" s="3"/>
      <c r="X5080" s="3"/>
      <c r="Y5080" s="3"/>
      <c r="Z5080" s="3"/>
      <c r="AA5080" s="3"/>
    </row>
    <row r="5081" ht="105.75" customHeight="1">
      <c r="A5081" s="11"/>
      <c r="B5081" s="12"/>
      <c r="C5081" s="11"/>
      <c r="D5081" s="13"/>
      <c r="E5081" s="14"/>
      <c r="F5081" s="14"/>
      <c r="G5081" s="14"/>
      <c r="H5081" s="15"/>
      <c r="I5081" s="15"/>
      <c r="J5081" s="3"/>
      <c r="K5081" s="3"/>
      <c r="L5081" s="3"/>
      <c r="M5081" s="3"/>
      <c r="N5081" s="3"/>
      <c r="O5081" s="3"/>
      <c r="P5081" s="3"/>
      <c r="Q5081" s="3"/>
      <c r="R5081" s="3"/>
      <c r="S5081" s="3"/>
      <c r="T5081" s="3"/>
      <c r="U5081" s="3"/>
      <c r="V5081" s="3"/>
      <c r="W5081" s="3"/>
      <c r="X5081" s="3"/>
      <c r="Y5081" s="3"/>
      <c r="Z5081" s="3"/>
      <c r="AA5081" s="3"/>
    </row>
    <row r="5082" ht="105.75" customHeight="1">
      <c r="A5082" s="11"/>
      <c r="B5082" s="12"/>
      <c r="C5082" s="11"/>
      <c r="D5082" s="13"/>
      <c r="E5082" s="14"/>
      <c r="F5082" s="14"/>
      <c r="G5082" s="14"/>
      <c r="H5082" s="15"/>
      <c r="I5082" s="15"/>
      <c r="J5082" s="3"/>
      <c r="K5082" s="3"/>
      <c r="L5082" s="3"/>
      <c r="M5082" s="3"/>
      <c r="N5082" s="3"/>
      <c r="O5082" s="3"/>
      <c r="P5082" s="3"/>
      <c r="Q5082" s="3"/>
      <c r="R5082" s="3"/>
      <c r="S5082" s="3"/>
      <c r="T5082" s="3"/>
      <c r="U5082" s="3"/>
      <c r="V5082" s="3"/>
      <c r="W5082" s="3"/>
      <c r="X5082" s="3"/>
      <c r="Y5082" s="3"/>
      <c r="Z5082" s="3"/>
      <c r="AA5082" s="3"/>
    </row>
    <row r="5083" ht="105.75" customHeight="1">
      <c r="A5083" s="11"/>
      <c r="B5083" s="12"/>
      <c r="C5083" s="11"/>
      <c r="D5083" s="13"/>
      <c r="E5083" s="14"/>
      <c r="F5083" s="14"/>
      <c r="G5083" s="14"/>
      <c r="H5083" s="15"/>
      <c r="I5083" s="15"/>
      <c r="J5083" s="3"/>
      <c r="K5083" s="3"/>
      <c r="L5083" s="3"/>
      <c r="M5083" s="3"/>
      <c r="N5083" s="3"/>
      <c r="O5083" s="3"/>
      <c r="P5083" s="3"/>
      <c r="Q5083" s="3"/>
      <c r="R5083" s="3"/>
      <c r="S5083" s="3"/>
      <c r="T5083" s="3"/>
      <c r="U5083" s="3"/>
      <c r="V5083" s="3"/>
      <c r="W5083" s="3"/>
      <c r="X5083" s="3"/>
      <c r="Y5083" s="3"/>
      <c r="Z5083" s="3"/>
      <c r="AA5083" s="3"/>
    </row>
    <row r="5084" ht="105.75" customHeight="1">
      <c r="A5084" s="11"/>
      <c r="B5084" s="12"/>
      <c r="C5084" s="11"/>
      <c r="D5084" s="13"/>
      <c r="E5084" s="14"/>
      <c r="F5084" s="14"/>
      <c r="G5084" s="14"/>
      <c r="H5084" s="15"/>
      <c r="I5084" s="15"/>
      <c r="J5084" s="3"/>
      <c r="K5084" s="3"/>
      <c r="L5084" s="3"/>
      <c r="M5084" s="3"/>
      <c r="N5084" s="3"/>
      <c r="O5084" s="3"/>
      <c r="P5084" s="3"/>
      <c r="Q5084" s="3"/>
      <c r="R5084" s="3"/>
      <c r="S5084" s="3"/>
      <c r="T5084" s="3"/>
      <c r="U5084" s="3"/>
      <c r="V5084" s="3"/>
      <c r="W5084" s="3"/>
      <c r="X5084" s="3"/>
      <c r="Y5084" s="3"/>
      <c r="Z5084" s="3"/>
      <c r="AA5084" s="3"/>
    </row>
    <row r="5085" ht="105.75" customHeight="1">
      <c r="A5085" s="11"/>
      <c r="B5085" s="12"/>
      <c r="C5085" s="11"/>
      <c r="D5085" s="13"/>
      <c r="E5085" s="14"/>
      <c r="F5085" s="14"/>
      <c r="G5085" s="14"/>
      <c r="H5085" s="15"/>
      <c r="I5085" s="15"/>
      <c r="J5085" s="3"/>
      <c r="K5085" s="3"/>
      <c r="L5085" s="3"/>
      <c r="M5085" s="3"/>
      <c r="N5085" s="3"/>
      <c r="O5085" s="3"/>
      <c r="P5085" s="3"/>
      <c r="Q5085" s="3"/>
      <c r="R5085" s="3"/>
      <c r="S5085" s="3"/>
      <c r="T5085" s="3"/>
      <c r="U5085" s="3"/>
      <c r="V5085" s="3"/>
      <c r="W5085" s="3"/>
      <c r="X5085" s="3"/>
      <c r="Y5085" s="3"/>
      <c r="Z5085" s="3"/>
      <c r="AA5085" s="3"/>
    </row>
    <row r="5086" ht="105.75" customHeight="1">
      <c r="A5086" s="11"/>
      <c r="B5086" s="12"/>
      <c r="C5086" s="11"/>
      <c r="D5086" s="13"/>
      <c r="E5086" s="14"/>
      <c r="F5086" s="14"/>
      <c r="G5086" s="14"/>
      <c r="H5086" s="15"/>
      <c r="I5086" s="15"/>
      <c r="J5086" s="3"/>
      <c r="K5086" s="3"/>
      <c r="L5086" s="3"/>
      <c r="M5086" s="3"/>
      <c r="N5086" s="3"/>
      <c r="O5086" s="3"/>
      <c r="P5086" s="3"/>
      <c r="Q5086" s="3"/>
      <c r="R5086" s="3"/>
      <c r="S5086" s="3"/>
      <c r="T5086" s="3"/>
      <c r="U5086" s="3"/>
      <c r="V5086" s="3"/>
      <c r="W5086" s="3"/>
      <c r="X5086" s="3"/>
      <c r="Y5086" s="3"/>
      <c r="Z5086" s="3"/>
      <c r="AA5086" s="3"/>
    </row>
    <row r="5087" ht="105.75" customHeight="1">
      <c r="A5087" s="11"/>
      <c r="B5087" s="12"/>
      <c r="C5087" s="11"/>
      <c r="D5087" s="13"/>
      <c r="E5087" s="14"/>
      <c r="F5087" s="14"/>
      <c r="G5087" s="14"/>
      <c r="H5087" s="15"/>
      <c r="I5087" s="15"/>
      <c r="J5087" s="3"/>
      <c r="K5087" s="3"/>
      <c r="L5087" s="3"/>
      <c r="M5087" s="3"/>
      <c r="N5087" s="3"/>
      <c r="O5087" s="3"/>
      <c r="P5087" s="3"/>
      <c r="Q5087" s="3"/>
      <c r="R5087" s="3"/>
      <c r="S5087" s="3"/>
      <c r="T5087" s="3"/>
      <c r="U5087" s="3"/>
      <c r="V5087" s="3"/>
      <c r="W5087" s="3"/>
      <c r="X5087" s="3"/>
      <c r="Y5087" s="3"/>
      <c r="Z5087" s="3"/>
      <c r="AA5087" s="3"/>
    </row>
    <row r="5088" ht="105.75" customHeight="1">
      <c r="A5088" s="11"/>
      <c r="B5088" s="12"/>
      <c r="C5088" s="11"/>
      <c r="D5088" s="13"/>
      <c r="E5088" s="14"/>
      <c r="F5088" s="14"/>
      <c r="G5088" s="14"/>
      <c r="H5088" s="15"/>
      <c r="I5088" s="15"/>
      <c r="J5088" s="3"/>
      <c r="K5088" s="3"/>
      <c r="L5088" s="3"/>
      <c r="M5088" s="3"/>
      <c r="N5088" s="3"/>
      <c r="O5088" s="3"/>
      <c r="P5088" s="3"/>
      <c r="Q5088" s="3"/>
      <c r="R5088" s="3"/>
      <c r="S5088" s="3"/>
      <c r="T5088" s="3"/>
      <c r="U5088" s="3"/>
      <c r="V5088" s="3"/>
      <c r="W5088" s="3"/>
      <c r="X5088" s="3"/>
      <c r="Y5088" s="3"/>
      <c r="Z5088" s="3"/>
      <c r="AA5088" s="3"/>
    </row>
    <row r="5089" ht="105.75" customHeight="1">
      <c r="A5089" s="11"/>
      <c r="B5089" s="12"/>
      <c r="C5089" s="11"/>
      <c r="D5089" s="13"/>
      <c r="E5089" s="14"/>
      <c r="F5089" s="14"/>
      <c r="G5089" s="14"/>
      <c r="H5089" s="15"/>
      <c r="I5089" s="15"/>
      <c r="J5089" s="3"/>
      <c r="K5089" s="3"/>
      <c r="L5089" s="3"/>
      <c r="M5089" s="3"/>
      <c r="N5089" s="3"/>
      <c r="O5089" s="3"/>
      <c r="P5089" s="3"/>
      <c r="Q5089" s="3"/>
      <c r="R5089" s="3"/>
      <c r="S5089" s="3"/>
      <c r="T5089" s="3"/>
      <c r="U5089" s="3"/>
      <c r="V5089" s="3"/>
      <c r="W5089" s="3"/>
      <c r="X5089" s="3"/>
      <c r="Y5089" s="3"/>
      <c r="Z5089" s="3"/>
      <c r="AA5089" s="3"/>
    </row>
    <row r="5090" ht="105.75" customHeight="1">
      <c r="A5090" s="11"/>
      <c r="B5090" s="12"/>
      <c r="C5090" s="11"/>
      <c r="D5090" s="13"/>
      <c r="E5090" s="14"/>
      <c r="F5090" s="14"/>
      <c r="G5090" s="14"/>
      <c r="H5090" s="15"/>
      <c r="I5090" s="15"/>
      <c r="J5090" s="3"/>
      <c r="K5090" s="3"/>
      <c r="L5090" s="3"/>
      <c r="M5090" s="3"/>
      <c r="N5090" s="3"/>
      <c r="O5090" s="3"/>
      <c r="P5090" s="3"/>
      <c r="Q5090" s="3"/>
      <c r="R5090" s="3"/>
      <c r="S5090" s="3"/>
      <c r="T5090" s="3"/>
      <c r="U5090" s="3"/>
      <c r="V5090" s="3"/>
      <c r="W5090" s="3"/>
      <c r="X5090" s="3"/>
      <c r="Y5090" s="3"/>
      <c r="Z5090" s="3"/>
      <c r="AA5090" s="3"/>
    </row>
    <row r="5091" ht="105.75" customHeight="1">
      <c r="A5091" s="11"/>
      <c r="B5091" s="12"/>
      <c r="C5091" s="11"/>
      <c r="D5091" s="13"/>
      <c r="E5091" s="14"/>
      <c r="F5091" s="14"/>
      <c r="G5091" s="14"/>
      <c r="H5091" s="15"/>
      <c r="I5091" s="15"/>
      <c r="J5091" s="3"/>
      <c r="K5091" s="3"/>
      <c r="L5091" s="3"/>
      <c r="M5091" s="3"/>
      <c r="N5091" s="3"/>
      <c r="O5091" s="3"/>
      <c r="P5091" s="3"/>
      <c r="Q5091" s="3"/>
      <c r="R5091" s="3"/>
      <c r="S5091" s="3"/>
      <c r="T5091" s="3"/>
      <c r="U5091" s="3"/>
      <c r="V5091" s="3"/>
      <c r="W5091" s="3"/>
      <c r="X5091" s="3"/>
      <c r="Y5091" s="3"/>
      <c r="Z5091" s="3"/>
      <c r="AA5091" s="3"/>
    </row>
    <row r="5092" ht="105.75" customHeight="1">
      <c r="A5092" s="11"/>
      <c r="B5092" s="12"/>
      <c r="C5092" s="11"/>
      <c r="D5092" s="13"/>
      <c r="E5092" s="14"/>
      <c r="F5092" s="14"/>
      <c r="G5092" s="14"/>
      <c r="H5092" s="15"/>
      <c r="I5092" s="15"/>
      <c r="J5092" s="3"/>
      <c r="K5092" s="3"/>
      <c r="L5092" s="3"/>
      <c r="M5092" s="3"/>
      <c r="N5092" s="3"/>
      <c r="O5092" s="3"/>
      <c r="P5092" s="3"/>
      <c r="Q5092" s="3"/>
      <c r="R5092" s="3"/>
      <c r="S5092" s="3"/>
      <c r="T5092" s="3"/>
      <c r="U5092" s="3"/>
      <c r="V5092" s="3"/>
      <c r="W5092" s="3"/>
      <c r="X5092" s="3"/>
      <c r="Y5092" s="3"/>
      <c r="Z5092" s="3"/>
      <c r="AA5092" s="3"/>
    </row>
    <row r="5093" ht="105.75" customHeight="1">
      <c r="A5093" s="11"/>
      <c r="B5093" s="12"/>
      <c r="C5093" s="11"/>
      <c r="D5093" s="13"/>
      <c r="E5093" s="14"/>
      <c r="F5093" s="14"/>
      <c r="G5093" s="14"/>
      <c r="H5093" s="15"/>
      <c r="I5093" s="15"/>
      <c r="J5093" s="3"/>
      <c r="K5093" s="3"/>
      <c r="L5093" s="3"/>
      <c r="M5093" s="3"/>
      <c r="N5093" s="3"/>
      <c r="O5093" s="3"/>
      <c r="P5093" s="3"/>
      <c r="Q5093" s="3"/>
      <c r="R5093" s="3"/>
      <c r="S5093" s="3"/>
      <c r="T5093" s="3"/>
      <c r="U5093" s="3"/>
      <c r="V5093" s="3"/>
      <c r="W5093" s="3"/>
      <c r="X5093" s="3"/>
      <c r="Y5093" s="3"/>
      <c r="Z5093" s="3"/>
      <c r="AA5093" s="3"/>
    </row>
    <row r="5094" ht="105.75" customHeight="1">
      <c r="A5094" s="11"/>
      <c r="B5094" s="12"/>
      <c r="C5094" s="11"/>
      <c r="D5094" s="13"/>
      <c r="E5094" s="14"/>
      <c r="F5094" s="14"/>
      <c r="G5094" s="14"/>
      <c r="H5094" s="15"/>
      <c r="I5094" s="15"/>
      <c r="J5094" s="3"/>
      <c r="K5094" s="3"/>
      <c r="L5094" s="3"/>
      <c r="M5094" s="3"/>
      <c r="N5094" s="3"/>
      <c r="O5094" s="3"/>
      <c r="P5094" s="3"/>
      <c r="Q5094" s="3"/>
      <c r="R5094" s="3"/>
      <c r="S5094" s="3"/>
      <c r="T5094" s="3"/>
      <c r="U5094" s="3"/>
      <c r="V5094" s="3"/>
      <c r="W5094" s="3"/>
      <c r="X5094" s="3"/>
      <c r="Y5094" s="3"/>
      <c r="Z5094" s="3"/>
      <c r="AA5094" s="3"/>
    </row>
    <row r="5095" ht="105.75" customHeight="1">
      <c r="A5095" s="11"/>
      <c r="B5095" s="12"/>
      <c r="C5095" s="11"/>
      <c r="D5095" s="13"/>
      <c r="E5095" s="14"/>
      <c r="F5095" s="14"/>
      <c r="G5095" s="14"/>
      <c r="H5095" s="15"/>
      <c r="I5095" s="15"/>
      <c r="J5095" s="3"/>
      <c r="K5095" s="3"/>
      <c r="L5095" s="3"/>
      <c r="M5095" s="3"/>
      <c r="N5095" s="3"/>
      <c r="O5095" s="3"/>
      <c r="P5095" s="3"/>
      <c r="Q5095" s="3"/>
      <c r="R5095" s="3"/>
      <c r="S5095" s="3"/>
      <c r="T5095" s="3"/>
      <c r="U5095" s="3"/>
      <c r="V5095" s="3"/>
      <c r="W5095" s="3"/>
      <c r="X5095" s="3"/>
      <c r="Y5095" s="3"/>
      <c r="Z5095" s="3"/>
      <c r="AA5095" s="3"/>
    </row>
    <row r="5096" ht="105.75" customHeight="1">
      <c r="A5096" s="11"/>
      <c r="B5096" s="12"/>
      <c r="C5096" s="11"/>
      <c r="D5096" s="13"/>
      <c r="E5096" s="14"/>
      <c r="F5096" s="14"/>
      <c r="G5096" s="14"/>
      <c r="H5096" s="15"/>
      <c r="I5096" s="15"/>
      <c r="J5096" s="3"/>
      <c r="K5096" s="3"/>
      <c r="L5096" s="3"/>
      <c r="M5096" s="3"/>
      <c r="N5096" s="3"/>
      <c r="O5096" s="3"/>
      <c r="P5096" s="3"/>
      <c r="Q5096" s="3"/>
      <c r="R5096" s="3"/>
      <c r="S5096" s="3"/>
      <c r="T5096" s="3"/>
      <c r="U5096" s="3"/>
      <c r="V5096" s="3"/>
      <c r="W5096" s="3"/>
      <c r="X5096" s="3"/>
      <c r="Y5096" s="3"/>
      <c r="Z5096" s="3"/>
      <c r="AA5096" s="3"/>
    </row>
    <row r="5097" ht="105.75" customHeight="1">
      <c r="A5097" s="11"/>
      <c r="B5097" s="12"/>
      <c r="C5097" s="11"/>
      <c r="D5097" s="13"/>
      <c r="E5097" s="14"/>
      <c r="F5097" s="14"/>
      <c r="G5097" s="14"/>
      <c r="H5097" s="15"/>
      <c r="I5097" s="15"/>
      <c r="J5097" s="3"/>
      <c r="K5097" s="3"/>
      <c r="L5097" s="3"/>
      <c r="M5097" s="3"/>
      <c r="N5097" s="3"/>
      <c r="O5097" s="3"/>
      <c r="P5097" s="3"/>
      <c r="Q5097" s="3"/>
      <c r="R5097" s="3"/>
      <c r="S5097" s="3"/>
      <c r="T5097" s="3"/>
      <c r="U5097" s="3"/>
      <c r="V5097" s="3"/>
      <c r="W5097" s="3"/>
      <c r="X5097" s="3"/>
      <c r="Y5097" s="3"/>
      <c r="Z5097" s="3"/>
      <c r="AA5097" s="3"/>
    </row>
    <row r="5098" ht="105.75" customHeight="1">
      <c r="A5098" s="11"/>
      <c r="B5098" s="12"/>
      <c r="C5098" s="11"/>
      <c r="D5098" s="13"/>
      <c r="E5098" s="14"/>
      <c r="F5098" s="14"/>
      <c r="G5098" s="14"/>
      <c r="H5098" s="15"/>
      <c r="I5098" s="15"/>
      <c r="J5098" s="3"/>
      <c r="K5098" s="3"/>
      <c r="L5098" s="3"/>
      <c r="M5098" s="3"/>
      <c r="N5098" s="3"/>
      <c r="O5098" s="3"/>
      <c r="P5098" s="3"/>
      <c r="Q5098" s="3"/>
      <c r="R5098" s="3"/>
      <c r="S5098" s="3"/>
      <c r="T5098" s="3"/>
      <c r="U5098" s="3"/>
      <c r="V5098" s="3"/>
      <c r="W5098" s="3"/>
      <c r="X5098" s="3"/>
      <c r="Y5098" s="3"/>
      <c r="Z5098" s="3"/>
      <c r="AA5098" s="3"/>
    </row>
    <row r="5099" ht="105.75" customHeight="1">
      <c r="A5099" s="11"/>
      <c r="B5099" s="12"/>
      <c r="C5099" s="11"/>
      <c r="D5099" s="13"/>
      <c r="E5099" s="14"/>
      <c r="F5099" s="14"/>
      <c r="G5099" s="14"/>
      <c r="H5099" s="15"/>
      <c r="I5099" s="15"/>
      <c r="J5099" s="3"/>
      <c r="K5099" s="3"/>
      <c r="L5099" s="3"/>
      <c r="M5099" s="3"/>
      <c r="N5099" s="3"/>
      <c r="O5099" s="3"/>
      <c r="P5099" s="3"/>
      <c r="Q5099" s="3"/>
      <c r="R5099" s="3"/>
      <c r="S5099" s="3"/>
      <c r="T5099" s="3"/>
      <c r="U5099" s="3"/>
      <c r="V5099" s="3"/>
      <c r="W5099" s="3"/>
      <c r="X5099" s="3"/>
      <c r="Y5099" s="3"/>
      <c r="Z5099" s="3"/>
      <c r="AA5099" s="3"/>
    </row>
    <row r="5100" ht="105.75" customHeight="1">
      <c r="A5100" s="11"/>
      <c r="B5100" s="12"/>
      <c r="C5100" s="11"/>
      <c r="D5100" s="13"/>
      <c r="E5100" s="14"/>
      <c r="F5100" s="14"/>
      <c r="G5100" s="14"/>
      <c r="H5100" s="15"/>
      <c r="I5100" s="15"/>
      <c r="J5100" s="3"/>
      <c r="K5100" s="3"/>
      <c r="L5100" s="3"/>
      <c r="M5100" s="3"/>
      <c r="N5100" s="3"/>
      <c r="O5100" s="3"/>
      <c r="P5100" s="3"/>
      <c r="Q5100" s="3"/>
      <c r="R5100" s="3"/>
      <c r="S5100" s="3"/>
      <c r="T5100" s="3"/>
      <c r="U5100" s="3"/>
      <c r="V5100" s="3"/>
      <c r="W5100" s="3"/>
      <c r="X5100" s="3"/>
      <c r="Y5100" s="3"/>
      <c r="Z5100" s="3"/>
      <c r="AA5100" s="3"/>
    </row>
    <row r="5101" ht="105.75" customHeight="1">
      <c r="A5101" s="11"/>
      <c r="B5101" s="12"/>
      <c r="C5101" s="11"/>
      <c r="D5101" s="13"/>
      <c r="E5101" s="14"/>
      <c r="F5101" s="14"/>
      <c r="G5101" s="14"/>
      <c r="H5101" s="15"/>
      <c r="I5101" s="15"/>
      <c r="J5101" s="3"/>
      <c r="K5101" s="3"/>
      <c r="L5101" s="3"/>
      <c r="M5101" s="3"/>
      <c r="N5101" s="3"/>
      <c r="O5101" s="3"/>
      <c r="P5101" s="3"/>
      <c r="Q5101" s="3"/>
      <c r="R5101" s="3"/>
      <c r="S5101" s="3"/>
      <c r="T5101" s="3"/>
      <c r="U5101" s="3"/>
      <c r="V5101" s="3"/>
      <c r="W5101" s="3"/>
      <c r="X5101" s="3"/>
      <c r="Y5101" s="3"/>
      <c r="Z5101" s="3"/>
      <c r="AA5101" s="3"/>
    </row>
    <row r="5102" ht="105.75" customHeight="1">
      <c r="A5102" s="11"/>
      <c r="B5102" s="12"/>
      <c r="C5102" s="11"/>
      <c r="D5102" s="13"/>
      <c r="E5102" s="14"/>
      <c r="F5102" s="14"/>
      <c r="G5102" s="14"/>
      <c r="H5102" s="15"/>
      <c r="I5102" s="15"/>
      <c r="J5102" s="3"/>
      <c r="K5102" s="3"/>
      <c r="L5102" s="3"/>
      <c r="M5102" s="3"/>
      <c r="N5102" s="3"/>
      <c r="O5102" s="3"/>
      <c r="P5102" s="3"/>
      <c r="Q5102" s="3"/>
      <c r="R5102" s="3"/>
      <c r="S5102" s="3"/>
      <c r="T5102" s="3"/>
      <c r="U5102" s="3"/>
      <c r="V5102" s="3"/>
      <c r="W5102" s="3"/>
      <c r="X5102" s="3"/>
      <c r="Y5102" s="3"/>
      <c r="Z5102" s="3"/>
      <c r="AA5102" s="3"/>
    </row>
    <row r="5103" ht="105.75" customHeight="1">
      <c r="A5103" s="11"/>
      <c r="B5103" s="12"/>
      <c r="C5103" s="11"/>
      <c r="D5103" s="13"/>
      <c r="E5103" s="14"/>
      <c r="F5103" s="14"/>
      <c r="G5103" s="14"/>
      <c r="H5103" s="15"/>
      <c r="I5103" s="15"/>
      <c r="J5103" s="3"/>
      <c r="K5103" s="3"/>
      <c r="L5103" s="3"/>
      <c r="M5103" s="3"/>
      <c r="N5103" s="3"/>
      <c r="O5103" s="3"/>
      <c r="P5103" s="3"/>
      <c r="Q5103" s="3"/>
      <c r="R5103" s="3"/>
      <c r="S5103" s="3"/>
      <c r="T5103" s="3"/>
      <c r="U5103" s="3"/>
      <c r="V5103" s="3"/>
      <c r="W5103" s="3"/>
      <c r="X5103" s="3"/>
      <c r="Y5103" s="3"/>
      <c r="Z5103" s="3"/>
      <c r="AA5103" s="3"/>
    </row>
    <row r="5104" ht="105.75" customHeight="1">
      <c r="A5104" s="11"/>
      <c r="B5104" s="12"/>
      <c r="C5104" s="11"/>
      <c r="D5104" s="13"/>
      <c r="E5104" s="14"/>
      <c r="F5104" s="14"/>
      <c r="G5104" s="14"/>
      <c r="H5104" s="15"/>
      <c r="I5104" s="15"/>
      <c r="J5104" s="3"/>
      <c r="K5104" s="3"/>
      <c r="L5104" s="3"/>
      <c r="M5104" s="3"/>
      <c r="N5104" s="3"/>
      <c r="O5104" s="3"/>
      <c r="P5104" s="3"/>
      <c r="Q5104" s="3"/>
      <c r="R5104" s="3"/>
      <c r="S5104" s="3"/>
      <c r="T5104" s="3"/>
      <c r="U5104" s="3"/>
      <c r="V5104" s="3"/>
      <c r="W5104" s="3"/>
      <c r="X5104" s="3"/>
      <c r="Y5104" s="3"/>
      <c r="Z5104" s="3"/>
      <c r="AA5104" s="3"/>
    </row>
    <row r="5105" ht="105.75" customHeight="1">
      <c r="A5105" s="11"/>
      <c r="B5105" s="12"/>
      <c r="C5105" s="11"/>
      <c r="D5105" s="13"/>
      <c r="E5105" s="14"/>
      <c r="F5105" s="14"/>
      <c r="G5105" s="14"/>
      <c r="H5105" s="15"/>
      <c r="I5105" s="15"/>
      <c r="J5105" s="3"/>
      <c r="K5105" s="3"/>
      <c r="L5105" s="3"/>
      <c r="M5105" s="3"/>
      <c r="N5105" s="3"/>
      <c r="O5105" s="3"/>
      <c r="P5105" s="3"/>
      <c r="Q5105" s="3"/>
      <c r="R5105" s="3"/>
      <c r="S5105" s="3"/>
      <c r="T5105" s="3"/>
      <c r="U5105" s="3"/>
      <c r="V5105" s="3"/>
      <c r="W5105" s="3"/>
      <c r="X5105" s="3"/>
      <c r="Y5105" s="3"/>
      <c r="Z5105" s="3"/>
      <c r="AA5105" s="3"/>
    </row>
    <row r="5106" ht="105.75" customHeight="1">
      <c r="A5106" s="11"/>
      <c r="B5106" s="12"/>
      <c r="C5106" s="11"/>
      <c r="D5106" s="13"/>
      <c r="E5106" s="14"/>
      <c r="F5106" s="14"/>
      <c r="G5106" s="14"/>
      <c r="H5106" s="15"/>
      <c r="I5106" s="15"/>
      <c r="J5106" s="3"/>
      <c r="K5106" s="3"/>
      <c r="L5106" s="3"/>
      <c r="M5106" s="3"/>
      <c r="N5106" s="3"/>
      <c r="O5106" s="3"/>
      <c r="P5106" s="3"/>
      <c r="Q5106" s="3"/>
      <c r="R5106" s="3"/>
      <c r="S5106" s="3"/>
      <c r="T5106" s="3"/>
      <c r="U5106" s="3"/>
      <c r="V5106" s="3"/>
      <c r="W5106" s="3"/>
      <c r="X5106" s="3"/>
      <c r="Y5106" s="3"/>
      <c r="Z5106" s="3"/>
      <c r="AA5106" s="3"/>
    </row>
    <row r="5107" ht="105.75" customHeight="1">
      <c r="A5107" s="11"/>
      <c r="B5107" s="12"/>
      <c r="C5107" s="11"/>
      <c r="D5107" s="13"/>
      <c r="E5107" s="14"/>
      <c r="F5107" s="14"/>
      <c r="G5107" s="14"/>
      <c r="H5107" s="15"/>
      <c r="I5107" s="15"/>
      <c r="J5107" s="3"/>
      <c r="K5107" s="3"/>
      <c r="L5107" s="3"/>
      <c r="M5107" s="3"/>
      <c r="N5107" s="3"/>
      <c r="O5107" s="3"/>
      <c r="P5107" s="3"/>
      <c r="Q5107" s="3"/>
      <c r="R5107" s="3"/>
      <c r="S5107" s="3"/>
      <c r="T5107" s="3"/>
      <c r="U5107" s="3"/>
      <c r="V5107" s="3"/>
      <c r="W5107" s="3"/>
      <c r="X5107" s="3"/>
      <c r="Y5107" s="3"/>
      <c r="Z5107" s="3"/>
      <c r="AA5107" s="3"/>
    </row>
    <row r="5108" ht="105.75" customHeight="1">
      <c r="A5108" s="11"/>
      <c r="B5108" s="12"/>
      <c r="C5108" s="11"/>
      <c r="D5108" s="13"/>
      <c r="E5108" s="14"/>
      <c r="F5108" s="14"/>
      <c r="G5108" s="14"/>
      <c r="H5108" s="15"/>
      <c r="I5108" s="15"/>
      <c r="J5108" s="3"/>
      <c r="K5108" s="3"/>
      <c r="L5108" s="3"/>
      <c r="M5108" s="3"/>
      <c r="N5108" s="3"/>
      <c r="O5108" s="3"/>
      <c r="P5108" s="3"/>
      <c r="Q5108" s="3"/>
      <c r="R5108" s="3"/>
      <c r="S5108" s="3"/>
      <c r="T5108" s="3"/>
      <c r="U5108" s="3"/>
      <c r="V5108" s="3"/>
      <c r="W5108" s="3"/>
      <c r="X5108" s="3"/>
      <c r="Y5108" s="3"/>
      <c r="Z5108" s="3"/>
      <c r="AA5108" s="3"/>
    </row>
    <row r="5109" ht="105.75" customHeight="1">
      <c r="A5109" s="11"/>
      <c r="B5109" s="12"/>
      <c r="C5109" s="11"/>
      <c r="D5109" s="13"/>
      <c r="E5109" s="14"/>
      <c r="F5109" s="14"/>
      <c r="G5109" s="14"/>
      <c r="H5109" s="15"/>
      <c r="I5109" s="15"/>
      <c r="J5109" s="3"/>
      <c r="K5109" s="3"/>
      <c r="L5109" s="3"/>
      <c r="M5109" s="3"/>
      <c r="N5109" s="3"/>
      <c r="O5109" s="3"/>
      <c r="P5109" s="3"/>
      <c r="Q5109" s="3"/>
      <c r="R5109" s="3"/>
      <c r="S5109" s="3"/>
      <c r="T5109" s="3"/>
      <c r="U5109" s="3"/>
      <c r="V5109" s="3"/>
      <c r="W5109" s="3"/>
      <c r="X5109" s="3"/>
      <c r="Y5109" s="3"/>
      <c r="Z5109" s="3"/>
      <c r="AA5109" s="3"/>
    </row>
    <row r="5110" ht="105.75" customHeight="1">
      <c r="A5110" s="11"/>
      <c r="B5110" s="12"/>
      <c r="C5110" s="11"/>
      <c r="D5110" s="13"/>
      <c r="E5110" s="14"/>
      <c r="F5110" s="14"/>
      <c r="G5110" s="14"/>
      <c r="H5110" s="15"/>
      <c r="I5110" s="15"/>
      <c r="J5110" s="3"/>
      <c r="K5110" s="3"/>
      <c r="L5110" s="3"/>
      <c r="M5110" s="3"/>
      <c r="N5110" s="3"/>
      <c r="O5110" s="3"/>
      <c r="P5110" s="3"/>
      <c r="Q5110" s="3"/>
      <c r="R5110" s="3"/>
      <c r="S5110" s="3"/>
      <c r="T5110" s="3"/>
      <c r="U5110" s="3"/>
      <c r="V5110" s="3"/>
      <c r="W5110" s="3"/>
      <c r="X5110" s="3"/>
      <c r="Y5110" s="3"/>
      <c r="Z5110" s="3"/>
      <c r="AA5110" s="3"/>
    </row>
    <row r="5111" ht="105.75" customHeight="1">
      <c r="A5111" s="11"/>
      <c r="B5111" s="12"/>
      <c r="C5111" s="11"/>
      <c r="D5111" s="13"/>
      <c r="E5111" s="14"/>
      <c r="F5111" s="14"/>
      <c r="G5111" s="14"/>
      <c r="H5111" s="15"/>
      <c r="I5111" s="15"/>
      <c r="J5111" s="3"/>
      <c r="K5111" s="3"/>
      <c r="L5111" s="3"/>
      <c r="M5111" s="3"/>
      <c r="N5111" s="3"/>
      <c r="O5111" s="3"/>
      <c r="P5111" s="3"/>
      <c r="Q5111" s="3"/>
      <c r="R5111" s="3"/>
      <c r="S5111" s="3"/>
      <c r="T5111" s="3"/>
      <c r="U5111" s="3"/>
      <c r="V5111" s="3"/>
      <c r="W5111" s="3"/>
      <c r="X5111" s="3"/>
      <c r="Y5111" s="3"/>
      <c r="Z5111" s="3"/>
      <c r="AA5111" s="3"/>
    </row>
    <row r="5112" ht="105.75" customHeight="1">
      <c r="A5112" s="11"/>
      <c r="B5112" s="12"/>
      <c r="C5112" s="11"/>
      <c r="D5112" s="13"/>
      <c r="E5112" s="14"/>
      <c r="F5112" s="14"/>
      <c r="G5112" s="14"/>
      <c r="H5112" s="15"/>
      <c r="I5112" s="15"/>
      <c r="J5112" s="3"/>
      <c r="K5112" s="3"/>
      <c r="L5112" s="3"/>
      <c r="M5112" s="3"/>
      <c r="N5112" s="3"/>
      <c r="O5112" s="3"/>
      <c r="P5112" s="3"/>
      <c r="Q5112" s="3"/>
      <c r="R5112" s="3"/>
      <c r="S5112" s="3"/>
      <c r="T5112" s="3"/>
      <c r="U5112" s="3"/>
      <c r="V5112" s="3"/>
      <c r="W5112" s="3"/>
      <c r="X5112" s="3"/>
      <c r="Y5112" s="3"/>
      <c r="Z5112" s="3"/>
      <c r="AA5112" s="3"/>
    </row>
    <row r="5113" ht="105.75" customHeight="1">
      <c r="A5113" s="11"/>
      <c r="B5113" s="12"/>
      <c r="C5113" s="11"/>
      <c r="D5113" s="13"/>
      <c r="E5113" s="14"/>
      <c r="F5113" s="14"/>
      <c r="G5113" s="14"/>
      <c r="H5113" s="15"/>
      <c r="I5113" s="15"/>
      <c r="J5113" s="3"/>
      <c r="K5113" s="3"/>
      <c r="L5113" s="3"/>
      <c r="M5113" s="3"/>
      <c r="N5113" s="3"/>
      <c r="O5113" s="3"/>
      <c r="P5113" s="3"/>
      <c r="Q5113" s="3"/>
      <c r="R5113" s="3"/>
      <c r="S5113" s="3"/>
      <c r="T5113" s="3"/>
      <c r="U5113" s="3"/>
      <c r="V5113" s="3"/>
      <c r="W5113" s="3"/>
      <c r="X5113" s="3"/>
      <c r="Y5113" s="3"/>
      <c r="Z5113" s="3"/>
      <c r="AA5113" s="3"/>
    </row>
    <row r="5114" ht="105.75" customHeight="1">
      <c r="A5114" s="11"/>
      <c r="B5114" s="12"/>
      <c r="C5114" s="11"/>
      <c r="D5114" s="13"/>
      <c r="E5114" s="14"/>
      <c r="F5114" s="14"/>
      <c r="G5114" s="14"/>
      <c r="H5114" s="15"/>
      <c r="I5114" s="15"/>
      <c r="J5114" s="3"/>
      <c r="K5114" s="3"/>
      <c r="L5114" s="3"/>
      <c r="M5114" s="3"/>
      <c r="N5114" s="3"/>
      <c r="O5114" s="3"/>
      <c r="P5114" s="3"/>
      <c r="Q5114" s="3"/>
      <c r="R5114" s="3"/>
      <c r="S5114" s="3"/>
      <c r="T5114" s="3"/>
      <c r="U5114" s="3"/>
      <c r="V5114" s="3"/>
      <c r="W5114" s="3"/>
      <c r="X5114" s="3"/>
      <c r="Y5114" s="3"/>
      <c r="Z5114" s="3"/>
      <c r="AA5114" s="3"/>
    </row>
    <row r="5115" ht="105.75" customHeight="1">
      <c r="A5115" s="11"/>
      <c r="B5115" s="12"/>
      <c r="C5115" s="11"/>
      <c r="D5115" s="13"/>
      <c r="E5115" s="14"/>
      <c r="F5115" s="14"/>
      <c r="G5115" s="14"/>
      <c r="H5115" s="15"/>
      <c r="I5115" s="15"/>
      <c r="J5115" s="3"/>
      <c r="K5115" s="3"/>
      <c r="L5115" s="3"/>
      <c r="M5115" s="3"/>
      <c r="N5115" s="3"/>
      <c r="O5115" s="3"/>
      <c r="P5115" s="3"/>
      <c r="Q5115" s="3"/>
      <c r="R5115" s="3"/>
      <c r="S5115" s="3"/>
      <c r="T5115" s="3"/>
      <c r="U5115" s="3"/>
      <c r="V5115" s="3"/>
      <c r="W5115" s="3"/>
      <c r="X5115" s="3"/>
      <c r="Y5115" s="3"/>
      <c r="Z5115" s="3"/>
      <c r="AA5115" s="3"/>
    </row>
    <row r="5116" ht="105.75" customHeight="1">
      <c r="A5116" s="11"/>
      <c r="B5116" s="12"/>
      <c r="C5116" s="11"/>
      <c r="D5116" s="13"/>
      <c r="E5116" s="14"/>
      <c r="F5116" s="14"/>
      <c r="G5116" s="14"/>
      <c r="H5116" s="15"/>
      <c r="I5116" s="15"/>
      <c r="J5116" s="3"/>
      <c r="K5116" s="3"/>
      <c r="L5116" s="3"/>
      <c r="M5116" s="3"/>
      <c r="N5116" s="3"/>
      <c r="O5116" s="3"/>
      <c r="P5116" s="3"/>
      <c r="Q5116" s="3"/>
      <c r="R5116" s="3"/>
      <c r="S5116" s="3"/>
      <c r="T5116" s="3"/>
      <c r="U5116" s="3"/>
      <c r="V5116" s="3"/>
      <c r="W5116" s="3"/>
      <c r="X5116" s="3"/>
      <c r="Y5116" s="3"/>
      <c r="Z5116" s="3"/>
      <c r="AA5116" s="3"/>
    </row>
    <row r="5117" ht="105.75" customHeight="1">
      <c r="A5117" s="11"/>
      <c r="B5117" s="12"/>
      <c r="C5117" s="11"/>
      <c r="D5117" s="13"/>
      <c r="E5117" s="14"/>
      <c r="F5117" s="14"/>
      <c r="G5117" s="14"/>
      <c r="H5117" s="15"/>
      <c r="I5117" s="15"/>
      <c r="J5117" s="3"/>
      <c r="K5117" s="3"/>
      <c r="L5117" s="3"/>
      <c r="M5117" s="3"/>
      <c r="N5117" s="3"/>
      <c r="O5117" s="3"/>
      <c r="P5117" s="3"/>
      <c r="Q5117" s="3"/>
      <c r="R5117" s="3"/>
      <c r="S5117" s="3"/>
      <c r="T5117" s="3"/>
      <c r="U5117" s="3"/>
      <c r="V5117" s="3"/>
      <c r="W5117" s="3"/>
      <c r="X5117" s="3"/>
      <c r="Y5117" s="3"/>
      <c r="Z5117" s="3"/>
      <c r="AA5117" s="3"/>
    </row>
    <row r="5118" ht="105.75" customHeight="1">
      <c r="A5118" s="11"/>
      <c r="B5118" s="12"/>
      <c r="C5118" s="11"/>
      <c r="D5118" s="13"/>
      <c r="E5118" s="14"/>
      <c r="F5118" s="14"/>
      <c r="G5118" s="14"/>
      <c r="H5118" s="15"/>
      <c r="I5118" s="15"/>
      <c r="J5118" s="3"/>
      <c r="K5118" s="3"/>
      <c r="L5118" s="3"/>
      <c r="M5118" s="3"/>
      <c r="N5118" s="3"/>
      <c r="O5118" s="3"/>
      <c r="P5118" s="3"/>
      <c r="Q5118" s="3"/>
      <c r="R5118" s="3"/>
      <c r="S5118" s="3"/>
      <c r="T5118" s="3"/>
      <c r="U5118" s="3"/>
      <c r="V5118" s="3"/>
      <c r="W5118" s="3"/>
      <c r="X5118" s="3"/>
      <c r="Y5118" s="3"/>
      <c r="Z5118" s="3"/>
      <c r="AA5118" s="3"/>
    </row>
    <row r="5119" ht="105.75" customHeight="1">
      <c r="A5119" s="11"/>
      <c r="B5119" s="12"/>
      <c r="C5119" s="11"/>
      <c r="D5119" s="13"/>
      <c r="E5119" s="14"/>
      <c r="F5119" s="14"/>
      <c r="G5119" s="14"/>
      <c r="H5119" s="15"/>
      <c r="I5119" s="15"/>
      <c r="J5119" s="3"/>
      <c r="K5119" s="3"/>
      <c r="L5119" s="3"/>
      <c r="M5119" s="3"/>
      <c r="N5119" s="3"/>
      <c r="O5119" s="3"/>
      <c r="P5119" s="3"/>
      <c r="Q5119" s="3"/>
      <c r="R5119" s="3"/>
      <c r="S5119" s="3"/>
      <c r="T5119" s="3"/>
      <c r="U5119" s="3"/>
      <c r="V5119" s="3"/>
      <c r="W5119" s="3"/>
      <c r="X5119" s="3"/>
      <c r="Y5119" s="3"/>
      <c r="Z5119" s="3"/>
      <c r="AA5119" s="3"/>
    </row>
    <row r="5120" ht="105.75" customHeight="1">
      <c r="A5120" s="11"/>
      <c r="B5120" s="12"/>
      <c r="C5120" s="11"/>
      <c r="D5120" s="13"/>
      <c r="E5120" s="14"/>
      <c r="F5120" s="14"/>
      <c r="G5120" s="14"/>
      <c r="H5120" s="15"/>
      <c r="I5120" s="15"/>
      <c r="J5120" s="3"/>
      <c r="K5120" s="3"/>
      <c r="L5120" s="3"/>
      <c r="M5120" s="3"/>
      <c r="N5120" s="3"/>
      <c r="O5120" s="3"/>
      <c r="P5120" s="3"/>
      <c r="Q5120" s="3"/>
      <c r="R5120" s="3"/>
      <c r="S5120" s="3"/>
      <c r="T5120" s="3"/>
      <c r="U5120" s="3"/>
      <c r="V5120" s="3"/>
      <c r="W5120" s="3"/>
      <c r="X5120" s="3"/>
      <c r="Y5120" s="3"/>
      <c r="Z5120" s="3"/>
      <c r="AA5120" s="3"/>
    </row>
    <row r="5121" ht="105.75" customHeight="1">
      <c r="A5121" s="11"/>
      <c r="B5121" s="12"/>
      <c r="C5121" s="11"/>
      <c r="D5121" s="13"/>
      <c r="E5121" s="14"/>
      <c r="F5121" s="14"/>
      <c r="G5121" s="14"/>
      <c r="H5121" s="15"/>
      <c r="I5121" s="15"/>
      <c r="J5121" s="3"/>
      <c r="K5121" s="3"/>
      <c r="L5121" s="3"/>
      <c r="M5121" s="3"/>
      <c r="N5121" s="3"/>
      <c r="O5121" s="3"/>
      <c r="P5121" s="3"/>
      <c r="Q5121" s="3"/>
      <c r="R5121" s="3"/>
      <c r="S5121" s="3"/>
      <c r="T5121" s="3"/>
      <c r="U5121" s="3"/>
      <c r="V5121" s="3"/>
      <c r="W5121" s="3"/>
      <c r="X5121" s="3"/>
      <c r="Y5121" s="3"/>
      <c r="Z5121" s="3"/>
      <c r="AA5121" s="3"/>
    </row>
    <row r="5122" ht="105.75" customHeight="1">
      <c r="A5122" s="11"/>
      <c r="B5122" s="12"/>
      <c r="C5122" s="11"/>
      <c r="D5122" s="13"/>
      <c r="E5122" s="14"/>
      <c r="F5122" s="14"/>
      <c r="G5122" s="14"/>
      <c r="H5122" s="15"/>
      <c r="I5122" s="15"/>
      <c r="J5122" s="3"/>
      <c r="K5122" s="3"/>
      <c r="L5122" s="3"/>
      <c r="M5122" s="3"/>
      <c r="N5122" s="3"/>
      <c r="O5122" s="3"/>
      <c r="P5122" s="3"/>
      <c r="Q5122" s="3"/>
      <c r="R5122" s="3"/>
      <c r="S5122" s="3"/>
      <c r="T5122" s="3"/>
      <c r="U5122" s="3"/>
      <c r="V5122" s="3"/>
      <c r="W5122" s="3"/>
      <c r="X5122" s="3"/>
      <c r="Y5122" s="3"/>
      <c r="Z5122" s="3"/>
      <c r="AA5122" s="3"/>
    </row>
    <row r="5123" ht="105.75" customHeight="1">
      <c r="A5123" s="11"/>
      <c r="B5123" s="12"/>
      <c r="C5123" s="11"/>
      <c r="D5123" s="13"/>
      <c r="E5123" s="14"/>
      <c r="F5123" s="14"/>
      <c r="G5123" s="14"/>
      <c r="H5123" s="15"/>
      <c r="I5123" s="15"/>
      <c r="J5123" s="3"/>
      <c r="K5123" s="3"/>
      <c r="L5123" s="3"/>
      <c r="M5123" s="3"/>
      <c r="N5123" s="3"/>
      <c r="O5123" s="3"/>
      <c r="P5123" s="3"/>
      <c r="Q5123" s="3"/>
      <c r="R5123" s="3"/>
      <c r="S5123" s="3"/>
      <c r="T5123" s="3"/>
      <c r="U5123" s="3"/>
      <c r="V5123" s="3"/>
      <c r="W5123" s="3"/>
      <c r="X5123" s="3"/>
      <c r="Y5123" s="3"/>
      <c r="Z5123" s="3"/>
      <c r="AA5123" s="3"/>
    </row>
    <row r="5124" ht="105.75" customHeight="1">
      <c r="A5124" s="11"/>
      <c r="B5124" s="12"/>
      <c r="C5124" s="11"/>
      <c r="D5124" s="13"/>
      <c r="E5124" s="14"/>
      <c r="F5124" s="14"/>
      <c r="G5124" s="14"/>
      <c r="H5124" s="15"/>
      <c r="I5124" s="15"/>
      <c r="J5124" s="3"/>
      <c r="K5124" s="3"/>
      <c r="L5124" s="3"/>
      <c r="M5124" s="3"/>
      <c r="N5124" s="3"/>
      <c r="O5124" s="3"/>
      <c r="P5124" s="3"/>
      <c r="Q5124" s="3"/>
      <c r="R5124" s="3"/>
      <c r="S5124" s="3"/>
      <c r="T5124" s="3"/>
      <c r="U5124" s="3"/>
      <c r="V5124" s="3"/>
      <c r="W5124" s="3"/>
      <c r="X5124" s="3"/>
      <c r="Y5124" s="3"/>
      <c r="Z5124" s="3"/>
      <c r="AA5124" s="3"/>
    </row>
    <row r="5125" ht="105.75" customHeight="1">
      <c r="A5125" s="11"/>
      <c r="B5125" s="12"/>
      <c r="C5125" s="11"/>
      <c r="D5125" s="13"/>
      <c r="E5125" s="14"/>
      <c r="F5125" s="14"/>
      <c r="G5125" s="14"/>
      <c r="H5125" s="15"/>
      <c r="I5125" s="15"/>
      <c r="J5125" s="3"/>
      <c r="K5125" s="3"/>
      <c r="L5125" s="3"/>
      <c r="M5125" s="3"/>
      <c r="N5125" s="3"/>
      <c r="O5125" s="3"/>
      <c r="P5125" s="3"/>
      <c r="Q5125" s="3"/>
      <c r="R5125" s="3"/>
      <c r="S5125" s="3"/>
      <c r="T5125" s="3"/>
      <c r="U5125" s="3"/>
      <c r="V5125" s="3"/>
      <c r="W5125" s="3"/>
      <c r="X5125" s="3"/>
      <c r="Y5125" s="3"/>
      <c r="Z5125" s="3"/>
      <c r="AA5125" s="3"/>
    </row>
    <row r="5126" ht="105.75" customHeight="1">
      <c r="A5126" s="11"/>
      <c r="B5126" s="12"/>
      <c r="C5126" s="11"/>
      <c r="D5126" s="13"/>
      <c r="E5126" s="14"/>
      <c r="F5126" s="14"/>
      <c r="G5126" s="14"/>
      <c r="H5126" s="15"/>
      <c r="I5126" s="15"/>
      <c r="J5126" s="3"/>
      <c r="K5126" s="3"/>
      <c r="L5126" s="3"/>
      <c r="M5126" s="3"/>
      <c r="N5126" s="3"/>
      <c r="O5126" s="3"/>
      <c r="P5126" s="3"/>
      <c r="Q5126" s="3"/>
      <c r="R5126" s="3"/>
      <c r="S5126" s="3"/>
      <c r="T5126" s="3"/>
      <c r="U5126" s="3"/>
      <c r="V5126" s="3"/>
      <c r="W5126" s="3"/>
      <c r="X5126" s="3"/>
      <c r="Y5126" s="3"/>
      <c r="Z5126" s="3"/>
      <c r="AA5126" s="3"/>
    </row>
    <row r="5127" ht="105.75" customHeight="1">
      <c r="A5127" s="11"/>
      <c r="B5127" s="12"/>
      <c r="C5127" s="11"/>
      <c r="D5127" s="13"/>
      <c r="E5127" s="14"/>
      <c r="F5127" s="14"/>
      <c r="G5127" s="14"/>
      <c r="H5127" s="15"/>
      <c r="I5127" s="15"/>
      <c r="J5127" s="3"/>
      <c r="K5127" s="3"/>
      <c r="L5127" s="3"/>
      <c r="M5127" s="3"/>
      <c r="N5127" s="3"/>
      <c r="O5127" s="3"/>
      <c r="P5127" s="3"/>
      <c r="Q5127" s="3"/>
      <c r="R5127" s="3"/>
      <c r="S5127" s="3"/>
      <c r="T5127" s="3"/>
      <c r="U5127" s="3"/>
      <c r="V5127" s="3"/>
      <c r="W5127" s="3"/>
      <c r="X5127" s="3"/>
      <c r="Y5127" s="3"/>
      <c r="Z5127" s="3"/>
      <c r="AA5127" s="3"/>
    </row>
    <row r="5128" ht="105.75" customHeight="1">
      <c r="A5128" s="11"/>
      <c r="B5128" s="12"/>
      <c r="C5128" s="11"/>
      <c r="D5128" s="13"/>
      <c r="E5128" s="14"/>
      <c r="F5128" s="14"/>
      <c r="G5128" s="14"/>
      <c r="H5128" s="15"/>
      <c r="I5128" s="15"/>
      <c r="J5128" s="3"/>
      <c r="K5128" s="3"/>
      <c r="L5128" s="3"/>
      <c r="M5128" s="3"/>
      <c r="N5128" s="3"/>
      <c r="O5128" s="3"/>
      <c r="P5128" s="3"/>
      <c r="Q5128" s="3"/>
      <c r="R5128" s="3"/>
      <c r="S5128" s="3"/>
      <c r="T5128" s="3"/>
      <c r="U5128" s="3"/>
      <c r="V5128" s="3"/>
      <c r="W5128" s="3"/>
      <c r="X5128" s="3"/>
      <c r="Y5128" s="3"/>
      <c r="Z5128" s="3"/>
      <c r="AA5128" s="3"/>
    </row>
    <row r="5129" ht="105.75" customHeight="1">
      <c r="A5129" s="11"/>
      <c r="B5129" s="12"/>
      <c r="C5129" s="11"/>
      <c r="D5129" s="13"/>
      <c r="E5129" s="14"/>
      <c r="F5129" s="14"/>
      <c r="G5129" s="14"/>
      <c r="H5129" s="15"/>
      <c r="I5129" s="15"/>
      <c r="J5129" s="3"/>
      <c r="K5129" s="3"/>
      <c r="L5129" s="3"/>
      <c r="M5129" s="3"/>
      <c r="N5129" s="3"/>
      <c r="O5129" s="3"/>
      <c r="P5129" s="3"/>
      <c r="Q5129" s="3"/>
      <c r="R5129" s="3"/>
      <c r="S5129" s="3"/>
      <c r="T5129" s="3"/>
      <c r="U5129" s="3"/>
      <c r="V5129" s="3"/>
      <c r="W5129" s="3"/>
      <c r="X5129" s="3"/>
      <c r="Y5129" s="3"/>
      <c r="Z5129" s="3"/>
      <c r="AA5129" s="3"/>
    </row>
    <row r="5130" ht="105.75" customHeight="1">
      <c r="A5130" s="11"/>
      <c r="B5130" s="12"/>
      <c r="C5130" s="11"/>
      <c r="D5130" s="13"/>
      <c r="E5130" s="14"/>
      <c r="F5130" s="14"/>
      <c r="G5130" s="14"/>
      <c r="H5130" s="15"/>
      <c r="I5130" s="15"/>
      <c r="J5130" s="3"/>
      <c r="K5130" s="3"/>
      <c r="L5130" s="3"/>
      <c r="M5130" s="3"/>
      <c r="N5130" s="3"/>
      <c r="O5130" s="3"/>
      <c r="P5130" s="3"/>
      <c r="Q5130" s="3"/>
      <c r="R5130" s="3"/>
      <c r="S5130" s="3"/>
      <c r="T5130" s="3"/>
      <c r="U5130" s="3"/>
      <c r="V5130" s="3"/>
      <c r="W5130" s="3"/>
      <c r="X5130" s="3"/>
      <c r="Y5130" s="3"/>
      <c r="Z5130" s="3"/>
      <c r="AA5130" s="3"/>
    </row>
    <row r="5131" ht="105.75" customHeight="1">
      <c r="A5131" s="11"/>
      <c r="B5131" s="12"/>
      <c r="C5131" s="11"/>
      <c r="D5131" s="13"/>
      <c r="E5131" s="14"/>
      <c r="F5131" s="14"/>
      <c r="G5131" s="14"/>
      <c r="H5131" s="15"/>
      <c r="I5131" s="15"/>
      <c r="J5131" s="3"/>
      <c r="K5131" s="3"/>
      <c r="L5131" s="3"/>
      <c r="M5131" s="3"/>
      <c r="N5131" s="3"/>
      <c r="O5131" s="3"/>
      <c r="P5131" s="3"/>
      <c r="Q5131" s="3"/>
      <c r="R5131" s="3"/>
      <c r="S5131" s="3"/>
      <c r="T5131" s="3"/>
      <c r="U5131" s="3"/>
      <c r="V5131" s="3"/>
      <c r="W5131" s="3"/>
      <c r="X5131" s="3"/>
      <c r="Y5131" s="3"/>
      <c r="Z5131" s="3"/>
      <c r="AA5131" s="3"/>
    </row>
    <row r="5132" ht="105.75" customHeight="1">
      <c r="A5132" s="11"/>
      <c r="B5132" s="12"/>
      <c r="C5132" s="11"/>
      <c r="D5132" s="13"/>
      <c r="E5132" s="14"/>
      <c r="F5132" s="14"/>
      <c r="G5132" s="14"/>
      <c r="H5132" s="15"/>
      <c r="I5132" s="15"/>
      <c r="J5132" s="3"/>
      <c r="K5132" s="3"/>
      <c r="L5132" s="3"/>
      <c r="M5132" s="3"/>
      <c r="N5132" s="3"/>
      <c r="O5132" s="3"/>
      <c r="P5132" s="3"/>
      <c r="Q5132" s="3"/>
      <c r="R5132" s="3"/>
      <c r="S5132" s="3"/>
      <c r="T5132" s="3"/>
      <c r="U5132" s="3"/>
      <c r="V5132" s="3"/>
      <c r="W5132" s="3"/>
      <c r="X5132" s="3"/>
      <c r="Y5132" s="3"/>
      <c r="Z5132" s="3"/>
      <c r="AA5132" s="3"/>
    </row>
    <row r="5133" ht="105.75" customHeight="1">
      <c r="A5133" s="11"/>
      <c r="B5133" s="12"/>
      <c r="C5133" s="11"/>
      <c r="D5133" s="13"/>
      <c r="E5133" s="14"/>
      <c r="F5133" s="14"/>
      <c r="G5133" s="14"/>
      <c r="H5133" s="15"/>
      <c r="I5133" s="15"/>
      <c r="J5133" s="3"/>
      <c r="K5133" s="3"/>
      <c r="L5133" s="3"/>
      <c r="M5133" s="3"/>
      <c r="N5133" s="3"/>
      <c r="O5133" s="3"/>
      <c r="P5133" s="3"/>
      <c r="Q5133" s="3"/>
      <c r="R5133" s="3"/>
      <c r="S5133" s="3"/>
      <c r="T5133" s="3"/>
      <c r="U5133" s="3"/>
      <c r="V5133" s="3"/>
      <c r="W5133" s="3"/>
      <c r="X5133" s="3"/>
      <c r="Y5133" s="3"/>
      <c r="Z5133" s="3"/>
      <c r="AA5133" s="3"/>
    </row>
    <row r="5134" ht="105.75" customHeight="1">
      <c r="A5134" s="11"/>
      <c r="B5134" s="12"/>
      <c r="C5134" s="11"/>
      <c r="D5134" s="13"/>
      <c r="E5134" s="14"/>
      <c r="F5134" s="14"/>
      <c r="G5134" s="14"/>
      <c r="H5134" s="15"/>
      <c r="I5134" s="15"/>
      <c r="J5134" s="3"/>
      <c r="K5134" s="3"/>
      <c r="L5134" s="3"/>
      <c r="M5134" s="3"/>
      <c r="N5134" s="3"/>
      <c r="O5134" s="3"/>
      <c r="P5134" s="3"/>
      <c r="Q5134" s="3"/>
      <c r="R5134" s="3"/>
      <c r="S5134" s="3"/>
      <c r="T5134" s="3"/>
      <c r="U5134" s="3"/>
      <c r="V5134" s="3"/>
      <c r="W5134" s="3"/>
      <c r="X5134" s="3"/>
      <c r="Y5134" s="3"/>
      <c r="Z5134" s="3"/>
      <c r="AA5134" s="3"/>
    </row>
    <row r="5135" ht="105.75" customHeight="1">
      <c r="A5135" s="11"/>
      <c r="B5135" s="12"/>
      <c r="C5135" s="11"/>
      <c r="D5135" s="13"/>
      <c r="E5135" s="14"/>
      <c r="F5135" s="14"/>
      <c r="G5135" s="14"/>
      <c r="H5135" s="15"/>
      <c r="I5135" s="15"/>
      <c r="J5135" s="3"/>
      <c r="K5135" s="3"/>
      <c r="L5135" s="3"/>
      <c r="M5135" s="3"/>
      <c r="N5135" s="3"/>
      <c r="O5135" s="3"/>
      <c r="P5135" s="3"/>
      <c r="Q5135" s="3"/>
      <c r="R5135" s="3"/>
      <c r="S5135" s="3"/>
      <c r="T5135" s="3"/>
      <c r="U5135" s="3"/>
      <c r="V5135" s="3"/>
      <c r="W5135" s="3"/>
      <c r="X5135" s="3"/>
      <c r="Y5135" s="3"/>
      <c r="Z5135" s="3"/>
      <c r="AA5135" s="3"/>
    </row>
    <row r="5136" ht="105.75" customHeight="1">
      <c r="A5136" s="11"/>
      <c r="B5136" s="12"/>
      <c r="C5136" s="11"/>
      <c r="D5136" s="13"/>
      <c r="E5136" s="14"/>
      <c r="F5136" s="14"/>
      <c r="G5136" s="14"/>
      <c r="H5136" s="15"/>
      <c r="I5136" s="15"/>
      <c r="J5136" s="3"/>
      <c r="K5136" s="3"/>
      <c r="L5136" s="3"/>
      <c r="M5136" s="3"/>
      <c r="N5136" s="3"/>
      <c r="O5136" s="3"/>
      <c r="P5136" s="3"/>
      <c r="Q5136" s="3"/>
      <c r="R5136" s="3"/>
      <c r="S5136" s="3"/>
      <c r="T5136" s="3"/>
      <c r="U5136" s="3"/>
      <c r="V5136" s="3"/>
      <c r="W5136" s="3"/>
      <c r="X5136" s="3"/>
      <c r="Y5136" s="3"/>
      <c r="Z5136" s="3"/>
      <c r="AA5136" s="3"/>
    </row>
    <row r="5137" ht="105.75" customHeight="1">
      <c r="A5137" s="11"/>
      <c r="B5137" s="12"/>
      <c r="C5137" s="11"/>
      <c r="D5137" s="13"/>
      <c r="E5137" s="14"/>
      <c r="F5137" s="14"/>
      <c r="G5137" s="14"/>
      <c r="H5137" s="15"/>
      <c r="I5137" s="15"/>
      <c r="J5137" s="3"/>
      <c r="K5137" s="3"/>
      <c r="L5137" s="3"/>
      <c r="M5137" s="3"/>
      <c r="N5137" s="3"/>
      <c r="O5137" s="3"/>
      <c r="P5137" s="3"/>
      <c r="Q5137" s="3"/>
      <c r="R5137" s="3"/>
      <c r="S5137" s="3"/>
      <c r="T5137" s="3"/>
      <c r="U5137" s="3"/>
      <c r="V5137" s="3"/>
      <c r="W5137" s="3"/>
      <c r="X5137" s="3"/>
      <c r="Y5137" s="3"/>
      <c r="Z5137" s="3"/>
      <c r="AA5137" s="3"/>
    </row>
    <row r="5138" ht="105.75" customHeight="1">
      <c r="A5138" s="11"/>
      <c r="B5138" s="12"/>
      <c r="C5138" s="11"/>
      <c r="D5138" s="13"/>
      <c r="E5138" s="14"/>
      <c r="F5138" s="14"/>
      <c r="G5138" s="14"/>
      <c r="H5138" s="15"/>
      <c r="I5138" s="15"/>
      <c r="J5138" s="3"/>
      <c r="K5138" s="3"/>
      <c r="L5138" s="3"/>
      <c r="M5138" s="3"/>
      <c r="N5138" s="3"/>
      <c r="O5138" s="3"/>
      <c r="P5138" s="3"/>
      <c r="Q5138" s="3"/>
      <c r="R5138" s="3"/>
      <c r="S5138" s="3"/>
      <c r="T5138" s="3"/>
      <c r="U5138" s="3"/>
      <c r="V5138" s="3"/>
      <c r="W5138" s="3"/>
      <c r="X5138" s="3"/>
      <c r="Y5138" s="3"/>
      <c r="Z5138" s="3"/>
      <c r="AA5138" s="3"/>
    </row>
    <row r="5139" ht="105.75" customHeight="1">
      <c r="A5139" s="11"/>
      <c r="B5139" s="12"/>
      <c r="C5139" s="11"/>
      <c r="D5139" s="13"/>
      <c r="E5139" s="14"/>
      <c r="F5139" s="14"/>
      <c r="G5139" s="14"/>
      <c r="H5139" s="15"/>
      <c r="I5139" s="15"/>
      <c r="J5139" s="3"/>
      <c r="K5139" s="3"/>
      <c r="L5139" s="3"/>
      <c r="M5139" s="3"/>
      <c r="N5139" s="3"/>
      <c r="O5139" s="3"/>
      <c r="P5139" s="3"/>
      <c r="Q5139" s="3"/>
      <c r="R5139" s="3"/>
      <c r="S5139" s="3"/>
      <c r="T5139" s="3"/>
      <c r="U5139" s="3"/>
      <c r="V5139" s="3"/>
      <c r="W5139" s="3"/>
      <c r="X5139" s="3"/>
      <c r="Y5139" s="3"/>
      <c r="Z5139" s="3"/>
      <c r="AA5139" s="3"/>
    </row>
    <row r="5140" ht="105.75" customHeight="1">
      <c r="A5140" s="11"/>
      <c r="B5140" s="12"/>
      <c r="C5140" s="11"/>
      <c r="D5140" s="13"/>
      <c r="E5140" s="14"/>
      <c r="F5140" s="14"/>
      <c r="G5140" s="14"/>
      <c r="H5140" s="15"/>
      <c r="I5140" s="15"/>
      <c r="J5140" s="3"/>
      <c r="K5140" s="3"/>
      <c r="L5140" s="3"/>
      <c r="M5140" s="3"/>
      <c r="N5140" s="3"/>
      <c r="O5140" s="3"/>
      <c r="P5140" s="3"/>
      <c r="Q5140" s="3"/>
      <c r="R5140" s="3"/>
      <c r="S5140" s="3"/>
      <c r="T5140" s="3"/>
      <c r="U5140" s="3"/>
      <c r="V5140" s="3"/>
      <c r="W5140" s="3"/>
      <c r="X5140" s="3"/>
      <c r="Y5140" s="3"/>
      <c r="Z5140" s="3"/>
      <c r="AA5140" s="3"/>
    </row>
    <row r="5141" ht="105.75" customHeight="1">
      <c r="A5141" s="11"/>
      <c r="B5141" s="12"/>
      <c r="C5141" s="11"/>
      <c r="D5141" s="13"/>
      <c r="E5141" s="14"/>
      <c r="F5141" s="14"/>
      <c r="G5141" s="14"/>
      <c r="H5141" s="15"/>
      <c r="I5141" s="15"/>
      <c r="J5141" s="3"/>
      <c r="K5141" s="3"/>
      <c r="L5141" s="3"/>
      <c r="M5141" s="3"/>
      <c r="N5141" s="3"/>
      <c r="O5141" s="3"/>
      <c r="P5141" s="3"/>
      <c r="Q5141" s="3"/>
      <c r="R5141" s="3"/>
      <c r="S5141" s="3"/>
      <c r="T5141" s="3"/>
      <c r="U5141" s="3"/>
      <c r="V5141" s="3"/>
      <c r="W5141" s="3"/>
      <c r="X5141" s="3"/>
      <c r="Y5141" s="3"/>
      <c r="Z5141" s="3"/>
      <c r="AA5141" s="3"/>
    </row>
    <row r="5142" ht="105.75" customHeight="1">
      <c r="A5142" s="11"/>
      <c r="B5142" s="12"/>
      <c r="C5142" s="11"/>
      <c r="D5142" s="13"/>
      <c r="E5142" s="14"/>
      <c r="F5142" s="14"/>
      <c r="G5142" s="14"/>
      <c r="H5142" s="15"/>
      <c r="I5142" s="15"/>
      <c r="J5142" s="3"/>
      <c r="K5142" s="3"/>
      <c r="L5142" s="3"/>
      <c r="M5142" s="3"/>
      <c r="N5142" s="3"/>
      <c r="O5142" s="3"/>
      <c r="P5142" s="3"/>
      <c r="Q5142" s="3"/>
      <c r="R5142" s="3"/>
      <c r="S5142" s="3"/>
      <c r="T5142" s="3"/>
      <c r="U5142" s="3"/>
      <c r="V5142" s="3"/>
      <c r="W5142" s="3"/>
      <c r="X5142" s="3"/>
      <c r="Y5142" s="3"/>
      <c r="Z5142" s="3"/>
      <c r="AA5142" s="3"/>
    </row>
    <row r="5143" ht="105.75" customHeight="1">
      <c r="A5143" s="11"/>
      <c r="B5143" s="12"/>
      <c r="C5143" s="11"/>
      <c r="D5143" s="13"/>
      <c r="E5143" s="14"/>
      <c r="F5143" s="14"/>
      <c r="G5143" s="14"/>
      <c r="H5143" s="15"/>
      <c r="I5143" s="15"/>
      <c r="J5143" s="3"/>
      <c r="K5143" s="3"/>
      <c r="L5143" s="3"/>
      <c r="M5143" s="3"/>
      <c r="N5143" s="3"/>
      <c r="O5143" s="3"/>
      <c r="P5143" s="3"/>
      <c r="Q5143" s="3"/>
      <c r="R5143" s="3"/>
      <c r="S5143" s="3"/>
      <c r="T5143" s="3"/>
      <c r="U5143" s="3"/>
      <c r="V5143" s="3"/>
      <c r="W5143" s="3"/>
      <c r="X5143" s="3"/>
      <c r="Y5143" s="3"/>
      <c r="Z5143" s="3"/>
      <c r="AA5143" s="3"/>
    </row>
    <row r="5144" ht="105.75" customHeight="1">
      <c r="A5144" s="11"/>
      <c r="B5144" s="12"/>
      <c r="C5144" s="11"/>
      <c r="D5144" s="13"/>
      <c r="E5144" s="14"/>
      <c r="F5144" s="14"/>
      <c r="G5144" s="14"/>
      <c r="H5144" s="15"/>
      <c r="I5144" s="15"/>
      <c r="J5144" s="3"/>
      <c r="K5144" s="3"/>
      <c r="L5144" s="3"/>
      <c r="M5144" s="3"/>
      <c r="N5144" s="3"/>
      <c r="O5144" s="3"/>
      <c r="P5144" s="3"/>
      <c r="Q5144" s="3"/>
      <c r="R5144" s="3"/>
      <c r="S5144" s="3"/>
      <c r="T5144" s="3"/>
      <c r="U5144" s="3"/>
      <c r="V5144" s="3"/>
      <c r="W5144" s="3"/>
      <c r="X5144" s="3"/>
      <c r="Y5144" s="3"/>
      <c r="Z5144" s="3"/>
      <c r="AA5144" s="3"/>
    </row>
    <row r="5145" ht="105.75" customHeight="1">
      <c r="A5145" s="11"/>
      <c r="B5145" s="12"/>
      <c r="C5145" s="11"/>
      <c r="D5145" s="13"/>
      <c r="E5145" s="14"/>
      <c r="F5145" s="14"/>
      <c r="G5145" s="14"/>
      <c r="H5145" s="15"/>
      <c r="I5145" s="15"/>
      <c r="J5145" s="3"/>
      <c r="K5145" s="3"/>
      <c r="L5145" s="3"/>
      <c r="M5145" s="3"/>
      <c r="N5145" s="3"/>
      <c r="O5145" s="3"/>
      <c r="P5145" s="3"/>
      <c r="Q5145" s="3"/>
      <c r="R5145" s="3"/>
      <c r="S5145" s="3"/>
      <c r="T5145" s="3"/>
      <c r="U5145" s="3"/>
      <c r="V5145" s="3"/>
      <c r="W5145" s="3"/>
      <c r="X5145" s="3"/>
      <c r="Y5145" s="3"/>
      <c r="Z5145" s="3"/>
      <c r="AA5145" s="3"/>
    </row>
    <row r="5146" ht="105.75" customHeight="1">
      <c r="A5146" s="11"/>
      <c r="B5146" s="12"/>
      <c r="C5146" s="11"/>
      <c r="D5146" s="13"/>
      <c r="E5146" s="14"/>
      <c r="F5146" s="14"/>
      <c r="G5146" s="14"/>
      <c r="H5146" s="15"/>
      <c r="I5146" s="15"/>
      <c r="J5146" s="3"/>
      <c r="K5146" s="3"/>
      <c r="L5146" s="3"/>
      <c r="M5146" s="3"/>
      <c r="N5146" s="3"/>
      <c r="O5146" s="3"/>
      <c r="P5146" s="3"/>
      <c r="Q5146" s="3"/>
      <c r="R5146" s="3"/>
      <c r="S5146" s="3"/>
      <c r="T5146" s="3"/>
      <c r="U5146" s="3"/>
      <c r="V5146" s="3"/>
      <c r="W5146" s="3"/>
      <c r="X5146" s="3"/>
      <c r="Y5146" s="3"/>
      <c r="Z5146" s="3"/>
      <c r="AA5146" s="3"/>
    </row>
    <row r="5147" ht="105.75" customHeight="1">
      <c r="A5147" s="11"/>
      <c r="B5147" s="12"/>
      <c r="C5147" s="11"/>
      <c r="D5147" s="13"/>
      <c r="E5147" s="14"/>
      <c r="F5147" s="14"/>
      <c r="G5147" s="14"/>
      <c r="H5147" s="15"/>
      <c r="I5147" s="15"/>
      <c r="J5147" s="3"/>
      <c r="K5147" s="3"/>
      <c r="L5147" s="3"/>
      <c r="M5147" s="3"/>
      <c r="N5147" s="3"/>
      <c r="O5147" s="3"/>
      <c r="P5147" s="3"/>
      <c r="Q5147" s="3"/>
      <c r="R5147" s="3"/>
      <c r="S5147" s="3"/>
      <c r="T5147" s="3"/>
      <c r="U5147" s="3"/>
      <c r="V5147" s="3"/>
      <c r="W5147" s="3"/>
      <c r="X5147" s="3"/>
      <c r="Y5147" s="3"/>
      <c r="Z5147" s="3"/>
      <c r="AA5147" s="3"/>
    </row>
    <row r="5148" ht="105.75" customHeight="1">
      <c r="A5148" s="11"/>
      <c r="B5148" s="12"/>
      <c r="C5148" s="11"/>
      <c r="D5148" s="13"/>
      <c r="E5148" s="14"/>
      <c r="F5148" s="14"/>
      <c r="G5148" s="14"/>
      <c r="H5148" s="15"/>
      <c r="I5148" s="15"/>
      <c r="J5148" s="3"/>
      <c r="K5148" s="3"/>
      <c r="L5148" s="3"/>
      <c r="M5148" s="3"/>
      <c r="N5148" s="3"/>
      <c r="O5148" s="3"/>
      <c r="P5148" s="3"/>
      <c r="Q5148" s="3"/>
      <c r="R5148" s="3"/>
      <c r="S5148" s="3"/>
      <c r="T5148" s="3"/>
      <c r="U5148" s="3"/>
      <c r="V5148" s="3"/>
      <c r="W5148" s="3"/>
      <c r="X5148" s="3"/>
      <c r="Y5148" s="3"/>
      <c r="Z5148" s="3"/>
      <c r="AA5148" s="3"/>
    </row>
    <row r="5149" ht="105.75" customHeight="1">
      <c r="A5149" s="11"/>
      <c r="B5149" s="12"/>
      <c r="C5149" s="11"/>
      <c r="D5149" s="13"/>
      <c r="E5149" s="14"/>
      <c r="F5149" s="14"/>
      <c r="G5149" s="14"/>
      <c r="H5149" s="15"/>
      <c r="I5149" s="15"/>
      <c r="J5149" s="3"/>
      <c r="K5149" s="3"/>
      <c r="L5149" s="3"/>
      <c r="M5149" s="3"/>
      <c r="N5149" s="3"/>
      <c r="O5149" s="3"/>
      <c r="P5149" s="3"/>
      <c r="Q5149" s="3"/>
      <c r="R5149" s="3"/>
      <c r="S5149" s="3"/>
      <c r="T5149" s="3"/>
      <c r="U5149" s="3"/>
      <c r="V5149" s="3"/>
      <c r="W5149" s="3"/>
      <c r="X5149" s="3"/>
      <c r="Y5149" s="3"/>
      <c r="Z5149" s="3"/>
      <c r="AA5149" s="3"/>
    </row>
    <row r="5150" ht="105.75" customHeight="1">
      <c r="A5150" s="11"/>
      <c r="B5150" s="12"/>
      <c r="C5150" s="11"/>
      <c r="D5150" s="13"/>
      <c r="E5150" s="14"/>
      <c r="F5150" s="14"/>
      <c r="G5150" s="14"/>
      <c r="H5150" s="15"/>
      <c r="I5150" s="15"/>
      <c r="J5150" s="3"/>
      <c r="K5150" s="3"/>
      <c r="L5150" s="3"/>
      <c r="M5150" s="3"/>
      <c r="N5150" s="3"/>
      <c r="O5150" s="3"/>
      <c r="P5150" s="3"/>
      <c r="Q5150" s="3"/>
      <c r="R5150" s="3"/>
      <c r="S5150" s="3"/>
      <c r="T5150" s="3"/>
      <c r="U5150" s="3"/>
      <c r="V5150" s="3"/>
      <c r="W5150" s="3"/>
      <c r="X5150" s="3"/>
      <c r="Y5150" s="3"/>
      <c r="Z5150" s="3"/>
      <c r="AA5150" s="3"/>
    </row>
    <row r="5151" ht="105.75" customHeight="1">
      <c r="A5151" s="11"/>
      <c r="B5151" s="12"/>
      <c r="C5151" s="11"/>
      <c r="D5151" s="13"/>
      <c r="E5151" s="14"/>
      <c r="F5151" s="14"/>
      <c r="G5151" s="14"/>
      <c r="H5151" s="15"/>
      <c r="I5151" s="15"/>
      <c r="J5151" s="3"/>
      <c r="K5151" s="3"/>
      <c r="L5151" s="3"/>
      <c r="M5151" s="3"/>
      <c r="N5151" s="3"/>
      <c r="O5151" s="3"/>
      <c r="P5151" s="3"/>
      <c r="Q5151" s="3"/>
      <c r="R5151" s="3"/>
      <c r="S5151" s="3"/>
      <c r="T5151" s="3"/>
      <c r="U5151" s="3"/>
      <c r="V5151" s="3"/>
      <c r="W5151" s="3"/>
      <c r="X5151" s="3"/>
      <c r="Y5151" s="3"/>
      <c r="Z5151" s="3"/>
      <c r="AA5151" s="3"/>
    </row>
    <row r="5152" ht="105.75" customHeight="1">
      <c r="A5152" s="11"/>
      <c r="B5152" s="12"/>
      <c r="C5152" s="11"/>
      <c r="D5152" s="13"/>
      <c r="E5152" s="14"/>
      <c r="F5152" s="14"/>
      <c r="G5152" s="14"/>
      <c r="H5152" s="15"/>
      <c r="I5152" s="15"/>
      <c r="J5152" s="3"/>
      <c r="K5152" s="3"/>
      <c r="L5152" s="3"/>
      <c r="M5152" s="3"/>
      <c r="N5152" s="3"/>
      <c r="O5152" s="3"/>
      <c r="P5152" s="3"/>
      <c r="Q5152" s="3"/>
      <c r="R5152" s="3"/>
      <c r="S5152" s="3"/>
      <c r="T5152" s="3"/>
      <c r="U5152" s="3"/>
      <c r="V5152" s="3"/>
      <c r="W5152" s="3"/>
      <c r="X5152" s="3"/>
      <c r="Y5152" s="3"/>
      <c r="Z5152" s="3"/>
      <c r="AA5152" s="3"/>
    </row>
    <row r="5153" ht="105.75" customHeight="1">
      <c r="A5153" s="11"/>
      <c r="B5153" s="12"/>
      <c r="C5153" s="11"/>
      <c r="D5153" s="13"/>
      <c r="E5153" s="14"/>
      <c r="F5153" s="14"/>
      <c r="G5153" s="14"/>
      <c r="H5153" s="15"/>
      <c r="I5153" s="15"/>
      <c r="J5153" s="3"/>
      <c r="K5153" s="3"/>
      <c r="L5153" s="3"/>
      <c r="M5153" s="3"/>
      <c r="N5153" s="3"/>
      <c r="O5153" s="3"/>
      <c r="P5153" s="3"/>
      <c r="Q5153" s="3"/>
      <c r="R5153" s="3"/>
      <c r="S5153" s="3"/>
      <c r="T5153" s="3"/>
      <c r="U5153" s="3"/>
      <c r="V5153" s="3"/>
      <c r="W5153" s="3"/>
      <c r="X5153" s="3"/>
      <c r="Y5153" s="3"/>
      <c r="Z5153" s="3"/>
      <c r="AA5153" s="3"/>
    </row>
    <row r="5154" ht="105.75" customHeight="1">
      <c r="A5154" s="11"/>
      <c r="B5154" s="12"/>
      <c r="C5154" s="11"/>
      <c r="D5154" s="13"/>
      <c r="E5154" s="14"/>
      <c r="F5154" s="14"/>
      <c r="G5154" s="14"/>
      <c r="H5154" s="15"/>
      <c r="I5154" s="15"/>
      <c r="J5154" s="3"/>
      <c r="K5154" s="3"/>
      <c r="L5154" s="3"/>
      <c r="M5154" s="3"/>
      <c r="N5154" s="3"/>
      <c r="O5154" s="3"/>
      <c r="P5154" s="3"/>
      <c r="Q5154" s="3"/>
      <c r="R5154" s="3"/>
      <c r="S5154" s="3"/>
      <c r="T5154" s="3"/>
      <c r="U5154" s="3"/>
      <c r="V5154" s="3"/>
      <c r="W5154" s="3"/>
      <c r="X5154" s="3"/>
      <c r="Y5154" s="3"/>
      <c r="Z5154" s="3"/>
      <c r="AA5154" s="3"/>
    </row>
    <row r="5155" ht="105.75" customHeight="1">
      <c r="A5155" s="11"/>
      <c r="B5155" s="12"/>
      <c r="C5155" s="11"/>
      <c r="D5155" s="13"/>
      <c r="E5155" s="14"/>
      <c r="F5155" s="14"/>
      <c r="G5155" s="14"/>
      <c r="H5155" s="15"/>
      <c r="I5155" s="15"/>
      <c r="J5155" s="3"/>
      <c r="K5155" s="3"/>
      <c r="L5155" s="3"/>
      <c r="M5155" s="3"/>
      <c r="N5155" s="3"/>
      <c r="O5155" s="3"/>
      <c r="P5155" s="3"/>
      <c r="Q5155" s="3"/>
      <c r="R5155" s="3"/>
      <c r="S5155" s="3"/>
      <c r="T5155" s="3"/>
      <c r="U5155" s="3"/>
      <c r="V5155" s="3"/>
      <c r="W5155" s="3"/>
      <c r="X5155" s="3"/>
      <c r="Y5155" s="3"/>
      <c r="Z5155" s="3"/>
      <c r="AA5155" s="3"/>
    </row>
    <row r="5156" ht="105.75" customHeight="1">
      <c r="A5156" s="11"/>
      <c r="B5156" s="12"/>
      <c r="C5156" s="11"/>
      <c r="D5156" s="13"/>
      <c r="E5156" s="14"/>
      <c r="F5156" s="14"/>
      <c r="G5156" s="14"/>
      <c r="H5156" s="15"/>
      <c r="I5156" s="15"/>
      <c r="J5156" s="3"/>
      <c r="K5156" s="3"/>
      <c r="L5156" s="3"/>
      <c r="M5156" s="3"/>
      <c r="N5156" s="3"/>
      <c r="O5156" s="3"/>
      <c r="P5156" s="3"/>
      <c r="Q5156" s="3"/>
      <c r="R5156" s="3"/>
      <c r="S5156" s="3"/>
      <c r="T5156" s="3"/>
      <c r="U5156" s="3"/>
      <c r="V5156" s="3"/>
      <c r="W5156" s="3"/>
      <c r="X5156" s="3"/>
      <c r="Y5156" s="3"/>
      <c r="Z5156" s="3"/>
      <c r="AA5156" s="3"/>
    </row>
    <row r="5157" ht="105.75" customHeight="1">
      <c r="A5157" s="11"/>
      <c r="B5157" s="12"/>
      <c r="C5157" s="11"/>
      <c r="D5157" s="13"/>
      <c r="E5157" s="14"/>
      <c r="F5157" s="14"/>
      <c r="G5157" s="14"/>
      <c r="H5157" s="15"/>
      <c r="I5157" s="15"/>
      <c r="J5157" s="3"/>
      <c r="K5157" s="3"/>
      <c r="L5157" s="3"/>
      <c r="M5157" s="3"/>
      <c r="N5157" s="3"/>
      <c r="O5157" s="3"/>
      <c r="P5157" s="3"/>
      <c r="Q5157" s="3"/>
      <c r="R5157" s="3"/>
      <c r="S5157" s="3"/>
      <c r="T5157" s="3"/>
      <c r="U5157" s="3"/>
      <c r="V5157" s="3"/>
      <c r="W5157" s="3"/>
      <c r="X5157" s="3"/>
      <c r="Y5157" s="3"/>
      <c r="Z5157" s="3"/>
      <c r="AA5157" s="3"/>
    </row>
    <row r="5158" ht="105.75" customHeight="1">
      <c r="A5158" s="11"/>
      <c r="B5158" s="12"/>
      <c r="C5158" s="11"/>
      <c r="D5158" s="13"/>
      <c r="E5158" s="14"/>
      <c r="F5158" s="14"/>
      <c r="G5158" s="14"/>
      <c r="H5158" s="15"/>
      <c r="I5158" s="15"/>
      <c r="J5158" s="3"/>
      <c r="K5158" s="3"/>
      <c r="L5158" s="3"/>
      <c r="M5158" s="3"/>
      <c r="N5158" s="3"/>
      <c r="O5158" s="3"/>
      <c r="P5158" s="3"/>
      <c r="Q5158" s="3"/>
      <c r="R5158" s="3"/>
      <c r="S5158" s="3"/>
      <c r="T5158" s="3"/>
      <c r="U5158" s="3"/>
      <c r="V5158" s="3"/>
      <c r="W5158" s="3"/>
      <c r="X5158" s="3"/>
      <c r="Y5158" s="3"/>
      <c r="Z5158" s="3"/>
      <c r="AA5158" s="3"/>
    </row>
    <row r="5159" ht="105.75" customHeight="1">
      <c r="A5159" s="11"/>
      <c r="B5159" s="12"/>
      <c r="C5159" s="11"/>
      <c r="D5159" s="13"/>
      <c r="E5159" s="14"/>
      <c r="F5159" s="14"/>
      <c r="G5159" s="14"/>
      <c r="H5159" s="15"/>
      <c r="I5159" s="15"/>
      <c r="J5159" s="3"/>
      <c r="K5159" s="3"/>
      <c r="L5159" s="3"/>
      <c r="M5159" s="3"/>
      <c r="N5159" s="3"/>
      <c r="O5159" s="3"/>
      <c r="P5159" s="3"/>
      <c r="Q5159" s="3"/>
      <c r="R5159" s="3"/>
      <c r="S5159" s="3"/>
      <c r="T5159" s="3"/>
      <c r="U5159" s="3"/>
      <c r="V5159" s="3"/>
      <c r="W5159" s="3"/>
      <c r="X5159" s="3"/>
      <c r="Y5159" s="3"/>
      <c r="Z5159" s="3"/>
      <c r="AA5159" s="3"/>
    </row>
    <row r="5160" ht="105.75" customHeight="1">
      <c r="A5160" s="11"/>
      <c r="B5160" s="12"/>
      <c r="C5160" s="11"/>
      <c r="D5160" s="13"/>
      <c r="E5160" s="14"/>
      <c r="F5160" s="14"/>
      <c r="G5160" s="14"/>
      <c r="H5160" s="15"/>
      <c r="I5160" s="15"/>
      <c r="J5160" s="3"/>
      <c r="K5160" s="3"/>
      <c r="L5160" s="3"/>
      <c r="M5160" s="3"/>
      <c r="N5160" s="3"/>
      <c r="O5160" s="3"/>
      <c r="P5160" s="3"/>
      <c r="Q5160" s="3"/>
      <c r="R5160" s="3"/>
      <c r="S5160" s="3"/>
      <c r="T5160" s="3"/>
      <c r="U5160" s="3"/>
      <c r="V5160" s="3"/>
      <c r="W5160" s="3"/>
      <c r="X5160" s="3"/>
      <c r="Y5160" s="3"/>
      <c r="Z5160" s="3"/>
      <c r="AA5160" s="3"/>
    </row>
    <row r="5161" ht="105.75" customHeight="1">
      <c r="A5161" s="11"/>
      <c r="B5161" s="12"/>
      <c r="C5161" s="11"/>
      <c r="D5161" s="13"/>
      <c r="E5161" s="14"/>
      <c r="F5161" s="14"/>
      <c r="G5161" s="14"/>
      <c r="H5161" s="15"/>
      <c r="I5161" s="15"/>
      <c r="J5161" s="3"/>
      <c r="K5161" s="3"/>
      <c r="L5161" s="3"/>
      <c r="M5161" s="3"/>
      <c r="N5161" s="3"/>
      <c r="O5161" s="3"/>
      <c r="P5161" s="3"/>
      <c r="Q5161" s="3"/>
      <c r="R5161" s="3"/>
      <c r="S5161" s="3"/>
      <c r="T5161" s="3"/>
      <c r="U5161" s="3"/>
      <c r="V5161" s="3"/>
      <c r="W5161" s="3"/>
      <c r="X5161" s="3"/>
      <c r="Y5161" s="3"/>
      <c r="Z5161" s="3"/>
      <c r="AA5161" s="3"/>
    </row>
    <row r="5162" ht="105.75" customHeight="1">
      <c r="A5162" s="11"/>
      <c r="B5162" s="12"/>
      <c r="C5162" s="11"/>
      <c r="D5162" s="13"/>
      <c r="E5162" s="14"/>
      <c r="F5162" s="14"/>
      <c r="G5162" s="14"/>
      <c r="H5162" s="15"/>
      <c r="I5162" s="15"/>
      <c r="J5162" s="3"/>
      <c r="K5162" s="3"/>
      <c r="L5162" s="3"/>
      <c r="M5162" s="3"/>
      <c r="N5162" s="3"/>
      <c r="O5162" s="3"/>
      <c r="P5162" s="3"/>
      <c r="Q5162" s="3"/>
      <c r="R5162" s="3"/>
      <c r="S5162" s="3"/>
      <c r="T5162" s="3"/>
      <c r="U5162" s="3"/>
      <c r="V5162" s="3"/>
      <c r="W5162" s="3"/>
      <c r="X5162" s="3"/>
      <c r="Y5162" s="3"/>
      <c r="Z5162" s="3"/>
      <c r="AA5162" s="3"/>
    </row>
    <row r="5163" ht="105.75" customHeight="1">
      <c r="A5163" s="11"/>
      <c r="B5163" s="12"/>
      <c r="C5163" s="11"/>
      <c r="D5163" s="13"/>
      <c r="E5163" s="14"/>
      <c r="F5163" s="14"/>
      <c r="G5163" s="14"/>
      <c r="H5163" s="15"/>
      <c r="I5163" s="15"/>
      <c r="J5163" s="3"/>
      <c r="K5163" s="3"/>
      <c r="L5163" s="3"/>
      <c r="M5163" s="3"/>
      <c r="N5163" s="3"/>
      <c r="O5163" s="3"/>
      <c r="P5163" s="3"/>
      <c r="Q5163" s="3"/>
      <c r="R5163" s="3"/>
      <c r="S5163" s="3"/>
      <c r="T5163" s="3"/>
      <c r="U5163" s="3"/>
      <c r="V5163" s="3"/>
      <c r="W5163" s="3"/>
      <c r="X5163" s="3"/>
      <c r="Y5163" s="3"/>
      <c r="Z5163" s="3"/>
      <c r="AA5163" s="3"/>
    </row>
    <row r="5164" ht="105.75" customHeight="1">
      <c r="A5164" s="11"/>
      <c r="B5164" s="12"/>
      <c r="C5164" s="11"/>
      <c r="D5164" s="13"/>
      <c r="E5164" s="14"/>
      <c r="F5164" s="14"/>
      <c r="G5164" s="14"/>
      <c r="H5164" s="15"/>
      <c r="I5164" s="15"/>
      <c r="J5164" s="3"/>
      <c r="K5164" s="3"/>
      <c r="L5164" s="3"/>
      <c r="M5164" s="3"/>
      <c r="N5164" s="3"/>
      <c r="O5164" s="3"/>
      <c r="P5164" s="3"/>
      <c r="Q5164" s="3"/>
      <c r="R5164" s="3"/>
      <c r="S5164" s="3"/>
      <c r="T5164" s="3"/>
      <c r="U5164" s="3"/>
      <c r="V5164" s="3"/>
      <c r="W5164" s="3"/>
      <c r="X5164" s="3"/>
      <c r="Y5164" s="3"/>
      <c r="Z5164" s="3"/>
      <c r="AA5164" s="3"/>
    </row>
    <row r="5165" ht="105.75" customHeight="1">
      <c r="A5165" s="11"/>
      <c r="B5165" s="12"/>
      <c r="C5165" s="11"/>
      <c r="D5165" s="13"/>
      <c r="E5165" s="14"/>
      <c r="F5165" s="14"/>
      <c r="G5165" s="14"/>
      <c r="H5165" s="15"/>
      <c r="I5165" s="15"/>
      <c r="J5165" s="3"/>
      <c r="K5165" s="3"/>
      <c r="L5165" s="3"/>
      <c r="M5165" s="3"/>
      <c r="N5165" s="3"/>
      <c r="O5165" s="3"/>
      <c r="P5165" s="3"/>
      <c r="Q5165" s="3"/>
      <c r="R5165" s="3"/>
      <c r="S5165" s="3"/>
      <c r="T5165" s="3"/>
      <c r="U5165" s="3"/>
      <c r="V5165" s="3"/>
      <c r="W5165" s="3"/>
      <c r="X5165" s="3"/>
      <c r="Y5165" s="3"/>
      <c r="Z5165" s="3"/>
      <c r="AA5165" s="3"/>
    </row>
    <row r="5166" ht="105.75" customHeight="1">
      <c r="A5166" s="11"/>
      <c r="B5166" s="12"/>
      <c r="C5166" s="11"/>
      <c r="D5166" s="13"/>
      <c r="E5166" s="14"/>
      <c r="F5166" s="14"/>
      <c r="G5166" s="14"/>
      <c r="H5166" s="15"/>
      <c r="I5166" s="15"/>
      <c r="J5166" s="3"/>
      <c r="K5166" s="3"/>
      <c r="L5166" s="3"/>
      <c r="M5166" s="3"/>
      <c r="N5166" s="3"/>
      <c r="O5166" s="3"/>
      <c r="P5166" s="3"/>
      <c r="Q5166" s="3"/>
      <c r="R5166" s="3"/>
      <c r="S5166" s="3"/>
      <c r="T5166" s="3"/>
      <c r="U5166" s="3"/>
      <c r="V5166" s="3"/>
      <c r="W5166" s="3"/>
      <c r="X5166" s="3"/>
      <c r="Y5166" s="3"/>
      <c r="Z5166" s="3"/>
      <c r="AA5166" s="3"/>
    </row>
    <row r="5167" ht="105.75" customHeight="1">
      <c r="A5167" s="11"/>
      <c r="B5167" s="12"/>
      <c r="C5167" s="11"/>
      <c r="D5167" s="13"/>
      <c r="E5167" s="14"/>
      <c r="F5167" s="14"/>
      <c r="G5167" s="14"/>
      <c r="H5167" s="15"/>
      <c r="I5167" s="15"/>
      <c r="J5167" s="3"/>
      <c r="K5167" s="3"/>
      <c r="L5167" s="3"/>
      <c r="M5167" s="3"/>
      <c r="N5167" s="3"/>
      <c r="O5167" s="3"/>
      <c r="P5167" s="3"/>
      <c r="Q5167" s="3"/>
      <c r="R5167" s="3"/>
      <c r="S5167" s="3"/>
      <c r="T5167" s="3"/>
      <c r="U5167" s="3"/>
      <c r="V5167" s="3"/>
      <c r="W5167" s="3"/>
      <c r="X5167" s="3"/>
      <c r="Y5167" s="3"/>
      <c r="Z5167" s="3"/>
      <c r="AA5167" s="3"/>
    </row>
    <row r="5168" ht="105.75" customHeight="1">
      <c r="A5168" s="11"/>
      <c r="B5168" s="12"/>
      <c r="C5168" s="11"/>
      <c r="D5168" s="13"/>
      <c r="E5168" s="14"/>
      <c r="F5168" s="14"/>
      <c r="G5168" s="14"/>
      <c r="H5168" s="15"/>
      <c r="I5168" s="15"/>
      <c r="J5168" s="3"/>
      <c r="K5168" s="3"/>
      <c r="L5168" s="3"/>
      <c r="M5168" s="3"/>
      <c r="N5168" s="3"/>
      <c r="O5168" s="3"/>
      <c r="P5168" s="3"/>
      <c r="Q5168" s="3"/>
      <c r="R5168" s="3"/>
      <c r="S5168" s="3"/>
      <c r="T5168" s="3"/>
      <c r="U5168" s="3"/>
      <c r="V5168" s="3"/>
      <c r="W5168" s="3"/>
      <c r="X5168" s="3"/>
      <c r="Y5168" s="3"/>
      <c r="Z5168" s="3"/>
      <c r="AA5168" s="3"/>
    </row>
    <row r="5169" ht="105.75" customHeight="1">
      <c r="A5169" s="11"/>
      <c r="B5169" s="12"/>
      <c r="C5169" s="11"/>
      <c r="D5169" s="13"/>
      <c r="E5169" s="14"/>
      <c r="F5169" s="14"/>
      <c r="G5169" s="14"/>
      <c r="H5169" s="15"/>
      <c r="I5169" s="15"/>
      <c r="J5169" s="3"/>
      <c r="K5169" s="3"/>
      <c r="L5169" s="3"/>
      <c r="M5169" s="3"/>
      <c r="N5169" s="3"/>
      <c r="O5169" s="3"/>
      <c r="P5169" s="3"/>
      <c r="Q5169" s="3"/>
      <c r="R5169" s="3"/>
      <c r="S5169" s="3"/>
      <c r="T5169" s="3"/>
      <c r="U5169" s="3"/>
      <c r="V5169" s="3"/>
      <c r="W5169" s="3"/>
      <c r="X5169" s="3"/>
      <c r="Y5169" s="3"/>
      <c r="Z5169" s="3"/>
      <c r="AA5169" s="3"/>
    </row>
    <row r="5170" ht="105.75" customHeight="1">
      <c r="A5170" s="11"/>
      <c r="B5170" s="12"/>
      <c r="C5170" s="11"/>
      <c r="D5170" s="13"/>
      <c r="E5170" s="14"/>
      <c r="F5170" s="14"/>
      <c r="G5170" s="14"/>
      <c r="H5170" s="15"/>
      <c r="I5170" s="15"/>
      <c r="J5170" s="3"/>
      <c r="K5170" s="3"/>
      <c r="L5170" s="3"/>
      <c r="M5170" s="3"/>
      <c r="N5170" s="3"/>
      <c r="O5170" s="3"/>
      <c r="P5170" s="3"/>
      <c r="Q5170" s="3"/>
      <c r="R5170" s="3"/>
      <c r="S5170" s="3"/>
      <c r="T5170" s="3"/>
      <c r="U5170" s="3"/>
      <c r="V5170" s="3"/>
      <c r="W5170" s="3"/>
      <c r="X5170" s="3"/>
      <c r="Y5170" s="3"/>
      <c r="Z5170" s="3"/>
      <c r="AA5170" s="3"/>
    </row>
    <row r="5171" ht="105.75" customHeight="1">
      <c r="A5171" s="11"/>
      <c r="B5171" s="12"/>
      <c r="C5171" s="11"/>
      <c r="D5171" s="13"/>
      <c r="E5171" s="14"/>
      <c r="F5171" s="14"/>
      <c r="G5171" s="14"/>
      <c r="H5171" s="15"/>
      <c r="I5171" s="15"/>
      <c r="J5171" s="3"/>
      <c r="K5171" s="3"/>
      <c r="L5171" s="3"/>
      <c r="M5171" s="3"/>
      <c r="N5171" s="3"/>
      <c r="O5171" s="3"/>
      <c r="P5171" s="3"/>
      <c r="Q5171" s="3"/>
      <c r="R5171" s="3"/>
      <c r="S5171" s="3"/>
      <c r="T5171" s="3"/>
      <c r="U5171" s="3"/>
      <c r="V5171" s="3"/>
      <c r="W5171" s="3"/>
      <c r="X5171" s="3"/>
      <c r="Y5171" s="3"/>
      <c r="Z5171" s="3"/>
      <c r="AA5171" s="3"/>
    </row>
    <row r="5172" ht="105.75" customHeight="1">
      <c r="A5172" s="11"/>
      <c r="B5172" s="12"/>
      <c r="C5172" s="11"/>
      <c r="D5172" s="13"/>
      <c r="E5172" s="14"/>
      <c r="F5172" s="14"/>
      <c r="G5172" s="14"/>
      <c r="H5172" s="15"/>
      <c r="I5172" s="15"/>
      <c r="J5172" s="3"/>
      <c r="K5172" s="3"/>
      <c r="L5172" s="3"/>
      <c r="M5172" s="3"/>
      <c r="N5172" s="3"/>
      <c r="O5172" s="3"/>
      <c r="P5172" s="3"/>
      <c r="Q5172" s="3"/>
      <c r="R5172" s="3"/>
      <c r="S5172" s="3"/>
      <c r="T5172" s="3"/>
      <c r="U5172" s="3"/>
      <c r="V5172" s="3"/>
      <c r="W5172" s="3"/>
      <c r="X5172" s="3"/>
      <c r="Y5172" s="3"/>
      <c r="Z5172" s="3"/>
      <c r="AA5172" s="3"/>
    </row>
    <row r="5173" ht="105.75" customHeight="1">
      <c r="A5173" s="11"/>
      <c r="B5173" s="12"/>
      <c r="C5173" s="11"/>
      <c r="D5173" s="13"/>
      <c r="E5173" s="14"/>
      <c r="F5173" s="14"/>
      <c r="G5173" s="14"/>
      <c r="H5173" s="15"/>
      <c r="I5173" s="15"/>
      <c r="J5173" s="3"/>
      <c r="K5173" s="3"/>
      <c r="L5173" s="3"/>
      <c r="M5173" s="3"/>
      <c r="N5173" s="3"/>
      <c r="O5173" s="3"/>
      <c r="P5173" s="3"/>
      <c r="Q5173" s="3"/>
      <c r="R5173" s="3"/>
      <c r="S5173" s="3"/>
      <c r="T5173" s="3"/>
      <c r="U5173" s="3"/>
      <c r="V5173" s="3"/>
      <c r="W5173" s="3"/>
      <c r="X5173" s="3"/>
      <c r="Y5173" s="3"/>
      <c r="Z5173" s="3"/>
      <c r="AA5173" s="3"/>
    </row>
    <row r="5174" ht="105.75" customHeight="1">
      <c r="A5174" s="11"/>
      <c r="B5174" s="12"/>
      <c r="C5174" s="11"/>
      <c r="D5174" s="13"/>
      <c r="E5174" s="14"/>
      <c r="F5174" s="14"/>
      <c r="G5174" s="14"/>
      <c r="H5174" s="15"/>
      <c r="I5174" s="15"/>
      <c r="J5174" s="3"/>
      <c r="K5174" s="3"/>
      <c r="L5174" s="3"/>
      <c r="M5174" s="3"/>
      <c r="N5174" s="3"/>
      <c r="O5174" s="3"/>
      <c r="P5174" s="3"/>
      <c r="Q5174" s="3"/>
      <c r="R5174" s="3"/>
      <c r="S5174" s="3"/>
      <c r="T5174" s="3"/>
      <c r="U5174" s="3"/>
      <c r="V5174" s="3"/>
      <c r="W5174" s="3"/>
      <c r="X5174" s="3"/>
      <c r="Y5174" s="3"/>
      <c r="Z5174" s="3"/>
      <c r="AA5174" s="3"/>
    </row>
    <row r="5175" ht="105.75" customHeight="1">
      <c r="A5175" s="11"/>
      <c r="B5175" s="12"/>
      <c r="C5175" s="11"/>
      <c r="D5175" s="13"/>
      <c r="E5175" s="14"/>
      <c r="F5175" s="14"/>
      <c r="G5175" s="14"/>
      <c r="H5175" s="15"/>
      <c r="I5175" s="15"/>
      <c r="J5175" s="3"/>
      <c r="K5175" s="3"/>
      <c r="L5175" s="3"/>
      <c r="M5175" s="3"/>
      <c r="N5175" s="3"/>
      <c r="O5175" s="3"/>
      <c r="P5175" s="3"/>
      <c r="Q5175" s="3"/>
      <c r="R5175" s="3"/>
      <c r="S5175" s="3"/>
      <c r="T5175" s="3"/>
      <c r="U5175" s="3"/>
      <c r="V5175" s="3"/>
      <c r="W5175" s="3"/>
      <c r="X5175" s="3"/>
      <c r="Y5175" s="3"/>
      <c r="Z5175" s="3"/>
      <c r="AA5175" s="3"/>
    </row>
    <row r="5176" ht="105.75" customHeight="1">
      <c r="A5176" s="11"/>
      <c r="B5176" s="12"/>
      <c r="C5176" s="11"/>
      <c r="D5176" s="13"/>
      <c r="E5176" s="14"/>
      <c r="F5176" s="14"/>
      <c r="G5176" s="14"/>
      <c r="H5176" s="15"/>
      <c r="I5176" s="15"/>
      <c r="J5176" s="3"/>
      <c r="K5176" s="3"/>
      <c r="L5176" s="3"/>
      <c r="M5176" s="3"/>
      <c r="N5176" s="3"/>
      <c r="O5176" s="3"/>
      <c r="P5176" s="3"/>
      <c r="Q5176" s="3"/>
      <c r="R5176" s="3"/>
      <c r="S5176" s="3"/>
      <c r="T5176" s="3"/>
      <c r="U5176" s="3"/>
      <c r="V5176" s="3"/>
      <c r="W5176" s="3"/>
      <c r="X5176" s="3"/>
      <c r="Y5176" s="3"/>
      <c r="Z5176" s="3"/>
      <c r="AA5176" s="3"/>
    </row>
    <row r="5177" ht="105.75" customHeight="1">
      <c r="A5177" s="11"/>
      <c r="B5177" s="12"/>
      <c r="C5177" s="11"/>
      <c r="D5177" s="13"/>
      <c r="E5177" s="14"/>
      <c r="F5177" s="14"/>
      <c r="G5177" s="14"/>
      <c r="H5177" s="15"/>
      <c r="I5177" s="15"/>
      <c r="J5177" s="3"/>
      <c r="K5177" s="3"/>
      <c r="L5177" s="3"/>
      <c r="M5177" s="3"/>
      <c r="N5177" s="3"/>
      <c r="O5177" s="3"/>
      <c r="P5177" s="3"/>
      <c r="Q5177" s="3"/>
      <c r="R5177" s="3"/>
      <c r="S5177" s="3"/>
      <c r="T5177" s="3"/>
      <c r="U5177" s="3"/>
      <c r="V5177" s="3"/>
      <c r="W5177" s="3"/>
      <c r="X5177" s="3"/>
      <c r="Y5177" s="3"/>
      <c r="Z5177" s="3"/>
      <c r="AA5177" s="3"/>
    </row>
    <row r="5178" ht="105.75" customHeight="1">
      <c r="A5178" s="11"/>
      <c r="B5178" s="12"/>
      <c r="C5178" s="11"/>
      <c r="D5178" s="13"/>
      <c r="E5178" s="14"/>
      <c r="F5178" s="14"/>
      <c r="G5178" s="14"/>
      <c r="H5178" s="15"/>
      <c r="I5178" s="15"/>
      <c r="J5178" s="3"/>
      <c r="K5178" s="3"/>
      <c r="L5178" s="3"/>
      <c r="M5178" s="3"/>
      <c r="N5178" s="3"/>
      <c r="O5178" s="3"/>
      <c r="P5178" s="3"/>
      <c r="Q5178" s="3"/>
      <c r="R5178" s="3"/>
      <c r="S5178" s="3"/>
      <c r="T5178" s="3"/>
      <c r="U5178" s="3"/>
      <c r="V5178" s="3"/>
      <c r="W5178" s="3"/>
      <c r="X5178" s="3"/>
      <c r="Y5178" s="3"/>
      <c r="Z5178" s="3"/>
      <c r="AA5178" s="3"/>
    </row>
    <row r="5179" ht="105.75" customHeight="1">
      <c r="A5179" s="11"/>
      <c r="B5179" s="12"/>
      <c r="C5179" s="11"/>
      <c r="D5179" s="13"/>
      <c r="E5179" s="14"/>
      <c r="F5179" s="14"/>
      <c r="G5179" s="14"/>
      <c r="H5179" s="15"/>
      <c r="I5179" s="15"/>
      <c r="J5179" s="3"/>
      <c r="K5179" s="3"/>
      <c r="L5179" s="3"/>
      <c r="M5179" s="3"/>
      <c r="N5179" s="3"/>
      <c r="O5179" s="3"/>
      <c r="P5179" s="3"/>
      <c r="Q5179" s="3"/>
      <c r="R5179" s="3"/>
      <c r="S5179" s="3"/>
      <c r="T5179" s="3"/>
      <c r="U5179" s="3"/>
      <c r="V5179" s="3"/>
      <c r="W5179" s="3"/>
      <c r="X5179" s="3"/>
      <c r="Y5179" s="3"/>
      <c r="Z5179" s="3"/>
      <c r="AA5179" s="3"/>
    </row>
    <row r="5180" ht="105.75" customHeight="1">
      <c r="A5180" s="11"/>
      <c r="B5180" s="12"/>
      <c r="C5180" s="11"/>
      <c r="D5180" s="13"/>
      <c r="E5180" s="14"/>
      <c r="F5180" s="14"/>
      <c r="G5180" s="14"/>
      <c r="H5180" s="15"/>
      <c r="I5180" s="15"/>
      <c r="J5180" s="3"/>
      <c r="K5180" s="3"/>
      <c r="L5180" s="3"/>
      <c r="M5180" s="3"/>
      <c r="N5180" s="3"/>
      <c r="O5180" s="3"/>
      <c r="P5180" s="3"/>
      <c r="Q5180" s="3"/>
      <c r="R5180" s="3"/>
      <c r="S5180" s="3"/>
      <c r="T5180" s="3"/>
      <c r="U5180" s="3"/>
      <c r="V5180" s="3"/>
      <c r="W5180" s="3"/>
      <c r="X5180" s="3"/>
      <c r="Y5180" s="3"/>
      <c r="Z5180" s="3"/>
      <c r="AA5180" s="3"/>
    </row>
    <row r="5181" ht="105.75" customHeight="1">
      <c r="A5181" s="11"/>
      <c r="B5181" s="12"/>
      <c r="C5181" s="11"/>
      <c r="D5181" s="13"/>
      <c r="E5181" s="14"/>
      <c r="F5181" s="14"/>
      <c r="G5181" s="14"/>
      <c r="H5181" s="15"/>
      <c r="I5181" s="15"/>
      <c r="J5181" s="3"/>
      <c r="K5181" s="3"/>
      <c r="L5181" s="3"/>
      <c r="M5181" s="3"/>
      <c r="N5181" s="3"/>
      <c r="O5181" s="3"/>
      <c r="P5181" s="3"/>
      <c r="Q5181" s="3"/>
      <c r="R5181" s="3"/>
      <c r="S5181" s="3"/>
      <c r="T5181" s="3"/>
      <c r="U5181" s="3"/>
      <c r="V5181" s="3"/>
      <c r="W5181" s="3"/>
      <c r="X5181" s="3"/>
      <c r="Y5181" s="3"/>
      <c r="Z5181" s="3"/>
      <c r="AA5181" s="3"/>
    </row>
    <row r="5182" ht="105.75" customHeight="1">
      <c r="A5182" s="11"/>
      <c r="B5182" s="12"/>
      <c r="C5182" s="11"/>
      <c r="D5182" s="13"/>
      <c r="E5182" s="14"/>
      <c r="F5182" s="14"/>
      <c r="G5182" s="14"/>
      <c r="H5182" s="15"/>
      <c r="I5182" s="15"/>
      <c r="J5182" s="3"/>
      <c r="K5182" s="3"/>
      <c r="L5182" s="3"/>
      <c r="M5182" s="3"/>
      <c r="N5182" s="3"/>
      <c r="O5182" s="3"/>
      <c r="P5182" s="3"/>
      <c r="Q5182" s="3"/>
      <c r="R5182" s="3"/>
      <c r="S5182" s="3"/>
      <c r="T5182" s="3"/>
      <c r="U5182" s="3"/>
      <c r="V5182" s="3"/>
      <c r="W5182" s="3"/>
      <c r="X5182" s="3"/>
      <c r="Y5182" s="3"/>
      <c r="Z5182" s="3"/>
      <c r="AA5182" s="3"/>
    </row>
    <row r="5183" ht="105.75" customHeight="1">
      <c r="A5183" s="11"/>
      <c r="B5183" s="12"/>
      <c r="C5183" s="11"/>
      <c r="D5183" s="13"/>
      <c r="E5183" s="14"/>
      <c r="F5183" s="14"/>
      <c r="G5183" s="14"/>
      <c r="H5183" s="15"/>
      <c r="I5183" s="15"/>
      <c r="J5183" s="3"/>
      <c r="K5183" s="3"/>
      <c r="L5183" s="3"/>
      <c r="M5183" s="3"/>
      <c r="N5183" s="3"/>
      <c r="O5183" s="3"/>
      <c r="P5183" s="3"/>
      <c r="Q5183" s="3"/>
      <c r="R5183" s="3"/>
      <c r="S5183" s="3"/>
      <c r="T5183" s="3"/>
      <c r="U5183" s="3"/>
      <c r="V5183" s="3"/>
      <c r="W5183" s="3"/>
      <c r="X5183" s="3"/>
      <c r="Y5183" s="3"/>
      <c r="Z5183" s="3"/>
      <c r="AA5183" s="3"/>
    </row>
    <row r="5184" ht="105.75" customHeight="1">
      <c r="A5184" s="11"/>
      <c r="B5184" s="12"/>
      <c r="C5184" s="11"/>
      <c r="D5184" s="13"/>
      <c r="E5184" s="14"/>
      <c r="F5184" s="14"/>
      <c r="G5184" s="14"/>
      <c r="H5184" s="15"/>
      <c r="I5184" s="15"/>
      <c r="J5184" s="3"/>
      <c r="K5184" s="3"/>
      <c r="L5184" s="3"/>
      <c r="M5184" s="3"/>
      <c r="N5184" s="3"/>
      <c r="O5184" s="3"/>
      <c r="P5184" s="3"/>
      <c r="Q5184" s="3"/>
      <c r="R5184" s="3"/>
      <c r="S5184" s="3"/>
      <c r="T5184" s="3"/>
      <c r="U5184" s="3"/>
      <c r="V5184" s="3"/>
      <c r="W5184" s="3"/>
      <c r="X5184" s="3"/>
      <c r="Y5184" s="3"/>
      <c r="Z5184" s="3"/>
      <c r="AA5184" s="3"/>
    </row>
    <row r="5185" ht="105.75" customHeight="1">
      <c r="A5185" s="11"/>
      <c r="B5185" s="12"/>
      <c r="C5185" s="11"/>
      <c r="D5185" s="13"/>
      <c r="E5185" s="14"/>
      <c r="F5185" s="14"/>
      <c r="G5185" s="14"/>
      <c r="H5185" s="15"/>
      <c r="I5185" s="15"/>
      <c r="J5185" s="3"/>
      <c r="K5185" s="3"/>
      <c r="L5185" s="3"/>
      <c r="M5185" s="3"/>
      <c r="N5185" s="3"/>
      <c r="O5185" s="3"/>
      <c r="P5185" s="3"/>
      <c r="Q5185" s="3"/>
      <c r="R5185" s="3"/>
      <c r="S5185" s="3"/>
      <c r="T5185" s="3"/>
      <c r="U5185" s="3"/>
      <c r="V5185" s="3"/>
      <c r="W5185" s="3"/>
      <c r="X5185" s="3"/>
      <c r="Y5185" s="3"/>
      <c r="Z5185" s="3"/>
      <c r="AA5185" s="3"/>
    </row>
    <row r="5186" ht="105.75" customHeight="1">
      <c r="A5186" s="11"/>
      <c r="B5186" s="12"/>
      <c r="C5186" s="11"/>
      <c r="D5186" s="13"/>
      <c r="E5186" s="14"/>
      <c r="F5186" s="14"/>
      <c r="G5186" s="14"/>
      <c r="H5186" s="15"/>
      <c r="I5186" s="15"/>
      <c r="J5186" s="3"/>
      <c r="K5186" s="3"/>
      <c r="L5186" s="3"/>
      <c r="M5186" s="3"/>
      <c r="N5186" s="3"/>
      <c r="O5186" s="3"/>
      <c r="P5186" s="3"/>
      <c r="Q5186" s="3"/>
      <c r="R5186" s="3"/>
      <c r="S5186" s="3"/>
      <c r="T5186" s="3"/>
      <c r="U5186" s="3"/>
      <c r="V5186" s="3"/>
      <c r="W5186" s="3"/>
      <c r="X5186" s="3"/>
      <c r="Y5186" s="3"/>
      <c r="Z5186" s="3"/>
      <c r="AA5186" s="3"/>
    </row>
    <row r="5187" ht="105.75" customHeight="1">
      <c r="A5187" s="11"/>
      <c r="B5187" s="12"/>
      <c r="C5187" s="11"/>
      <c r="D5187" s="13"/>
      <c r="E5187" s="14"/>
      <c r="F5187" s="14"/>
      <c r="G5187" s="14"/>
      <c r="H5187" s="15"/>
      <c r="I5187" s="15"/>
      <c r="J5187" s="3"/>
      <c r="K5187" s="3"/>
      <c r="L5187" s="3"/>
      <c r="M5187" s="3"/>
      <c r="N5187" s="3"/>
      <c r="O5187" s="3"/>
      <c r="P5187" s="3"/>
      <c r="Q5187" s="3"/>
      <c r="R5187" s="3"/>
      <c r="S5187" s="3"/>
      <c r="T5187" s="3"/>
      <c r="U5187" s="3"/>
      <c r="V5187" s="3"/>
      <c r="W5187" s="3"/>
      <c r="X5187" s="3"/>
      <c r="Y5187" s="3"/>
      <c r="Z5187" s="3"/>
      <c r="AA5187" s="3"/>
    </row>
    <row r="5188" ht="105.75" customHeight="1">
      <c r="A5188" s="11"/>
      <c r="B5188" s="12"/>
      <c r="C5188" s="11"/>
      <c r="D5188" s="13"/>
      <c r="E5188" s="14"/>
      <c r="F5188" s="14"/>
      <c r="G5188" s="14"/>
      <c r="H5188" s="15"/>
      <c r="I5188" s="15"/>
      <c r="J5188" s="3"/>
      <c r="K5188" s="3"/>
      <c r="L5188" s="3"/>
      <c r="M5188" s="3"/>
      <c r="N5188" s="3"/>
      <c r="O5188" s="3"/>
      <c r="P5188" s="3"/>
      <c r="Q5188" s="3"/>
      <c r="R5188" s="3"/>
      <c r="S5188" s="3"/>
      <c r="T5188" s="3"/>
      <c r="U5188" s="3"/>
      <c r="V5188" s="3"/>
      <c r="W5188" s="3"/>
      <c r="X5188" s="3"/>
      <c r="Y5188" s="3"/>
      <c r="Z5188" s="3"/>
      <c r="AA5188" s="3"/>
    </row>
    <row r="5189" ht="105.75" customHeight="1">
      <c r="A5189" s="11"/>
      <c r="B5189" s="12"/>
      <c r="C5189" s="11"/>
      <c r="D5189" s="13"/>
      <c r="E5189" s="14"/>
      <c r="F5189" s="14"/>
      <c r="G5189" s="14"/>
      <c r="H5189" s="15"/>
      <c r="I5189" s="15"/>
      <c r="J5189" s="3"/>
      <c r="K5189" s="3"/>
      <c r="L5189" s="3"/>
      <c r="M5189" s="3"/>
      <c r="N5189" s="3"/>
      <c r="O5189" s="3"/>
      <c r="P5189" s="3"/>
      <c r="Q5189" s="3"/>
      <c r="R5189" s="3"/>
      <c r="S5189" s="3"/>
      <c r="T5189" s="3"/>
      <c r="U5189" s="3"/>
      <c r="V5189" s="3"/>
      <c r="W5189" s="3"/>
      <c r="X5189" s="3"/>
      <c r="Y5189" s="3"/>
      <c r="Z5189" s="3"/>
      <c r="AA5189" s="3"/>
    </row>
    <row r="5190" ht="105.75" customHeight="1">
      <c r="A5190" s="11"/>
      <c r="B5190" s="12"/>
      <c r="C5190" s="11"/>
      <c r="D5190" s="13"/>
      <c r="E5190" s="14"/>
      <c r="F5190" s="14"/>
      <c r="G5190" s="14"/>
      <c r="H5190" s="15"/>
      <c r="I5190" s="15"/>
      <c r="J5190" s="3"/>
      <c r="K5190" s="3"/>
      <c r="L5190" s="3"/>
      <c r="M5190" s="3"/>
      <c r="N5190" s="3"/>
      <c r="O5190" s="3"/>
      <c r="P5190" s="3"/>
      <c r="Q5190" s="3"/>
      <c r="R5190" s="3"/>
      <c r="S5190" s="3"/>
      <c r="T5190" s="3"/>
      <c r="U5190" s="3"/>
      <c r="V5190" s="3"/>
      <c r="W5190" s="3"/>
      <c r="X5190" s="3"/>
      <c r="Y5190" s="3"/>
      <c r="Z5190" s="3"/>
      <c r="AA5190" s="3"/>
    </row>
    <row r="5191" ht="105.75" customHeight="1">
      <c r="A5191" s="11"/>
      <c r="B5191" s="12"/>
      <c r="C5191" s="11"/>
      <c r="D5191" s="13"/>
      <c r="E5191" s="14"/>
      <c r="F5191" s="14"/>
      <c r="G5191" s="14"/>
      <c r="H5191" s="15"/>
      <c r="I5191" s="15"/>
      <c r="J5191" s="3"/>
      <c r="K5191" s="3"/>
      <c r="L5191" s="3"/>
      <c r="M5191" s="3"/>
      <c r="N5191" s="3"/>
      <c r="O5191" s="3"/>
      <c r="P5191" s="3"/>
      <c r="Q5191" s="3"/>
      <c r="R5191" s="3"/>
      <c r="S5191" s="3"/>
      <c r="T5191" s="3"/>
      <c r="U5191" s="3"/>
      <c r="V5191" s="3"/>
      <c r="W5191" s="3"/>
      <c r="X5191" s="3"/>
      <c r="Y5191" s="3"/>
      <c r="Z5191" s="3"/>
      <c r="AA5191" s="3"/>
    </row>
    <row r="5192" ht="105.75" customHeight="1">
      <c r="A5192" s="11"/>
      <c r="B5192" s="12"/>
      <c r="C5192" s="11"/>
      <c r="D5192" s="13"/>
      <c r="E5192" s="14"/>
      <c r="F5192" s="14"/>
      <c r="G5192" s="14"/>
      <c r="H5192" s="15"/>
      <c r="I5192" s="15"/>
      <c r="J5192" s="3"/>
      <c r="K5192" s="3"/>
      <c r="L5192" s="3"/>
      <c r="M5192" s="3"/>
      <c r="N5192" s="3"/>
      <c r="O5192" s="3"/>
      <c r="P5192" s="3"/>
      <c r="Q5192" s="3"/>
      <c r="R5192" s="3"/>
      <c r="S5192" s="3"/>
      <c r="T5192" s="3"/>
      <c r="U5192" s="3"/>
      <c r="V5192" s="3"/>
      <c r="W5192" s="3"/>
      <c r="X5192" s="3"/>
      <c r="Y5192" s="3"/>
      <c r="Z5192" s="3"/>
      <c r="AA5192" s="3"/>
    </row>
    <row r="5193" ht="105.75" customHeight="1">
      <c r="A5193" s="11"/>
      <c r="B5193" s="12"/>
      <c r="C5193" s="11"/>
      <c r="D5193" s="13"/>
      <c r="E5193" s="14"/>
      <c r="F5193" s="14"/>
      <c r="G5193" s="14"/>
      <c r="H5193" s="15"/>
      <c r="I5193" s="15"/>
      <c r="J5193" s="3"/>
      <c r="K5193" s="3"/>
      <c r="L5193" s="3"/>
      <c r="M5193" s="3"/>
      <c r="N5193" s="3"/>
      <c r="O5193" s="3"/>
      <c r="P5193" s="3"/>
      <c r="Q5193" s="3"/>
      <c r="R5193" s="3"/>
      <c r="S5193" s="3"/>
      <c r="T5193" s="3"/>
      <c r="U5193" s="3"/>
      <c r="V5193" s="3"/>
      <c r="W5193" s="3"/>
      <c r="X5193" s="3"/>
      <c r="Y5193" s="3"/>
      <c r="Z5193" s="3"/>
      <c r="AA5193" s="3"/>
    </row>
    <row r="5194" ht="105.75" customHeight="1">
      <c r="A5194" s="11"/>
      <c r="B5194" s="12"/>
      <c r="C5194" s="11"/>
      <c r="D5194" s="13"/>
      <c r="E5194" s="14"/>
      <c r="F5194" s="14"/>
      <c r="G5194" s="14"/>
      <c r="H5194" s="15"/>
      <c r="I5194" s="15"/>
      <c r="J5194" s="3"/>
      <c r="K5194" s="3"/>
      <c r="L5194" s="3"/>
      <c r="M5194" s="3"/>
      <c r="N5194" s="3"/>
      <c r="O5194" s="3"/>
      <c r="P5194" s="3"/>
      <c r="Q5194" s="3"/>
      <c r="R5194" s="3"/>
      <c r="S5194" s="3"/>
      <c r="T5194" s="3"/>
      <c r="U5194" s="3"/>
      <c r="V5194" s="3"/>
      <c r="W5194" s="3"/>
      <c r="X5194" s="3"/>
      <c r="Y5194" s="3"/>
      <c r="Z5194" s="3"/>
      <c r="AA5194" s="3"/>
    </row>
    <row r="5195" ht="105.75" customHeight="1">
      <c r="A5195" s="11"/>
      <c r="B5195" s="12"/>
      <c r="C5195" s="11"/>
      <c r="D5195" s="13"/>
      <c r="E5195" s="14"/>
      <c r="F5195" s="14"/>
      <c r="G5195" s="14"/>
      <c r="H5195" s="15"/>
      <c r="I5195" s="15"/>
      <c r="J5195" s="3"/>
      <c r="K5195" s="3"/>
      <c r="L5195" s="3"/>
      <c r="M5195" s="3"/>
      <c r="N5195" s="3"/>
      <c r="O5195" s="3"/>
      <c r="P5195" s="3"/>
      <c r="Q5195" s="3"/>
      <c r="R5195" s="3"/>
      <c r="S5195" s="3"/>
      <c r="T5195" s="3"/>
      <c r="U5195" s="3"/>
      <c r="V5195" s="3"/>
      <c r="W5195" s="3"/>
      <c r="X5195" s="3"/>
      <c r="Y5195" s="3"/>
      <c r="Z5195" s="3"/>
      <c r="AA5195" s="3"/>
    </row>
    <row r="5196" ht="105.75" customHeight="1">
      <c r="A5196" s="11"/>
      <c r="B5196" s="12"/>
      <c r="C5196" s="11"/>
      <c r="D5196" s="13"/>
      <c r="E5196" s="14"/>
      <c r="F5196" s="14"/>
      <c r="G5196" s="14"/>
      <c r="H5196" s="15"/>
      <c r="I5196" s="15"/>
      <c r="J5196" s="3"/>
      <c r="K5196" s="3"/>
      <c r="L5196" s="3"/>
      <c r="M5196" s="3"/>
      <c r="N5196" s="3"/>
      <c r="O5196" s="3"/>
      <c r="P5196" s="3"/>
      <c r="Q5196" s="3"/>
      <c r="R5196" s="3"/>
      <c r="S5196" s="3"/>
      <c r="T5196" s="3"/>
      <c r="U5196" s="3"/>
      <c r="V5196" s="3"/>
      <c r="W5196" s="3"/>
      <c r="X5196" s="3"/>
      <c r="Y5196" s="3"/>
      <c r="Z5196" s="3"/>
      <c r="AA5196" s="3"/>
    </row>
    <row r="5197" ht="105.75" customHeight="1">
      <c r="A5197" s="11"/>
      <c r="B5197" s="12"/>
      <c r="C5197" s="11"/>
      <c r="D5197" s="13"/>
      <c r="E5197" s="14"/>
      <c r="F5197" s="14"/>
      <c r="G5197" s="14"/>
      <c r="H5197" s="15"/>
      <c r="I5197" s="15"/>
      <c r="J5197" s="3"/>
      <c r="K5197" s="3"/>
      <c r="L5197" s="3"/>
      <c r="M5197" s="3"/>
      <c r="N5197" s="3"/>
      <c r="O5197" s="3"/>
      <c r="P5197" s="3"/>
      <c r="Q5197" s="3"/>
      <c r="R5197" s="3"/>
      <c r="S5197" s="3"/>
      <c r="T5197" s="3"/>
      <c r="U5197" s="3"/>
      <c r="V5197" s="3"/>
      <c r="W5197" s="3"/>
      <c r="X5197" s="3"/>
      <c r="Y5197" s="3"/>
      <c r="Z5197" s="3"/>
      <c r="AA5197" s="3"/>
    </row>
    <row r="5198" ht="105.75" customHeight="1">
      <c r="A5198" s="11"/>
      <c r="B5198" s="12"/>
      <c r="C5198" s="11"/>
      <c r="D5198" s="13"/>
      <c r="E5198" s="14"/>
      <c r="F5198" s="14"/>
      <c r="G5198" s="14"/>
      <c r="H5198" s="15"/>
      <c r="I5198" s="15"/>
      <c r="J5198" s="3"/>
      <c r="K5198" s="3"/>
      <c r="L5198" s="3"/>
      <c r="M5198" s="3"/>
      <c r="N5198" s="3"/>
      <c r="O5198" s="3"/>
      <c r="P5198" s="3"/>
      <c r="Q5198" s="3"/>
      <c r="R5198" s="3"/>
      <c r="S5198" s="3"/>
      <c r="T5198" s="3"/>
      <c r="U5198" s="3"/>
      <c r="V5198" s="3"/>
      <c r="W5198" s="3"/>
      <c r="X5198" s="3"/>
      <c r="Y5198" s="3"/>
      <c r="Z5198" s="3"/>
      <c r="AA5198" s="3"/>
    </row>
    <row r="5199" ht="105.75" customHeight="1">
      <c r="A5199" s="11"/>
      <c r="B5199" s="12"/>
      <c r="C5199" s="11"/>
      <c r="D5199" s="13"/>
      <c r="E5199" s="14"/>
      <c r="F5199" s="14"/>
      <c r="G5199" s="14"/>
      <c r="H5199" s="15"/>
      <c r="I5199" s="15"/>
      <c r="J5199" s="3"/>
      <c r="K5199" s="3"/>
      <c r="L5199" s="3"/>
      <c r="M5199" s="3"/>
      <c r="N5199" s="3"/>
      <c r="O5199" s="3"/>
      <c r="P5199" s="3"/>
      <c r="Q5199" s="3"/>
      <c r="R5199" s="3"/>
      <c r="S5199" s="3"/>
      <c r="T5199" s="3"/>
      <c r="U5199" s="3"/>
      <c r="V5199" s="3"/>
      <c r="W5199" s="3"/>
      <c r="X5199" s="3"/>
      <c r="Y5199" s="3"/>
      <c r="Z5199" s="3"/>
      <c r="AA5199" s="3"/>
    </row>
    <row r="5200" ht="105.75" customHeight="1">
      <c r="A5200" s="11"/>
      <c r="B5200" s="12"/>
      <c r="C5200" s="11"/>
      <c r="D5200" s="13"/>
      <c r="E5200" s="14"/>
      <c r="F5200" s="14"/>
      <c r="G5200" s="14"/>
      <c r="H5200" s="15"/>
      <c r="I5200" s="15"/>
      <c r="J5200" s="3"/>
      <c r="K5200" s="3"/>
      <c r="L5200" s="3"/>
      <c r="M5200" s="3"/>
      <c r="N5200" s="3"/>
      <c r="O5200" s="3"/>
      <c r="P5200" s="3"/>
      <c r="Q5200" s="3"/>
      <c r="R5200" s="3"/>
      <c r="S5200" s="3"/>
      <c r="T5200" s="3"/>
      <c r="U5200" s="3"/>
      <c r="V5200" s="3"/>
      <c r="W5200" s="3"/>
      <c r="X5200" s="3"/>
      <c r="Y5200" s="3"/>
      <c r="Z5200" s="3"/>
      <c r="AA5200" s="3"/>
    </row>
    <row r="5201" ht="105.75" customHeight="1">
      <c r="A5201" s="11"/>
      <c r="B5201" s="12"/>
      <c r="C5201" s="11"/>
      <c r="D5201" s="13"/>
      <c r="E5201" s="14"/>
      <c r="F5201" s="14"/>
      <c r="G5201" s="14"/>
      <c r="H5201" s="15"/>
      <c r="I5201" s="15"/>
      <c r="J5201" s="3"/>
      <c r="K5201" s="3"/>
      <c r="L5201" s="3"/>
      <c r="M5201" s="3"/>
      <c r="N5201" s="3"/>
      <c r="O5201" s="3"/>
      <c r="P5201" s="3"/>
      <c r="Q5201" s="3"/>
      <c r="R5201" s="3"/>
      <c r="S5201" s="3"/>
      <c r="T5201" s="3"/>
      <c r="U5201" s="3"/>
      <c r="V5201" s="3"/>
      <c r="W5201" s="3"/>
      <c r="X5201" s="3"/>
      <c r="Y5201" s="3"/>
      <c r="Z5201" s="3"/>
      <c r="AA5201" s="3"/>
    </row>
    <row r="5202" ht="105.75" customHeight="1">
      <c r="A5202" s="11"/>
      <c r="B5202" s="12"/>
      <c r="C5202" s="11"/>
      <c r="D5202" s="13"/>
      <c r="E5202" s="14"/>
      <c r="F5202" s="14"/>
      <c r="G5202" s="14"/>
      <c r="H5202" s="15"/>
      <c r="I5202" s="15"/>
      <c r="J5202" s="3"/>
      <c r="K5202" s="3"/>
      <c r="L5202" s="3"/>
      <c r="M5202" s="3"/>
      <c r="N5202" s="3"/>
      <c r="O5202" s="3"/>
      <c r="P5202" s="3"/>
      <c r="Q5202" s="3"/>
      <c r="R5202" s="3"/>
      <c r="S5202" s="3"/>
      <c r="T5202" s="3"/>
      <c r="U5202" s="3"/>
      <c r="V5202" s="3"/>
      <c r="W5202" s="3"/>
      <c r="X5202" s="3"/>
      <c r="Y5202" s="3"/>
      <c r="Z5202" s="3"/>
      <c r="AA5202" s="3"/>
    </row>
    <row r="5203" ht="105.75" customHeight="1">
      <c r="A5203" s="11"/>
      <c r="B5203" s="12"/>
      <c r="C5203" s="11"/>
      <c r="D5203" s="13"/>
      <c r="E5203" s="14"/>
      <c r="F5203" s="14"/>
      <c r="G5203" s="14"/>
      <c r="H5203" s="15"/>
      <c r="I5203" s="15"/>
      <c r="J5203" s="3"/>
      <c r="K5203" s="3"/>
      <c r="L5203" s="3"/>
      <c r="M5203" s="3"/>
      <c r="N5203" s="3"/>
      <c r="O5203" s="3"/>
      <c r="P5203" s="3"/>
      <c r="Q5203" s="3"/>
      <c r="R5203" s="3"/>
      <c r="S5203" s="3"/>
      <c r="T5203" s="3"/>
      <c r="U5203" s="3"/>
      <c r="V5203" s="3"/>
      <c r="W5203" s="3"/>
      <c r="X5203" s="3"/>
      <c r="Y5203" s="3"/>
      <c r="Z5203" s="3"/>
      <c r="AA5203" s="3"/>
    </row>
    <row r="5204" ht="105.75" customHeight="1">
      <c r="A5204" s="11"/>
      <c r="B5204" s="12"/>
      <c r="C5204" s="11"/>
      <c r="D5204" s="13"/>
      <c r="E5204" s="14"/>
      <c r="F5204" s="14"/>
      <c r="G5204" s="14"/>
      <c r="H5204" s="15"/>
      <c r="I5204" s="15"/>
      <c r="J5204" s="3"/>
      <c r="K5204" s="3"/>
      <c r="L5204" s="3"/>
      <c r="M5204" s="3"/>
      <c r="N5204" s="3"/>
      <c r="O5204" s="3"/>
      <c r="P5204" s="3"/>
      <c r="Q5204" s="3"/>
      <c r="R5204" s="3"/>
      <c r="S5204" s="3"/>
      <c r="T5204" s="3"/>
      <c r="U5204" s="3"/>
      <c r="V5204" s="3"/>
      <c r="W5204" s="3"/>
      <c r="X5204" s="3"/>
      <c r="Y5204" s="3"/>
      <c r="Z5204" s="3"/>
      <c r="AA5204" s="3"/>
    </row>
    <row r="5205" ht="105.75" customHeight="1">
      <c r="A5205" s="11"/>
      <c r="B5205" s="12"/>
      <c r="C5205" s="11"/>
      <c r="D5205" s="13"/>
      <c r="E5205" s="14"/>
      <c r="F5205" s="14"/>
      <c r="G5205" s="14"/>
      <c r="H5205" s="15"/>
      <c r="I5205" s="15"/>
      <c r="J5205" s="3"/>
      <c r="K5205" s="3"/>
      <c r="L5205" s="3"/>
      <c r="M5205" s="3"/>
      <c r="N5205" s="3"/>
      <c r="O5205" s="3"/>
      <c r="P5205" s="3"/>
      <c r="Q5205" s="3"/>
      <c r="R5205" s="3"/>
      <c r="S5205" s="3"/>
      <c r="T5205" s="3"/>
      <c r="U5205" s="3"/>
      <c r="V5205" s="3"/>
      <c r="W5205" s="3"/>
      <c r="X5205" s="3"/>
      <c r="Y5205" s="3"/>
      <c r="Z5205" s="3"/>
      <c r="AA5205" s="3"/>
    </row>
    <row r="5206" ht="105.75" customHeight="1">
      <c r="A5206" s="11"/>
      <c r="B5206" s="12"/>
      <c r="C5206" s="11"/>
      <c r="D5206" s="13"/>
      <c r="E5206" s="14"/>
      <c r="F5206" s="14"/>
      <c r="G5206" s="14"/>
      <c r="H5206" s="15"/>
      <c r="I5206" s="15"/>
      <c r="J5206" s="3"/>
      <c r="K5206" s="3"/>
      <c r="L5206" s="3"/>
      <c r="M5206" s="3"/>
      <c r="N5206" s="3"/>
      <c r="O5206" s="3"/>
      <c r="P5206" s="3"/>
      <c r="Q5206" s="3"/>
      <c r="R5206" s="3"/>
      <c r="S5206" s="3"/>
      <c r="T5206" s="3"/>
      <c r="U5206" s="3"/>
      <c r="V5206" s="3"/>
      <c r="W5206" s="3"/>
      <c r="X5206" s="3"/>
      <c r="Y5206" s="3"/>
      <c r="Z5206" s="3"/>
      <c r="AA5206" s="3"/>
    </row>
    <row r="5207" ht="105.75" customHeight="1">
      <c r="A5207" s="11"/>
      <c r="B5207" s="12"/>
      <c r="C5207" s="11"/>
      <c r="D5207" s="13"/>
      <c r="E5207" s="14"/>
      <c r="F5207" s="14"/>
      <c r="G5207" s="14"/>
      <c r="H5207" s="15"/>
      <c r="I5207" s="15"/>
      <c r="J5207" s="3"/>
      <c r="K5207" s="3"/>
      <c r="L5207" s="3"/>
      <c r="M5207" s="3"/>
      <c r="N5207" s="3"/>
      <c r="O5207" s="3"/>
      <c r="P5207" s="3"/>
      <c r="Q5207" s="3"/>
      <c r="R5207" s="3"/>
      <c r="S5207" s="3"/>
      <c r="T5207" s="3"/>
      <c r="U5207" s="3"/>
      <c r="V5207" s="3"/>
      <c r="W5207" s="3"/>
      <c r="X5207" s="3"/>
      <c r="Y5207" s="3"/>
      <c r="Z5207" s="3"/>
      <c r="AA5207" s="3"/>
    </row>
    <row r="5208" ht="105.75" customHeight="1">
      <c r="A5208" s="11"/>
      <c r="B5208" s="12"/>
      <c r="C5208" s="11"/>
      <c r="D5208" s="13"/>
      <c r="E5208" s="14"/>
      <c r="F5208" s="14"/>
      <c r="G5208" s="14"/>
      <c r="H5208" s="15"/>
      <c r="I5208" s="15"/>
      <c r="J5208" s="3"/>
      <c r="K5208" s="3"/>
      <c r="L5208" s="3"/>
      <c r="M5208" s="3"/>
      <c r="N5208" s="3"/>
      <c r="O5208" s="3"/>
      <c r="P5208" s="3"/>
      <c r="Q5208" s="3"/>
      <c r="R5208" s="3"/>
      <c r="S5208" s="3"/>
      <c r="T5208" s="3"/>
      <c r="U5208" s="3"/>
      <c r="V5208" s="3"/>
      <c r="W5208" s="3"/>
      <c r="X5208" s="3"/>
      <c r="Y5208" s="3"/>
      <c r="Z5208" s="3"/>
      <c r="AA5208" s="3"/>
    </row>
    <row r="5209" ht="105.75" customHeight="1">
      <c r="A5209" s="11"/>
      <c r="B5209" s="12"/>
      <c r="C5209" s="11"/>
      <c r="D5209" s="13"/>
      <c r="E5209" s="14"/>
      <c r="F5209" s="14"/>
      <c r="G5209" s="14"/>
      <c r="H5209" s="15"/>
      <c r="I5209" s="15"/>
      <c r="J5209" s="3"/>
      <c r="K5209" s="3"/>
      <c r="L5209" s="3"/>
      <c r="M5209" s="3"/>
      <c r="N5209" s="3"/>
      <c r="O5209" s="3"/>
      <c r="P5209" s="3"/>
      <c r="Q5209" s="3"/>
      <c r="R5209" s="3"/>
      <c r="S5209" s="3"/>
      <c r="T5209" s="3"/>
      <c r="U5209" s="3"/>
      <c r="V5209" s="3"/>
      <c r="W5209" s="3"/>
      <c r="X5209" s="3"/>
      <c r="Y5209" s="3"/>
      <c r="Z5209" s="3"/>
      <c r="AA5209" s="3"/>
    </row>
    <row r="5210" ht="105.75" customHeight="1">
      <c r="A5210" s="11"/>
      <c r="B5210" s="12"/>
      <c r="C5210" s="11"/>
      <c r="D5210" s="13"/>
      <c r="E5210" s="14"/>
      <c r="F5210" s="14"/>
      <c r="G5210" s="14"/>
      <c r="H5210" s="15"/>
      <c r="I5210" s="15"/>
      <c r="J5210" s="3"/>
      <c r="K5210" s="3"/>
      <c r="L5210" s="3"/>
      <c r="M5210" s="3"/>
      <c r="N5210" s="3"/>
      <c r="O5210" s="3"/>
      <c r="P5210" s="3"/>
      <c r="Q5210" s="3"/>
      <c r="R5210" s="3"/>
      <c r="S5210" s="3"/>
      <c r="T5210" s="3"/>
      <c r="U5210" s="3"/>
      <c r="V5210" s="3"/>
      <c r="W5210" s="3"/>
      <c r="X5210" s="3"/>
      <c r="Y5210" s="3"/>
      <c r="Z5210" s="3"/>
      <c r="AA5210" s="3"/>
    </row>
    <row r="5211" ht="105.75" customHeight="1">
      <c r="A5211" s="11"/>
      <c r="B5211" s="12"/>
      <c r="C5211" s="11"/>
      <c r="D5211" s="13"/>
      <c r="E5211" s="14"/>
      <c r="F5211" s="14"/>
      <c r="G5211" s="14"/>
      <c r="H5211" s="15"/>
      <c r="I5211" s="15"/>
      <c r="J5211" s="3"/>
      <c r="K5211" s="3"/>
      <c r="L5211" s="3"/>
      <c r="M5211" s="3"/>
      <c r="N5211" s="3"/>
      <c r="O5211" s="3"/>
      <c r="P5211" s="3"/>
      <c r="Q5211" s="3"/>
      <c r="R5211" s="3"/>
      <c r="S5211" s="3"/>
      <c r="T5211" s="3"/>
      <c r="U5211" s="3"/>
      <c r="V5211" s="3"/>
      <c r="W5211" s="3"/>
      <c r="X5211" s="3"/>
      <c r="Y5211" s="3"/>
      <c r="Z5211" s="3"/>
      <c r="AA5211" s="3"/>
    </row>
    <row r="5212" ht="105.75" customHeight="1">
      <c r="A5212" s="11"/>
      <c r="B5212" s="12"/>
      <c r="C5212" s="11"/>
      <c r="D5212" s="13"/>
      <c r="E5212" s="14"/>
      <c r="F5212" s="14"/>
      <c r="G5212" s="14"/>
      <c r="H5212" s="15"/>
      <c r="I5212" s="15"/>
      <c r="J5212" s="3"/>
      <c r="K5212" s="3"/>
      <c r="L5212" s="3"/>
      <c r="M5212" s="3"/>
      <c r="N5212" s="3"/>
      <c r="O5212" s="3"/>
      <c r="P5212" s="3"/>
      <c r="Q5212" s="3"/>
      <c r="R5212" s="3"/>
      <c r="S5212" s="3"/>
      <c r="T5212" s="3"/>
      <c r="U5212" s="3"/>
      <c r="V5212" s="3"/>
      <c r="W5212" s="3"/>
      <c r="X5212" s="3"/>
      <c r="Y5212" s="3"/>
      <c r="Z5212" s="3"/>
      <c r="AA5212" s="3"/>
    </row>
    <row r="5213" ht="105.75" customHeight="1">
      <c r="A5213" s="11"/>
      <c r="B5213" s="12"/>
      <c r="C5213" s="11"/>
      <c r="D5213" s="13"/>
      <c r="E5213" s="14"/>
      <c r="F5213" s="14"/>
      <c r="G5213" s="14"/>
      <c r="H5213" s="15"/>
      <c r="I5213" s="15"/>
      <c r="J5213" s="3"/>
      <c r="K5213" s="3"/>
      <c r="L5213" s="3"/>
      <c r="M5213" s="3"/>
      <c r="N5213" s="3"/>
      <c r="O5213" s="3"/>
      <c r="P5213" s="3"/>
      <c r="Q5213" s="3"/>
      <c r="R5213" s="3"/>
      <c r="S5213" s="3"/>
      <c r="T5213" s="3"/>
      <c r="U5213" s="3"/>
      <c r="V5213" s="3"/>
      <c r="W5213" s="3"/>
      <c r="X5213" s="3"/>
      <c r="Y5213" s="3"/>
      <c r="Z5213" s="3"/>
      <c r="AA5213" s="3"/>
    </row>
    <row r="5214" ht="105.75" customHeight="1">
      <c r="A5214" s="11"/>
      <c r="B5214" s="12"/>
      <c r="C5214" s="11"/>
      <c r="D5214" s="13"/>
      <c r="E5214" s="14"/>
      <c r="F5214" s="14"/>
      <c r="G5214" s="14"/>
      <c r="H5214" s="15"/>
      <c r="I5214" s="15"/>
      <c r="J5214" s="3"/>
      <c r="K5214" s="3"/>
      <c r="L5214" s="3"/>
      <c r="M5214" s="3"/>
      <c r="N5214" s="3"/>
      <c r="O5214" s="3"/>
      <c r="P5214" s="3"/>
      <c r="Q5214" s="3"/>
      <c r="R5214" s="3"/>
      <c r="S5214" s="3"/>
      <c r="T5214" s="3"/>
      <c r="U5214" s="3"/>
      <c r="V5214" s="3"/>
      <c r="W5214" s="3"/>
      <c r="X5214" s="3"/>
      <c r="Y5214" s="3"/>
      <c r="Z5214" s="3"/>
      <c r="AA5214" s="3"/>
    </row>
    <row r="5215" ht="105.75" customHeight="1">
      <c r="A5215" s="11"/>
      <c r="B5215" s="12"/>
      <c r="C5215" s="11"/>
      <c r="D5215" s="13"/>
      <c r="E5215" s="14"/>
      <c r="F5215" s="14"/>
      <c r="G5215" s="14"/>
      <c r="H5215" s="15"/>
      <c r="I5215" s="15"/>
      <c r="J5215" s="3"/>
      <c r="K5215" s="3"/>
      <c r="L5215" s="3"/>
      <c r="M5215" s="3"/>
      <c r="N5215" s="3"/>
      <c r="O5215" s="3"/>
      <c r="P5215" s="3"/>
      <c r="Q5215" s="3"/>
      <c r="R5215" s="3"/>
      <c r="S5215" s="3"/>
      <c r="T5215" s="3"/>
      <c r="U5215" s="3"/>
      <c r="V5215" s="3"/>
      <c r="W5215" s="3"/>
      <c r="X5215" s="3"/>
      <c r="Y5215" s="3"/>
      <c r="Z5215" s="3"/>
      <c r="AA5215" s="3"/>
    </row>
    <row r="5216" ht="105.75" customHeight="1">
      <c r="A5216" s="11"/>
      <c r="B5216" s="12"/>
      <c r="C5216" s="11"/>
      <c r="D5216" s="13"/>
      <c r="E5216" s="14"/>
      <c r="F5216" s="14"/>
      <c r="G5216" s="14"/>
      <c r="H5216" s="15"/>
      <c r="I5216" s="15"/>
      <c r="J5216" s="3"/>
      <c r="K5216" s="3"/>
      <c r="L5216" s="3"/>
      <c r="M5216" s="3"/>
      <c r="N5216" s="3"/>
      <c r="O5216" s="3"/>
      <c r="P5216" s="3"/>
      <c r="Q5216" s="3"/>
      <c r="R5216" s="3"/>
      <c r="S5216" s="3"/>
      <c r="T5216" s="3"/>
      <c r="U5216" s="3"/>
      <c r="V5216" s="3"/>
      <c r="W5216" s="3"/>
      <c r="X5216" s="3"/>
      <c r="Y5216" s="3"/>
      <c r="Z5216" s="3"/>
      <c r="AA5216" s="3"/>
    </row>
    <row r="5217" ht="105.75" customHeight="1">
      <c r="A5217" s="11"/>
      <c r="B5217" s="12"/>
      <c r="C5217" s="11"/>
      <c r="D5217" s="13"/>
      <c r="E5217" s="14"/>
      <c r="F5217" s="14"/>
      <c r="G5217" s="14"/>
      <c r="H5217" s="15"/>
      <c r="I5217" s="15"/>
      <c r="J5217" s="3"/>
      <c r="K5217" s="3"/>
      <c r="L5217" s="3"/>
      <c r="M5217" s="3"/>
      <c r="N5217" s="3"/>
      <c r="O5217" s="3"/>
      <c r="P5217" s="3"/>
      <c r="Q5217" s="3"/>
      <c r="R5217" s="3"/>
      <c r="S5217" s="3"/>
      <c r="T5217" s="3"/>
      <c r="U5217" s="3"/>
      <c r="V5217" s="3"/>
      <c r="W5217" s="3"/>
      <c r="X5217" s="3"/>
      <c r="Y5217" s="3"/>
      <c r="Z5217" s="3"/>
      <c r="AA5217" s="3"/>
    </row>
    <row r="5218" ht="105.75" customHeight="1">
      <c r="A5218" s="11"/>
      <c r="B5218" s="12"/>
      <c r="C5218" s="11"/>
      <c r="D5218" s="13"/>
      <c r="E5218" s="14"/>
      <c r="F5218" s="14"/>
      <c r="G5218" s="14"/>
      <c r="H5218" s="15"/>
      <c r="I5218" s="15"/>
      <c r="J5218" s="3"/>
      <c r="K5218" s="3"/>
      <c r="L5218" s="3"/>
      <c r="M5218" s="3"/>
      <c r="N5218" s="3"/>
      <c r="O5218" s="3"/>
      <c r="P5218" s="3"/>
      <c r="Q5218" s="3"/>
      <c r="R5218" s="3"/>
      <c r="S5218" s="3"/>
      <c r="T5218" s="3"/>
      <c r="U5218" s="3"/>
      <c r="V5218" s="3"/>
      <c r="W5218" s="3"/>
      <c r="X5218" s="3"/>
      <c r="Y5218" s="3"/>
      <c r="Z5218" s="3"/>
      <c r="AA5218" s="3"/>
    </row>
    <row r="5219" ht="105.75" customHeight="1">
      <c r="A5219" s="11"/>
      <c r="B5219" s="12"/>
      <c r="C5219" s="11"/>
      <c r="D5219" s="13"/>
      <c r="E5219" s="14"/>
      <c r="F5219" s="14"/>
      <c r="G5219" s="14"/>
      <c r="H5219" s="15"/>
      <c r="I5219" s="15"/>
      <c r="J5219" s="3"/>
      <c r="K5219" s="3"/>
      <c r="L5219" s="3"/>
      <c r="M5219" s="3"/>
      <c r="N5219" s="3"/>
      <c r="O5219" s="3"/>
      <c r="P5219" s="3"/>
      <c r="Q5219" s="3"/>
      <c r="R5219" s="3"/>
      <c r="S5219" s="3"/>
      <c r="T5219" s="3"/>
      <c r="U5219" s="3"/>
      <c r="V5219" s="3"/>
      <c r="W5219" s="3"/>
      <c r="X5219" s="3"/>
      <c r="Y5219" s="3"/>
      <c r="Z5219" s="3"/>
      <c r="AA5219" s="3"/>
    </row>
    <row r="5220" ht="105.75" customHeight="1">
      <c r="A5220" s="11"/>
      <c r="B5220" s="12"/>
      <c r="C5220" s="11"/>
      <c r="D5220" s="13"/>
      <c r="E5220" s="14"/>
      <c r="F5220" s="14"/>
      <c r="G5220" s="14"/>
      <c r="H5220" s="15"/>
      <c r="I5220" s="15"/>
      <c r="J5220" s="3"/>
      <c r="K5220" s="3"/>
      <c r="L5220" s="3"/>
      <c r="M5220" s="3"/>
      <c r="N5220" s="3"/>
      <c r="O5220" s="3"/>
      <c r="P5220" s="3"/>
      <c r="Q5220" s="3"/>
      <c r="R5220" s="3"/>
      <c r="S5220" s="3"/>
      <c r="T5220" s="3"/>
      <c r="U5220" s="3"/>
      <c r="V5220" s="3"/>
      <c r="W5220" s="3"/>
      <c r="X5220" s="3"/>
      <c r="Y5220" s="3"/>
      <c r="Z5220" s="3"/>
      <c r="AA5220" s="3"/>
    </row>
    <row r="5221" ht="105.75" customHeight="1">
      <c r="A5221" s="11"/>
      <c r="B5221" s="12"/>
      <c r="C5221" s="11"/>
      <c r="D5221" s="13"/>
      <c r="E5221" s="14"/>
      <c r="F5221" s="14"/>
      <c r="G5221" s="14"/>
      <c r="H5221" s="15"/>
      <c r="I5221" s="15"/>
      <c r="J5221" s="3"/>
      <c r="K5221" s="3"/>
      <c r="L5221" s="3"/>
      <c r="M5221" s="3"/>
      <c r="N5221" s="3"/>
      <c r="O5221" s="3"/>
      <c r="P5221" s="3"/>
      <c r="Q5221" s="3"/>
      <c r="R5221" s="3"/>
      <c r="S5221" s="3"/>
      <c r="T5221" s="3"/>
      <c r="U5221" s="3"/>
      <c r="V5221" s="3"/>
      <c r="W5221" s="3"/>
      <c r="X5221" s="3"/>
      <c r="Y5221" s="3"/>
      <c r="Z5221" s="3"/>
      <c r="AA5221" s="3"/>
    </row>
    <row r="5222" ht="105.75" customHeight="1">
      <c r="A5222" s="11"/>
      <c r="B5222" s="12"/>
      <c r="C5222" s="11"/>
      <c r="D5222" s="13"/>
      <c r="E5222" s="14"/>
      <c r="F5222" s="14"/>
      <c r="G5222" s="14"/>
      <c r="H5222" s="15"/>
      <c r="I5222" s="15"/>
      <c r="J5222" s="3"/>
      <c r="K5222" s="3"/>
      <c r="L5222" s="3"/>
      <c r="M5222" s="3"/>
      <c r="N5222" s="3"/>
      <c r="O5222" s="3"/>
      <c r="P5222" s="3"/>
      <c r="Q5222" s="3"/>
      <c r="R5222" s="3"/>
      <c r="S5222" s="3"/>
      <c r="T5222" s="3"/>
      <c r="U5222" s="3"/>
      <c r="V5222" s="3"/>
      <c r="W5222" s="3"/>
      <c r="X5222" s="3"/>
      <c r="Y5222" s="3"/>
      <c r="Z5222" s="3"/>
      <c r="AA5222" s="3"/>
    </row>
    <row r="5223" ht="105.75" customHeight="1">
      <c r="A5223" s="11"/>
      <c r="B5223" s="12"/>
      <c r="C5223" s="11"/>
      <c r="D5223" s="13"/>
      <c r="E5223" s="14"/>
      <c r="F5223" s="14"/>
      <c r="G5223" s="14"/>
      <c r="H5223" s="15"/>
      <c r="I5223" s="15"/>
      <c r="J5223" s="3"/>
      <c r="K5223" s="3"/>
      <c r="L5223" s="3"/>
      <c r="M5223" s="3"/>
      <c r="N5223" s="3"/>
      <c r="O5223" s="3"/>
      <c r="P5223" s="3"/>
      <c r="Q5223" s="3"/>
      <c r="R5223" s="3"/>
      <c r="S5223" s="3"/>
      <c r="T5223" s="3"/>
      <c r="U5223" s="3"/>
      <c r="V5223" s="3"/>
      <c r="W5223" s="3"/>
      <c r="X5223" s="3"/>
      <c r="Y5223" s="3"/>
      <c r="Z5223" s="3"/>
      <c r="AA5223" s="3"/>
    </row>
    <row r="5224" ht="105.75" customHeight="1">
      <c r="A5224" s="11"/>
      <c r="B5224" s="12"/>
      <c r="C5224" s="11"/>
      <c r="D5224" s="13"/>
      <c r="E5224" s="14"/>
      <c r="F5224" s="14"/>
      <c r="G5224" s="14"/>
      <c r="H5224" s="15"/>
      <c r="I5224" s="15"/>
      <c r="J5224" s="3"/>
      <c r="K5224" s="3"/>
      <c r="L5224" s="3"/>
      <c r="M5224" s="3"/>
      <c r="N5224" s="3"/>
      <c r="O5224" s="3"/>
      <c r="P5224" s="3"/>
      <c r="Q5224" s="3"/>
      <c r="R5224" s="3"/>
      <c r="S5224" s="3"/>
      <c r="T5224" s="3"/>
      <c r="U5224" s="3"/>
      <c r="V5224" s="3"/>
      <c r="W5224" s="3"/>
      <c r="X5224" s="3"/>
      <c r="Y5224" s="3"/>
      <c r="Z5224" s="3"/>
      <c r="AA5224" s="3"/>
    </row>
    <row r="5225" ht="105.75" customHeight="1">
      <c r="A5225" s="11"/>
      <c r="B5225" s="12"/>
      <c r="C5225" s="11"/>
      <c r="D5225" s="13"/>
      <c r="E5225" s="14"/>
      <c r="F5225" s="14"/>
      <c r="G5225" s="14"/>
      <c r="H5225" s="15"/>
      <c r="I5225" s="15"/>
      <c r="J5225" s="3"/>
      <c r="K5225" s="3"/>
      <c r="L5225" s="3"/>
      <c r="M5225" s="3"/>
      <c r="N5225" s="3"/>
      <c r="O5225" s="3"/>
      <c r="P5225" s="3"/>
      <c r="Q5225" s="3"/>
      <c r="R5225" s="3"/>
      <c r="S5225" s="3"/>
      <c r="T5225" s="3"/>
      <c r="U5225" s="3"/>
      <c r="V5225" s="3"/>
      <c r="W5225" s="3"/>
      <c r="X5225" s="3"/>
      <c r="Y5225" s="3"/>
      <c r="Z5225" s="3"/>
      <c r="AA5225" s="3"/>
    </row>
    <row r="5226" ht="105.75" customHeight="1">
      <c r="A5226" s="11"/>
      <c r="B5226" s="12"/>
      <c r="C5226" s="11"/>
      <c r="D5226" s="13"/>
      <c r="E5226" s="14"/>
      <c r="F5226" s="14"/>
      <c r="G5226" s="14"/>
      <c r="H5226" s="15"/>
      <c r="I5226" s="15"/>
      <c r="J5226" s="3"/>
      <c r="K5226" s="3"/>
      <c r="L5226" s="3"/>
      <c r="M5226" s="3"/>
      <c r="N5226" s="3"/>
      <c r="O5226" s="3"/>
      <c r="P5226" s="3"/>
      <c r="Q5226" s="3"/>
      <c r="R5226" s="3"/>
      <c r="S5226" s="3"/>
      <c r="T5226" s="3"/>
      <c r="U5226" s="3"/>
      <c r="V5226" s="3"/>
      <c r="W5226" s="3"/>
      <c r="X5226" s="3"/>
      <c r="Y5226" s="3"/>
      <c r="Z5226" s="3"/>
      <c r="AA5226" s="3"/>
    </row>
    <row r="5227" ht="105.75" customHeight="1">
      <c r="A5227" s="11"/>
      <c r="B5227" s="12"/>
      <c r="C5227" s="11"/>
      <c r="D5227" s="13"/>
      <c r="E5227" s="14"/>
      <c r="F5227" s="14"/>
      <c r="G5227" s="14"/>
      <c r="H5227" s="15"/>
      <c r="I5227" s="15"/>
      <c r="J5227" s="3"/>
      <c r="K5227" s="3"/>
      <c r="L5227" s="3"/>
      <c r="M5227" s="3"/>
      <c r="N5227" s="3"/>
      <c r="O5227" s="3"/>
      <c r="P5227" s="3"/>
      <c r="Q5227" s="3"/>
      <c r="R5227" s="3"/>
      <c r="S5227" s="3"/>
      <c r="T5227" s="3"/>
      <c r="U5227" s="3"/>
      <c r="V5227" s="3"/>
      <c r="W5227" s="3"/>
      <c r="X5227" s="3"/>
      <c r="Y5227" s="3"/>
      <c r="Z5227" s="3"/>
      <c r="AA5227" s="3"/>
    </row>
    <row r="5228" ht="105.75" customHeight="1">
      <c r="A5228" s="11"/>
      <c r="B5228" s="12"/>
      <c r="C5228" s="11"/>
      <c r="D5228" s="13"/>
      <c r="E5228" s="14"/>
      <c r="F5228" s="14"/>
      <c r="G5228" s="14"/>
      <c r="H5228" s="15"/>
      <c r="I5228" s="15"/>
      <c r="J5228" s="3"/>
      <c r="K5228" s="3"/>
      <c r="L5228" s="3"/>
      <c r="M5228" s="3"/>
      <c r="N5228" s="3"/>
      <c r="O5228" s="3"/>
      <c r="P5228" s="3"/>
      <c r="Q5228" s="3"/>
      <c r="R5228" s="3"/>
      <c r="S5228" s="3"/>
      <c r="T5228" s="3"/>
      <c r="U5228" s="3"/>
      <c r="V5228" s="3"/>
      <c r="W5228" s="3"/>
      <c r="X5228" s="3"/>
      <c r="Y5228" s="3"/>
      <c r="Z5228" s="3"/>
      <c r="AA5228" s="3"/>
    </row>
    <row r="5229" ht="105.75" customHeight="1">
      <c r="A5229" s="11"/>
      <c r="B5229" s="12"/>
      <c r="C5229" s="11"/>
      <c r="D5229" s="13"/>
      <c r="E5229" s="14"/>
      <c r="F5229" s="14"/>
      <c r="G5229" s="14"/>
      <c r="H5229" s="15"/>
      <c r="I5229" s="15"/>
      <c r="J5229" s="3"/>
      <c r="K5229" s="3"/>
      <c r="L5229" s="3"/>
      <c r="M5229" s="3"/>
      <c r="N5229" s="3"/>
      <c r="O5229" s="3"/>
      <c r="P5229" s="3"/>
      <c r="Q5229" s="3"/>
      <c r="R5229" s="3"/>
      <c r="S5229" s="3"/>
      <c r="T5229" s="3"/>
      <c r="U5229" s="3"/>
      <c r="V5229" s="3"/>
      <c r="W5229" s="3"/>
      <c r="X5229" s="3"/>
      <c r="Y5229" s="3"/>
      <c r="Z5229" s="3"/>
      <c r="AA5229" s="3"/>
    </row>
    <row r="5230" ht="105.75" customHeight="1">
      <c r="A5230" s="11"/>
      <c r="B5230" s="12"/>
      <c r="C5230" s="11"/>
      <c r="D5230" s="13"/>
      <c r="E5230" s="14"/>
      <c r="F5230" s="14"/>
      <c r="G5230" s="14"/>
      <c r="H5230" s="15"/>
      <c r="I5230" s="15"/>
      <c r="J5230" s="3"/>
      <c r="K5230" s="3"/>
      <c r="L5230" s="3"/>
      <c r="M5230" s="3"/>
      <c r="N5230" s="3"/>
      <c r="O5230" s="3"/>
      <c r="P5230" s="3"/>
      <c r="Q5230" s="3"/>
      <c r="R5230" s="3"/>
      <c r="S5230" s="3"/>
      <c r="T5230" s="3"/>
      <c r="U5230" s="3"/>
      <c r="V5230" s="3"/>
      <c r="W5230" s="3"/>
      <c r="X5230" s="3"/>
      <c r="Y5230" s="3"/>
      <c r="Z5230" s="3"/>
      <c r="AA5230" s="3"/>
    </row>
    <row r="5231" ht="105.75" customHeight="1">
      <c r="A5231" s="11"/>
      <c r="B5231" s="12"/>
      <c r="C5231" s="11"/>
      <c r="D5231" s="13"/>
      <c r="E5231" s="14"/>
      <c r="F5231" s="14"/>
      <c r="G5231" s="14"/>
      <c r="H5231" s="15"/>
      <c r="I5231" s="15"/>
      <c r="J5231" s="3"/>
      <c r="K5231" s="3"/>
      <c r="L5231" s="3"/>
      <c r="M5231" s="3"/>
      <c r="N5231" s="3"/>
      <c r="O5231" s="3"/>
      <c r="P5231" s="3"/>
      <c r="Q5231" s="3"/>
      <c r="R5231" s="3"/>
      <c r="S5231" s="3"/>
      <c r="T5231" s="3"/>
      <c r="U5231" s="3"/>
      <c r="V5231" s="3"/>
      <c r="W5231" s="3"/>
      <c r="X5231" s="3"/>
      <c r="Y5231" s="3"/>
      <c r="Z5231" s="3"/>
      <c r="AA5231" s="3"/>
    </row>
    <row r="5232" ht="105.75" customHeight="1">
      <c r="A5232" s="11"/>
      <c r="B5232" s="12"/>
      <c r="C5232" s="11"/>
      <c r="D5232" s="13"/>
      <c r="E5232" s="14"/>
      <c r="F5232" s="14"/>
      <c r="G5232" s="14"/>
      <c r="H5232" s="15"/>
      <c r="I5232" s="15"/>
      <c r="J5232" s="3"/>
      <c r="K5232" s="3"/>
      <c r="L5232" s="3"/>
      <c r="M5232" s="3"/>
      <c r="N5232" s="3"/>
      <c r="O5232" s="3"/>
      <c r="P5232" s="3"/>
      <c r="Q5232" s="3"/>
      <c r="R5232" s="3"/>
      <c r="S5232" s="3"/>
      <c r="T5232" s="3"/>
      <c r="U5232" s="3"/>
      <c r="V5232" s="3"/>
      <c r="W5232" s="3"/>
      <c r="X5232" s="3"/>
      <c r="Y5232" s="3"/>
      <c r="Z5232" s="3"/>
      <c r="AA5232" s="3"/>
    </row>
    <row r="5233" ht="105.75" customHeight="1">
      <c r="A5233" s="11"/>
      <c r="B5233" s="12"/>
      <c r="C5233" s="11"/>
      <c r="D5233" s="13"/>
      <c r="E5233" s="14"/>
      <c r="F5233" s="14"/>
      <c r="G5233" s="14"/>
      <c r="H5233" s="15"/>
      <c r="I5233" s="15"/>
      <c r="J5233" s="3"/>
      <c r="K5233" s="3"/>
      <c r="L5233" s="3"/>
      <c r="M5233" s="3"/>
      <c r="N5233" s="3"/>
      <c r="O5233" s="3"/>
      <c r="P5233" s="3"/>
      <c r="Q5233" s="3"/>
      <c r="R5233" s="3"/>
      <c r="S5233" s="3"/>
      <c r="T5233" s="3"/>
      <c r="U5233" s="3"/>
      <c r="V5233" s="3"/>
      <c r="W5233" s="3"/>
      <c r="X5233" s="3"/>
      <c r="Y5233" s="3"/>
      <c r="Z5233" s="3"/>
      <c r="AA5233" s="3"/>
    </row>
    <row r="5234" ht="105.75" customHeight="1">
      <c r="A5234" s="11"/>
      <c r="B5234" s="12"/>
      <c r="C5234" s="11"/>
      <c r="D5234" s="13"/>
      <c r="E5234" s="14"/>
      <c r="F5234" s="14"/>
      <c r="G5234" s="14"/>
      <c r="H5234" s="15"/>
      <c r="I5234" s="15"/>
      <c r="J5234" s="3"/>
      <c r="K5234" s="3"/>
      <c r="L5234" s="3"/>
      <c r="M5234" s="3"/>
      <c r="N5234" s="3"/>
      <c r="O5234" s="3"/>
      <c r="P5234" s="3"/>
      <c r="Q5234" s="3"/>
      <c r="R5234" s="3"/>
      <c r="S5234" s="3"/>
      <c r="T5234" s="3"/>
      <c r="U5234" s="3"/>
      <c r="V5234" s="3"/>
      <c r="W5234" s="3"/>
      <c r="X5234" s="3"/>
      <c r="Y5234" s="3"/>
      <c r="Z5234" s="3"/>
      <c r="AA5234" s="3"/>
    </row>
    <row r="5235" ht="105.75" customHeight="1">
      <c r="A5235" s="11"/>
      <c r="B5235" s="12"/>
      <c r="C5235" s="11"/>
      <c r="D5235" s="13"/>
      <c r="E5235" s="14"/>
      <c r="F5235" s="14"/>
      <c r="G5235" s="14"/>
      <c r="H5235" s="15"/>
      <c r="I5235" s="15"/>
      <c r="J5235" s="3"/>
      <c r="K5235" s="3"/>
      <c r="L5235" s="3"/>
      <c r="M5235" s="3"/>
      <c r="N5235" s="3"/>
      <c r="O5235" s="3"/>
      <c r="P5235" s="3"/>
      <c r="Q5235" s="3"/>
      <c r="R5235" s="3"/>
      <c r="S5235" s="3"/>
      <c r="T5235" s="3"/>
      <c r="U5235" s="3"/>
      <c r="V5235" s="3"/>
      <c r="W5235" s="3"/>
      <c r="X5235" s="3"/>
      <c r="Y5235" s="3"/>
      <c r="Z5235" s="3"/>
      <c r="AA5235" s="3"/>
    </row>
    <row r="5236" ht="105.75" customHeight="1">
      <c r="A5236" s="11"/>
      <c r="B5236" s="12"/>
      <c r="C5236" s="11"/>
      <c r="D5236" s="13"/>
      <c r="E5236" s="14"/>
      <c r="F5236" s="14"/>
      <c r="G5236" s="14"/>
      <c r="H5236" s="15"/>
      <c r="I5236" s="15"/>
      <c r="J5236" s="3"/>
      <c r="K5236" s="3"/>
      <c r="L5236" s="3"/>
      <c r="M5236" s="3"/>
      <c r="N5236" s="3"/>
      <c r="O5236" s="3"/>
      <c r="P5236" s="3"/>
      <c r="Q5236" s="3"/>
      <c r="R5236" s="3"/>
      <c r="S5236" s="3"/>
      <c r="T5236" s="3"/>
      <c r="U5236" s="3"/>
      <c r="V5236" s="3"/>
      <c r="W5236" s="3"/>
      <c r="X5236" s="3"/>
      <c r="Y5236" s="3"/>
      <c r="Z5236" s="3"/>
      <c r="AA5236" s="3"/>
    </row>
    <row r="5237" ht="105.75" customHeight="1">
      <c r="A5237" s="11"/>
      <c r="B5237" s="12"/>
      <c r="C5237" s="11"/>
      <c r="D5237" s="13"/>
      <c r="E5237" s="14"/>
      <c r="F5237" s="14"/>
      <c r="G5237" s="14"/>
      <c r="H5237" s="15"/>
      <c r="I5237" s="15"/>
      <c r="J5237" s="3"/>
      <c r="K5237" s="3"/>
      <c r="L5237" s="3"/>
      <c r="M5237" s="3"/>
      <c r="N5237" s="3"/>
      <c r="O5237" s="3"/>
      <c r="P5237" s="3"/>
      <c r="Q5237" s="3"/>
      <c r="R5237" s="3"/>
      <c r="S5237" s="3"/>
      <c r="T5237" s="3"/>
      <c r="U5237" s="3"/>
      <c r="V5237" s="3"/>
      <c r="W5237" s="3"/>
      <c r="X5237" s="3"/>
      <c r="Y5237" s="3"/>
      <c r="Z5237" s="3"/>
      <c r="AA5237" s="3"/>
    </row>
    <row r="5238" ht="105.75" customHeight="1">
      <c r="A5238" s="11"/>
      <c r="B5238" s="12"/>
      <c r="C5238" s="11"/>
      <c r="D5238" s="13"/>
      <c r="E5238" s="14"/>
      <c r="F5238" s="14"/>
      <c r="G5238" s="14"/>
      <c r="H5238" s="15"/>
      <c r="I5238" s="15"/>
      <c r="J5238" s="3"/>
      <c r="K5238" s="3"/>
      <c r="L5238" s="3"/>
      <c r="M5238" s="3"/>
      <c r="N5238" s="3"/>
      <c r="O5238" s="3"/>
      <c r="P5238" s="3"/>
      <c r="Q5238" s="3"/>
      <c r="R5238" s="3"/>
      <c r="S5238" s="3"/>
      <c r="T5238" s="3"/>
      <c r="U5238" s="3"/>
      <c r="V5238" s="3"/>
      <c r="W5238" s="3"/>
      <c r="X5238" s="3"/>
      <c r="Y5238" s="3"/>
      <c r="Z5238" s="3"/>
      <c r="AA5238" s="3"/>
    </row>
    <row r="5239" ht="105.75" customHeight="1">
      <c r="A5239" s="11"/>
      <c r="B5239" s="12"/>
      <c r="C5239" s="11"/>
      <c r="D5239" s="13"/>
      <c r="E5239" s="14"/>
      <c r="F5239" s="14"/>
      <c r="G5239" s="14"/>
      <c r="H5239" s="15"/>
      <c r="I5239" s="15"/>
      <c r="J5239" s="3"/>
      <c r="K5239" s="3"/>
      <c r="L5239" s="3"/>
      <c r="M5239" s="3"/>
      <c r="N5239" s="3"/>
      <c r="O5239" s="3"/>
      <c r="P5239" s="3"/>
      <c r="Q5239" s="3"/>
      <c r="R5239" s="3"/>
      <c r="S5239" s="3"/>
      <c r="T5239" s="3"/>
      <c r="U5239" s="3"/>
      <c r="V5239" s="3"/>
      <c r="W5239" s="3"/>
      <c r="X5239" s="3"/>
      <c r="Y5239" s="3"/>
      <c r="Z5239" s="3"/>
      <c r="AA5239" s="3"/>
    </row>
    <row r="5240" ht="105.75" customHeight="1">
      <c r="A5240" s="11"/>
      <c r="B5240" s="12"/>
      <c r="C5240" s="11"/>
      <c r="D5240" s="13"/>
      <c r="E5240" s="14"/>
      <c r="F5240" s="14"/>
      <c r="G5240" s="14"/>
      <c r="H5240" s="15"/>
      <c r="I5240" s="15"/>
      <c r="J5240" s="3"/>
      <c r="K5240" s="3"/>
      <c r="L5240" s="3"/>
      <c r="M5240" s="3"/>
      <c r="N5240" s="3"/>
      <c r="O5240" s="3"/>
      <c r="P5240" s="3"/>
      <c r="Q5240" s="3"/>
      <c r="R5240" s="3"/>
      <c r="S5240" s="3"/>
      <c r="T5240" s="3"/>
      <c r="U5240" s="3"/>
      <c r="V5240" s="3"/>
      <c r="W5240" s="3"/>
      <c r="X5240" s="3"/>
      <c r="Y5240" s="3"/>
      <c r="Z5240" s="3"/>
      <c r="AA5240" s="3"/>
    </row>
    <row r="5241" ht="105.75" customHeight="1">
      <c r="A5241" s="11"/>
      <c r="B5241" s="12"/>
      <c r="C5241" s="11"/>
      <c r="D5241" s="13"/>
      <c r="E5241" s="14"/>
      <c r="F5241" s="14"/>
      <c r="G5241" s="14"/>
      <c r="H5241" s="15"/>
      <c r="I5241" s="15"/>
      <c r="J5241" s="3"/>
      <c r="K5241" s="3"/>
      <c r="L5241" s="3"/>
      <c r="M5241" s="3"/>
      <c r="N5241" s="3"/>
      <c r="O5241" s="3"/>
      <c r="P5241" s="3"/>
      <c r="Q5241" s="3"/>
      <c r="R5241" s="3"/>
      <c r="S5241" s="3"/>
      <c r="T5241" s="3"/>
      <c r="U5241" s="3"/>
      <c r="V5241" s="3"/>
      <c r="W5241" s="3"/>
      <c r="X5241" s="3"/>
      <c r="Y5241" s="3"/>
      <c r="Z5241" s="3"/>
      <c r="AA5241" s="3"/>
    </row>
    <row r="5242" ht="105.75" customHeight="1">
      <c r="A5242" s="11"/>
      <c r="B5242" s="12"/>
      <c r="C5242" s="11"/>
      <c r="D5242" s="13"/>
      <c r="E5242" s="14"/>
      <c r="F5242" s="14"/>
      <c r="G5242" s="14"/>
      <c r="H5242" s="15"/>
      <c r="I5242" s="15"/>
      <c r="J5242" s="3"/>
      <c r="K5242" s="3"/>
      <c r="L5242" s="3"/>
      <c r="M5242" s="3"/>
      <c r="N5242" s="3"/>
      <c r="O5242" s="3"/>
      <c r="P5242" s="3"/>
      <c r="Q5242" s="3"/>
      <c r="R5242" s="3"/>
      <c r="S5242" s="3"/>
      <c r="T5242" s="3"/>
      <c r="U5242" s="3"/>
      <c r="V5242" s="3"/>
      <c r="W5242" s="3"/>
      <c r="X5242" s="3"/>
      <c r="Y5242" s="3"/>
      <c r="Z5242" s="3"/>
      <c r="AA5242" s="3"/>
    </row>
    <row r="5243" ht="105.75" customHeight="1">
      <c r="A5243" s="11"/>
      <c r="B5243" s="12"/>
      <c r="C5243" s="11"/>
      <c r="D5243" s="13"/>
      <c r="E5243" s="14"/>
      <c r="F5243" s="14"/>
      <c r="G5243" s="14"/>
      <c r="H5243" s="15"/>
      <c r="I5243" s="15"/>
      <c r="J5243" s="3"/>
      <c r="K5243" s="3"/>
      <c r="L5243" s="3"/>
      <c r="M5243" s="3"/>
      <c r="N5243" s="3"/>
      <c r="O5243" s="3"/>
      <c r="P5243" s="3"/>
      <c r="Q5243" s="3"/>
      <c r="R5243" s="3"/>
      <c r="S5243" s="3"/>
      <c r="T5243" s="3"/>
      <c r="U5243" s="3"/>
      <c r="V5243" s="3"/>
      <c r="W5243" s="3"/>
      <c r="X5243" s="3"/>
      <c r="Y5243" s="3"/>
      <c r="Z5243" s="3"/>
      <c r="AA5243" s="3"/>
    </row>
    <row r="5244" ht="105.75" customHeight="1">
      <c r="A5244" s="11"/>
      <c r="B5244" s="12"/>
      <c r="C5244" s="11"/>
      <c r="D5244" s="13"/>
      <c r="E5244" s="14"/>
      <c r="F5244" s="14"/>
      <c r="G5244" s="14"/>
      <c r="H5244" s="15"/>
      <c r="I5244" s="15"/>
      <c r="J5244" s="3"/>
      <c r="K5244" s="3"/>
      <c r="L5244" s="3"/>
      <c r="M5244" s="3"/>
      <c r="N5244" s="3"/>
      <c r="O5244" s="3"/>
      <c r="P5244" s="3"/>
      <c r="Q5244" s="3"/>
      <c r="R5244" s="3"/>
      <c r="S5244" s="3"/>
      <c r="T5244" s="3"/>
      <c r="U5244" s="3"/>
      <c r="V5244" s="3"/>
      <c r="W5244" s="3"/>
      <c r="X5244" s="3"/>
      <c r="Y5244" s="3"/>
      <c r="Z5244" s="3"/>
      <c r="AA5244" s="3"/>
    </row>
    <row r="5245" ht="105.75" customHeight="1">
      <c r="A5245" s="11"/>
      <c r="B5245" s="12"/>
      <c r="C5245" s="11"/>
      <c r="D5245" s="13"/>
      <c r="E5245" s="14"/>
      <c r="F5245" s="14"/>
      <c r="G5245" s="14"/>
      <c r="H5245" s="15"/>
      <c r="I5245" s="15"/>
      <c r="J5245" s="3"/>
      <c r="K5245" s="3"/>
      <c r="L5245" s="3"/>
      <c r="M5245" s="3"/>
      <c r="N5245" s="3"/>
      <c r="O5245" s="3"/>
      <c r="P5245" s="3"/>
      <c r="Q5245" s="3"/>
      <c r="R5245" s="3"/>
      <c r="S5245" s="3"/>
      <c r="T5245" s="3"/>
      <c r="U5245" s="3"/>
      <c r="V5245" s="3"/>
      <c r="W5245" s="3"/>
      <c r="X5245" s="3"/>
      <c r="Y5245" s="3"/>
      <c r="Z5245" s="3"/>
      <c r="AA5245" s="3"/>
    </row>
    <row r="5246" ht="105.75" customHeight="1">
      <c r="A5246" s="11"/>
      <c r="B5246" s="12"/>
      <c r="C5246" s="11"/>
      <c r="D5246" s="13"/>
      <c r="E5246" s="14"/>
      <c r="F5246" s="14"/>
      <c r="G5246" s="14"/>
      <c r="H5246" s="15"/>
      <c r="I5246" s="15"/>
      <c r="J5246" s="3"/>
      <c r="K5246" s="3"/>
      <c r="L5246" s="3"/>
      <c r="M5246" s="3"/>
      <c r="N5246" s="3"/>
      <c r="O5246" s="3"/>
      <c r="P5246" s="3"/>
      <c r="Q5246" s="3"/>
      <c r="R5246" s="3"/>
      <c r="S5246" s="3"/>
      <c r="T5246" s="3"/>
      <c r="U5246" s="3"/>
      <c r="V5246" s="3"/>
      <c r="W5246" s="3"/>
      <c r="X5246" s="3"/>
      <c r="Y5246" s="3"/>
      <c r="Z5246" s="3"/>
      <c r="AA5246" s="3"/>
    </row>
    <row r="5247" ht="105.75" customHeight="1">
      <c r="A5247" s="11"/>
      <c r="B5247" s="12"/>
      <c r="C5247" s="11"/>
      <c r="D5247" s="13"/>
      <c r="E5247" s="14"/>
      <c r="F5247" s="14"/>
      <c r="G5247" s="14"/>
      <c r="H5247" s="15"/>
      <c r="I5247" s="15"/>
      <c r="J5247" s="3"/>
      <c r="K5247" s="3"/>
      <c r="L5247" s="3"/>
      <c r="M5247" s="3"/>
      <c r="N5247" s="3"/>
      <c r="O5247" s="3"/>
      <c r="P5247" s="3"/>
      <c r="Q5247" s="3"/>
      <c r="R5247" s="3"/>
      <c r="S5247" s="3"/>
      <c r="T5247" s="3"/>
      <c r="U5247" s="3"/>
      <c r="V5247" s="3"/>
      <c r="W5247" s="3"/>
      <c r="X5247" s="3"/>
      <c r="Y5247" s="3"/>
      <c r="Z5247" s="3"/>
      <c r="AA5247" s="3"/>
    </row>
    <row r="5248" ht="105.75" customHeight="1">
      <c r="A5248" s="11"/>
      <c r="B5248" s="12"/>
      <c r="C5248" s="11"/>
      <c r="D5248" s="13"/>
      <c r="E5248" s="14"/>
      <c r="F5248" s="14"/>
      <c r="G5248" s="14"/>
      <c r="H5248" s="15"/>
      <c r="I5248" s="15"/>
      <c r="J5248" s="3"/>
      <c r="K5248" s="3"/>
      <c r="L5248" s="3"/>
      <c r="M5248" s="3"/>
      <c r="N5248" s="3"/>
      <c r="O5248" s="3"/>
      <c r="P5248" s="3"/>
      <c r="Q5248" s="3"/>
      <c r="R5248" s="3"/>
      <c r="S5248" s="3"/>
      <c r="T5248" s="3"/>
      <c r="U5248" s="3"/>
      <c r="V5248" s="3"/>
      <c r="W5248" s="3"/>
      <c r="X5248" s="3"/>
      <c r="Y5248" s="3"/>
      <c r="Z5248" s="3"/>
      <c r="AA5248" s="3"/>
    </row>
    <row r="5249" ht="105.75" customHeight="1">
      <c r="A5249" s="11"/>
      <c r="B5249" s="12"/>
      <c r="C5249" s="11"/>
      <c r="D5249" s="13"/>
      <c r="E5249" s="14"/>
      <c r="F5249" s="14"/>
      <c r="G5249" s="14"/>
      <c r="H5249" s="15"/>
      <c r="I5249" s="15"/>
      <c r="J5249" s="3"/>
      <c r="K5249" s="3"/>
      <c r="L5249" s="3"/>
      <c r="M5249" s="3"/>
      <c r="N5249" s="3"/>
      <c r="O5249" s="3"/>
      <c r="P5249" s="3"/>
      <c r="Q5249" s="3"/>
      <c r="R5249" s="3"/>
      <c r="S5249" s="3"/>
      <c r="T5249" s="3"/>
      <c r="U5249" s="3"/>
      <c r="V5249" s="3"/>
      <c r="W5249" s="3"/>
      <c r="X5249" s="3"/>
      <c r="Y5249" s="3"/>
      <c r="Z5249" s="3"/>
      <c r="AA5249" s="3"/>
    </row>
    <row r="5250" ht="105.75" customHeight="1">
      <c r="A5250" s="11"/>
      <c r="B5250" s="12"/>
      <c r="C5250" s="11"/>
      <c r="D5250" s="13"/>
      <c r="E5250" s="14"/>
      <c r="F5250" s="14"/>
      <c r="G5250" s="14"/>
      <c r="H5250" s="15"/>
      <c r="I5250" s="15"/>
      <c r="J5250" s="3"/>
      <c r="K5250" s="3"/>
      <c r="L5250" s="3"/>
      <c r="M5250" s="3"/>
      <c r="N5250" s="3"/>
      <c r="O5250" s="3"/>
      <c r="P5250" s="3"/>
      <c r="Q5250" s="3"/>
      <c r="R5250" s="3"/>
      <c r="S5250" s="3"/>
      <c r="T5250" s="3"/>
      <c r="U5250" s="3"/>
      <c r="V5250" s="3"/>
      <c r="W5250" s="3"/>
      <c r="X5250" s="3"/>
      <c r="Y5250" s="3"/>
      <c r="Z5250" s="3"/>
      <c r="AA5250" s="3"/>
    </row>
    <row r="5251" ht="105.75" customHeight="1">
      <c r="A5251" s="11"/>
      <c r="B5251" s="12"/>
      <c r="C5251" s="11"/>
      <c r="D5251" s="13"/>
      <c r="E5251" s="14"/>
      <c r="F5251" s="14"/>
      <c r="G5251" s="14"/>
      <c r="H5251" s="15"/>
      <c r="I5251" s="15"/>
      <c r="J5251" s="3"/>
      <c r="K5251" s="3"/>
      <c r="L5251" s="3"/>
      <c r="M5251" s="3"/>
      <c r="N5251" s="3"/>
      <c r="O5251" s="3"/>
      <c r="P5251" s="3"/>
      <c r="Q5251" s="3"/>
      <c r="R5251" s="3"/>
      <c r="S5251" s="3"/>
      <c r="T5251" s="3"/>
      <c r="U5251" s="3"/>
      <c r="V5251" s="3"/>
      <c r="W5251" s="3"/>
      <c r="X5251" s="3"/>
      <c r="Y5251" s="3"/>
      <c r="Z5251" s="3"/>
      <c r="AA5251" s="3"/>
    </row>
    <row r="5252" ht="105.75" customHeight="1">
      <c r="A5252" s="11"/>
      <c r="B5252" s="12"/>
      <c r="C5252" s="11"/>
      <c r="D5252" s="13"/>
      <c r="E5252" s="14"/>
      <c r="F5252" s="14"/>
      <c r="G5252" s="14"/>
      <c r="H5252" s="15"/>
      <c r="I5252" s="15"/>
      <c r="J5252" s="3"/>
      <c r="K5252" s="3"/>
      <c r="L5252" s="3"/>
      <c r="M5252" s="3"/>
      <c r="N5252" s="3"/>
      <c r="O5252" s="3"/>
      <c r="P5252" s="3"/>
      <c r="Q5252" s="3"/>
      <c r="R5252" s="3"/>
      <c r="S5252" s="3"/>
      <c r="T5252" s="3"/>
      <c r="U5252" s="3"/>
      <c r="V5252" s="3"/>
      <c r="W5252" s="3"/>
      <c r="X5252" s="3"/>
      <c r="Y5252" s="3"/>
      <c r="Z5252" s="3"/>
      <c r="AA5252" s="3"/>
    </row>
    <row r="5253" ht="105.75" customHeight="1">
      <c r="A5253" s="11"/>
      <c r="B5253" s="12"/>
      <c r="C5253" s="11"/>
      <c r="D5253" s="13"/>
      <c r="E5253" s="14"/>
      <c r="F5253" s="14"/>
      <c r="G5253" s="14"/>
      <c r="H5253" s="15"/>
      <c r="I5253" s="15"/>
      <c r="J5253" s="3"/>
      <c r="K5253" s="3"/>
      <c r="L5253" s="3"/>
      <c r="M5253" s="3"/>
      <c r="N5253" s="3"/>
      <c r="O5253" s="3"/>
      <c r="P5253" s="3"/>
      <c r="Q5253" s="3"/>
      <c r="R5253" s="3"/>
      <c r="S5253" s="3"/>
      <c r="T5253" s="3"/>
      <c r="U5253" s="3"/>
      <c r="V5253" s="3"/>
      <c r="W5253" s="3"/>
      <c r="X5253" s="3"/>
      <c r="Y5253" s="3"/>
      <c r="Z5253" s="3"/>
      <c r="AA5253" s="3"/>
    </row>
    <row r="5254" ht="105.75" customHeight="1">
      <c r="A5254" s="11"/>
      <c r="B5254" s="12"/>
      <c r="C5254" s="11"/>
      <c r="D5254" s="13"/>
      <c r="E5254" s="14"/>
      <c r="F5254" s="14"/>
      <c r="G5254" s="14"/>
      <c r="H5254" s="15"/>
      <c r="I5254" s="15"/>
      <c r="J5254" s="3"/>
      <c r="K5254" s="3"/>
      <c r="L5254" s="3"/>
      <c r="M5254" s="3"/>
      <c r="N5254" s="3"/>
      <c r="O5254" s="3"/>
      <c r="P5254" s="3"/>
      <c r="Q5254" s="3"/>
      <c r="R5254" s="3"/>
      <c r="S5254" s="3"/>
      <c r="T5254" s="3"/>
      <c r="U5254" s="3"/>
      <c r="V5254" s="3"/>
      <c r="W5254" s="3"/>
      <c r="X5254" s="3"/>
      <c r="Y5254" s="3"/>
      <c r="Z5254" s="3"/>
      <c r="AA5254" s="3"/>
    </row>
    <row r="5255" ht="105.75" customHeight="1">
      <c r="A5255" s="11"/>
      <c r="B5255" s="12"/>
      <c r="C5255" s="11"/>
      <c r="D5255" s="13"/>
      <c r="E5255" s="14"/>
      <c r="F5255" s="14"/>
      <c r="G5255" s="14"/>
      <c r="H5255" s="15"/>
      <c r="I5255" s="15"/>
      <c r="J5255" s="3"/>
      <c r="K5255" s="3"/>
      <c r="L5255" s="3"/>
      <c r="M5255" s="3"/>
      <c r="N5255" s="3"/>
      <c r="O5255" s="3"/>
      <c r="P5255" s="3"/>
      <c r="Q5255" s="3"/>
      <c r="R5255" s="3"/>
      <c r="S5255" s="3"/>
      <c r="T5255" s="3"/>
      <c r="U5255" s="3"/>
      <c r="V5255" s="3"/>
      <c r="W5255" s="3"/>
      <c r="X5255" s="3"/>
      <c r="Y5255" s="3"/>
      <c r="Z5255" s="3"/>
      <c r="AA5255" s="3"/>
    </row>
    <row r="5256" ht="105.75" customHeight="1">
      <c r="A5256" s="11"/>
      <c r="B5256" s="12"/>
      <c r="C5256" s="11"/>
      <c r="D5256" s="13"/>
      <c r="E5256" s="14"/>
      <c r="F5256" s="14"/>
      <c r="G5256" s="14"/>
      <c r="H5256" s="15"/>
      <c r="I5256" s="15"/>
      <c r="J5256" s="3"/>
      <c r="K5256" s="3"/>
      <c r="L5256" s="3"/>
      <c r="M5256" s="3"/>
      <c r="N5256" s="3"/>
      <c r="O5256" s="3"/>
      <c r="P5256" s="3"/>
      <c r="Q5256" s="3"/>
      <c r="R5256" s="3"/>
      <c r="S5256" s="3"/>
      <c r="T5256" s="3"/>
      <c r="U5256" s="3"/>
      <c r="V5256" s="3"/>
      <c r="W5256" s="3"/>
      <c r="X5256" s="3"/>
      <c r="Y5256" s="3"/>
      <c r="Z5256" s="3"/>
      <c r="AA5256" s="3"/>
    </row>
    <row r="5257" ht="105.75" customHeight="1">
      <c r="A5257" s="11"/>
      <c r="B5257" s="12"/>
      <c r="C5257" s="11"/>
      <c r="D5257" s="13"/>
      <c r="E5257" s="14"/>
      <c r="F5257" s="14"/>
      <c r="G5257" s="14"/>
      <c r="H5257" s="15"/>
      <c r="I5257" s="15"/>
      <c r="J5257" s="3"/>
      <c r="K5257" s="3"/>
      <c r="L5257" s="3"/>
      <c r="M5257" s="3"/>
      <c r="N5257" s="3"/>
      <c r="O5257" s="3"/>
      <c r="P5257" s="3"/>
      <c r="Q5257" s="3"/>
      <c r="R5257" s="3"/>
      <c r="S5257" s="3"/>
      <c r="T5257" s="3"/>
      <c r="U5257" s="3"/>
      <c r="V5257" s="3"/>
      <c r="W5257" s="3"/>
      <c r="X5257" s="3"/>
      <c r="Y5257" s="3"/>
      <c r="Z5257" s="3"/>
      <c r="AA5257" s="3"/>
    </row>
    <row r="5258" ht="105.75" customHeight="1">
      <c r="A5258" s="11"/>
      <c r="B5258" s="12"/>
      <c r="C5258" s="11"/>
      <c r="D5258" s="13"/>
      <c r="E5258" s="14"/>
      <c r="F5258" s="14"/>
      <c r="G5258" s="14"/>
      <c r="H5258" s="15"/>
      <c r="I5258" s="15"/>
      <c r="J5258" s="3"/>
      <c r="K5258" s="3"/>
      <c r="L5258" s="3"/>
      <c r="M5258" s="3"/>
      <c r="N5258" s="3"/>
      <c r="O5258" s="3"/>
      <c r="P5258" s="3"/>
      <c r="Q5258" s="3"/>
      <c r="R5258" s="3"/>
      <c r="S5258" s="3"/>
      <c r="T5258" s="3"/>
      <c r="U5258" s="3"/>
      <c r="V5258" s="3"/>
      <c r="W5258" s="3"/>
      <c r="X5258" s="3"/>
      <c r="Y5258" s="3"/>
      <c r="Z5258" s="3"/>
      <c r="AA5258" s="3"/>
    </row>
    <row r="5259" ht="105.75" customHeight="1">
      <c r="A5259" s="11"/>
      <c r="B5259" s="12"/>
      <c r="C5259" s="11"/>
      <c r="D5259" s="13"/>
      <c r="E5259" s="14"/>
      <c r="F5259" s="14"/>
      <c r="G5259" s="14"/>
      <c r="H5259" s="15"/>
      <c r="I5259" s="15"/>
      <c r="J5259" s="3"/>
      <c r="K5259" s="3"/>
      <c r="L5259" s="3"/>
      <c r="M5259" s="3"/>
      <c r="N5259" s="3"/>
      <c r="O5259" s="3"/>
      <c r="P5259" s="3"/>
      <c r="Q5259" s="3"/>
      <c r="R5259" s="3"/>
      <c r="S5259" s="3"/>
      <c r="T5259" s="3"/>
      <c r="U5259" s="3"/>
      <c r="V5259" s="3"/>
      <c r="W5259" s="3"/>
      <c r="X5259" s="3"/>
      <c r="Y5259" s="3"/>
      <c r="Z5259" s="3"/>
      <c r="AA5259" s="3"/>
    </row>
    <row r="5260" ht="105.75" customHeight="1">
      <c r="A5260" s="11"/>
      <c r="B5260" s="12"/>
      <c r="C5260" s="11"/>
      <c r="D5260" s="13"/>
      <c r="E5260" s="14"/>
      <c r="F5260" s="14"/>
      <c r="G5260" s="14"/>
      <c r="H5260" s="15"/>
      <c r="I5260" s="15"/>
      <c r="J5260" s="3"/>
      <c r="K5260" s="3"/>
      <c r="L5260" s="3"/>
      <c r="M5260" s="3"/>
      <c r="N5260" s="3"/>
      <c r="O5260" s="3"/>
      <c r="P5260" s="3"/>
      <c r="Q5260" s="3"/>
      <c r="R5260" s="3"/>
      <c r="S5260" s="3"/>
      <c r="T5260" s="3"/>
      <c r="U5260" s="3"/>
      <c r="V5260" s="3"/>
      <c r="W5260" s="3"/>
      <c r="X5260" s="3"/>
      <c r="Y5260" s="3"/>
      <c r="Z5260" s="3"/>
      <c r="AA5260" s="3"/>
    </row>
    <row r="5261" ht="105.75" customHeight="1">
      <c r="A5261" s="11"/>
      <c r="B5261" s="12"/>
      <c r="C5261" s="11"/>
      <c r="D5261" s="13"/>
      <c r="E5261" s="14"/>
      <c r="F5261" s="14"/>
      <c r="G5261" s="14"/>
      <c r="H5261" s="15"/>
      <c r="I5261" s="15"/>
      <c r="J5261" s="3"/>
      <c r="K5261" s="3"/>
      <c r="L5261" s="3"/>
      <c r="M5261" s="3"/>
      <c r="N5261" s="3"/>
      <c r="O5261" s="3"/>
      <c r="P5261" s="3"/>
      <c r="Q5261" s="3"/>
      <c r="R5261" s="3"/>
      <c r="S5261" s="3"/>
      <c r="T5261" s="3"/>
      <c r="U5261" s="3"/>
      <c r="V5261" s="3"/>
      <c r="W5261" s="3"/>
      <c r="X5261" s="3"/>
      <c r="Y5261" s="3"/>
      <c r="Z5261" s="3"/>
      <c r="AA5261" s="3"/>
    </row>
    <row r="5262" ht="105.75" customHeight="1">
      <c r="A5262" s="11"/>
      <c r="B5262" s="12"/>
      <c r="C5262" s="11"/>
      <c r="D5262" s="13"/>
      <c r="E5262" s="14"/>
      <c r="F5262" s="14"/>
      <c r="G5262" s="14"/>
      <c r="H5262" s="15"/>
      <c r="I5262" s="15"/>
      <c r="J5262" s="3"/>
      <c r="K5262" s="3"/>
      <c r="L5262" s="3"/>
      <c r="M5262" s="3"/>
      <c r="N5262" s="3"/>
      <c r="O5262" s="3"/>
      <c r="P5262" s="3"/>
      <c r="Q5262" s="3"/>
      <c r="R5262" s="3"/>
      <c r="S5262" s="3"/>
      <c r="T5262" s="3"/>
      <c r="U5262" s="3"/>
      <c r="V5262" s="3"/>
      <c r="W5262" s="3"/>
      <c r="X5262" s="3"/>
      <c r="Y5262" s="3"/>
      <c r="Z5262" s="3"/>
      <c r="AA5262" s="3"/>
    </row>
    <row r="5263" ht="105.75" customHeight="1">
      <c r="A5263" s="11"/>
      <c r="B5263" s="12"/>
      <c r="C5263" s="11"/>
      <c r="D5263" s="13"/>
      <c r="E5263" s="14"/>
      <c r="F5263" s="14"/>
      <c r="G5263" s="14"/>
      <c r="H5263" s="15"/>
      <c r="I5263" s="15"/>
      <c r="J5263" s="3"/>
      <c r="K5263" s="3"/>
      <c r="L5263" s="3"/>
      <c r="M5263" s="3"/>
      <c r="N5263" s="3"/>
      <c r="O5263" s="3"/>
      <c r="P5263" s="3"/>
      <c r="Q5263" s="3"/>
      <c r="R5263" s="3"/>
      <c r="S5263" s="3"/>
      <c r="T5263" s="3"/>
      <c r="U5263" s="3"/>
      <c r="V5263" s="3"/>
      <c r="W5263" s="3"/>
      <c r="X5263" s="3"/>
      <c r="Y5263" s="3"/>
      <c r="Z5263" s="3"/>
      <c r="AA5263" s="3"/>
    </row>
    <row r="5264" ht="105.75" customHeight="1">
      <c r="A5264" s="11"/>
      <c r="B5264" s="12"/>
      <c r="C5264" s="11"/>
      <c r="D5264" s="13"/>
      <c r="E5264" s="14"/>
      <c r="F5264" s="14"/>
      <c r="G5264" s="14"/>
      <c r="H5264" s="15"/>
      <c r="I5264" s="15"/>
      <c r="J5264" s="3"/>
      <c r="K5264" s="3"/>
      <c r="L5264" s="3"/>
      <c r="M5264" s="3"/>
      <c r="N5264" s="3"/>
      <c r="O5264" s="3"/>
      <c r="P5264" s="3"/>
      <c r="Q5264" s="3"/>
      <c r="R5264" s="3"/>
      <c r="S5264" s="3"/>
      <c r="T5264" s="3"/>
      <c r="U5264" s="3"/>
      <c r="V5264" s="3"/>
      <c r="W5264" s="3"/>
      <c r="X5264" s="3"/>
      <c r="Y5264" s="3"/>
      <c r="Z5264" s="3"/>
      <c r="AA5264" s="3"/>
    </row>
    <row r="5265" ht="105.75" customHeight="1">
      <c r="A5265" s="11"/>
      <c r="B5265" s="12"/>
      <c r="C5265" s="11"/>
      <c r="D5265" s="13"/>
      <c r="E5265" s="14"/>
      <c r="F5265" s="14"/>
      <c r="G5265" s="14"/>
      <c r="H5265" s="15"/>
      <c r="I5265" s="15"/>
      <c r="J5265" s="3"/>
      <c r="K5265" s="3"/>
      <c r="L5265" s="3"/>
      <c r="M5265" s="3"/>
      <c r="N5265" s="3"/>
      <c r="O5265" s="3"/>
      <c r="P5265" s="3"/>
      <c r="Q5265" s="3"/>
      <c r="R5265" s="3"/>
      <c r="S5265" s="3"/>
      <c r="T5265" s="3"/>
      <c r="U5265" s="3"/>
      <c r="V5265" s="3"/>
      <c r="W5265" s="3"/>
      <c r="X5265" s="3"/>
      <c r="Y5265" s="3"/>
      <c r="Z5265" s="3"/>
      <c r="AA5265" s="3"/>
    </row>
    <row r="5266" ht="105.75" customHeight="1">
      <c r="A5266" s="11"/>
      <c r="B5266" s="12"/>
      <c r="C5266" s="11"/>
      <c r="D5266" s="13"/>
      <c r="E5266" s="14"/>
      <c r="F5266" s="14"/>
      <c r="G5266" s="14"/>
      <c r="H5266" s="15"/>
      <c r="I5266" s="15"/>
      <c r="J5266" s="3"/>
      <c r="K5266" s="3"/>
      <c r="L5266" s="3"/>
      <c r="M5266" s="3"/>
      <c r="N5266" s="3"/>
      <c r="O5266" s="3"/>
      <c r="P5266" s="3"/>
      <c r="Q5266" s="3"/>
      <c r="R5266" s="3"/>
      <c r="S5266" s="3"/>
      <c r="T5266" s="3"/>
      <c r="U5266" s="3"/>
      <c r="V5266" s="3"/>
      <c r="W5266" s="3"/>
      <c r="X5266" s="3"/>
      <c r="Y5266" s="3"/>
      <c r="Z5266" s="3"/>
      <c r="AA5266" s="3"/>
    </row>
    <row r="5267" ht="105.75" customHeight="1">
      <c r="A5267" s="11"/>
      <c r="B5267" s="12"/>
      <c r="C5267" s="11"/>
      <c r="D5267" s="13"/>
      <c r="E5267" s="14"/>
      <c r="F5267" s="14"/>
      <c r="G5267" s="14"/>
      <c r="H5267" s="15"/>
      <c r="I5267" s="15"/>
      <c r="J5267" s="3"/>
      <c r="K5267" s="3"/>
      <c r="L5267" s="3"/>
      <c r="M5267" s="3"/>
      <c r="N5267" s="3"/>
      <c r="O5267" s="3"/>
      <c r="P5267" s="3"/>
      <c r="Q5267" s="3"/>
      <c r="R5267" s="3"/>
      <c r="S5267" s="3"/>
      <c r="T5267" s="3"/>
      <c r="U5267" s="3"/>
      <c r="V5267" s="3"/>
      <c r="W5267" s="3"/>
      <c r="X5267" s="3"/>
      <c r="Y5267" s="3"/>
      <c r="Z5267" s="3"/>
      <c r="AA5267" s="3"/>
    </row>
    <row r="5268" ht="105.75" customHeight="1">
      <c r="A5268" s="11"/>
      <c r="B5268" s="12"/>
      <c r="C5268" s="11"/>
      <c r="D5268" s="13"/>
      <c r="E5268" s="14"/>
      <c r="F5268" s="14"/>
      <c r="G5268" s="14"/>
      <c r="H5268" s="15"/>
      <c r="I5268" s="15"/>
      <c r="J5268" s="3"/>
      <c r="K5268" s="3"/>
      <c r="L5268" s="3"/>
      <c r="M5268" s="3"/>
      <c r="N5268" s="3"/>
      <c r="O5268" s="3"/>
      <c r="P5268" s="3"/>
      <c r="Q5268" s="3"/>
      <c r="R5268" s="3"/>
      <c r="S5268" s="3"/>
      <c r="T5268" s="3"/>
      <c r="U5268" s="3"/>
      <c r="V5268" s="3"/>
      <c r="W5268" s="3"/>
      <c r="X5268" s="3"/>
      <c r="Y5268" s="3"/>
      <c r="Z5268" s="3"/>
      <c r="AA5268" s="3"/>
    </row>
    <row r="5269" ht="105.75" customHeight="1">
      <c r="A5269" s="11"/>
      <c r="B5269" s="12"/>
      <c r="C5269" s="11"/>
      <c r="D5269" s="13"/>
      <c r="E5269" s="14"/>
      <c r="F5269" s="14"/>
      <c r="G5269" s="14"/>
      <c r="H5269" s="15"/>
      <c r="I5269" s="15"/>
      <c r="J5269" s="3"/>
      <c r="K5269" s="3"/>
      <c r="L5269" s="3"/>
      <c r="M5269" s="3"/>
      <c r="N5269" s="3"/>
      <c r="O5269" s="3"/>
      <c r="P5269" s="3"/>
      <c r="Q5269" s="3"/>
      <c r="R5269" s="3"/>
      <c r="S5269" s="3"/>
      <c r="T5269" s="3"/>
      <c r="U5269" s="3"/>
      <c r="V5269" s="3"/>
      <c r="W5269" s="3"/>
      <c r="X5269" s="3"/>
      <c r="Y5269" s="3"/>
      <c r="Z5269" s="3"/>
      <c r="AA5269" s="3"/>
    </row>
    <row r="5270" ht="105.75" customHeight="1">
      <c r="A5270" s="11"/>
      <c r="B5270" s="12"/>
      <c r="C5270" s="11"/>
      <c r="D5270" s="13"/>
      <c r="E5270" s="14"/>
      <c r="F5270" s="14"/>
      <c r="G5270" s="14"/>
      <c r="H5270" s="15"/>
      <c r="I5270" s="15"/>
      <c r="J5270" s="3"/>
      <c r="K5270" s="3"/>
      <c r="L5270" s="3"/>
      <c r="M5270" s="3"/>
      <c r="N5270" s="3"/>
      <c r="O5270" s="3"/>
      <c r="P5270" s="3"/>
      <c r="Q5270" s="3"/>
      <c r="R5270" s="3"/>
      <c r="S5270" s="3"/>
      <c r="T5270" s="3"/>
      <c r="U5270" s="3"/>
      <c r="V5270" s="3"/>
      <c r="W5270" s="3"/>
      <c r="X5270" s="3"/>
      <c r="Y5270" s="3"/>
      <c r="Z5270" s="3"/>
      <c r="AA5270" s="3"/>
    </row>
    <row r="5271" ht="105.75" customHeight="1">
      <c r="A5271" s="11"/>
      <c r="B5271" s="12"/>
      <c r="C5271" s="11"/>
      <c r="D5271" s="13"/>
      <c r="E5271" s="14"/>
      <c r="F5271" s="14"/>
      <c r="G5271" s="14"/>
      <c r="H5271" s="15"/>
      <c r="I5271" s="15"/>
      <c r="J5271" s="3"/>
      <c r="K5271" s="3"/>
      <c r="L5271" s="3"/>
      <c r="M5271" s="3"/>
      <c r="N5271" s="3"/>
      <c r="O5271" s="3"/>
      <c r="P5271" s="3"/>
      <c r="Q5271" s="3"/>
      <c r="R5271" s="3"/>
      <c r="S5271" s="3"/>
      <c r="T5271" s="3"/>
      <c r="U5271" s="3"/>
      <c r="V5271" s="3"/>
      <c r="W5271" s="3"/>
      <c r="X5271" s="3"/>
      <c r="Y5271" s="3"/>
      <c r="Z5271" s="3"/>
      <c r="AA5271" s="3"/>
    </row>
    <row r="5272" ht="105.75" customHeight="1">
      <c r="A5272" s="11"/>
      <c r="B5272" s="12"/>
      <c r="C5272" s="11"/>
      <c r="D5272" s="13"/>
      <c r="E5272" s="14"/>
      <c r="F5272" s="14"/>
      <c r="G5272" s="14"/>
      <c r="H5272" s="15"/>
      <c r="I5272" s="15"/>
      <c r="J5272" s="3"/>
      <c r="K5272" s="3"/>
      <c r="L5272" s="3"/>
      <c r="M5272" s="3"/>
      <c r="N5272" s="3"/>
      <c r="O5272" s="3"/>
      <c r="P5272" s="3"/>
      <c r="Q5272" s="3"/>
      <c r="R5272" s="3"/>
      <c r="S5272" s="3"/>
      <c r="T5272" s="3"/>
      <c r="U5272" s="3"/>
      <c r="V5272" s="3"/>
      <c r="W5272" s="3"/>
      <c r="X5272" s="3"/>
      <c r="Y5272" s="3"/>
      <c r="Z5272" s="3"/>
      <c r="AA5272" s="3"/>
    </row>
    <row r="5273" ht="105.75" customHeight="1">
      <c r="A5273" s="11"/>
      <c r="B5273" s="12"/>
      <c r="C5273" s="11"/>
      <c r="D5273" s="13"/>
      <c r="E5273" s="14"/>
      <c r="F5273" s="14"/>
      <c r="G5273" s="14"/>
      <c r="H5273" s="15"/>
      <c r="I5273" s="15"/>
      <c r="J5273" s="3"/>
      <c r="K5273" s="3"/>
      <c r="L5273" s="3"/>
      <c r="M5273" s="3"/>
      <c r="N5273" s="3"/>
      <c r="O5273" s="3"/>
      <c r="P5273" s="3"/>
      <c r="Q5273" s="3"/>
      <c r="R5273" s="3"/>
      <c r="S5273" s="3"/>
      <c r="T5273" s="3"/>
      <c r="U5273" s="3"/>
      <c r="V5273" s="3"/>
      <c r="W5273" s="3"/>
      <c r="X5273" s="3"/>
      <c r="Y5273" s="3"/>
      <c r="Z5273" s="3"/>
      <c r="AA5273" s="3"/>
    </row>
    <row r="5274" ht="105.75" customHeight="1">
      <c r="A5274" s="11"/>
      <c r="B5274" s="12"/>
      <c r="C5274" s="11"/>
      <c r="D5274" s="13"/>
      <c r="E5274" s="14"/>
      <c r="F5274" s="14"/>
      <c r="G5274" s="14"/>
      <c r="H5274" s="15"/>
      <c r="I5274" s="15"/>
      <c r="J5274" s="3"/>
      <c r="K5274" s="3"/>
      <c r="L5274" s="3"/>
      <c r="M5274" s="3"/>
      <c r="N5274" s="3"/>
      <c r="O5274" s="3"/>
      <c r="P5274" s="3"/>
      <c r="Q5274" s="3"/>
      <c r="R5274" s="3"/>
      <c r="S5274" s="3"/>
      <c r="T5274" s="3"/>
      <c r="U5274" s="3"/>
      <c r="V5274" s="3"/>
      <c r="W5274" s="3"/>
      <c r="X5274" s="3"/>
      <c r="Y5274" s="3"/>
      <c r="Z5274" s="3"/>
      <c r="AA5274" s="3"/>
    </row>
    <row r="5275" ht="105.75" customHeight="1">
      <c r="A5275" s="11"/>
      <c r="B5275" s="12"/>
      <c r="C5275" s="11"/>
      <c r="D5275" s="13"/>
      <c r="E5275" s="14"/>
      <c r="F5275" s="14"/>
      <c r="G5275" s="14"/>
      <c r="H5275" s="15"/>
      <c r="I5275" s="15"/>
      <c r="J5275" s="3"/>
      <c r="K5275" s="3"/>
      <c r="L5275" s="3"/>
      <c r="M5275" s="3"/>
      <c r="N5275" s="3"/>
      <c r="O5275" s="3"/>
      <c r="P5275" s="3"/>
      <c r="Q5275" s="3"/>
      <c r="R5275" s="3"/>
      <c r="S5275" s="3"/>
      <c r="T5275" s="3"/>
      <c r="U5275" s="3"/>
      <c r="V5275" s="3"/>
      <c r="W5275" s="3"/>
      <c r="X5275" s="3"/>
      <c r="Y5275" s="3"/>
      <c r="Z5275" s="3"/>
      <c r="AA5275" s="3"/>
    </row>
    <row r="5276" ht="105.75" customHeight="1">
      <c r="A5276" s="11"/>
      <c r="B5276" s="12"/>
      <c r="C5276" s="11"/>
      <c r="D5276" s="13"/>
      <c r="E5276" s="14"/>
      <c r="F5276" s="14"/>
      <c r="G5276" s="14"/>
      <c r="H5276" s="15"/>
      <c r="I5276" s="15"/>
      <c r="J5276" s="3"/>
      <c r="K5276" s="3"/>
      <c r="L5276" s="3"/>
      <c r="M5276" s="3"/>
      <c r="N5276" s="3"/>
      <c r="O5276" s="3"/>
      <c r="P5276" s="3"/>
      <c r="Q5276" s="3"/>
      <c r="R5276" s="3"/>
      <c r="S5276" s="3"/>
      <c r="T5276" s="3"/>
      <c r="U5276" s="3"/>
      <c r="V5276" s="3"/>
      <c r="W5276" s="3"/>
      <c r="X5276" s="3"/>
      <c r="Y5276" s="3"/>
      <c r="Z5276" s="3"/>
      <c r="AA5276" s="3"/>
    </row>
    <row r="5277" ht="105.75" customHeight="1">
      <c r="A5277" s="11"/>
      <c r="B5277" s="12"/>
      <c r="C5277" s="11"/>
      <c r="D5277" s="13"/>
      <c r="E5277" s="14"/>
      <c r="F5277" s="14"/>
      <c r="G5277" s="14"/>
      <c r="H5277" s="15"/>
      <c r="I5277" s="15"/>
      <c r="J5277" s="3"/>
      <c r="K5277" s="3"/>
      <c r="L5277" s="3"/>
      <c r="M5277" s="3"/>
      <c r="N5277" s="3"/>
      <c r="O5277" s="3"/>
      <c r="P5277" s="3"/>
      <c r="Q5277" s="3"/>
      <c r="R5277" s="3"/>
      <c r="S5277" s="3"/>
      <c r="T5277" s="3"/>
      <c r="U5277" s="3"/>
      <c r="V5277" s="3"/>
      <c r="W5277" s="3"/>
      <c r="X5277" s="3"/>
      <c r="Y5277" s="3"/>
      <c r="Z5277" s="3"/>
      <c r="AA5277" s="3"/>
    </row>
    <row r="5278" ht="105.75" customHeight="1">
      <c r="A5278" s="11"/>
      <c r="B5278" s="12"/>
      <c r="C5278" s="11"/>
      <c r="D5278" s="13"/>
      <c r="E5278" s="14"/>
      <c r="F5278" s="14"/>
      <c r="G5278" s="14"/>
      <c r="H5278" s="15"/>
      <c r="I5278" s="15"/>
      <c r="J5278" s="3"/>
      <c r="K5278" s="3"/>
      <c r="L5278" s="3"/>
      <c r="M5278" s="3"/>
      <c r="N5278" s="3"/>
      <c r="O5278" s="3"/>
      <c r="P5278" s="3"/>
      <c r="Q5278" s="3"/>
      <c r="R5278" s="3"/>
      <c r="S5278" s="3"/>
      <c r="T5278" s="3"/>
      <c r="U5278" s="3"/>
      <c r="V5278" s="3"/>
      <c r="W5278" s="3"/>
      <c r="X5278" s="3"/>
      <c r="Y5278" s="3"/>
      <c r="Z5278" s="3"/>
      <c r="AA5278" s="3"/>
    </row>
    <row r="5279" ht="105.75" customHeight="1">
      <c r="A5279" s="11"/>
      <c r="B5279" s="12"/>
      <c r="C5279" s="11"/>
      <c r="D5279" s="13"/>
      <c r="E5279" s="14"/>
      <c r="F5279" s="14"/>
      <c r="G5279" s="14"/>
      <c r="H5279" s="15"/>
      <c r="I5279" s="15"/>
      <c r="J5279" s="3"/>
      <c r="K5279" s="3"/>
      <c r="L5279" s="3"/>
      <c r="M5279" s="3"/>
      <c r="N5279" s="3"/>
      <c r="O5279" s="3"/>
      <c r="P5279" s="3"/>
      <c r="Q5279" s="3"/>
      <c r="R5279" s="3"/>
      <c r="S5279" s="3"/>
      <c r="T5279" s="3"/>
      <c r="U5279" s="3"/>
      <c r="V5279" s="3"/>
      <c r="W5279" s="3"/>
      <c r="X5279" s="3"/>
      <c r="Y5279" s="3"/>
      <c r="Z5279" s="3"/>
      <c r="AA5279" s="3"/>
    </row>
    <row r="5280" ht="105.75" customHeight="1">
      <c r="A5280" s="11"/>
      <c r="B5280" s="12"/>
      <c r="C5280" s="11"/>
      <c r="D5280" s="13"/>
      <c r="E5280" s="14"/>
      <c r="F5280" s="14"/>
      <c r="G5280" s="14"/>
      <c r="H5280" s="15"/>
      <c r="I5280" s="15"/>
      <c r="J5280" s="3"/>
      <c r="K5280" s="3"/>
      <c r="L5280" s="3"/>
      <c r="M5280" s="3"/>
      <c r="N5280" s="3"/>
      <c r="O5280" s="3"/>
      <c r="P5280" s="3"/>
      <c r="Q5280" s="3"/>
      <c r="R5280" s="3"/>
      <c r="S5280" s="3"/>
      <c r="T5280" s="3"/>
      <c r="U5280" s="3"/>
      <c r="V5280" s="3"/>
      <c r="W5280" s="3"/>
      <c r="X5280" s="3"/>
      <c r="Y5280" s="3"/>
      <c r="Z5280" s="3"/>
      <c r="AA5280" s="3"/>
    </row>
    <row r="5281" ht="105.75" customHeight="1">
      <c r="A5281" s="11"/>
      <c r="B5281" s="12"/>
      <c r="C5281" s="11"/>
      <c r="D5281" s="13"/>
      <c r="E5281" s="14"/>
      <c r="F5281" s="14"/>
      <c r="G5281" s="14"/>
      <c r="H5281" s="15"/>
      <c r="I5281" s="15"/>
      <c r="J5281" s="3"/>
      <c r="K5281" s="3"/>
      <c r="L5281" s="3"/>
      <c r="M5281" s="3"/>
      <c r="N5281" s="3"/>
      <c r="O5281" s="3"/>
      <c r="P5281" s="3"/>
      <c r="Q5281" s="3"/>
      <c r="R5281" s="3"/>
      <c r="S5281" s="3"/>
      <c r="T5281" s="3"/>
      <c r="U5281" s="3"/>
      <c r="V5281" s="3"/>
      <c r="W5281" s="3"/>
      <c r="X5281" s="3"/>
      <c r="Y5281" s="3"/>
      <c r="Z5281" s="3"/>
      <c r="AA5281" s="3"/>
    </row>
    <row r="5282" ht="105.75" customHeight="1">
      <c r="A5282" s="11"/>
      <c r="B5282" s="12"/>
      <c r="C5282" s="11"/>
      <c r="D5282" s="13"/>
      <c r="E5282" s="14"/>
      <c r="F5282" s="14"/>
      <c r="G5282" s="14"/>
      <c r="H5282" s="15"/>
      <c r="I5282" s="15"/>
      <c r="J5282" s="3"/>
      <c r="K5282" s="3"/>
      <c r="L5282" s="3"/>
      <c r="M5282" s="3"/>
      <c r="N5282" s="3"/>
      <c r="O5282" s="3"/>
      <c r="P5282" s="3"/>
      <c r="Q5282" s="3"/>
      <c r="R5282" s="3"/>
      <c r="S5282" s="3"/>
      <c r="T5282" s="3"/>
      <c r="U5282" s="3"/>
      <c r="V5282" s="3"/>
      <c r="W5282" s="3"/>
      <c r="X5282" s="3"/>
      <c r="Y5282" s="3"/>
      <c r="Z5282" s="3"/>
      <c r="AA5282" s="3"/>
    </row>
    <row r="5283" ht="105.75" customHeight="1">
      <c r="A5283" s="11"/>
      <c r="B5283" s="12"/>
      <c r="C5283" s="11"/>
      <c r="D5283" s="13"/>
      <c r="E5283" s="14"/>
      <c r="F5283" s="14"/>
      <c r="G5283" s="14"/>
      <c r="H5283" s="15"/>
      <c r="I5283" s="15"/>
      <c r="J5283" s="3"/>
      <c r="K5283" s="3"/>
      <c r="L5283" s="3"/>
      <c r="M5283" s="3"/>
      <c r="N5283" s="3"/>
      <c r="O5283" s="3"/>
      <c r="P5283" s="3"/>
      <c r="Q5283" s="3"/>
      <c r="R5283" s="3"/>
      <c r="S5283" s="3"/>
      <c r="T5283" s="3"/>
      <c r="U5283" s="3"/>
      <c r="V5283" s="3"/>
      <c r="W5283" s="3"/>
      <c r="X5283" s="3"/>
      <c r="Y5283" s="3"/>
      <c r="Z5283" s="3"/>
      <c r="AA5283" s="3"/>
    </row>
    <row r="5284" ht="105.75" customHeight="1">
      <c r="A5284" s="11"/>
      <c r="B5284" s="12"/>
      <c r="C5284" s="11"/>
      <c r="D5284" s="13"/>
      <c r="E5284" s="14"/>
      <c r="F5284" s="14"/>
      <c r="G5284" s="14"/>
      <c r="H5284" s="15"/>
      <c r="I5284" s="15"/>
      <c r="J5284" s="3"/>
      <c r="K5284" s="3"/>
      <c r="L5284" s="3"/>
      <c r="M5284" s="3"/>
      <c r="N5284" s="3"/>
      <c r="O5284" s="3"/>
      <c r="P5284" s="3"/>
      <c r="Q5284" s="3"/>
      <c r="R5284" s="3"/>
      <c r="S5284" s="3"/>
      <c r="T5284" s="3"/>
      <c r="U5284" s="3"/>
      <c r="V5284" s="3"/>
      <c r="W5284" s="3"/>
      <c r="X5284" s="3"/>
      <c r="Y5284" s="3"/>
      <c r="Z5284" s="3"/>
      <c r="AA5284" s="3"/>
    </row>
    <row r="5285" ht="105.75" customHeight="1">
      <c r="A5285" s="11"/>
      <c r="B5285" s="12"/>
      <c r="C5285" s="11"/>
      <c r="D5285" s="13"/>
      <c r="E5285" s="14"/>
      <c r="F5285" s="14"/>
      <c r="G5285" s="14"/>
      <c r="H5285" s="15"/>
      <c r="I5285" s="15"/>
      <c r="J5285" s="3"/>
      <c r="K5285" s="3"/>
      <c r="L5285" s="3"/>
      <c r="M5285" s="3"/>
      <c r="N5285" s="3"/>
      <c r="O5285" s="3"/>
      <c r="P5285" s="3"/>
      <c r="Q5285" s="3"/>
      <c r="R5285" s="3"/>
      <c r="S5285" s="3"/>
      <c r="T5285" s="3"/>
      <c r="U5285" s="3"/>
      <c r="V5285" s="3"/>
      <c r="W5285" s="3"/>
      <c r="X5285" s="3"/>
      <c r="Y5285" s="3"/>
      <c r="Z5285" s="3"/>
      <c r="AA5285" s="3"/>
    </row>
    <row r="5286" ht="105.75" customHeight="1">
      <c r="A5286" s="11"/>
      <c r="B5286" s="12"/>
      <c r="C5286" s="11"/>
      <c r="D5286" s="13"/>
      <c r="E5286" s="14"/>
      <c r="F5286" s="14"/>
      <c r="G5286" s="14"/>
      <c r="H5286" s="15"/>
      <c r="I5286" s="15"/>
      <c r="J5286" s="3"/>
      <c r="K5286" s="3"/>
      <c r="L5286" s="3"/>
      <c r="M5286" s="3"/>
      <c r="N5286" s="3"/>
      <c r="O5286" s="3"/>
      <c r="P5286" s="3"/>
      <c r="Q5286" s="3"/>
      <c r="R5286" s="3"/>
      <c r="S5286" s="3"/>
      <c r="T5286" s="3"/>
      <c r="U5286" s="3"/>
      <c r="V5286" s="3"/>
      <c r="W5286" s="3"/>
      <c r="X5286" s="3"/>
      <c r="Y5286" s="3"/>
      <c r="Z5286" s="3"/>
      <c r="AA5286" s="3"/>
    </row>
    <row r="5287" ht="105.75" customHeight="1">
      <c r="A5287" s="11"/>
      <c r="B5287" s="12"/>
      <c r="C5287" s="11"/>
      <c r="D5287" s="13"/>
      <c r="E5287" s="14"/>
      <c r="F5287" s="14"/>
      <c r="G5287" s="14"/>
      <c r="H5287" s="15"/>
      <c r="I5287" s="15"/>
      <c r="J5287" s="3"/>
      <c r="K5287" s="3"/>
      <c r="L5287" s="3"/>
      <c r="M5287" s="3"/>
      <c r="N5287" s="3"/>
      <c r="O5287" s="3"/>
      <c r="P5287" s="3"/>
      <c r="Q5287" s="3"/>
      <c r="R5287" s="3"/>
      <c r="S5287" s="3"/>
      <c r="T5287" s="3"/>
      <c r="U5287" s="3"/>
      <c r="V5287" s="3"/>
      <c r="W5287" s="3"/>
      <c r="X5287" s="3"/>
      <c r="Y5287" s="3"/>
      <c r="Z5287" s="3"/>
      <c r="AA5287" s="3"/>
    </row>
    <row r="5288" ht="105.75" customHeight="1">
      <c r="A5288" s="11"/>
      <c r="B5288" s="12"/>
      <c r="C5288" s="11"/>
      <c r="D5288" s="13"/>
      <c r="E5288" s="14"/>
      <c r="F5288" s="14"/>
      <c r="G5288" s="14"/>
      <c r="H5288" s="15"/>
      <c r="I5288" s="15"/>
      <c r="J5288" s="3"/>
      <c r="K5288" s="3"/>
      <c r="L5288" s="3"/>
      <c r="M5288" s="3"/>
      <c r="N5288" s="3"/>
      <c r="O5288" s="3"/>
      <c r="P5288" s="3"/>
      <c r="Q5288" s="3"/>
      <c r="R5288" s="3"/>
      <c r="S5288" s="3"/>
      <c r="T5288" s="3"/>
      <c r="U5288" s="3"/>
      <c r="V5288" s="3"/>
      <c r="W5288" s="3"/>
      <c r="X5288" s="3"/>
      <c r="Y5288" s="3"/>
      <c r="Z5288" s="3"/>
      <c r="AA5288" s="3"/>
    </row>
    <row r="5289" ht="105.75" customHeight="1">
      <c r="A5289" s="11"/>
      <c r="B5289" s="12"/>
      <c r="C5289" s="11"/>
      <c r="D5289" s="13"/>
      <c r="E5289" s="14"/>
      <c r="F5289" s="14"/>
      <c r="G5289" s="14"/>
      <c r="H5289" s="15"/>
      <c r="I5289" s="15"/>
      <c r="J5289" s="3"/>
      <c r="K5289" s="3"/>
      <c r="L5289" s="3"/>
      <c r="M5289" s="3"/>
      <c r="N5289" s="3"/>
      <c r="O5289" s="3"/>
      <c r="P5289" s="3"/>
      <c r="Q5289" s="3"/>
      <c r="R5289" s="3"/>
      <c r="S5289" s="3"/>
      <c r="T5289" s="3"/>
      <c r="U5289" s="3"/>
      <c r="V5289" s="3"/>
      <c r="W5289" s="3"/>
      <c r="X5289" s="3"/>
      <c r="Y5289" s="3"/>
      <c r="Z5289" s="3"/>
      <c r="AA5289" s="3"/>
    </row>
    <row r="5290" ht="105.75" customHeight="1">
      <c r="A5290" s="11"/>
      <c r="B5290" s="12"/>
      <c r="C5290" s="11"/>
      <c r="D5290" s="13"/>
      <c r="E5290" s="14"/>
      <c r="F5290" s="14"/>
      <c r="G5290" s="14"/>
      <c r="H5290" s="15"/>
      <c r="I5290" s="15"/>
      <c r="J5290" s="3"/>
      <c r="K5290" s="3"/>
      <c r="L5290" s="3"/>
      <c r="M5290" s="3"/>
      <c r="N5290" s="3"/>
      <c r="O5290" s="3"/>
      <c r="P5290" s="3"/>
      <c r="Q5290" s="3"/>
      <c r="R5290" s="3"/>
      <c r="S5290" s="3"/>
      <c r="T5290" s="3"/>
      <c r="U5290" s="3"/>
      <c r="V5290" s="3"/>
      <c r="W5290" s="3"/>
      <c r="X5290" s="3"/>
      <c r="Y5290" s="3"/>
      <c r="Z5290" s="3"/>
      <c r="AA5290" s="3"/>
    </row>
    <row r="5291" ht="105.75" customHeight="1">
      <c r="A5291" s="11"/>
      <c r="B5291" s="12"/>
      <c r="C5291" s="11"/>
      <c r="D5291" s="13"/>
      <c r="E5291" s="14"/>
      <c r="F5291" s="14"/>
      <c r="G5291" s="14"/>
      <c r="H5291" s="15"/>
      <c r="I5291" s="15"/>
      <c r="J5291" s="3"/>
      <c r="K5291" s="3"/>
      <c r="L5291" s="3"/>
      <c r="M5291" s="3"/>
      <c r="N5291" s="3"/>
      <c r="O5291" s="3"/>
      <c r="P5291" s="3"/>
      <c r="Q5291" s="3"/>
      <c r="R5291" s="3"/>
      <c r="S5291" s="3"/>
      <c r="T5291" s="3"/>
      <c r="U5291" s="3"/>
      <c r="V5291" s="3"/>
      <c r="W5291" s="3"/>
      <c r="X5291" s="3"/>
      <c r="Y5291" s="3"/>
      <c r="Z5291" s="3"/>
      <c r="AA5291" s="3"/>
    </row>
    <row r="5292" ht="105.75" customHeight="1">
      <c r="A5292" s="11"/>
      <c r="B5292" s="12"/>
      <c r="C5292" s="11"/>
      <c r="D5292" s="13"/>
      <c r="E5292" s="14"/>
      <c r="F5292" s="14"/>
      <c r="G5292" s="14"/>
      <c r="H5292" s="15"/>
      <c r="I5292" s="15"/>
      <c r="J5292" s="3"/>
      <c r="K5292" s="3"/>
      <c r="L5292" s="3"/>
      <c r="M5292" s="3"/>
      <c r="N5292" s="3"/>
      <c r="O5292" s="3"/>
      <c r="P5292" s="3"/>
      <c r="Q5292" s="3"/>
      <c r="R5292" s="3"/>
      <c r="S5292" s="3"/>
      <c r="T5292" s="3"/>
      <c r="U5292" s="3"/>
      <c r="V5292" s="3"/>
      <c r="W5292" s="3"/>
      <c r="X5292" s="3"/>
      <c r="Y5292" s="3"/>
      <c r="Z5292" s="3"/>
      <c r="AA5292" s="3"/>
    </row>
    <row r="5293" ht="105.75" customHeight="1">
      <c r="A5293" s="11"/>
      <c r="B5293" s="12"/>
      <c r="C5293" s="11"/>
      <c r="D5293" s="13"/>
      <c r="E5293" s="14"/>
      <c r="F5293" s="14"/>
      <c r="G5293" s="14"/>
      <c r="H5293" s="15"/>
      <c r="I5293" s="15"/>
      <c r="J5293" s="3"/>
      <c r="K5293" s="3"/>
      <c r="L5293" s="3"/>
      <c r="M5293" s="3"/>
      <c r="N5293" s="3"/>
      <c r="O5293" s="3"/>
      <c r="P5293" s="3"/>
      <c r="Q5293" s="3"/>
      <c r="R5293" s="3"/>
      <c r="S5293" s="3"/>
      <c r="T5293" s="3"/>
      <c r="U5293" s="3"/>
      <c r="V5293" s="3"/>
      <c r="W5293" s="3"/>
      <c r="X5293" s="3"/>
      <c r="Y5293" s="3"/>
      <c r="Z5293" s="3"/>
      <c r="AA5293" s="3"/>
    </row>
    <row r="5294" ht="105.75" customHeight="1">
      <c r="A5294" s="11"/>
      <c r="B5294" s="12"/>
      <c r="C5294" s="11"/>
      <c r="D5294" s="13"/>
      <c r="E5294" s="14"/>
      <c r="F5294" s="14"/>
      <c r="G5294" s="14"/>
      <c r="H5294" s="15"/>
      <c r="I5294" s="15"/>
      <c r="J5294" s="3"/>
      <c r="K5294" s="3"/>
      <c r="L5294" s="3"/>
      <c r="M5294" s="3"/>
      <c r="N5294" s="3"/>
      <c r="O5294" s="3"/>
      <c r="P5294" s="3"/>
      <c r="Q5294" s="3"/>
      <c r="R5294" s="3"/>
      <c r="S5294" s="3"/>
      <c r="T5294" s="3"/>
      <c r="U5294" s="3"/>
      <c r="V5294" s="3"/>
      <c r="W5294" s="3"/>
      <c r="X5294" s="3"/>
      <c r="Y5294" s="3"/>
      <c r="Z5294" s="3"/>
      <c r="AA5294" s="3"/>
    </row>
    <row r="5295" ht="105.75" customHeight="1">
      <c r="A5295" s="11"/>
      <c r="B5295" s="12"/>
      <c r="C5295" s="11"/>
      <c r="D5295" s="13"/>
      <c r="E5295" s="14"/>
      <c r="F5295" s="14"/>
      <c r="G5295" s="14"/>
      <c r="H5295" s="15"/>
      <c r="I5295" s="15"/>
      <c r="J5295" s="3"/>
      <c r="K5295" s="3"/>
      <c r="L5295" s="3"/>
      <c r="M5295" s="3"/>
      <c r="N5295" s="3"/>
      <c r="O5295" s="3"/>
      <c r="P5295" s="3"/>
      <c r="Q5295" s="3"/>
      <c r="R5295" s="3"/>
      <c r="S5295" s="3"/>
      <c r="T5295" s="3"/>
      <c r="U5295" s="3"/>
      <c r="V5295" s="3"/>
      <c r="W5295" s="3"/>
      <c r="X5295" s="3"/>
      <c r="Y5295" s="3"/>
      <c r="Z5295" s="3"/>
      <c r="AA5295" s="3"/>
    </row>
    <row r="5296" ht="105.75" customHeight="1">
      <c r="A5296" s="11"/>
      <c r="B5296" s="12"/>
      <c r="C5296" s="11"/>
      <c r="D5296" s="13"/>
      <c r="E5296" s="14"/>
      <c r="F5296" s="14"/>
      <c r="G5296" s="14"/>
      <c r="H5296" s="15"/>
      <c r="I5296" s="15"/>
      <c r="J5296" s="3"/>
      <c r="K5296" s="3"/>
      <c r="L5296" s="3"/>
      <c r="M5296" s="3"/>
      <c r="N5296" s="3"/>
      <c r="O5296" s="3"/>
      <c r="P5296" s="3"/>
      <c r="Q5296" s="3"/>
      <c r="R5296" s="3"/>
      <c r="S5296" s="3"/>
      <c r="T5296" s="3"/>
      <c r="U5296" s="3"/>
      <c r="V5296" s="3"/>
      <c r="W5296" s="3"/>
      <c r="X5296" s="3"/>
      <c r="Y5296" s="3"/>
      <c r="Z5296" s="3"/>
      <c r="AA5296" s="3"/>
    </row>
    <row r="5297" ht="105.75" customHeight="1">
      <c r="A5297" s="11"/>
      <c r="B5297" s="12"/>
      <c r="C5297" s="11"/>
      <c r="D5297" s="13"/>
      <c r="E5297" s="14"/>
      <c r="F5297" s="14"/>
      <c r="G5297" s="14"/>
      <c r="H5297" s="15"/>
      <c r="I5297" s="15"/>
      <c r="J5297" s="3"/>
      <c r="K5297" s="3"/>
      <c r="L5297" s="3"/>
      <c r="M5297" s="3"/>
      <c r="N5297" s="3"/>
      <c r="O5297" s="3"/>
      <c r="P5297" s="3"/>
      <c r="Q5297" s="3"/>
      <c r="R5297" s="3"/>
      <c r="S5297" s="3"/>
      <c r="T5297" s="3"/>
      <c r="U5297" s="3"/>
      <c r="V5297" s="3"/>
      <c r="W5297" s="3"/>
      <c r="X5297" s="3"/>
      <c r="Y5297" s="3"/>
      <c r="Z5297" s="3"/>
      <c r="AA5297" s="3"/>
    </row>
    <row r="5298" ht="105.75" customHeight="1">
      <c r="A5298" s="11"/>
      <c r="B5298" s="12"/>
      <c r="C5298" s="11"/>
      <c r="D5298" s="13"/>
      <c r="E5298" s="14"/>
      <c r="F5298" s="14"/>
      <c r="G5298" s="14"/>
      <c r="H5298" s="15"/>
      <c r="I5298" s="15"/>
      <c r="J5298" s="3"/>
      <c r="K5298" s="3"/>
      <c r="L5298" s="3"/>
      <c r="M5298" s="3"/>
      <c r="N5298" s="3"/>
      <c r="O5298" s="3"/>
      <c r="P5298" s="3"/>
      <c r="Q5298" s="3"/>
      <c r="R5298" s="3"/>
      <c r="S5298" s="3"/>
      <c r="T5298" s="3"/>
      <c r="U5298" s="3"/>
      <c r="V5298" s="3"/>
      <c r="W5298" s="3"/>
      <c r="X5298" s="3"/>
      <c r="Y5298" s="3"/>
      <c r="Z5298" s="3"/>
      <c r="AA5298" s="3"/>
    </row>
    <row r="5299" ht="105.75" customHeight="1">
      <c r="A5299" s="11"/>
      <c r="B5299" s="12"/>
      <c r="C5299" s="11"/>
      <c r="D5299" s="13"/>
      <c r="E5299" s="14"/>
      <c r="F5299" s="14"/>
      <c r="G5299" s="14"/>
      <c r="H5299" s="15"/>
      <c r="I5299" s="15"/>
      <c r="J5299" s="3"/>
      <c r="K5299" s="3"/>
      <c r="L5299" s="3"/>
      <c r="M5299" s="3"/>
      <c r="N5299" s="3"/>
      <c r="O5299" s="3"/>
      <c r="P5299" s="3"/>
      <c r="Q5299" s="3"/>
      <c r="R5299" s="3"/>
      <c r="S5299" s="3"/>
      <c r="T5299" s="3"/>
      <c r="U5299" s="3"/>
      <c r="V5299" s="3"/>
      <c r="W5299" s="3"/>
      <c r="X5299" s="3"/>
      <c r="Y5299" s="3"/>
      <c r="Z5299" s="3"/>
      <c r="AA5299" s="3"/>
    </row>
    <row r="5300" ht="105.75" customHeight="1">
      <c r="A5300" s="11"/>
      <c r="B5300" s="12"/>
      <c r="C5300" s="11"/>
      <c r="D5300" s="13"/>
      <c r="E5300" s="14"/>
      <c r="F5300" s="14"/>
      <c r="G5300" s="14"/>
      <c r="H5300" s="15"/>
      <c r="I5300" s="15"/>
      <c r="J5300" s="3"/>
      <c r="K5300" s="3"/>
      <c r="L5300" s="3"/>
      <c r="M5300" s="3"/>
      <c r="N5300" s="3"/>
      <c r="O5300" s="3"/>
      <c r="P5300" s="3"/>
      <c r="Q5300" s="3"/>
      <c r="R5300" s="3"/>
      <c r="S5300" s="3"/>
      <c r="T5300" s="3"/>
      <c r="U5300" s="3"/>
      <c r="V5300" s="3"/>
      <c r="W5300" s="3"/>
      <c r="X5300" s="3"/>
      <c r="Y5300" s="3"/>
      <c r="Z5300" s="3"/>
      <c r="AA5300" s="3"/>
    </row>
    <row r="5301" ht="105.75" customHeight="1">
      <c r="A5301" s="11"/>
      <c r="B5301" s="12"/>
      <c r="C5301" s="11"/>
      <c r="D5301" s="13"/>
      <c r="E5301" s="14"/>
      <c r="F5301" s="14"/>
      <c r="G5301" s="14"/>
      <c r="H5301" s="15"/>
      <c r="I5301" s="15"/>
      <c r="J5301" s="3"/>
      <c r="K5301" s="3"/>
      <c r="L5301" s="3"/>
      <c r="M5301" s="3"/>
      <c r="N5301" s="3"/>
      <c r="O5301" s="3"/>
      <c r="P5301" s="3"/>
      <c r="Q5301" s="3"/>
      <c r="R5301" s="3"/>
      <c r="S5301" s="3"/>
      <c r="T5301" s="3"/>
      <c r="U5301" s="3"/>
      <c r="V5301" s="3"/>
      <c r="W5301" s="3"/>
      <c r="X5301" s="3"/>
      <c r="Y5301" s="3"/>
      <c r="Z5301" s="3"/>
      <c r="AA5301" s="3"/>
    </row>
    <row r="5302" ht="105.75" customHeight="1">
      <c r="A5302" s="11"/>
      <c r="B5302" s="12"/>
      <c r="C5302" s="11"/>
      <c r="D5302" s="13"/>
      <c r="E5302" s="14"/>
      <c r="F5302" s="14"/>
      <c r="G5302" s="14"/>
      <c r="H5302" s="15"/>
      <c r="I5302" s="15"/>
      <c r="J5302" s="3"/>
      <c r="K5302" s="3"/>
      <c r="L5302" s="3"/>
      <c r="M5302" s="3"/>
      <c r="N5302" s="3"/>
      <c r="O5302" s="3"/>
      <c r="P5302" s="3"/>
      <c r="Q5302" s="3"/>
      <c r="R5302" s="3"/>
      <c r="S5302" s="3"/>
      <c r="T5302" s="3"/>
      <c r="U5302" s="3"/>
      <c r="V5302" s="3"/>
      <c r="W5302" s="3"/>
      <c r="X5302" s="3"/>
      <c r="Y5302" s="3"/>
      <c r="Z5302" s="3"/>
      <c r="AA5302" s="3"/>
    </row>
    <row r="5303" ht="105.75" customHeight="1">
      <c r="A5303" s="11"/>
      <c r="B5303" s="12"/>
      <c r="C5303" s="11"/>
      <c r="D5303" s="13"/>
      <c r="E5303" s="14"/>
      <c r="F5303" s="14"/>
      <c r="G5303" s="14"/>
      <c r="H5303" s="15"/>
      <c r="I5303" s="15"/>
      <c r="J5303" s="3"/>
      <c r="K5303" s="3"/>
      <c r="L5303" s="3"/>
      <c r="M5303" s="3"/>
      <c r="N5303" s="3"/>
      <c r="O5303" s="3"/>
      <c r="P5303" s="3"/>
      <c r="Q5303" s="3"/>
      <c r="R5303" s="3"/>
      <c r="S5303" s="3"/>
      <c r="T5303" s="3"/>
      <c r="U5303" s="3"/>
      <c r="V5303" s="3"/>
      <c r="W5303" s="3"/>
      <c r="X5303" s="3"/>
      <c r="Y5303" s="3"/>
      <c r="Z5303" s="3"/>
      <c r="AA5303" s="3"/>
    </row>
    <row r="5304" ht="105.75" customHeight="1">
      <c r="A5304" s="11"/>
      <c r="B5304" s="12"/>
      <c r="C5304" s="11"/>
      <c r="D5304" s="13"/>
      <c r="E5304" s="14"/>
      <c r="F5304" s="14"/>
      <c r="G5304" s="14"/>
      <c r="H5304" s="15"/>
      <c r="I5304" s="15"/>
      <c r="J5304" s="3"/>
      <c r="K5304" s="3"/>
      <c r="L5304" s="3"/>
      <c r="M5304" s="3"/>
      <c r="N5304" s="3"/>
      <c r="O5304" s="3"/>
      <c r="P5304" s="3"/>
      <c r="Q5304" s="3"/>
      <c r="R5304" s="3"/>
      <c r="S5304" s="3"/>
      <c r="T5304" s="3"/>
      <c r="U5304" s="3"/>
      <c r="V5304" s="3"/>
      <c r="W5304" s="3"/>
      <c r="X5304" s="3"/>
      <c r="Y5304" s="3"/>
      <c r="Z5304" s="3"/>
      <c r="AA5304" s="3"/>
    </row>
    <row r="5305" ht="105.75" customHeight="1">
      <c r="A5305" s="11"/>
      <c r="B5305" s="12"/>
      <c r="C5305" s="11"/>
      <c r="D5305" s="13"/>
      <c r="E5305" s="14"/>
      <c r="F5305" s="14"/>
      <c r="G5305" s="14"/>
      <c r="H5305" s="15"/>
      <c r="I5305" s="15"/>
      <c r="J5305" s="3"/>
      <c r="K5305" s="3"/>
      <c r="L5305" s="3"/>
      <c r="M5305" s="3"/>
      <c r="N5305" s="3"/>
      <c r="O5305" s="3"/>
      <c r="P5305" s="3"/>
      <c r="Q5305" s="3"/>
      <c r="R5305" s="3"/>
      <c r="S5305" s="3"/>
      <c r="T5305" s="3"/>
      <c r="U5305" s="3"/>
      <c r="V5305" s="3"/>
      <c r="W5305" s="3"/>
      <c r="X5305" s="3"/>
      <c r="Y5305" s="3"/>
      <c r="Z5305" s="3"/>
      <c r="AA5305" s="3"/>
    </row>
    <row r="5306" ht="105.75" customHeight="1">
      <c r="A5306" s="11"/>
      <c r="B5306" s="12"/>
      <c r="C5306" s="11"/>
      <c r="D5306" s="13"/>
      <c r="E5306" s="14"/>
      <c r="F5306" s="14"/>
      <c r="G5306" s="14"/>
      <c r="H5306" s="15"/>
      <c r="I5306" s="15"/>
      <c r="J5306" s="3"/>
      <c r="K5306" s="3"/>
      <c r="L5306" s="3"/>
      <c r="M5306" s="3"/>
      <c r="N5306" s="3"/>
      <c r="O5306" s="3"/>
      <c r="P5306" s="3"/>
      <c r="Q5306" s="3"/>
      <c r="R5306" s="3"/>
      <c r="S5306" s="3"/>
      <c r="T5306" s="3"/>
      <c r="U5306" s="3"/>
      <c r="V5306" s="3"/>
      <c r="W5306" s="3"/>
      <c r="X5306" s="3"/>
      <c r="Y5306" s="3"/>
      <c r="Z5306" s="3"/>
      <c r="AA5306" s="3"/>
    </row>
    <row r="5307" ht="105.75" customHeight="1">
      <c r="A5307" s="11"/>
      <c r="B5307" s="12"/>
      <c r="C5307" s="11"/>
      <c r="D5307" s="13"/>
      <c r="E5307" s="14"/>
      <c r="F5307" s="14"/>
      <c r="G5307" s="14"/>
      <c r="H5307" s="15"/>
      <c r="I5307" s="15"/>
      <c r="J5307" s="3"/>
      <c r="K5307" s="3"/>
      <c r="L5307" s="3"/>
      <c r="M5307" s="3"/>
      <c r="N5307" s="3"/>
      <c r="O5307" s="3"/>
      <c r="P5307" s="3"/>
      <c r="Q5307" s="3"/>
      <c r="R5307" s="3"/>
      <c r="S5307" s="3"/>
      <c r="T5307" s="3"/>
      <c r="U5307" s="3"/>
      <c r="V5307" s="3"/>
      <c r="W5307" s="3"/>
      <c r="X5307" s="3"/>
      <c r="Y5307" s="3"/>
      <c r="Z5307" s="3"/>
      <c r="AA5307" s="3"/>
    </row>
    <row r="5308" ht="105.75" customHeight="1">
      <c r="A5308" s="11"/>
      <c r="B5308" s="12"/>
      <c r="C5308" s="11"/>
      <c r="D5308" s="13"/>
      <c r="E5308" s="14"/>
      <c r="F5308" s="14"/>
      <c r="G5308" s="14"/>
      <c r="H5308" s="15"/>
      <c r="I5308" s="15"/>
      <c r="J5308" s="3"/>
      <c r="K5308" s="3"/>
      <c r="L5308" s="3"/>
      <c r="M5308" s="3"/>
      <c r="N5308" s="3"/>
      <c r="O5308" s="3"/>
      <c r="P5308" s="3"/>
      <c r="Q5308" s="3"/>
      <c r="R5308" s="3"/>
      <c r="S5308" s="3"/>
      <c r="T5308" s="3"/>
      <c r="U5308" s="3"/>
      <c r="V5308" s="3"/>
      <c r="W5308" s="3"/>
      <c r="X5308" s="3"/>
      <c r="Y5308" s="3"/>
      <c r="Z5308" s="3"/>
      <c r="AA5308" s="3"/>
    </row>
    <row r="5309" ht="105.75" customHeight="1">
      <c r="A5309" s="11"/>
      <c r="B5309" s="12"/>
      <c r="C5309" s="11"/>
      <c r="D5309" s="13"/>
      <c r="E5309" s="14"/>
      <c r="F5309" s="14"/>
      <c r="G5309" s="14"/>
      <c r="H5309" s="15"/>
      <c r="I5309" s="15"/>
      <c r="J5309" s="3"/>
      <c r="K5309" s="3"/>
      <c r="L5309" s="3"/>
      <c r="M5309" s="3"/>
      <c r="N5309" s="3"/>
      <c r="O5309" s="3"/>
      <c r="P5309" s="3"/>
      <c r="Q5309" s="3"/>
      <c r="R5309" s="3"/>
      <c r="S5309" s="3"/>
      <c r="T5309" s="3"/>
      <c r="U5309" s="3"/>
      <c r="V5309" s="3"/>
      <c r="W5309" s="3"/>
      <c r="X5309" s="3"/>
      <c r="Y5309" s="3"/>
      <c r="Z5309" s="3"/>
      <c r="AA5309" s="3"/>
    </row>
    <row r="5310" ht="105.75" customHeight="1">
      <c r="A5310" s="11"/>
      <c r="B5310" s="12"/>
      <c r="C5310" s="11"/>
      <c r="D5310" s="13"/>
      <c r="E5310" s="14"/>
      <c r="F5310" s="14"/>
      <c r="G5310" s="14"/>
      <c r="H5310" s="15"/>
      <c r="I5310" s="15"/>
      <c r="J5310" s="3"/>
      <c r="K5310" s="3"/>
      <c r="L5310" s="3"/>
      <c r="M5310" s="3"/>
      <c r="N5310" s="3"/>
      <c r="O5310" s="3"/>
      <c r="P5310" s="3"/>
      <c r="Q5310" s="3"/>
      <c r="R5310" s="3"/>
      <c r="S5310" s="3"/>
      <c r="T5310" s="3"/>
      <c r="U5310" s="3"/>
      <c r="V5310" s="3"/>
      <c r="W5310" s="3"/>
      <c r="X5310" s="3"/>
      <c r="Y5310" s="3"/>
      <c r="Z5310" s="3"/>
      <c r="AA5310" s="3"/>
    </row>
    <row r="5311" ht="105.75" customHeight="1">
      <c r="A5311" s="11"/>
      <c r="B5311" s="12"/>
      <c r="C5311" s="11"/>
      <c r="D5311" s="13"/>
      <c r="E5311" s="14"/>
      <c r="F5311" s="14"/>
      <c r="G5311" s="14"/>
      <c r="H5311" s="15"/>
      <c r="I5311" s="15"/>
      <c r="J5311" s="3"/>
      <c r="K5311" s="3"/>
      <c r="L5311" s="3"/>
      <c r="M5311" s="3"/>
      <c r="N5311" s="3"/>
      <c r="O5311" s="3"/>
      <c r="P5311" s="3"/>
      <c r="Q5311" s="3"/>
      <c r="R5311" s="3"/>
      <c r="S5311" s="3"/>
      <c r="T5311" s="3"/>
      <c r="U5311" s="3"/>
      <c r="V5311" s="3"/>
      <c r="W5311" s="3"/>
      <c r="X5311" s="3"/>
      <c r="Y5311" s="3"/>
      <c r="Z5311" s="3"/>
      <c r="AA5311" s="3"/>
    </row>
    <row r="5312" ht="105.75" customHeight="1">
      <c r="A5312" s="11"/>
      <c r="B5312" s="12"/>
      <c r="C5312" s="11"/>
      <c r="D5312" s="13"/>
      <c r="E5312" s="14"/>
      <c r="F5312" s="14"/>
      <c r="G5312" s="14"/>
      <c r="H5312" s="15"/>
      <c r="I5312" s="15"/>
      <c r="J5312" s="3"/>
      <c r="K5312" s="3"/>
      <c r="L5312" s="3"/>
      <c r="M5312" s="3"/>
      <c r="N5312" s="3"/>
      <c r="O5312" s="3"/>
      <c r="P5312" s="3"/>
      <c r="Q5312" s="3"/>
      <c r="R5312" s="3"/>
      <c r="S5312" s="3"/>
      <c r="T5312" s="3"/>
      <c r="U5312" s="3"/>
      <c r="V5312" s="3"/>
      <c r="W5312" s="3"/>
      <c r="X5312" s="3"/>
      <c r="Y5312" s="3"/>
      <c r="Z5312" s="3"/>
      <c r="AA5312" s="3"/>
    </row>
    <row r="5313" ht="105.75" customHeight="1">
      <c r="A5313" s="11"/>
      <c r="B5313" s="12"/>
      <c r="C5313" s="11"/>
      <c r="D5313" s="13"/>
      <c r="E5313" s="14"/>
      <c r="F5313" s="14"/>
      <c r="G5313" s="14"/>
      <c r="H5313" s="15"/>
      <c r="I5313" s="15"/>
      <c r="J5313" s="3"/>
      <c r="K5313" s="3"/>
      <c r="L5313" s="3"/>
      <c r="M5313" s="3"/>
      <c r="N5313" s="3"/>
      <c r="O5313" s="3"/>
      <c r="P5313" s="3"/>
      <c r="Q5313" s="3"/>
      <c r="R5313" s="3"/>
      <c r="S5313" s="3"/>
      <c r="T5313" s="3"/>
      <c r="U5313" s="3"/>
      <c r="V5313" s="3"/>
      <c r="W5313" s="3"/>
      <c r="X5313" s="3"/>
      <c r="Y5313" s="3"/>
      <c r="Z5313" s="3"/>
      <c r="AA5313" s="3"/>
    </row>
    <row r="5314" ht="105.75" customHeight="1">
      <c r="A5314" s="11"/>
      <c r="B5314" s="12"/>
      <c r="C5314" s="11"/>
      <c r="D5314" s="13"/>
      <c r="E5314" s="14"/>
      <c r="F5314" s="14"/>
      <c r="G5314" s="14"/>
      <c r="H5314" s="15"/>
      <c r="I5314" s="15"/>
      <c r="J5314" s="3"/>
      <c r="K5314" s="3"/>
      <c r="L5314" s="3"/>
      <c r="M5314" s="3"/>
      <c r="N5314" s="3"/>
      <c r="O5314" s="3"/>
      <c r="P5314" s="3"/>
      <c r="Q5314" s="3"/>
      <c r="R5314" s="3"/>
      <c r="S5314" s="3"/>
      <c r="T5314" s="3"/>
      <c r="U5314" s="3"/>
      <c r="V5314" s="3"/>
      <c r="W5314" s="3"/>
      <c r="X5314" s="3"/>
      <c r="Y5314" s="3"/>
      <c r="Z5314" s="3"/>
      <c r="AA5314" s="3"/>
    </row>
    <row r="5315" ht="105.75" customHeight="1">
      <c r="A5315" s="11"/>
      <c r="B5315" s="12"/>
      <c r="C5315" s="11"/>
      <c r="D5315" s="13"/>
      <c r="E5315" s="14"/>
      <c r="F5315" s="14"/>
      <c r="G5315" s="14"/>
      <c r="H5315" s="15"/>
      <c r="I5315" s="15"/>
      <c r="J5315" s="3"/>
      <c r="K5315" s="3"/>
      <c r="L5315" s="3"/>
      <c r="M5315" s="3"/>
      <c r="N5315" s="3"/>
      <c r="O5315" s="3"/>
      <c r="P5315" s="3"/>
      <c r="Q5315" s="3"/>
      <c r="R5315" s="3"/>
      <c r="S5315" s="3"/>
      <c r="T5315" s="3"/>
      <c r="U5315" s="3"/>
      <c r="V5315" s="3"/>
      <c r="W5315" s="3"/>
      <c r="X5315" s="3"/>
      <c r="Y5315" s="3"/>
      <c r="Z5315" s="3"/>
      <c r="AA5315" s="3"/>
    </row>
    <row r="5316" ht="105.75" customHeight="1">
      <c r="A5316" s="11"/>
      <c r="B5316" s="12"/>
      <c r="C5316" s="11"/>
      <c r="D5316" s="13"/>
      <c r="E5316" s="14"/>
      <c r="F5316" s="14"/>
      <c r="G5316" s="14"/>
      <c r="H5316" s="15"/>
      <c r="I5316" s="15"/>
      <c r="J5316" s="3"/>
      <c r="K5316" s="3"/>
      <c r="L5316" s="3"/>
      <c r="M5316" s="3"/>
      <c r="N5316" s="3"/>
      <c r="O5316" s="3"/>
      <c r="P5316" s="3"/>
      <c r="Q5316" s="3"/>
      <c r="R5316" s="3"/>
      <c r="S5316" s="3"/>
      <c r="T5316" s="3"/>
      <c r="U5316" s="3"/>
      <c r="V5316" s="3"/>
      <c r="W5316" s="3"/>
      <c r="X5316" s="3"/>
      <c r="Y5316" s="3"/>
      <c r="Z5316" s="3"/>
      <c r="AA5316" s="3"/>
    </row>
    <row r="5317" ht="105.75" customHeight="1">
      <c r="A5317" s="11"/>
      <c r="B5317" s="12"/>
      <c r="C5317" s="11"/>
      <c r="D5317" s="13"/>
      <c r="E5317" s="14"/>
      <c r="F5317" s="14"/>
      <c r="G5317" s="14"/>
      <c r="H5317" s="15"/>
      <c r="I5317" s="15"/>
      <c r="J5317" s="3"/>
      <c r="K5317" s="3"/>
      <c r="L5317" s="3"/>
      <c r="M5317" s="3"/>
      <c r="N5317" s="3"/>
      <c r="O5317" s="3"/>
      <c r="P5317" s="3"/>
      <c r="Q5317" s="3"/>
      <c r="R5317" s="3"/>
      <c r="S5317" s="3"/>
      <c r="T5317" s="3"/>
      <c r="U5317" s="3"/>
      <c r="V5317" s="3"/>
      <c r="W5317" s="3"/>
      <c r="X5317" s="3"/>
      <c r="Y5317" s="3"/>
      <c r="Z5317" s="3"/>
      <c r="AA5317" s="3"/>
    </row>
    <row r="5318" ht="105.75" customHeight="1">
      <c r="A5318" s="11"/>
      <c r="B5318" s="12"/>
      <c r="C5318" s="11"/>
      <c r="D5318" s="13"/>
      <c r="E5318" s="14"/>
      <c r="F5318" s="14"/>
      <c r="G5318" s="14"/>
      <c r="H5318" s="15"/>
      <c r="I5318" s="15"/>
      <c r="J5318" s="3"/>
      <c r="K5318" s="3"/>
      <c r="L5318" s="3"/>
      <c r="M5318" s="3"/>
      <c r="N5318" s="3"/>
      <c r="O5318" s="3"/>
      <c r="P5318" s="3"/>
      <c r="Q5318" s="3"/>
      <c r="R5318" s="3"/>
      <c r="S5318" s="3"/>
      <c r="T5318" s="3"/>
      <c r="U5318" s="3"/>
      <c r="V5318" s="3"/>
      <c r="W5318" s="3"/>
      <c r="X5318" s="3"/>
      <c r="Y5318" s="3"/>
      <c r="Z5318" s="3"/>
      <c r="AA5318" s="3"/>
    </row>
    <row r="5319" ht="105.75" customHeight="1">
      <c r="A5319" s="11"/>
      <c r="B5319" s="12"/>
      <c r="C5319" s="11"/>
      <c r="D5319" s="13"/>
      <c r="E5319" s="14"/>
      <c r="F5319" s="14"/>
      <c r="G5319" s="14"/>
      <c r="H5319" s="15"/>
      <c r="I5319" s="15"/>
      <c r="J5319" s="3"/>
      <c r="K5319" s="3"/>
      <c r="L5319" s="3"/>
      <c r="M5319" s="3"/>
      <c r="N5319" s="3"/>
      <c r="O5319" s="3"/>
      <c r="P5319" s="3"/>
      <c r="Q5319" s="3"/>
      <c r="R5319" s="3"/>
      <c r="S5319" s="3"/>
      <c r="T5319" s="3"/>
      <c r="U5319" s="3"/>
      <c r="V5319" s="3"/>
      <c r="W5319" s="3"/>
      <c r="X5319" s="3"/>
      <c r="Y5319" s="3"/>
      <c r="Z5319" s="3"/>
      <c r="AA5319" s="3"/>
    </row>
    <row r="5320" ht="105.75" customHeight="1">
      <c r="A5320" s="11"/>
      <c r="B5320" s="12"/>
      <c r="C5320" s="11"/>
      <c r="D5320" s="13"/>
      <c r="E5320" s="14"/>
      <c r="F5320" s="14"/>
      <c r="G5320" s="14"/>
      <c r="H5320" s="15"/>
      <c r="I5320" s="15"/>
      <c r="J5320" s="3"/>
      <c r="K5320" s="3"/>
      <c r="L5320" s="3"/>
      <c r="M5320" s="3"/>
      <c r="N5320" s="3"/>
      <c r="O5320" s="3"/>
      <c r="P5320" s="3"/>
      <c r="Q5320" s="3"/>
      <c r="R5320" s="3"/>
      <c r="S5320" s="3"/>
      <c r="T5320" s="3"/>
      <c r="U5320" s="3"/>
      <c r="V5320" s="3"/>
      <c r="W5320" s="3"/>
      <c r="X5320" s="3"/>
      <c r="Y5320" s="3"/>
      <c r="Z5320" s="3"/>
      <c r="AA5320" s="3"/>
    </row>
    <row r="5321" ht="105.75" customHeight="1">
      <c r="A5321" s="11"/>
      <c r="B5321" s="12"/>
      <c r="C5321" s="11"/>
      <c r="D5321" s="13"/>
      <c r="E5321" s="14"/>
      <c r="F5321" s="14"/>
      <c r="G5321" s="14"/>
      <c r="H5321" s="15"/>
      <c r="I5321" s="15"/>
      <c r="J5321" s="3"/>
      <c r="K5321" s="3"/>
      <c r="L5321" s="3"/>
      <c r="M5321" s="3"/>
      <c r="N5321" s="3"/>
      <c r="O5321" s="3"/>
      <c r="P5321" s="3"/>
      <c r="Q5321" s="3"/>
      <c r="R5321" s="3"/>
      <c r="S5321" s="3"/>
      <c r="T5321" s="3"/>
      <c r="U5321" s="3"/>
      <c r="V5321" s="3"/>
      <c r="W5321" s="3"/>
      <c r="X5321" s="3"/>
      <c r="Y5321" s="3"/>
      <c r="Z5321" s="3"/>
      <c r="AA5321" s="3"/>
    </row>
    <row r="5322" ht="105.75" customHeight="1">
      <c r="A5322" s="11"/>
      <c r="B5322" s="12"/>
      <c r="C5322" s="11"/>
      <c r="D5322" s="13"/>
      <c r="E5322" s="14"/>
      <c r="F5322" s="14"/>
      <c r="G5322" s="14"/>
      <c r="H5322" s="15"/>
      <c r="I5322" s="15"/>
      <c r="J5322" s="3"/>
      <c r="K5322" s="3"/>
      <c r="L5322" s="3"/>
      <c r="M5322" s="3"/>
      <c r="N5322" s="3"/>
      <c r="O5322" s="3"/>
      <c r="P5322" s="3"/>
      <c r="Q5322" s="3"/>
      <c r="R5322" s="3"/>
      <c r="S5322" s="3"/>
      <c r="T5322" s="3"/>
      <c r="U5322" s="3"/>
      <c r="V5322" s="3"/>
      <c r="W5322" s="3"/>
      <c r="X5322" s="3"/>
      <c r="Y5322" s="3"/>
      <c r="Z5322" s="3"/>
      <c r="AA5322" s="3"/>
    </row>
    <row r="5323" ht="105.75" customHeight="1">
      <c r="A5323" s="11"/>
      <c r="B5323" s="12"/>
      <c r="C5323" s="11"/>
      <c r="D5323" s="13"/>
      <c r="E5323" s="14"/>
      <c r="F5323" s="14"/>
      <c r="G5323" s="14"/>
      <c r="H5323" s="15"/>
      <c r="I5323" s="15"/>
      <c r="J5323" s="3"/>
      <c r="K5323" s="3"/>
      <c r="L5323" s="3"/>
      <c r="M5323" s="3"/>
      <c r="N5323" s="3"/>
      <c r="O5323" s="3"/>
      <c r="P5323" s="3"/>
      <c r="Q5323" s="3"/>
      <c r="R5323" s="3"/>
      <c r="S5323" s="3"/>
      <c r="T5323" s="3"/>
      <c r="U5323" s="3"/>
      <c r="V5323" s="3"/>
      <c r="W5323" s="3"/>
      <c r="X5323" s="3"/>
      <c r="Y5323" s="3"/>
      <c r="Z5323" s="3"/>
      <c r="AA5323" s="3"/>
    </row>
    <row r="5324" ht="105.75" customHeight="1">
      <c r="A5324" s="11"/>
      <c r="B5324" s="12"/>
      <c r="C5324" s="11"/>
      <c r="D5324" s="13"/>
      <c r="E5324" s="14"/>
      <c r="F5324" s="14"/>
      <c r="G5324" s="14"/>
      <c r="H5324" s="15"/>
      <c r="I5324" s="15"/>
      <c r="J5324" s="3"/>
      <c r="K5324" s="3"/>
      <c r="L5324" s="3"/>
      <c r="M5324" s="3"/>
      <c r="N5324" s="3"/>
      <c r="O5324" s="3"/>
      <c r="P5324" s="3"/>
      <c r="Q5324" s="3"/>
      <c r="R5324" s="3"/>
      <c r="S5324" s="3"/>
      <c r="T5324" s="3"/>
      <c r="U5324" s="3"/>
      <c r="V5324" s="3"/>
      <c r="W5324" s="3"/>
      <c r="X5324" s="3"/>
      <c r="Y5324" s="3"/>
      <c r="Z5324" s="3"/>
      <c r="AA5324" s="3"/>
    </row>
    <row r="5325" ht="105.75" customHeight="1">
      <c r="A5325" s="11"/>
      <c r="B5325" s="12"/>
      <c r="C5325" s="11"/>
      <c r="D5325" s="13"/>
      <c r="E5325" s="14"/>
      <c r="F5325" s="14"/>
      <c r="G5325" s="14"/>
      <c r="H5325" s="15"/>
      <c r="I5325" s="15"/>
      <c r="J5325" s="3"/>
      <c r="K5325" s="3"/>
      <c r="L5325" s="3"/>
      <c r="M5325" s="3"/>
      <c r="N5325" s="3"/>
      <c r="O5325" s="3"/>
      <c r="P5325" s="3"/>
      <c r="Q5325" s="3"/>
      <c r="R5325" s="3"/>
      <c r="S5325" s="3"/>
      <c r="T5325" s="3"/>
      <c r="U5325" s="3"/>
      <c r="V5325" s="3"/>
      <c r="W5325" s="3"/>
      <c r="X5325" s="3"/>
      <c r="Y5325" s="3"/>
      <c r="Z5325" s="3"/>
      <c r="AA5325" s="3"/>
    </row>
    <row r="5326" ht="105.75" customHeight="1">
      <c r="A5326" s="11"/>
      <c r="B5326" s="12"/>
      <c r="C5326" s="11"/>
      <c r="D5326" s="13"/>
      <c r="E5326" s="14"/>
      <c r="F5326" s="14"/>
      <c r="G5326" s="14"/>
      <c r="H5326" s="15"/>
      <c r="I5326" s="15"/>
      <c r="J5326" s="3"/>
      <c r="K5326" s="3"/>
      <c r="L5326" s="3"/>
      <c r="M5326" s="3"/>
      <c r="N5326" s="3"/>
      <c r="O5326" s="3"/>
      <c r="P5326" s="3"/>
      <c r="Q5326" s="3"/>
      <c r="R5326" s="3"/>
      <c r="S5326" s="3"/>
      <c r="T5326" s="3"/>
      <c r="U5326" s="3"/>
      <c r="V5326" s="3"/>
      <c r="W5326" s="3"/>
      <c r="X5326" s="3"/>
      <c r="Y5326" s="3"/>
      <c r="Z5326" s="3"/>
      <c r="AA5326" s="3"/>
    </row>
    <row r="5327" ht="105.75" customHeight="1">
      <c r="A5327" s="11"/>
      <c r="B5327" s="12"/>
      <c r="C5327" s="11"/>
      <c r="D5327" s="13"/>
      <c r="E5327" s="14"/>
      <c r="F5327" s="14"/>
      <c r="G5327" s="14"/>
      <c r="H5327" s="15"/>
      <c r="I5327" s="15"/>
      <c r="J5327" s="3"/>
      <c r="K5327" s="3"/>
      <c r="L5327" s="3"/>
      <c r="M5327" s="3"/>
      <c r="N5327" s="3"/>
      <c r="O5327" s="3"/>
      <c r="P5327" s="3"/>
      <c r="Q5327" s="3"/>
      <c r="R5327" s="3"/>
      <c r="S5327" s="3"/>
      <c r="T5327" s="3"/>
      <c r="U5327" s="3"/>
      <c r="V5327" s="3"/>
      <c r="W5327" s="3"/>
      <c r="X5327" s="3"/>
      <c r="Y5327" s="3"/>
      <c r="Z5327" s="3"/>
      <c r="AA5327" s="3"/>
    </row>
    <row r="5328" ht="105.75" customHeight="1">
      <c r="A5328" s="11"/>
      <c r="B5328" s="12"/>
      <c r="C5328" s="11"/>
      <c r="D5328" s="13"/>
      <c r="E5328" s="14"/>
      <c r="F5328" s="14"/>
      <c r="G5328" s="14"/>
      <c r="H5328" s="15"/>
      <c r="I5328" s="15"/>
      <c r="J5328" s="3"/>
      <c r="K5328" s="3"/>
      <c r="L5328" s="3"/>
      <c r="M5328" s="3"/>
      <c r="N5328" s="3"/>
      <c r="O5328" s="3"/>
      <c r="P5328" s="3"/>
      <c r="Q5328" s="3"/>
      <c r="R5328" s="3"/>
      <c r="S5328" s="3"/>
      <c r="T5328" s="3"/>
      <c r="U5328" s="3"/>
      <c r="V5328" s="3"/>
      <c r="W5328" s="3"/>
      <c r="X5328" s="3"/>
      <c r="Y5328" s="3"/>
      <c r="Z5328" s="3"/>
      <c r="AA5328" s="3"/>
    </row>
    <row r="5329" ht="105.75" customHeight="1">
      <c r="A5329" s="11"/>
      <c r="B5329" s="12"/>
      <c r="C5329" s="11"/>
      <c r="D5329" s="13"/>
      <c r="E5329" s="14"/>
      <c r="F5329" s="14"/>
      <c r="G5329" s="14"/>
      <c r="H5329" s="15"/>
      <c r="I5329" s="15"/>
      <c r="J5329" s="3"/>
      <c r="K5329" s="3"/>
      <c r="L5329" s="3"/>
      <c r="M5329" s="3"/>
      <c r="N5329" s="3"/>
      <c r="O5329" s="3"/>
      <c r="P5329" s="3"/>
      <c r="Q5329" s="3"/>
      <c r="R5329" s="3"/>
      <c r="S5329" s="3"/>
      <c r="T5329" s="3"/>
      <c r="U5329" s="3"/>
      <c r="V5329" s="3"/>
      <c r="W5329" s="3"/>
      <c r="X5329" s="3"/>
      <c r="Y5329" s="3"/>
      <c r="Z5329" s="3"/>
      <c r="AA5329" s="3"/>
    </row>
    <row r="5330" ht="105.75" customHeight="1">
      <c r="A5330" s="11"/>
      <c r="B5330" s="12"/>
      <c r="C5330" s="11"/>
      <c r="D5330" s="13"/>
      <c r="E5330" s="14"/>
      <c r="F5330" s="14"/>
      <c r="G5330" s="14"/>
      <c r="H5330" s="15"/>
      <c r="I5330" s="15"/>
      <c r="J5330" s="3"/>
      <c r="K5330" s="3"/>
      <c r="L5330" s="3"/>
      <c r="M5330" s="3"/>
      <c r="N5330" s="3"/>
      <c r="O5330" s="3"/>
      <c r="P5330" s="3"/>
      <c r="Q5330" s="3"/>
      <c r="R5330" s="3"/>
      <c r="S5330" s="3"/>
      <c r="T5330" s="3"/>
      <c r="U5330" s="3"/>
      <c r="V5330" s="3"/>
      <c r="W5330" s="3"/>
      <c r="X5330" s="3"/>
      <c r="Y5330" s="3"/>
      <c r="Z5330" s="3"/>
      <c r="AA5330" s="3"/>
    </row>
    <row r="5331" ht="105.75" customHeight="1">
      <c r="A5331" s="11"/>
      <c r="B5331" s="12"/>
      <c r="C5331" s="11"/>
      <c r="D5331" s="13"/>
      <c r="E5331" s="14"/>
      <c r="F5331" s="14"/>
      <c r="G5331" s="14"/>
      <c r="H5331" s="15"/>
      <c r="I5331" s="15"/>
      <c r="J5331" s="3"/>
      <c r="K5331" s="3"/>
      <c r="L5331" s="3"/>
      <c r="M5331" s="3"/>
      <c r="N5331" s="3"/>
      <c r="O5331" s="3"/>
      <c r="P5331" s="3"/>
      <c r="Q5331" s="3"/>
      <c r="R5331" s="3"/>
      <c r="S5331" s="3"/>
      <c r="T5331" s="3"/>
      <c r="U5331" s="3"/>
      <c r="V5331" s="3"/>
      <c r="W5331" s="3"/>
      <c r="X5331" s="3"/>
      <c r="Y5331" s="3"/>
      <c r="Z5331" s="3"/>
      <c r="AA5331" s="3"/>
    </row>
    <row r="5332" ht="105.75" customHeight="1">
      <c r="A5332" s="11"/>
      <c r="B5332" s="12"/>
      <c r="C5332" s="11"/>
      <c r="D5332" s="13"/>
      <c r="E5332" s="14"/>
      <c r="F5332" s="14"/>
      <c r="G5332" s="14"/>
      <c r="H5332" s="15"/>
      <c r="I5332" s="15"/>
      <c r="J5332" s="3"/>
      <c r="K5332" s="3"/>
      <c r="L5332" s="3"/>
      <c r="M5332" s="3"/>
      <c r="N5332" s="3"/>
      <c r="O5332" s="3"/>
      <c r="P5332" s="3"/>
      <c r="Q5332" s="3"/>
      <c r="R5332" s="3"/>
      <c r="S5332" s="3"/>
      <c r="T5332" s="3"/>
      <c r="U5332" s="3"/>
      <c r="V5332" s="3"/>
      <c r="W5332" s="3"/>
      <c r="X5332" s="3"/>
      <c r="Y5332" s="3"/>
      <c r="Z5332" s="3"/>
      <c r="AA5332" s="3"/>
    </row>
    <row r="5333" ht="105.75" customHeight="1">
      <c r="A5333" s="11"/>
      <c r="B5333" s="12"/>
      <c r="C5333" s="11"/>
      <c r="D5333" s="13"/>
      <c r="E5333" s="14"/>
      <c r="F5333" s="14"/>
      <c r="G5333" s="14"/>
      <c r="H5333" s="15"/>
      <c r="I5333" s="15"/>
      <c r="J5333" s="3"/>
      <c r="K5333" s="3"/>
      <c r="L5333" s="3"/>
      <c r="M5333" s="3"/>
      <c r="N5333" s="3"/>
      <c r="O5333" s="3"/>
      <c r="P5333" s="3"/>
      <c r="Q5333" s="3"/>
      <c r="R5333" s="3"/>
      <c r="S5333" s="3"/>
      <c r="T5333" s="3"/>
      <c r="U5333" s="3"/>
      <c r="V5333" s="3"/>
      <c r="W5333" s="3"/>
      <c r="X5333" s="3"/>
      <c r="Y5333" s="3"/>
      <c r="Z5333" s="3"/>
      <c r="AA5333" s="3"/>
    </row>
    <row r="5334" ht="105.75" customHeight="1">
      <c r="A5334" s="11"/>
      <c r="B5334" s="12"/>
      <c r="C5334" s="11"/>
      <c r="D5334" s="13"/>
      <c r="E5334" s="14"/>
      <c r="F5334" s="14"/>
      <c r="G5334" s="14"/>
      <c r="H5334" s="15"/>
      <c r="I5334" s="15"/>
      <c r="J5334" s="3"/>
      <c r="K5334" s="3"/>
      <c r="L5334" s="3"/>
      <c r="M5334" s="3"/>
      <c r="N5334" s="3"/>
      <c r="O5334" s="3"/>
      <c r="P5334" s="3"/>
      <c r="Q5334" s="3"/>
      <c r="R5334" s="3"/>
      <c r="S5334" s="3"/>
      <c r="T5334" s="3"/>
      <c r="U5334" s="3"/>
      <c r="V5334" s="3"/>
      <c r="W5334" s="3"/>
      <c r="X5334" s="3"/>
      <c r="Y5334" s="3"/>
      <c r="Z5334" s="3"/>
      <c r="AA5334" s="3"/>
    </row>
    <row r="5335" ht="105.75" customHeight="1">
      <c r="A5335" s="11"/>
      <c r="B5335" s="12"/>
      <c r="C5335" s="11"/>
      <c r="D5335" s="13"/>
      <c r="E5335" s="14"/>
      <c r="F5335" s="14"/>
      <c r="G5335" s="14"/>
      <c r="H5335" s="15"/>
      <c r="I5335" s="15"/>
      <c r="J5335" s="3"/>
      <c r="K5335" s="3"/>
      <c r="L5335" s="3"/>
      <c r="M5335" s="3"/>
      <c r="N5335" s="3"/>
      <c r="O5335" s="3"/>
      <c r="P5335" s="3"/>
      <c r="Q5335" s="3"/>
      <c r="R5335" s="3"/>
      <c r="S5335" s="3"/>
      <c r="T5335" s="3"/>
      <c r="U5335" s="3"/>
      <c r="V5335" s="3"/>
      <c r="W5335" s="3"/>
      <c r="X5335" s="3"/>
      <c r="Y5335" s="3"/>
      <c r="Z5335" s="3"/>
      <c r="AA5335" s="3"/>
    </row>
    <row r="5336" ht="105.75" customHeight="1">
      <c r="A5336" s="11"/>
      <c r="B5336" s="12"/>
      <c r="C5336" s="11"/>
      <c r="D5336" s="13"/>
      <c r="E5336" s="14"/>
      <c r="F5336" s="14"/>
      <c r="G5336" s="14"/>
      <c r="H5336" s="15"/>
      <c r="I5336" s="15"/>
      <c r="J5336" s="3"/>
      <c r="K5336" s="3"/>
      <c r="L5336" s="3"/>
      <c r="M5336" s="3"/>
      <c r="N5336" s="3"/>
      <c r="O5336" s="3"/>
      <c r="P5336" s="3"/>
      <c r="Q5336" s="3"/>
      <c r="R5336" s="3"/>
      <c r="S5336" s="3"/>
      <c r="T5336" s="3"/>
      <c r="U5336" s="3"/>
      <c r="V5336" s="3"/>
      <c r="W5336" s="3"/>
      <c r="X5336" s="3"/>
      <c r="Y5336" s="3"/>
      <c r="Z5336" s="3"/>
      <c r="AA5336" s="3"/>
    </row>
    <row r="5337" ht="105.75" customHeight="1">
      <c r="A5337" s="11"/>
      <c r="B5337" s="12"/>
      <c r="C5337" s="11"/>
      <c r="D5337" s="13"/>
      <c r="E5337" s="14"/>
      <c r="F5337" s="14"/>
      <c r="G5337" s="14"/>
      <c r="H5337" s="15"/>
      <c r="I5337" s="15"/>
      <c r="J5337" s="3"/>
      <c r="K5337" s="3"/>
      <c r="L5337" s="3"/>
      <c r="M5337" s="3"/>
      <c r="N5337" s="3"/>
      <c r="O5337" s="3"/>
      <c r="P5337" s="3"/>
      <c r="Q5337" s="3"/>
      <c r="R5337" s="3"/>
      <c r="S5337" s="3"/>
      <c r="T5337" s="3"/>
      <c r="U5337" s="3"/>
      <c r="V5337" s="3"/>
      <c r="W5337" s="3"/>
      <c r="X5337" s="3"/>
      <c r="Y5337" s="3"/>
      <c r="Z5337" s="3"/>
      <c r="AA5337" s="3"/>
    </row>
    <row r="5338" ht="105.75" customHeight="1">
      <c r="A5338" s="11"/>
      <c r="B5338" s="12"/>
      <c r="C5338" s="11"/>
      <c r="D5338" s="13"/>
      <c r="E5338" s="14"/>
      <c r="F5338" s="14"/>
      <c r="G5338" s="14"/>
      <c r="H5338" s="15"/>
      <c r="I5338" s="15"/>
      <c r="J5338" s="3"/>
      <c r="K5338" s="3"/>
      <c r="L5338" s="3"/>
      <c r="M5338" s="3"/>
      <c r="N5338" s="3"/>
      <c r="O5338" s="3"/>
      <c r="P5338" s="3"/>
      <c r="Q5338" s="3"/>
      <c r="R5338" s="3"/>
      <c r="S5338" s="3"/>
      <c r="T5338" s="3"/>
      <c r="U5338" s="3"/>
      <c r="V5338" s="3"/>
      <c r="W5338" s="3"/>
      <c r="X5338" s="3"/>
      <c r="Y5338" s="3"/>
      <c r="Z5338" s="3"/>
      <c r="AA5338" s="3"/>
    </row>
    <row r="5339" ht="105.75" customHeight="1">
      <c r="A5339" s="11"/>
      <c r="B5339" s="12"/>
      <c r="C5339" s="11"/>
      <c r="D5339" s="13"/>
      <c r="E5339" s="14"/>
      <c r="F5339" s="14"/>
      <c r="G5339" s="14"/>
      <c r="H5339" s="15"/>
      <c r="I5339" s="15"/>
      <c r="J5339" s="3"/>
      <c r="K5339" s="3"/>
      <c r="L5339" s="3"/>
      <c r="M5339" s="3"/>
      <c r="N5339" s="3"/>
      <c r="O5339" s="3"/>
      <c r="P5339" s="3"/>
      <c r="Q5339" s="3"/>
      <c r="R5339" s="3"/>
      <c r="S5339" s="3"/>
      <c r="T5339" s="3"/>
      <c r="U5339" s="3"/>
      <c r="V5339" s="3"/>
      <c r="W5339" s="3"/>
      <c r="X5339" s="3"/>
      <c r="Y5339" s="3"/>
      <c r="Z5339" s="3"/>
      <c r="AA5339" s="3"/>
    </row>
    <row r="5340" ht="105.75" customHeight="1">
      <c r="A5340" s="11"/>
      <c r="B5340" s="12"/>
      <c r="C5340" s="11"/>
      <c r="D5340" s="13"/>
      <c r="E5340" s="14"/>
      <c r="F5340" s="14"/>
      <c r="G5340" s="14"/>
      <c r="H5340" s="15"/>
      <c r="I5340" s="15"/>
      <c r="J5340" s="3"/>
      <c r="K5340" s="3"/>
      <c r="L5340" s="3"/>
      <c r="M5340" s="3"/>
      <c r="N5340" s="3"/>
      <c r="O5340" s="3"/>
      <c r="P5340" s="3"/>
      <c r="Q5340" s="3"/>
      <c r="R5340" s="3"/>
      <c r="S5340" s="3"/>
      <c r="T5340" s="3"/>
      <c r="U5340" s="3"/>
      <c r="V5340" s="3"/>
      <c r="W5340" s="3"/>
      <c r="X5340" s="3"/>
      <c r="Y5340" s="3"/>
      <c r="Z5340" s="3"/>
      <c r="AA5340" s="3"/>
    </row>
    <row r="5341" ht="105.75" customHeight="1">
      <c r="A5341" s="11"/>
      <c r="B5341" s="12"/>
      <c r="C5341" s="11"/>
      <c r="D5341" s="13"/>
      <c r="E5341" s="14"/>
      <c r="F5341" s="14"/>
      <c r="G5341" s="14"/>
      <c r="H5341" s="15"/>
      <c r="I5341" s="15"/>
      <c r="J5341" s="3"/>
      <c r="K5341" s="3"/>
      <c r="L5341" s="3"/>
      <c r="M5341" s="3"/>
      <c r="N5341" s="3"/>
      <c r="O5341" s="3"/>
      <c r="P5341" s="3"/>
      <c r="Q5341" s="3"/>
      <c r="R5341" s="3"/>
      <c r="S5341" s="3"/>
      <c r="T5341" s="3"/>
      <c r="U5341" s="3"/>
      <c r="V5341" s="3"/>
      <c r="W5341" s="3"/>
      <c r="X5341" s="3"/>
      <c r="Y5341" s="3"/>
      <c r="Z5341" s="3"/>
      <c r="AA5341" s="3"/>
    </row>
    <row r="5342" ht="105.75" customHeight="1">
      <c r="A5342" s="11"/>
      <c r="B5342" s="12"/>
      <c r="C5342" s="11"/>
      <c r="D5342" s="13"/>
      <c r="E5342" s="14"/>
      <c r="F5342" s="14"/>
      <c r="G5342" s="14"/>
      <c r="H5342" s="15"/>
      <c r="I5342" s="15"/>
      <c r="J5342" s="3"/>
      <c r="K5342" s="3"/>
      <c r="L5342" s="3"/>
      <c r="M5342" s="3"/>
      <c r="N5342" s="3"/>
      <c r="O5342" s="3"/>
      <c r="P5342" s="3"/>
      <c r="Q5342" s="3"/>
      <c r="R5342" s="3"/>
      <c r="S5342" s="3"/>
      <c r="T5342" s="3"/>
      <c r="U5342" s="3"/>
      <c r="V5342" s="3"/>
      <c r="W5342" s="3"/>
      <c r="X5342" s="3"/>
      <c r="Y5342" s="3"/>
      <c r="Z5342" s="3"/>
      <c r="AA5342" s="3"/>
    </row>
    <row r="5343" ht="105.75" customHeight="1">
      <c r="A5343" s="11"/>
      <c r="B5343" s="12"/>
      <c r="C5343" s="11"/>
      <c r="D5343" s="13"/>
      <c r="E5343" s="14"/>
      <c r="F5343" s="14"/>
      <c r="G5343" s="14"/>
      <c r="H5343" s="15"/>
      <c r="I5343" s="15"/>
      <c r="J5343" s="3"/>
      <c r="K5343" s="3"/>
      <c r="L5343" s="3"/>
      <c r="M5343" s="3"/>
      <c r="N5343" s="3"/>
      <c r="O5343" s="3"/>
      <c r="P5343" s="3"/>
      <c r="Q5343" s="3"/>
      <c r="R5343" s="3"/>
      <c r="S5343" s="3"/>
      <c r="T5343" s="3"/>
      <c r="U5343" s="3"/>
      <c r="V5343" s="3"/>
      <c r="W5343" s="3"/>
      <c r="X5343" s="3"/>
      <c r="Y5343" s="3"/>
      <c r="Z5343" s="3"/>
      <c r="AA5343" s="3"/>
    </row>
    <row r="5344" ht="105.75" customHeight="1">
      <c r="A5344" s="11"/>
      <c r="B5344" s="12"/>
      <c r="C5344" s="11"/>
      <c r="D5344" s="13"/>
      <c r="E5344" s="14"/>
      <c r="F5344" s="14"/>
      <c r="G5344" s="14"/>
      <c r="H5344" s="15"/>
      <c r="I5344" s="15"/>
      <c r="J5344" s="3"/>
      <c r="K5344" s="3"/>
      <c r="L5344" s="3"/>
      <c r="M5344" s="3"/>
      <c r="N5344" s="3"/>
      <c r="O5344" s="3"/>
      <c r="P5344" s="3"/>
      <c r="Q5344" s="3"/>
      <c r="R5344" s="3"/>
      <c r="S5344" s="3"/>
      <c r="T5344" s="3"/>
      <c r="U5344" s="3"/>
      <c r="V5344" s="3"/>
      <c r="W5344" s="3"/>
      <c r="X5344" s="3"/>
      <c r="Y5344" s="3"/>
      <c r="Z5344" s="3"/>
      <c r="AA5344" s="3"/>
    </row>
    <row r="5345" ht="105.75" customHeight="1">
      <c r="A5345" s="11"/>
      <c r="B5345" s="12"/>
      <c r="C5345" s="11"/>
      <c r="D5345" s="13"/>
      <c r="E5345" s="14"/>
      <c r="F5345" s="14"/>
      <c r="G5345" s="14"/>
      <c r="H5345" s="15"/>
      <c r="I5345" s="15"/>
      <c r="J5345" s="3"/>
      <c r="K5345" s="3"/>
      <c r="L5345" s="3"/>
      <c r="M5345" s="3"/>
      <c r="N5345" s="3"/>
      <c r="O5345" s="3"/>
      <c r="P5345" s="3"/>
      <c r="Q5345" s="3"/>
      <c r="R5345" s="3"/>
      <c r="S5345" s="3"/>
      <c r="T5345" s="3"/>
      <c r="U5345" s="3"/>
      <c r="V5345" s="3"/>
      <c r="W5345" s="3"/>
      <c r="X5345" s="3"/>
      <c r="Y5345" s="3"/>
      <c r="Z5345" s="3"/>
      <c r="AA5345" s="3"/>
    </row>
    <row r="5346" ht="105.75" customHeight="1">
      <c r="A5346" s="11"/>
      <c r="B5346" s="12"/>
      <c r="C5346" s="11"/>
      <c r="D5346" s="13"/>
      <c r="E5346" s="14"/>
      <c r="F5346" s="14"/>
      <c r="G5346" s="14"/>
      <c r="H5346" s="15"/>
      <c r="I5346" s="15"/>
      <c r="J5346" s="3"/>
      <c r="K5346" s="3"/>
      <c r="L5346" s="3"/>
      <c r="M5346" s="3"/>
      <c r="N5346" s="3"/>
      <c r="O5346" s="3"/>
      <c r="P5346" s="3"/>
      <c r="Q5346" s="3"/>
      <c r="R5346" s="3"/>
      <c r="S5346" s="3"/>
      <c r="T5346" s="3"/>
      <c r="U5346" s="3"/>
      <c r="V5346" s="3"/>
      <c r="W5346" s="3"/>
      <c r="X5346" s="3"/>
      <c r="Y5346" s="3"/>
      <c r="Z5346" s="3"/>
      <c r="AA5346" s="3"/>
    </row>
    <row r="5347" ht="105.75" customHeight="1">
      <c r="A5347" s="11"/>
      <c r="B5347" s="12"/>
      <c r="C5347" s="11"/>
      <c r="D5347" s="13"/>
      <c r="E5347" s="14"/>
      <c r="F5347" s="14"/>
      <c r="G5347" s="14"/>
      <c r="H5347" s="15"/>
      <c r="I5347" s="15"/>
      <c r="J5347" s="3"/>
      <c r="K5347" s="3"/>
      <c r="L5347" s="3"/>
      <c r="M5347" s="3"/>
      <c r="N5347" s="3"/>
      <c r="O5347" s="3"/>
      <c r="P5347" s="3"/>
      <c r="Q5347" s="3"/>
      <c r="R5347" s="3"/>
      <c r="S5347" s="3"/>
      <c r="T5347" s="3"/>
      <c r="U5347" s="3"/>
      <c r="V5347" s="3"/>
      <c r="W5347" s="3"/>
      <c r="X5347" s="3"/>
      <c r="Y5347" s="3"/>
      <c r="Z5347" s="3"/>
      <c r="AA5347" s="3"/>
    </row>
    <row r="5348" ht="105.75" customHeight="1">
      <c r="A5348" s="11"/>
      <c r="B5348" s="12"/>
      <c r="C5348" s="11"/>
      <c r="D5348" s="13"/>
      <c r="E5348" s="14"/>
      <c r="F5348" s="14"/>
      <c r="G5348" s="14"/>
      <c r="H5348" s="15"/>
      <c r="I5348" s="15"/>
      <c r="J5348" s="3"/>
      <c r="K5348" s="3"/>
      <c r="L5348" s="3"/>
      <c r="M5348" s="3"/>
      <c r="N5348" s="3"/>
      <c r="O5348" s="3"/>
      <c r="P5348" s="3"/>
      <c r="Q5348" s="3"/>
      <c r="R5348" s="3"/>
      <c r="S5348" s="3"/>
      <c r="T5348" s="3"/>
      <c r="U5348" s="3"/>
      <c r="V5348" s="3"/>
      <c r="W5348" s="3"/>
      <c r="X5348" s="3"/>
      <c r="Y5348" s="3"/>
      <c r="Z5348" s="3"/>
      <c r="AA5348" s="3"/>
    </row>
    <row r="5349" ht="105.75" customHeight="1">
      <c r="A5349" s="11"/>
      <c r="B5349" s="12"/>
      <c r="C5349" s="11"/>
      <c r="D5349" s="13"/>
      <c r="E5349" s="14"/>
      <c r="F5349" s="14"/>
      <c r="G5349" s="14"/>
      <c r="H5349" s="15"/>
      <c r="I5349" s="15"/>
      <c r="J5349" s="3"/>
      <c r="K5349" s="3"/>
      <c r="L5349" s="3"/>
      <c r="M5349" s="3"/>
      <c r="N5349" s="3"/>
      <c r="O5349" s="3"/>
      <c r="P5349" s="3"/>
      <c r="Q5349" s="3"/>
      <c r="R5349" s="3"/>
      <c r="S5349" s="3"/>
      <c r="T5349" s="3"/>
      <c r="U5349" s="3"/>
      <c r="V5349" s="3"/>
      <c r="W5349" s="3"/>
      <c r="X5349" s="3"/>
      <c r="Y5349" s="3"/>
      <c r="Z5349" s="3"/>
      <c r="AA5349" s="3"/>
    </row>
    <row r="5350" ht="105.75" customHeight="1">
      <c r="A5350" s="11"/>
      <c r="B5350" s="12"/>
      <c r="C5350" s="11"/>
      <c r="D5350" s="13"/>
      <c r="E5350" s="14"/>
      <c r="F5350" s="14"/>
      <c r="G5350" s="14"/>
      <c r="H5350" s="15"/>
      <c r="I5350" s="15"/>
      <c r="J5350" s="3"/>
      <c r="K5350" s="3"/>
      <c r="L5350" s="3"/>
      <c r="M5350" s="3"/>
      <c r="N5350" s="3"/>
      <c r="O5350" s="3"/>
      <c r="P5350" s="3"/>
      <c r="Q5350" s="3"/>
      <c r="R5350" s="3"/>
      <c r="S5350" s="3"/>
      <c r="T5350" s="3"/>
      <c r="U5350" s="3"/>
      <c r="V5350" s="3"/>
      <c r="W5350" s="3"/>
      <c r="X5350" s="3"/>
      <c r="Y5350" s="3"/>
      <c r="Z5350" s="3"/>
      <c r="AA5350" s="3"/>
    </row>
    <row r="5351" ht="105.75" customHeight="1">
      <c r="A5351" s="11"/>
      <c r="B5351" s="12"/>
      <c r="C5351" s="11"/>
      <c r="D5351" s="13"/>
      <c r="E5351" s="14"/>
      <c r="F5351" s="14"/>
      <c r="G5351" s="14"/>
      <c r="H5351" s="15"/>
      <c r="I5351" s="15"/>
      <c r="J5351" s="3"/>
      <c r="K5351" s="3"/>
      <c r="L5351" s="3"/>
      <c r="M5351" s="3"/>
      <c r="N5351" s="3"/>
      <c r="O5351" s="3"/>
      <c r="P5351" s="3"/>
      <c r="Q5351" s="3"/>
      <c r="R5351" s="3"/>
      <c r="S5351" s="3"/>
      <c r="T5351" s="3"/>
      <c r="U5351" s="3"/>
      <c r="V5351" s="3"/>
      <c r="W5351" s="3"/>
      <c r="X5351" s="3"/>
      <c r="Y5351" s="3"/>
      <c r="Z5351" s="3"/>
      <c r="AA5351" s="3"/>
    </row>
    <row r="5352" ht="105.75" customHeight="1">
      <c r="A5352" s="11"/>
      <c r="B5352" s="12"/>
      <c r="C5352" s="11"/>
      <c r="D5352" s="13"/>
      <c r="E5352" s="14"/>
      <c r="F5352" s="14"/>
      <c r="G5352" s="14"/>
      <c r="H5352" s="15"/>
      <c r="I5352" s="15"/>
      <c r="J5352" s="3"/>
      <c r="K5352" s="3"/>
      <c r="L5352" s="3"/>
      <c r="M5352" s="3"/>
      <c r="N5352" s="3"/>
      <c r="O5352" s="3"/>
      <c r="P5352" s="3"/>
      <c r="Q5352" s="3"/>
      <c r="R5352" s="3"/>
      <c r="S5352" s="3"/>
      <c r="T5352" s="3"/>
      <c r="U5352" s="3"/>
      <c r="V5352" s="3"/>
      <c r="W5352" s="3"/>
      <c r="X5352" s="3"/>
      <c r="Y5352" s="3"/>
      <c r="Z5352" s="3"/>
      <c r="AA5352" s="3"/>
    </row>
    <row r="5353" ht="105.75" customHeight="1">
      <c r="A5353" s="11"/>
      <c r="B5353" s="12"/>
      <c r="C5353" s="11"/>
      <c r="D5353" s="13"/>
      <c r="E5353" s="14"/>
      <c r="F5353" s="14"/>
      <c r="G5353" s="14"/>
      <c r="H5353" s="15"/>
      <c r="I5353" s="15"/>
      <c r="J5353" s="3"/>
      <c r="K5353" s="3"/>
      <c r="L5353" s="3"/>
      <c r="M5353" s="3"/>
      <c r="N5353" s="3"/>
      <c r="O5353" s="3"/>
      <c r="P5353" s="3"/>
      <c r="Q5353" s="3"/>
      <c r="R5353" s="3"/>
      <c r="S5353" s="3"/>
      <c r="T5353" s="3"/>
      <c r="U5353" s="3"/>
      <c r="V5353" s="3"/>
      <c r="W5353" s="3"/>
      <c r="X5353" s="3"/>
      <c r="Y5353" s="3"/>
      <c r="Z5353" s="3"/>
      <c r="AA5353" s="3"/>
    </row>
    <row r="5354" ht="105.75" customHeight="1">
      <c r="A5354" s="11"/>
      <c r="B5354" s="12"/>
      <c r="C5354" s="11"/>
      <c r="D5354" s="13"/>
      <c r="E5354" s="14"/>
      <c r="F5354" s="14"/>
      <c r="G5354" s="14"/>
      <c r="H5354" s="15"/>
      <c r="I5354" s="15"/>
      <c r="J5354" s="3"/>
      <c r="K5354" s="3"/>
      <c r="L5354" s="3"/>
      <c r="M5354" s="3"/>
      <c r="N5354" s="3"/>
      <c r="O5354" s="3"/>
      <c r="P5354" s="3"/>
      <c r="Q5354" s="3"/>
      <c r="R5354" s="3"/>
      <c r="S5354" s="3"/>
      <c r="T5354" s="3"/>
      <c r="U5354" s="3"/>
      <c r="V5354" s="3"/>
      <c r="W5354" s="3"/>
      <c r="X5354" s="3"/>
      <c r="Y5354" s="3"/>
      <c r="Z5354" s="3"/>
      <c r="AA5354" s="3"/>
    </row>
    <row r="5355" ht="105.75" customHeight="1">
      <c r="A5355" s="11"/>
      <c r="B5355" s="12"/>
      <c r="C5355" s="11"/>
      <c r="D5355" s="13"/>
      <c r="E5355" s="14"/>
      <c r="F5355" s="14"/>
      <c r="G5355" s="14"/>
      <c r="H5355" s="15"/>
      <c r="I5355" s="15"/>
      <c r="J5355" s="3"/>
      <c r="K5355" s="3"/>
      <c r="L5355" s="3"/>
      <c r="M5355" s="3"/>
      <c r="N5355" s="3"/>
      <c r="O5355" s="3"/>
      <c r="P5355" s="3"/>
      <c r="Q5355" s="3"/>
      <c r="R5355" s="3"/>
      <c r="S5355" s="3"/>
      <c r="T5355" s="3"/>
      <c r="U5355" s="3"/>
      <c r="V5355" s="3"/>
      <c r="W5355" s="3"/>
      <c r="X5355" s="3"/>
      <c r="Y5355" s="3"/>
      <c r="Z5355" s="3"/>
      <c r="AA5355" s="3"/>
    </row>
    <row r="5356" ht="105.75" customHeight="1">
      <c r="A5356" s="11"/>
      <c r="B5356" s="12"/>
      <c r="C5356" s="11"/>
      <c r="D5356" s="13"/>
      <c r="E5356" s="14"/>
      <c r="F5356" s="14"/>
      <c r="G5356" s="14"/>
      <c r="H5356" s="15"/>
      <c r="I5356" s="15"/>
      <c r="J5356" s="3"/>
      <c r="K5356" s="3"/>
      <c r="L5356" s="3"/>
      <c r="M5356" s="3"/>
      <c r="N5356" s="3"/>
      <c r="O5356" s="3"/>
      <c r="P5356" s="3"/>
      <c r="Q5356" s="3"/>
      <c r="R5356" s="3"/>
      <c r="S5356" s="3"/>
      <c r="T5356" s="3"/>
      <c r="U5356" s="3"/>
      <c r="V5356" s="3"/>
      <c r="W5356" s="3"/>
      <c r="X5356" s="3"/>
      <c r="Y5356" s="3"/>
      <c r="Z5356" s="3"/>
      <c r="AA5356" s="3"/>
    </row>
    <row r="5357" ht="105.75" customHeight="1">
      <c r="A5357" s="11"/>
      <c r="B5357" s="12"/>
      <c r="C5357" s="11"/>
      <c r="D5357" s="13"/>
      <c r="E5357" s="14"/>
      <c r="F5357" s="14"/>
      <c r="G5357" s="14"/>
      <c r="H5357" s="15"/>
      <c r="I5357" s="15"/>
      <c r="J5357" s="3"/>
      <c r="K5357" s="3"/>
      <c r="L5357" s="3"/>
      <c r="M5357" s="3"/>
      <c r="N5357" s="3"/>
      <c r="O5357" s="3"/>
      <c r="P5357" s="3"/>
      <c r="Q5357" s="3"/>
      <c r="R5357" s="3"/>
      <c r="S5357" s="3"/>
      <c r="T5357" s="3"/>
      <c r="U5357" s="3"/>
      <c r="V5357" s="3"/>
      <c r="W5357" s="3"/>
      <c r="X5357" s="3"/>
      <c r="Y5357" s="3"/>
      <c r="Z5357" s="3"/>
      <c r="AA5357" s="3"/>
    </row>
    <row r="5358" ht="105.75" customHeight="1">
      <c r="A5358" s="11"/>
      <c r="B5358" s="12"/>
      <c r="C5358" s="11"/>
      <c r="D5358" s="13"/>
      <c r="E5358" s="14"/>
      <c r="F5358" s="14"/>
      <c r="G5358" s="14"/>
      <c r="H5358" s="15"/>
      <c r="I5358" s="15"/>
      <c r="J5358" s="3"/>
      <c r="K5358" s="3"/>
      <c r="L5358" s="3"/>
      <c r="M5358" s="3"/>
      <c r="N5358" s="3"/>
      <c r="O5358" s="3"/>
      <c r="P5358" s="3"/>
      <c r="Q5358" s="3"/>
      <c r="R5358" s="3"/>
      <c r="S5358" s="3"/>
      <c r="T5358" s="3"/>
      <c r="U5358" s="3"/>
      <c r="V5358" s="3"/>
      <c r="W5358" s="3"/>
      <c r="X5358" s="3"/>
      <c r="Y5358" s="3"/>
      <c r="Z5358" s="3"/>
      <c r="AA5358" s="3"/>
    </row>
    <row r="5359" ht="105.75" customHeight="1">
      <c r="A5359" s="11"/>
      <c r="B5359" s="12"/>
      <c r="C5359" s="11"/>
      <c r="D5359" s="13"/>
      <c r="E5359" s="14"/>
      <c r="F5359" s="14"/>
      <c r="G5359" s="14"/>
      <c r="H5359" s="15"/>
      <c r="I5359" s="15"/>
      <c r="J5359" s="3"/>
      <c r="K5359" s="3"/>
      <c r="L5359" s="3"/>
      <c r="M5359" s="3"/>
      <c r="N5359" s="3"/>
      <c r="O5359" s="3"/>
      <c r="P5359" s="3"/>
      <c r="Q5359" s="3"/>
      <c r="R5359" s="3"/>
      <c r="S5359" s="3"/>
      <c r="T5359" s="3"/>
      <c r="U5359" s="3"/>
      <c r="V5359" s="3"/>
      <c r="W5359" s="3"/>
      <c r="X5359" s="3"/>
      <c r="Y5359" s="3"/>
      <c r="Z5359" s="3"/>
      <c r="AA5359" s="3"/>
    </row>
    <row r="5360" ht="105.75" customHeight="1">
      <c r="A5360" s="11"/>
      <c r="B5360" s="12"/>
      <c r="C5360" s="11"/>
      <c r="D5360" s="13"/>
      <c r="E5360" s="14"/>
      <c r="F5360" s="14"/>
      <c r="G5360" s="14"/>
      <c r="H5360" s="15"/>
      <c r="I5360" s="15"/>
      <c r="J5360" s="3"/>
      <c r="K5360" s="3"/>
      <c r="L5360" s="3"/>
      <c r="M5360" s="3"/>
      <c r="N5360" s="3"/>
      <c r="O5360" s="3"/>
      <c r="P5360" s="3"/>
      <c r="Q5360" s="3"/>
      <c r="R5360" s="3"/>
      <c r="S5360" s="3"/>
      <c r="T5360" s="3"/>
      <c r="U5360" s="3"/>
      <c r="V5360" s="3"/>
      <c r="W5360" s="3"/>
      <c r="X5360" s="3"/>
      <c r="Y5360" s="3"/>
      <c r="Z5360" s="3"/>
      <c r="AA5360" s="3"/>
    </row>
    <row r="5361" ht="105.75" customHeight="1">
      <c r="A5361" s="11"/>
      <c r="B5361" s="12"/>
      <c r="C5361" s="11"/>
      <c r="D5361" s="13"/>
      <c r="E5361" s="14"/>
      <c r="F5361" s="14"/>
      <c r="G5361" s="14"/>
      <c r="H5361" s="15"/>
      <c r="I5361" s="15"/>
      <c r="J5361" s="3"/>
      <c r="K5361" s="3"/>
      <c r="L5361" s="3"/>
      <c r="M5361" s="3"/>
      <c r="N5361" s="3"/>
      <c r="O5361" s="3"/>
      <c r="P5361" s="3"/>
      <c r="Q5361" s="3"/>
      <c r="R5361" s="3"/>
      <c r="S5361" s="3"/>
      <c r="T5361" s="3"/>
      <c r="U5361" s="3"/>
      <c r="V5361" s="3"/>
      <c r="W5361" s="3"/>
      <c r="X5361" s="3"/>
      <c r="Y5361" s="3"/>
      <c r="Z5361" s="3"/>
      <c r="AA5361" s="3"/>
    </row>
    <row r="5362" ht="105.75" customHeight="1">
      <c r="A5362" s="11"/>
      <c r="B5362" s="12"/>
      <c r="C5362" s="11"/>
      <c r="D5362" s="13"/>
      <c r="E5362" s="14"/>
      <c r="F5362" s="14"/>
      <c r="G5362" s="14"/>
      <c r="H5362" s="15"/>
      <c r="I5362" s="15"/>
      <c r="J5362" s="3"/>
      <c r="K5362" s="3"/>
      <c r="L5362" s="3"/>
      <c r="M5362" s="3"/>
      <c r="N5362" s="3"/>
      <c r="O5362" s="3"/>
      <c r="P5362" s="3"/>
      <c r="Q5362" s="3"/>
      <c r="R5362" s="3"/>
      <c r="S5362" s="3"/>
      <c r="T5362" s="3"/>
      <c r="U5362" s="3"/>
      <c r="V5362" s="3"/>
      <c r="W5362" s="3"/>
      <c r="X5362" s="3"/>
      <c r="Y5362" s="3"/>
      <c r="Z5362" s="3"/>
      <c r="AA5362" s="3"/>
    </row>
    <row r="5363" ht="105.75" customHeight="1">
      <c r="A5363" s="11"/>
      <c r="B5363" s="12"/>
      <c r="C5363" s="11"/>
      <c r="D5363" s="13"/>
      <c r="E5363" s="14"/>
      <c r="F5363" s="14"/>
      <c r="G5363" s="14"/>
      <c r="H5363" s="15"/>
      <c r="I5363" s="15"/>
      <c r="J5363" s="3"/>
      <c r="K5363" s="3"/>
      <c r="L5363" s="3"/>
      <c r="M5363" s="3"/>
      <c r="N5363" s="3"/>
      <c r="O5363" s="3"/>
      <c r="P5363" s="3"/>
      <c r="Q5363" s="3"/>
      <c r="R5363" s="3"/>
      <c r="S5363" s="3"/>
      <c r="T5363" s="3"/>
      <c r="U5363" s="3"/>
      <c r="V5363" s="3"/>
      <c r="W5363" s="3"/>
      <c r="X5363" s="3"/>
      <c r="Y5363" s="3"/>
      <c r="Z5363" s="3"/>
      <c r="AA5363" s="3"/>
    </row>
    <row r="5364" ht="105.75" customHeight="1">
      <c r="A5364" s="11"/>
      <c r="B5364" s="12"/>
      <c r="C5364" s="11"/>
      <c r="D5364" s="13"/>
      <c r="E5364" s="14"/>
      <c r="F5364" s="14"/>
      <c r="G5364" s="14"/>
      <c r="H5364" s="15"/>
      <c r="I5364" s="15"/>
      <c r="J5364" s="3"/>
      <c r="K5364" s="3"/>
      <c r="L5364" s="3"/>
      <c r="M5364" s="3"/>
      <c r="N5364" s="3"/>
      <c r="O5364" s="3"/>
      <c r="P5364" s="3"/>
      <c r="Q5364" s="3"/>
      <c r="R5364" s="3"/>
      <c r="S5364" s="3"/>
      <c r="T5364" s="3"/>
      <c r="U5364" s="3"/>
      <c r="V5364" s="3"/>
      <c r="W5364" s="3"/>
      <c r="X5364" s="3"/>
      <c r="Y5364" s="3"/>
      <c r="Z5364" s="3"/>
      <c r="AA5364" s="3"/>
    </row>
    <row r="5365" ht="105.75" customHeight="1">
      <c r="A5365" s="11"/>
      <c r="B5365" s="12"/>
      <c r="C5365" s="11"/>
      <c r="D5365" s="13"/>
      <c r="E5365" s="14"/>
      <c r="F5365" s="14"/>
      <c r="G5365" s="14"/>
      <c r="H5365" s="15"/>
      <c r="I5365" s="15"/>
      <c r="J5365" s="3"/>
      <c r="K5365" s="3"/>
      <c r="L5365" s="3"/>
      <c r="M5365" s="3"/>
      <c r="N5365" s="3"/>
      <c r="O5365" s="3"/>
      <c r="P5365" s="3"/>
      <c r="Q5365" s="3"/>
      <c r="R5365" s="3"/>
      <c r="S5365" s="3"/>
      <c r="T5365" s="3"/>
      <c r="U5365" s="3"/>
      <c r="V5365" s="3"/>
      <c r="W5365" s="3"/>
      <c r="X5365" s="3"/>
      <c r="Y5365" s="3"/>
      <c r="Z5365" s="3"/>
      <c r="AA5365" s="3"/>
    </row>
    <row r="5366" ht="105.75" customHeight="1">
      <c r="A5366" s="11"/>
      <c r="B5366" s="12"/>
      <c r="C5366" s="11"/>
      <c r="D5366" s="13"/>
      <c r="E5366" s="14"/>
      <c r="F5366" s="14"/>
      <c r="G5366" s="14"/>
      <c r="H5366" s="15"/>
      <c r="I5366" s="15"/>
      <c r="J5366" s="3"/>
      <c r="K5366" s="3"/>
      <c r="L5366" s="3"/>
      <c r="M5366" s="3"/>
      <c r="N5366" s="3"/>
      <c r="O5366" s="3"/>
      <c r="P5366" s="3"/>
      <c r="Q5366" s="3"/>
      <c r="R5366" s="3"/>
      <c r="S5366" s="3"/>
      <c r="T5366" s="3"/>
      <c r="U5366" s="3"/>
      <c r="V5366" s="3"/>
      <c r="W5366" s="3"/>
      <c r="X5366" s="3"/>
      <c r="Y5366" s="3"/>
      <c r="Z5366" s="3"/>
      <c r="AA5366" s="3"/>
    </row>
    <row r="5367" ht="105.75" customHeight="1">
      <c r="A5367" s="11"/>
      <c r="B5367" s="12"/>
      <c r="C5367" s="11"/>
      <c r="D5367" s="13"/>
      <c r="E5367" s="14"/>
      <c r="F5367" s="14"/>
      <c r="G5367" s="14"/>
      <c r="H5367" s="15"/>
      <c r="I5367" s="15"/>
      <c r="J5367" s="3"/>
      <c r="K5367" s="3"/>
      <c r="L5367" s="3"/>
      <c r="M5367" s="3"/>
      <c r="N5367" s="3"/>
      <c r="O5367" s="3"/>
      <c r="P5367" s="3"/>
      <c r="Q5367" s="3"/>
      <c r="R5367" s="3"/>
      <c r="S5367" s="3"/>
      <c r="T5367" s="3"/>
      <c r="U5367" s="3"/>
      <c r="V5367" s="3"/>
      <c r="W5367" s="3"/>
      <c r="X5367" s="3"/>
      <c r="Y5367" s="3"/>
      <c r="Z5367" s="3"/>
      <c r="AA5367" s="3"/>
    </row>
    <row r="5368" ht="105.75" customHeight="1">
      <c r="A5368" s="11"/>
      <c r="B5368" s="12"/>
      <c r="C5368" s="11"/>
      <c r="D5368" s="13"/>
      <c r="E5368" s="14"/>
      <c r="F5368" s="14"/>
      <c r="G5368" s="14"/>
      <c r="H5368" s="15"/>
      <c r="I5368" s="15"/>
      <c r="J5368" s="3"/>
      <c r="K5368" s="3"/>
      <c r="L5368" s="3"/>
      <c r="M5368" s="3"/>
      <c r="N5368" s="3"/>
      <c r="O5368" s="3"/>
      <c r="P5368" s="3"/>
      <c r="Q5368" s="3"/>
      <c r="R5368" s="3"/>
      <c r="S5368" s="3"/>
      <c r="T5368" s="3"/>
      <c r="U5368" s="3"/>
      <c r="V5368" s="3"/>
      <c r="W5368" s="3"/>
      <c r="X5368" s="3"/>
      <c r="Y5368" s="3"/>
      <c r="Z5368" s="3"/>
      <c r="AA5368" s="3"/>
    </row>
    <row r="5369" ht="105.75" customHeight="1">
      <c r="A5369" s="11"/>
      <c r="B5369" s="12"/>
      <c r="C5369" s="11"/>
      <c r="D5369" s="13"/>
      <c r="E5369" s="14"/>
      <c r="F5369" s="14"/>
      <c r="G5369" s="14"/>
      <c r="H5369" s="15"/>
      <c r="I5369" s="15"/>
      <c r="J5369" s="3"/>
      <c r="K5369" s="3"/>
      <c r="L5369" s="3"/>
      <c r="M5369" s="3"/>
      <c r="N5369" s="3"/>
      <c r="O5369" s="3"/>
      <c r="P5369" s="3"/>
      <c r="Q5369" s="3"/>
      <c r="R5369" s="3"/>
      <c r="S5369" s="3"/>
      <c r="T5369" s="3"/>
      <c r="U5369" s="3"/>
      <c r="V5369" s="3"/>
      <c r="W5369" s="3"/>
      <c r="X5369" s="3"/>
      <c r="Y5369" s="3"/>
      <c r="Z5369" s="3"/>
      <c r="AA5369" s="3"/>
    </row>
    <row r="5370" ht="105.75" customHeight="1">
      <c r="A5370" s="11"/>
      <c r="B5370" s="12"/>
      <c r="C5370" s="11"/>
      <c r="D5370" s="13"/>
      <c r="E5370" s="14"/>
      <c r="F5370" s="14"/>
      <c r="G5370" s="14"/>
      <c r="H5370" s="15"/>
      <c r="I5370" s="15"/>
      <c r="J5370" s="3"/>
      <c r="K5370" s="3"/>
      <c r="L5370" s="3"/>
      <c r="M5370" s="3"/>
      <c r="N5370" s="3"/>
      <c r="O5370" s="3"/>
      <c r="P5370" s="3"/>
      <c r="Q5370" s="3"/>
      <c r="R5370" s="3"/>
      <c r="S5370" s="3"/>
      <c r="T5370" s="3"/>
      <c r="U5370" s="3"/>
      <c r="V5370" s="3"/>
      <c r="W5370" s="3"/>
      <c r="X5370" s="3"/>
      <c r="Y5370" s="3"/>
      <c r="Z5370" s="3"/>
      <c r="AA5370" s="3"/>
    </row>
    <row r="5371" ht="105.75" customHeight="1">
      <c r="A5371" s="11"/>
      <c r="B5371" s="12"/>
      <c r="C5371" s="11"/>
      <c r="D5371" s="13"/>
      <c r="E5371" s="14"/>
      <c r="F5371" s="14"/>
      <c r="G5371" s="14"/>
      <c r="H5371" s="15"/>
      <c r="I5371" s="15"/>
      <c r="J5371" s="3"/>
      <c r="K5371" s="3"/>
      <c r="L5371" s="3"/>
      <c r="M5371" s="3"/>
      <c r="N5371" s="3"/>
      <c r="O5371" s="3"/>
      <c r="P5371" s="3"/>
      <c r="Q5371" s="3"/>
      <c r="R5371" s="3"/>
      <c r="S5371" s="3"/>
      <c r="T5371" s="3"/>
      <c r="U5371" s="3"/>
      <c r="V5371" s="3"/>
      <c r="W5371" s="3"/>
      <c r="X5371" s="3"/>
      <c r="Y5371" s="3"/>
      <c r="Z5371" s="3"/>
      <c r="AA5371" s="3"/>
    </row>
    <row r="5372" ht="105.75" customHeight="1">
      <c r="A5372" s="11"/>
      <c r="B5372" s="12"/>
      <c r="C5372" s="11"/>
      <c r="D5372" s="13"/>
      <c r="E5372" s="14"/>
      <c r="F5372" s="14"/>
      <c r="G5372" s="14"/>
      <c r="H5372" s="15"/>
      <c r="I5372" s="15"/>
      <c r="J5372" s="3"/>
      <c r="K5372" s="3"/>
      <c r="L5372" s="3"/>
      <c r="M5372" s="3"/>
      <c r="N5372" s="3"/>
      <c r="O5372" s="3"/>
      <c r="P5372" s="3"/>
      <c r="Q5372" s="3"/>
      <c r="R5372" s="3"/>
      <c r="S5372" s="3"/>
      <c r="T5372" s="3"/>
      <c r="U5372" s="3"/>
      <c r="V5372" s="3"/>
      <c r="W5372" s="3"/>
      <c r="X5372" s="3"/>
      <c r="Y5372" s="3"/>
      <c r="Z5372" s="3"/>
      <c r="AA5372" s="3"/>
    </row>
    <row r="5373" ht="105.75" customHeight="1">
      <c r="A5373" s="11"/>
      <c r="B5373" s="12"/>
      <c r="C5373" s="11"/>
      <c r="D5373" s="13"/>
      <c r="E5373" s="14"/>
      <c r="F5373" s="14"/>
      <c r="G5373" s="14"/>
      <c r="H5373" s="15"/>
      <c r="I5373" s="15"/>
      <c r="J5373" s="3"/>
      <c r="K5373" s="3"/>
      <c r="L5373" s="3"/>
      <c r="M5373" s="3"/>
      <c r="N5373" s="3"/>
      <c r="O5373" s="3"/>
      <c r="P5373" s="3"/>
      <c r="Q5373" s="3"/>
      <c r="R5373" s="3"/>
      <c r="S5373" s="3"/>
      <c r="T5373" s="3"/>
      <c r="U5373" s="3"/>
      <c r="V5373" s="3"/>
      <c r="W5373" s="3"/>
      <c r="X5373" s="3"/>
      <c r="Y5373" s="3"/>
      <c r="Z5373" s="3"/>
      <c r="AA5373" s="3"/>
    </row>
    <row r="5374" ht="105.75" customHeight="1">
      <c r="A5374" s="11"/>
      <c r="B5374" s="12"/>
      <c r="C5374" s="11"/>
      <c r="D5374" s="13"/>
      <c r="E5374" s="14"/>
      <c r="F5374" s="14"/>
      <c r="G5374" s="14"/>
      <c r="H5374" s="15"/>
      <c r="I5374" s="15"/>
      <c r="J5374" s="3"/>
      <c r="K5374" s="3"/>
      <c r="L5374" s="3"/>
      <c r="M5374" s="3"/>
      <c r="N5374" s="3"/>
      <c r="O5374" s="3"/>
      <c r="P5374" s="3"/>
      <c r="Q5374" s="3"/>
      <c r="R5374" s="3"/>
      <c r="S5374" s="3"/>
      <c r="T5374" s="3"/>
      <c r="U5374" s="3"/>
      <c r="V5374" s="3"/>
      <c r="W5374" s="3"/>
      <c r="X5374" s="3"/>
      <c r="Y5374" s="3"/>
      <c r="Z5374" s="3"/>
      <c r="AA5374" s="3"/>
    </row>
    <row r="5375" ht="105.75" customHeight="1">
      <c r="A5375" s="11"/>
      <c r="B5375" s="12"/>
      <c r="C5375" s="11"/>
      <c r="D5375" s="13"/>
      <c r="E5375" s="14"/>
      <c r="F5375" s="14"/>
      <c r="G5375" s="14"/>
      <c r="H5375" s="15"/>
      <c r="I5375" s="15"/>
      <c r="J5375" s="3"/>
      <c r="K5375" s="3"/>
      <c r="L5375" s="3"/>
      <c r="M5375" s="3"/>
      <c r="N5375" s="3"/>
      <c r="O5375" s="3"/>
      <c r="P5375" s="3"/>
      <c r="Q5375" s="3"/>
      <c r="R5375" s="3"/>
      <c r="S5375" s="3"/>
      <c r="T5375" s="3"/>
      <c r="U5375" s="3"/>
      <c r="V5375" s="3"/>
      <c r="W5375" s="3"/>
      <c r="X5375" s="3"/>
      <c r="Y5375" s="3"/>
      <c r="Z5375" s="3"/>
      <c r="AA5375" s="3"/>
    </row>
    <row r="5376" ht="105.75" customHeight="1">
      <c r="A5376" s="11"/>
      <c r="B5376" s="12"/>
      <c r="C5376" s="11"/>
      <c r="D5376" s="13"/>
      <c r="E5376" s="14"/>
      <c r="F5376" s="14"/>
      <c r="G5376" s="14"/>
      <c r="H5376" s="15"/>
      <c r="I5376" s="15"/>
      <c r="J5376" s="3"/>
      <c r="K5376" s="3"/>
      <c r="L5376" s="3"/>
      <c r="M5376" s="3"/>
      <c r="N5376" s="3"/>
      <c r="O5376" s="3"/>
      <c r="P5376" s="3"/>
      <c r="Q5376" s="3"/>
      <c r="R5376" s="3"/>
      <c r="S5376" s="3"/>
      <c r="T5376" s="3"/>
      <c r="U5376" s="3"/>
      <c r="V5376" s="3"/>
      <c r="W5376" s="3"/>
      <c r="X5376" s="3"/>
      <c r="Y5376" s="3"/>
      <c r="Z5376" s="3"/>
      <c r="AA5376" s="3"/>
    </row>
    <row r="5377" ht="105.75" customHeight="1">
      <c r="A5377" s="11"/>
      <c r="B5377" s="12"/>
      <c r="C5377" s="11"/>
      <c r="D5377" s="13"/>
      <c r="E5377" s="14"/>
      <c r="F5377" s="14"/>
      <c r="G5377" s="14"/>
      <c r="H5377" s="15"/>
      <c r="I5377" s="15"/>
      <c r="J5377" s="3"/>
      <c r="K5377" s="3"/>
      <c r="L5377" s="3"/>
      <c r="M5377" s="3"/>
      <c r="N5377" s="3"/>
      <c r="O5377" s="3"/>
      <c r="P5377" s="3"/>
      <c r="Q5377" s="3"/>
      <c r="R5377" s="3"/>
      <c r="S5377" s="3"/>
      <c r="T5377" s="3"/>
      <c r="U5377" s="3"/>
      <c r="V5377" s="3"/>
      <c r="W5377" s="3"/>
      <c r="X5377" s="3"/>
      <c r="Y5377" s="3"/>
      <c r="Z5377" s="3"/>
      <c r="AA5377" s="3"/>
    </row>
    <row r="5378" ht="105.75" customHeight="1">
      <c r="A5378" s="11"/>
      <c r="B5378" s="12"/>
      <c r="C5378" s="11"/>
      <c r="D5378" s="13"/>
      <c r="E5378" s="14"/>
      <c r="F5378" s="14"/>
      <c r="G5378" s="14"/>
      <c r="H5378" s="15"/>
      <c r="I5378" s="15"/>
      <c r="J5378" s="3"/>
      <c r="K5378" s="3"/>
      <c r="L5378" s="3"/>
      <c r="M5378" s="3"/>
      <c r="N5378" s="3"/>
      <c r="O5378" s="3"/>
      <c r="P5378" s="3"/>
      <c r="Q5378" s="3"/>
      <c r="R5378" s="3"/>
      <c r="S5378" s="3"/>
      <c r="T5378" s="3"/>
      <c r="U5378" s="3"/>
      <c r="V5378" s="3"/>
      <c r="W5378" s="3"/>
      <c r="X5378" s="3"/>
      <c r="Y5378" s="3"/>
      <c r="Z5378" s="3"/>
      <c r="AA5378" s="3"/>
    </row>
    <row r="5379" ht="105.75" customHeight="1">
      <c r="A5379" s="11"/>
      <c r="B5379" s="12"/>
      <c r="C5379" s="11"/>
      <c r="D5379" s="13"/>
      <c r="E5379" s="14"/>
      <c r="F5379" s="14"/>
      <c r="G5379" s="14"/>
      <c r="H5379" s="15"/>
      <c r="I5379" s="15"/>
      <c r="J5379" s="3"/>
      <c r="K5379" s="3"/>
      <c r="L5379" s="3"/>
      <c r="M5379" s="3"/>
      <c r="N5379" s="3"/>
      <c r="O5379" s="3"/>
      <c r="P5379" s="3"/>
      <c r="Q5379" s="3"/>
      <c r="R5379" s="3"/>
      <c r="S5379" s="3"/>
      <c r="T5379" s="3"/>
      <c r="U5379" s="3"/>
      <c r="V5379" s="3"/>
      <c r="W5379" s="3"/>
      <c r="X5379" s="3"/>
      <c r="Y5379" s="3"/>
      <c r="Z5379" s="3"/>
      <c r="AA5379" s="3"/>
    </row>
    <row r="5380" ht="105.75" customHeight="1">
      <c r="A5380" s="11"/>
      <c r="B5380" s="12"/>
      <c r="C5380" s="11"/>
      <c r="D5380" s="13"/>
      <c r="E5380" s="14"/>
      <c r="F5380" s="14"/>
      <c r="G5380" s="14"/>
      <c r="H5380" s="15"/>
      <c r="I5380" s="15"/>
      <c r="J5380" s="3"/>
      <c r="K5380" s="3"/>
      <c r="L5380" s="3"/>
      <c r="M5380" s="3"/>
      <c r="N5380" s="3"/>
      <c r="O5380" s="3"/>
      <c r="P5380" s="3"/>
      <c r="Q5380" s="3"/>
      <c r="R5380" s="3"/>
      <c r="S5380" s="3"/>
      <c r="T5380" s="3"/>
      <c r="U5380" s="3"/>
      <c r="V5380" s="3"/>
      <c r="W5380" s="3"/>
      <c r="X5380" s="3"/>
      <c r="Y5380" s="3"/>
      <c r="Z5380" s="3"/>
      <c r="AA5380" s="3"/>
    </row>
    <row r="5381" ht="105.75" customHeight="1">
      <c r="A5381" s="11"/>
      <c r="B5381" s="12"/>
      <c r="C5381" s="11"/>
      <c r="D5381" s="13"/>
      <c r="E5381" s="14"/>
      <c r="F5381" s="14"/>
      <c r="G5381" s="14"/>
      <c r="H5381" s="15"/>
      <c r="I5381" s="15"/>
      <c r="J5381" s="3"/>
      <c r="K5381" s="3"/>
      <c r="L5381" s="3"/>
      <c r="M5381" s="3"/>
      <c r="N5381" s="3"/>
      <c r="O5381" s="3"/>
      <c r="P5381" s="3"/>
      <c r="Q5381" s="3"/>
      <c r="R5381" s="3"/>
      <c r="S5381" s="3"/>
      <c r="T5381" s="3"/>
      <c r="U5381" s="3"/>
      <c r="V5381" s="3"/>
      <c r="W5381" s="3"/>
      <c r="X5381" s="3"/>
      <c r="Y5381" s="3"/>
      <c r="Z5381" s="3"/>
      <c r="AA5381" s="3"/>
    </row>
    <row r="5382" ht="105.75" customHeight="1">
      <c r="A5382" s="11"/>
      <c r="B5382" s="12"/>
      <c r="C5382" s="11"/>
      <c r="D5382" s="13"/>
      <c r="E5382" s="14"/>
      <c r="F5382" s="14"/>
      <c r="G5382" s="14"/>
      <c r="H5382" s="15"/>
      <c r="I5382" s="15"/>
      <c r="J5382" s="3"/>
      <c r="K5382" s="3"/>
      <c r="L5382" s="3"/>
      <c r="M5382" s="3"/>
      <c r="N5382" s="3"/>
      <c r="O5382" s="3"/>
      <c r="P5382" s="3"/>
      <c r="Q5382" s="3"/>
      <c r="R5382" s="3"/>
      <c r="S5382" s="3"/>
      <c r="T5382" s="3"/>
      <c r="U5382" s="3"/>
      <c r="V5382" s="3"/>
      <c r="W5382" s="3"/>
      <c r="X5382" s="3"/>
      <c r="Y5382" s="3"/>
      <c r="Z5382" s="3"/>
      <c r="AA5382" s="3"/>
    </row>
    <row r="5383" ht="105.75" customHeight="1">
      <c r="A5383" s="11"/>
      <c r="B5383" s="12"/>
      <c r="C5383" s="11"/>
      <c r="D5383" s="13"/>
      <c r="E5383" s="14"/>
      <c r="F5383" s="14"/>
      <c r="G5383" s="14"/>
      <c r="H5383" s="15"/>
      <c r="I5383" s="15"/>
      <c r="J5383" s="3"/>
      <c r="K5383" s="3"/>
      <c r="L5383" s="3"/>
      <c r="M5383" s="3"/>
      <c r="N5383" s="3"/>
      <c r="O5383" s="3"/>
      <c r="P5383" s="3"/>
      <c r="Q5383" s="3"/>
      <c r="R5383" s="3"/>
      <c r="S5383" s="3"/>
      <c r="T5383" s="3"/>
      <c r="U5383" s="3"/>
      <c r="V5383" s="3"/>
      <c r="W5383" s="3"/>
      <c r="X5383" s="3"/>
      <c r="Y5383" s="3"/>
      <c r="Z5383" s="3"/>
      <c r="AA5383" s="3"/>
    </row>
    <row r="5384" ht="105.75" customHeight="1">
      <c r="A5384" s="11"/>
      <c r="B5384" s="12"/>
      <c r="C5384" s="11"/>
      <c r="D5384" s="13"/>
      <c r="E5384" s="14"/>
      <c r="F5384" s="14"/>
      <c r="G5384" s="14"/>
      <c r="H5384" s="15"/>
      <c r="I5384" s="15"/>
      <c r="J5384" s="3"/>
      <c r="K5384" s="3"/>
      <c r="L5384" s="3"/>
      <c r="M5384" s="3"/>
      <c r="N5384" s="3"/>
      <c r="O5384" s="3"/>
      <c r="P5384" s="3"/>
      <c r="Q5384" s="3"/>
      <c r="R5384" s="3"/>
      <c r="S5384" s="3"/>
      <c r="T5384" s="3"/>
      <c r="U5384" s="3"/>
      <c r="V5384" s="3"/>
      <c r="W5384" s="3"/>
      <c r="X5384" s="3"/>
      <c r="Y5384" s="3"/>
      <c r="Z5384" s="3"/>
      <c r="AA5384" s="3"/>
    </row>
    <row r="5385" ht="105.75" customHeight="1">
      <c r="A5385" s="11"/>
      <c r="B5385" s="12"/>
      <c r="C5385" s="11"/>
      <c r="D5385" s="13"/>
      <c r="E5385" s="14"/>
      <c r="F5385" s="14"/>
      <c r="G5385" s="14"/>
      <c r="H5385" s="15"/>
      <c r="I5385" s="15"/>
      <c r="J5385" s="3"/>
      <c r="K5385" s="3"/>
      <c r="L5385" s="3"/>
      <c r="M5385" s="3"/>
      <c r="N5385" s="3"/>
      <c r="O5385" s="3"/>
      <c r="P5385" s="3"/>
      <c r="Q5385" s="3"/>
      <c r="R5385" s="3"/>
      <c r="S5385" s="3"/>
      <c r="T5385" s="3"/>
      <c r="U5385" s="3"/>
      <c r="V5385" s="3"/>
      <c r="W5385" s="3"/>
      <c r="X5385" s="3"/>
      <c r="Y5385" s="3"/>
      <c r="Z5385" s="3"/>
      <c r="AA5385" s="3"/>
    </row>
    <row r="5386" ht="105.75" customHeight="1">
      <c r="A5386" s="11"/>
      <c r="B5386" s="12"/>
      <c r="C5386" s="11"/>
      <c r="D5386" s="13"/>
      <c r="E5386" s="14"/>
      <c r="F5386" s="14"/>
      <c r="G5386" s="14"/>
      <c r="H5386" s="15"/>
      <c r="I5386" s="15"/>
      <c r="J5386" s="3"/>
      <c r="K5386" s="3"/>
      <c r="L5386" s="3"/>
      <c r="M5386" s="3"/>
      <c r="N5386" s="3"/>
      <c r="O5386" s="3"/>
      <c r="P5386" s="3"/>
      <c r="Q5386" s="3"/>
      <c r="R5386" s="3"/>
      <c r="S5386" s="3"/>
      <c r="T5386" s="3"/>
      <c r="U5386" s="3"/>
      <c r="V5386" s="3"/>
      <c r="W5386" s="3"/>
      <c r="X5386" s="3"/>
      <c r="Y5386" s="3"/>
      <c r="Z5386" s="3"/>
      <c r="AA5386" s="3"/>
    </row>
    <row r="5387" ht="105.75" customHeight="1">
      <c r="A5387" s="11"/>
      <c r="B5387" s="12"/>
      <c r="C5387" s="11"/>
      <c r="D5387" s="13"/>
      <c r="E5387" s="14"/>
      <c r="F5387" s="14"/>
      <c r="G5387" s="14"/>
      <c r="H5387" s="15"/>
      <c r="I5387" s="15"/>
      <c r="J5387" s="3"/>
      <c r="K5387" s="3"/>
      <c r="L5387" s="3"/>
      <c r="M5387" s="3"/>
      <c r="N5387" s="3"/>
      <c r="O5387" s="3"/>
      <c r="P5387" s="3"/>
      <c r="Q5387" s="3"/>
      <c r="R5387" s="3"/>
      <c r="S5387" s="3"/>
      <c r="T5387" s="3"/>
      <c r="U5387" s="3"/>
      <c r="V5387" s="3"/>
      <c r="W5387" s="3"/>
      <c r="X5387" s="3"/>
      <c r="Y5387" s="3"/>
      <c r="Z5387" s="3"/>
      <c r="AA5387" s="3"/>
    </row>
    <row r="5388" ht="105.75" customHeight="1">
      <c r="A5388" s="11"/>
      <c r="B5388" s="12"/>
      <c r="C5388" s="11"/>
      <c r="D5388" s="13"/>
      <c r="E5388" s="14"/>
      <c r="F5388" s="14"/>
      <c r="G5388" s="14"/>
      <c r="H5388" s="15"/>
      <c r="I5388" s="15"/>
      <c r="J5388" s="3"/>
      <c r="K5388" s="3"/>
      <c r="L5388" s="3"/>
      <c r="M5388" s="3"/>
      <c r="N5388" s="3"/>
      <c r="O5388" s="3"/>
      <c r="P5388" s="3"/>
      <c r="Q5388" s="3"/>
      <c r="R5388" s="3"/>
      <c r="S5388" s="3"/>
      <c r="T5388" s="3"/>
      <c r="U5388" s="3"/>
      <c r="V5388" s="3"/>
      <c r="W5388" s="3"/>
      <c r="X5388" s="3"/>
      <c r="Y5388" s="3"/>
      <c r="Z5388" s="3"/>
      <c r="AA5388" s="3"/>
    </row>
    <row r="5389" ht="105.75" customHeight="1">
      <c r="A5389" s="11"/>
      <c r="B5389" s="12"/>
      <c r="C5389" s="11"/>
      <c r="D5389" s="13"/>
      <c r="E5389" s="14"/>
      <c r="F5389" s="14"/>
      <c r="G5389" s="14"/>
      <c r="H5389" s="15"/>
      <c r="I5389" s="15"/>
      <c r="J5389" s="3"/>
      <c r="K5389" s="3"/>
      <c r="L5389" s="3"/>
      <c r="M5389" s="3"/>
      <c r="N5389" s="3"/>
      <c r="O5389" s="3"/>
      <c r="P5389" s="3"/>
      <c r="Q5389" s="3"/>
      <c r="R5389" s="3"/>
      <c r="S5389" s="3"/>
      <c r="T5389" s="3"/>
      <c r="U5389" s="3"/>
      <c r="V5389" s="3"/>
      <c r="W5389" s="3"/>
      <c r="X5389" s="3"/>
      <c r="Y5389" s="3"/>
      <c r="Z5389" s="3"/>
      <c r="AA5389" s="3"/>
    </row>
    <row r="5390" ht="105.75" customHeight="1">
      <c r="A5390" s="11"/>
      <c r="B5390" s="12"/>
      <c r="C5390" s="11"/>
      <c r="D5390" s="13"/>
      <c r="E5390" s="14"/>
      <c r="F5390" s="14"/>
      <c r="G5390" s="14"/>
      <c r="H5390" s="15"/>
      <c r="I5390" s="15"/>
      <c r="J5390" s="3"/>
      <c r="K5390" s="3"/>
      <c r="L5390" s="3"/>
      <c r="M5390" s="3"/>
      <c r="N5390" s="3"/>
      <c r="O5390" s="3"/>
      <c r="P5390" s="3"/>
      <c r="Q5390" s="3"/>
      <c r="R5390" s="3"/>
      <c r="S5390" s="3"/>
      <c r="T5390" s="3"/>
      <c r="U5390" s="3"/>
      <c r="V5390" s="3"/>
      <c r="W5390" s="3"/>
      <c r="X5390" s="3"/>
      <c r="Y5390" s="3"/>
      <c r="Z5390" s="3"/>
      <c r="AA5390" s="3"/>
    </row>
    <row r="5391" ht="105.75" customHeight="1">
      <c r="A5391" s="11"/>
      <c r="B5391" s="12"/>
      <c r="C5391" s="11"/>
      <c r="D5391" s="13"/>
      <c r="E5391" s="14"/>
      <c r="F5391" s="14"/>
      <c r="G5391" s="14"/>
      <c r="H5391" s="15"/>
      <c r="I5391" s="15"/>
      <c r="J5391" s="3"/>
      <c r="K5391" s="3"/>
      <c r="L5391" s="3"/>
      <c r="M5391" s="3"/>
      <c r="N5391" s="3"/>
      <c r="O5391" s="3"/>
      <c r="P5391" s="3"/>
      <c r="Q5391" s="3"/>
      <c r="R5391" s="3"/>
      <c r="S5391" s="3"/>
      <c r="T5391" s="3"/>
      <c r="U5391" s="3"/>
      <c r="V5391" s="3"/>
      <c r="W5391" s="3"/>
      <c r="X5391" s="3"/>
      <c r="Y5391" s="3"/>
      <c r="Z5391" s="3"/>
      <c r="AA5391" s="3"/>
    </row>
    <row r="5392" ht="105.75" customHeight="1">
      <c r="A5392" s="11"/>
      <c r="B5392" s="12"/>
      <c r="C5392" s="11"/>
      <c r="D5392" s="13"/>
      <c r="E5392" s="14"/>
      <c r="F5392" s="14"/>
      <c r="G5392" s="14"/>
      <c r="H5392" s="15"/>
      <c r="I5392" s="15"/>
      <c r="J5392" s="3"/>
      <c r="K5392" s="3"/>
      <c r="L5392" s="3"/>
      <c r="M5392" s="3"/>
      <c r="N5392" s="3"/>
      <c r="O5392" s="3"/>
      <c r="P5392" s="3"/>
      <c r="Q5392" s="3"/>
      <c r="R5392" s="3"/>
      <c r="S5392" s="3"/>
      <c r="T5392" s="3"/>
      <c r="U5392" s="3"/>
      <c r="V5392" s="3"/>
      <c r="W5392" s="3"/>
      <c r="X5392" s="3"/>
      <c r="Y5392" s="3"/>
      <c r="Z5392" s="3"/>
      <c r="AA5392" s="3"/>
    </row>
    <row r="5393" ht="105.75" customHeight="1">
      <c r="A5393" s="11"/>
      <c r="B5393" s="12"/>
      <c r="C5393" s="11"/>
      <c r="D5393" s="13"/>
      <c r="E5393" s="14"/>
      <c r="F5393" s="14"/>
      <c r="G5393" s="14"/>
      <c r="H5393" s="15"/>
      <c r="I5393" s="15"/>
      <c r="J5393" s="3"/>
      <c r="K5393" s="3"/>
      <c r="L5393" s="3"/>
      <c r="M5393" s="3"/>
      <c r="N5393" s="3"/>
      <c r="O5393" s="3"/>
      <c r="P5393" s="3"/>
      <c r="Q5393" s="3"/>
      <c r="R5393" s="3"/>
      <c r="S5393" s="3"/>
      <c r="T5393" s="3"/>
      <c r="U5393" s="3"/>
      <c r="V5393" s="3"/>
      <c r="W5393" s="3"/>
      <c r="X5393" s="3"/>
      <c r="Y5393" s="3"/>
      <c r="Z5393" s="3"/>
      <c r="AA5393" s="3"/>
    </row>
    <row r="5394" ht="105.75" customHeight="1">
      <c r="A5394" s="11"/>
      <c r="B5394" s="12"/>
      <c r="C5394" s="11"/>
      <c r="D5394" s="13"/>
      <c r="E5394" s="14"/>
      <c r="F5394" s="14"/>
      <c r="G5394" s="14"/>
      <c r="H5394" s="15"/>
      <c r="I5394" s="15"/>
      <c r="J5394" s="3"/>
      <c r="K5394" s="3"/>
      <c r="L5394" s="3"/>
      <c r="M5394" s="3"/>
      <c r="N5394" s="3"/>
      <c r="O5394" s="3"/>
      <c r="P5394" s="3"/>
      <c r="Q5394" s="3"/>
      <c r="R5394" s="3"/>
      <c r="S5394" s="3"/>
      <c r="T5394" s="3"/>
      <c r="U5394" s="3"/>
      <c r="V5394" s="3"/>
      <c r="W5394" s="3"/>
      <c r="X5394" s="3"/>
      <c r="Y5394" s="3"/>
      <c r="Z5394" s="3"/>
      <c r="AA5394" s="3"/>
    </row>
    <row r="5395" ht="105.75" customHeight="1">
      <c r="A5395" s="11"/>
      <c r="B5395" s="12"/>
      <c r="C5395" s="11"/>
      <c r="D5395" s="13"/>
      <c r="E5395" s="14"/>
      <c r="F5395" s="14"/>
      <c r="G5395" s="14"/>
      <c r="H5395" s="15"/>
      <c r="I5395" s="15"/>
      <c r="J5395" s="3"/>
      <c r="K5395" s="3"/>
      <c r="L5395" s="3"/>
      <c r="M5395" s="3"/>
      <c r="N5395" s="3"/>
      <c r="O5395" s="3"/>
      <c r="P5395" s="3"/>
      <c r="Q5395" s="3"/>
      <c r="R5395" s="3"/>
      <c r="S5395" s="3"/>
      <c r="T5395" s="3"/>
      <c r="U5395" s="3"/>
      <c r="V5395" s="3"/>
      <c r="W5395" s="3"/>
      <c r="X5395" s="3"/>
      <c r="Y5395" s="3"/>
      <c r="Z5395" s="3"/>
      <c r="AA5395" s="3"/>
    </row>
    <row r="5396" ht="105.75" customHeight="1">
      <c r="A5396" s="11"/>
      <c r="B5396" s="12"/>
      <c r="C5396" s="11"/>
      <c r="D5396" s="13"/>
      <c r="E5396" s="14"/>
      <c r="F5396" s="14"/>
      <c r="G5396" s="14"/>
      <c r="H5396" s="15"/>
      <c r="I5396" s="15"/>
      <c r="J5396" s="3"/>
      <c r="K5396" s="3"/>
      <c r="L5396" s="3"/>
      <c r="M5396" s="3"/>
      <c r="N5396" s="3"/>
      <c r="O5396" s="3"/>
      <c r="P5396" s="3"/>
      <c r="Q5396" s="3"/>
      <c r="R5396" s="3"/>
      <c r="S5396" s="3"/>
      <c r="T5396" s="3"/>
      <c r="U5396" s="3"/>
      <c r="V5396" s="3"/>
      <c r="W5396" s="3"/>
      <c r="X5396" s="3"/>
      <c r="Y5396" s="3"/>
      <c r="Z5396" s="3"/>
      <c r="AA5396" s="3"/>
    </row>
    <row r="5397" ht="105.75" customHeight="1">
      <c r="A5397" s="11"/>
      <c r="B5397" s="12"/>
      <c r="C5397" s="11"/>
      <c r="D5397" s="13"/>
      <c r="E5397" s="14"/>
      <c r="F5397" s="14"/>
      <c r="G5397" s="14"/>
      <c r="H5397" s="15"/>
      <c r="I5397" s="15"/>
      <c r="J5397" s="3"/>
      <c r="K5397" s="3"/>
      <c r="L5397" s="3"/>
      <c r="M5397" s="3"/>
      <c r="N5397" s="3"/>
      <c r="O5397" s="3"/>
      <c r="P5397" s="3"/>
      <c r="Q5397" s="3"/>
      <c r="R5397" s="3"/>
      <c r="S5397" s="3"/>
      <c r="T5397" s="3"/>
      <c r="U5397" s="3"/>
      <c r="V5397" s="3"/>
      <c r="W5397" s="3"/>
      <c r="X5397" s="3"/>
      <c r="Y5397" s="3"/>
      <c r="Z5397" s="3"/>
      <c r="AA5397" s="3"/>
    </row>
    <row r="5398" ht="105.75" customHeight="1">
      <c r="A5398" s="11"/>
      <c r="B5398" s="12"/>
      <c r="C5398" s="11"/>
      <c r="D5398" s="13"/>
      <c r="E5398" s="14"/>
      <c r="F5398" s="14"/>
      <c r="G5398" s="14"/>
      <c r="H5398" s="15"/>
      <c r="I5398" s="15"/>
      <c r="J5398" s="3"/>
      <c r="K5398" s="3"/>
      <c r="L5398" s="3"/>
      <c r="M5398" s="3"/>
      <c r="N5398" s="3"/>
      <c r="O5398" s="3"/>
      <c r="P5398" s="3"/>
      <c r="Q5398" s="3"/>
      <c r="R5398" s="3"/>
      <c r="S5398" s="3"/>
      <c r="T5398" s="3"/>
      <c r="U5398" s="3"/>
      <c r="V5398" s="3"/>
      <c r="W5398" s="3"/>
      <c r="X5398" s="3"/>
      <c r="Y5398" s="3"/>
      <c r="Z5398" s="3"/>
      <c r="AA5398" s="3"/>
    </row>
    <row r="5399" ht="105.75" customHeight="1">
      <c r="A5399" s="11"/>
      <c r="B5399" s="12"/>
      <c r="C5399" s="11"/>
      <c r="D5399" s="13"/>
      <c r="E5399" s="14"/>
      <c r="F5399" s="14"/>
      <c r="G5399" s="14"/>
      <c r="H5399" s="15"/>
      <c r="I5399" s="15"/>
      <c r="J5399" s="3"/>
      <c r="K5399" s="3"/>
      <c r="L5399" s="3"/>
      <c r="M5399" s="3"/>
      <c r="N5399" s="3"/>
      <c r="O5399" s="3"/>
      <c r="P5399" s="3"/>
      <c r="Q5399" s="3"/>
      <c r="R5399" s="3"/>
      <c r="S5399" s="3"/>
      <c r="T5399" s="3"/>
      <c r="U5399" s="3"/>
      <c r="V5399" s="3"/>
      <c r="W5399" s="3"/>
      <c r="X5399" s="3"/>
      <c r="Y5399" s="3"/>
      <c r="Z5399" s="3"/>
      <c r="AA5399" s="3"/>
    </row>
    <row r="5400" ht="105.75" customHeight="1">
      <c r="A5400" s="11"/>
      <c r="B5400" s="12"/>
      <c r="C5400" s="11"/>
      <c r="D5400" s="13"/>
      <c r="E5400" s="14"/>
      <c r="F5400" s="14"/>
      <c r="G5400" s="14"/>
      <c r="H5400" s="15"/>
      <c r="I5400" s="15"/>
      <c r="J5400" s="3"/>
      <c r="K5400" s="3"/>
      <c r="L5400" s="3"/>
      <c r="M5400" s="3"/>
      <c r="N5400" s="3"/>
      <c r="O5400" s="3"/>
      <c r="P5400" s="3"/>
      <c r="Q5400" s="3"/>
      <c r="R5400" s="3"/>
      <c r="S5400" s="3"/>
      <c r="T5400" s="3"/>
      <c r="U5400" s="3"/>
      <c r="V5400" s="3"/>
      <c r="W5400" s="3"/>
      <c r="X5400" s="3"/>
      <c r="Y5400" s="3"/>
      <c r="Z5400" s="3"/>
      <c r="AA5400" s="3"/>
    </row>
    <row r="5401" ht="105.75" customHeight="1">
      <c r="A5401" s="11"/>
      <c r="B5401" s="12"/>
      <c r="C5401" s="11"/>
      <c r="D5401" s="13"/>
      <c r="E5401" s="14"/>
      <c r="F5401" s="14"/>
      <c r="G5401" s="14"/>
      <c r="H5401" s="15"/>
      <c r="I5401" s="15"/>
      <c r="J5401" s="3"/>
      <c r="K5401" s="3"/>
      <c r="L5401" s="3"/>
      <c r="M5401" s="3"/>
      <c r="N5401" s="3"/>
      <c r="O5401" s="3"/>
      <c r="P5401" s="3"/>
      <c r="Q5401" s="3"/>
      <c r="R5401" s="3"/>
      <c r="S5401" s="3"/>
      <c r="T5401" s="3"/>
      <c r="U5401" s="3"/>
      <c r="V5401" s="3"/>
      <c r="W5401" s="3"/>
      <c r="X5401" s="3"/>
      <c r="Y5401" s="3"/>
      <c r="Z5401" s="3"/>
      <c r="AA5401" s="3"/>
    </row>
    <row r="5402" ht="105.75" customHeight="1">
      <c r="A5402" s="11"/>
      <c r="B5402" s="12"/>
      <c r="C5402" s="11"/>
      <c r="D5402" s="13"/>
      <c r="E5402" s="14"/>
      <c r="F5402" s="14"/>
      <c r="G5402" s="14"/>
      <c r="H5402" s="15"/>
      <c r="I5402" s="15"/>
      <c r="J5402" s="3"/>
      <c r="K5402" s="3"/>
      <c r="L5402" s="3"/>
      <c r="M5402" s="3"/>
      <c r="N5402" s="3"/>
      <c r="O5402" s="3"/>
      <c r="P5402" s="3"/>
      <c r="Q5402" s="3"/>
      <c r="R5402" s="3"/>
      <c r="S5402" s="3"/>
      <c r="T5402" s="3"/>
      <c r="U5402" s="3"/>
      <c r="V5402" s="3"/>
      <c r="W5402" s="3"/>
      <c r="X5402" s="3"/>
      <c r="Y5402" s="3"/>
      <c r="Z5402" s="3"/>
      <c r="AA5402" s="3"/>
    </row>
    <row r="5403" ht="105.75" customHeight="1">
      <c r="A5403" s="11"/>
      <c r="B5403" s="12"/>
      <c r="C5403" s="11"/>
      <c r="D5403" s="13"/>
      <c r="E5403" s="14"/>
      <c r="F5403" s="14"/>
      <c r="G5403" s="14"/>
      <c r="H5403" s="15"/>
      <c r="I5403" s="15"/>
      <c r="J5403" s="3"/>
      <c r="K5403" s="3"/>
      <c r="L5403" s="3"/>
      <c r="M5403" s="3"/>
      <c r="N5403" s="3"/>
      <c r="O5403" s="3"/>
      <c r="P5403" s="3"/>
      <c r="Q5403" s="3"/>
      <c r="R5403" s="3"/>
      <c r="S5403" s="3"/>
      <c r="T5403" s="3"/>
      <c r="U5403" s="3"/>
      <c r="V5403" s="3"/>
      <c r="W5403" s="3"/>
      <c r="X5403" s="3"/>
      <c r="Y5403" s="3"/>
      <c r="Z5403" s="3"/>
      <c r="AA5403" s="3"/>
    </row>
    <row r="5404" ht="105.75" customHeight="1">
      <c r="A5404" s="11"/>
      <c r="B5404" s="12"/>
      <c r="C5404" s="11"/>
      <c r="D5404" s="13"/>
      <c r="E5404" s="14"/>
      <c r="F5404" s="14"/>
      <c r="G5404" s="14"/>
      <c r="H5404" s="15"/>
      <c r="I5404" s="15"/>
      <c r="J5404" s="3"/>
      <c r="K5404" s="3"/>
      <c r="L5404" s="3"/>
      <c r="M5404" s="3"/>
      <c r="N5404" s="3"/>
      <c r="O5404" s="3"/>
      <c r="P5404" s="3"/>
      <c r="Q5404" s="3"/>
      <c r="R5404" s="3"/>
      <c r="S5404" s="3"/>
      <c r="T5404" s="3"/>
      <c r="U5404" s="3"/>
      <c r="V5404" s="3"/>
      <c r="W5404" s="3"/>
      <c r="X5404" s="3"/>
      <c r="Y5404" s="3"/>
      <c r="Z5404" s="3"/>
      <c r="AA5404" s="3"/>
    </row>
    <row r="5405" ht="105.75" customHeight="1">
      <c r="A5405" s="11"/>
      <c r="B5405" s="12"/>
      <c r="C5405" s="11"/>
      <c r="D5405" s="13"/>
      <c r="E5405" s="14"/>
      <c r="F5405" s="14"/>
      <c r="G5405" s="14"/>
      <c r="H5405" s="15"/>
      <c r="I5405" s="15"/>
      <c r="J5405" s="3"/>
      <c r="K5405" s="3"/>
      <c r="L5405" s="3"/>
      <c r="M5405" s="3"/>
      <c r="N5405" s="3"/>
      <c r="O5405" s="3"/>
      <c r="P5405" s="3"/>
      <c r="Q5405" s="3"/>
      <c r="R5405" s="3"/>
      <c r="S5405" s="3"/>
      <c r="T5405" s="3"/>
      <c r="U5405" s="3"/>
      <c r="V5405" s="3"/>
      <c r="W5405" s="3"/>
      <c r="X5405" s="3"/>
      <c r="Y5405" s="3"/>
      <c r="Z5405" s="3"/>
      <c r="AA5405" s="3"/>
    </row>
    <row r="5406" ht="105.75" customHeight="1">
      <c r="A5406" s="11"/>
      <c r="B5406" s="12"/>
      <c r="C5406" s="11"/>
      <c r="D5406" s="13"/>
      <c r="E5406" s="14"/>
      <c r="F5406" s="14"/>
      <c r="G5406" s="14"/>
      <c r="H5406" s="15"/>
      <c r="I5406" s="15"/>
      <c r="J5406" s="3"/>
      <c r="K5406" s="3"/>
      <c r="L5406" s="3"/>
      <c r="M5406" s="3"/>
      <c r="N5406" s="3"/>
      <c r="O5406" s="3"/>
      <c r="P5406" s="3"/>
      <c r="Q5406" s="3"/>
      <c r="R5406" s="3"/>
      <c r="S5406" s="3"/>
      <c r="T5406" s="3"/>
      <c r="U5406" s="3"/>
      <c r="V5406" s="3"/>
      <c r="W5406" s="3"/>
      <c r="X5406" s="3"/>
      <c r="Y5406" s="3"/>
      <c r="Z5406" s="3"/>
      <c r="AA5406" s="3"/>
    </row>
    <row r="5407" ht="105.75" customHeight="1">
      <c r="A5407" s="11"/>
      <c r="B5407" s="12"/>
      <c r="C5407" s="11"/>
      <c r="D5407" s="13"/>
      <c r="E5407" s="14"/>
      <c r="F5407" s="14"/>
      <c r="G5407" s="14"/>
      <c r="H5407" s="15"/>
      <c r="I5407" s="15"/>
      <c r="J5407" s="3"/>
      <c r="K5407" s="3"/>
      <c r="L5407" s="3"/>
      <c r="M5407" s="3"/>
      <c r="N5407" s="3"/>
      <c r="O5407" s="3"/>
      <c r="P5407" s="3"/>
      <c r="Q5407" s="3"/>
      <c r="R5407" s="3"/>
      <c r="S5407" s="3"/>
      <c r="T5407" s="3"/>
      <c r="U5407" s="3"/>
      <c r="V5407" s="3"/>
      <c r="W5407" s="3"/>
      <c r="X5407" s="3"/>
      <c r="Y5407" s="3"/>
      <c r="Z5407" s="3"/>
      <c r="AA5407" s="3"/>
    </row>
    <row r="5408" ht="105.75" customHeight="1">
      <c r="A5408" s="11"/>
      <c r="B5408" s="12"/>
      <c r="C5408" s="11"/>
      <c r="D5408" s="13"/>
      <c r="E5408" s="14"/>
      <c r="F5408" s="14"/>
      <c r="G5408" s="14"/>
      <c r="H5408" s="15"/>
      <c r="I5408" s="15"/>
      <c r="J5408" s="3"/>
      <c r="K5408" s="3"/>
      <c r="L5408" s="3"/>
      <c r="M5408" s="3"/>
      <c r="N5408" s="3"/>
      <c r="O5408" s="3"/>
      <c r="P5408" s="3"/>
      <c r="Q5408" s="3"/>
      <c r="R5408" s="3"/>
      <c r="S5408" s="3"/>
      <c r="T5408" s="3"/>
      <c r="U5408" s="3"/>
      <c r="V5408" s="3"/>
      <c r="W5408" s="3"/>
      <c r="X5408" s="3"/>
      <c r="Y5408" s="3"/>
      <c r="Z5408" s="3"/>
      <c r="AA5408" s="3"/>
    </row>
    <row r="5409" ht="105.75" customHeight="1">
      <c r="A5409" s="11"/>
      <c r="B5409" s="12"/>
      <c r="C5409" s="11"/>
      <c r="D5409" s="13"/>
      <c r="E5409" s="14"/>
      <c r="F5409" s="14"/>
      <c r="G5409" s="14"/>
      <c r="H5409" s="15"/>
      <c r="I5409" s="15"/>
      <c r="J5409" s="3"/>
      <c r="K5409" s="3"/>
      <c r="L5409" s="3"/>
      <c r="M5409" s="3"/>
      <c r="N5409" s="3"/>
      <c r="O5409" s="3"/>
      <c r="P5409" s="3"/>
      <c r="Q5409" s="3"/>
      <c r="R5409" s="3"/>
      <c r="S5409" s="3"/>
      <c r="T5409" s="3"/>
      <c r="U5409" s="3"/>
      <c r="V5409" s="3"/>
      <c r="W5409" s="3"/>
      <c r="X5409" s="3"/>
      <c r="Y5409" s="3"/>
      <c r="Z5409" s="3"/>
      <c r="AA5409" s="3"/>
    </row>
    <row r="5410" ht="105.75" customHeight="1">
      <c r="A5410" s="11"/>
      <c r="B5410" s="12"/>
      <c r="C5410" s="11"/>
      <c r="D5410" s="13"/>
      <c r="E5410" s="14"/>
      <c r="F5410" s="14"/>
      <c r="G5410" s="14"/>
      <c r="H5410" s="15"/>
      <c r="I5410" s="15"/>
      <c r="J5410" s="3"/>
      <c r="K5410" s="3"/>
      <c r="L5410" s="3"/>
      <c r="M5410" s="3"/>
      <c r="N5410" s="3"/>
      <c r="O5410" s="3"/>
      <c r="P5410" s="3"/>
      <c r="Q5410" s="3"/>
      <c r="R5410" s="3"/>
      <c r="S5410" s="3"/>
      <c r="T5410" s="3"/>
      <c r="U5410" s="3"/>
      <c r="V5410" s="3"/>
      <c r="W5410" s="3"/>
      <c r="X5410" s="3"/>
      <c r="Y5410" s="3"/>
      <c r="Z5410" s="3"/>
      <c r="AA5410" s="3"/>
    </row>
    <row r="5411" ht="105.75" customHeight="1">
      <c r="A5411" s="11"/>
      <c r="B5411" s="12"/>
      <c r="C5411" s="11"/>
      <c r="D5411" s="13"/>
      <c r="E5411" s="14"/>
      <c r="F5411" s="14"/>
      <c r="G5411" s="14"/>
      <c r="H5411" s="15"/>
      <c r="I5411" s="15"/>
      <c r="J5411" s="3"/>
      <c r="K5411" s="3"/>
      <c r="L5411" s="3"/>
      <c r="M5411" s="3"/>
      <c r="N5411" s="3"/>
      <c r="O5411" s="3"/>
      <c r="P5411" s="3"/>
      <c r="Q5411" s="3"/>
      <c r="R5411" s="3"/>
      <c r="S5411" s="3"/>
      <c r="T5411" s="3"/>
      <c r="U5411" s="3"/>
      <c r="V5411" s="3"/>
      <c r="W5411" s="3"/>
      <c r="X5411" s="3"/>
      <c r="Y5411" s="3"/>
      <c r="Z5411" s="3"/>
      <c r="AA5411" s="3"/>
    </row>
    <row r="5412" ht="105.75" customHeight="1">
      <c r="A5412" s="11"/>
      <c r="B5412" s="12"/>
      <c r="C5412" s="11"/>
      <c r="D5412" s="13"/>
      <c r="E5412" s="14"/>
      <c r="F5412" s="14"/>
      <c r="G5412" s="14"/>
      <c r="H5412" s="15"/>
      <c r="I5412" s="15"/>
      <c r="J5412" s="3"/>
      <c r="K5412" s="3"/>
      <c r="L5412" s="3"/>
      <c r="M5412" s="3"/>
      <c r="N5412" s="3"/>
      <c r="O5412" s="3"/>
      <c r="P5412" s="3"/>
      <c r="Q5412" s="3"/>
      <c r="R5412" s="3"/>
      <c r="S5412" s="3"/>
      <c r="T5412" s="3"/>
      <c r="U5412" s="3"/>
      <c r="V5412" s="3"/>
      <c r="W5412" s="3"/>
      <c r="X5412" s="3"/>
      <c r="Y5412" s="3"/>
      <c r="Z5412" s="3"/>
      <c r="AA5412" s="3"/>
    </row>
    <row r="5413" ht="105.75" customHeight="1">
      <c r="A5413" s="11"/>
      <c r="B5413" s="12"/>
      <c r="C5413" s="11"/>
      <c r="D5413" s="13"/>
      <c r="E5413" s="14"/>
      <c r="F5413" s="14"/>
      <c r="G5413" s="14"/>
      <c r="H5413" s="15"/>
      <c r="I5413" s="15"/>
      <c r="J5413" s="3"/>
      <c r="K5413" s="3"/>
      <c r="L5413" s="3"/>
      <c r="M5413" s="3"/>
      <c r="N5413" s="3"/>
      <c r="O5413" s="3"/>
      <c r="P5413" s="3"/>
      <c r="Q5413" s="3"/>
      <c r="R5413" s="3"/>
      <c r="S5413" s="3"/>
      <c r="T5413" s="3"/>
      <c r="U5413" s="3"/>
      <c r="V5413" s="3"/>
      <c r="W5413" s="3"/>
      <c r="X5413" s="3"/>
      <c r="Y5413" s="3"/>
      <c r="Z5413" s="3"/>
      <c r="AA5413" s="3"/>
    </row>
    <row r="5414" ht="105.75" customHeight="1">
      <c r="A5414" s="11"/>
      <c r="B5414" s="12"/>
      <c r="C5414" s="11"/>
      <c r="D5414" s="13"/>
      <c r="E5414" s="14"/>
      <c r="F5414" s="14"/>
      <c r="G5414" s="14"/>
      <c r="H5414" s="15"/>
      <c r="I5414" s="15"/>
      <c r="J5414" s="3"/>
      <c r="K5414" s="3"/>
      <c r="L5414" s="3"/>
      <c r="M5414" s="3"/>
      <c r="N5414" s="3"/>
      <c r="O5414" s="3"/>
      <c r="P5414" s="3"/>
      <c r="Q5414" s="3"/>
      <c r="R5414" s="3"/>
      <c r="S5414" s="3"/>
      <c r="T5414" s="3"/>
      <c r="U5414" s="3"/>
      <c r="V5414" s="3"/>
      <c r="W5414" s="3"/>
      <c r="X5414" s="3"/>
      <c r="Y5414" s="3"/>
      <c r="Z5414" s="3"/>
      <c r="AA5414" s="3"/>
    </row>
    <row r="5415" ht="105.75" customHeight="1">
      <c r="A5415" s="11"/>
      <c r="B5415" s="12"/>
      <c r="C5415" s="11"/>
      <c r="D5415" s="13"/>
      <c r="E5415" s="14"/>
      <c r="F5415" s="14"/>
      <c r="G5415" s="14"/>
      <c r="H5415" s="15"/>
      <c r="I5415" s="15"/>
      <c r="J5415" s="3"/>
      <c r="K5415" s="3"/>
      <c r="L5415" s="3"/>
      <c r="M5415" s="3"/>
      <c r="N5415" s="3"/>
      <c r="O5415" s="3"/>
      <c r="P5415" s="3"/>
      <c r="Q5415" s="3"/>
      <c r="R5415" s="3"/>
      <c r="S5415" s="3"/>
      <c r="T5415" s="3"/>
      <c r="U5415" s="3"/>
      <c r="V5415" s="3"/>
      <c r="W5415" s="3"/>
      <c r="X5415" s="3"/>
      <c r="Y5415" s="3"/>
      <c r="Z5415" s="3"/>
      <c r="AA5415" s="3"/>
    </row>
    <row r="5416" ht="105.75" customHeight="1">
      <c r="A5416" s="11"/>
      <c r="B5416" s="12"/>
      <c r="C5416" s="11"/>
      <c r="D5416" s="13"/>
      <c r="E5416" s="14"/>
      <c r="F5416" s="14"/>
      <c r="G5416" s="14"/>
      <c r="H5416" s="15"/>
      <c r="I5416" s="15"/>
      <c r="J5416" s="3"/>
      <c r="K5416" s="3"/>
      <c r="L5416" s="3"/>
      <c r="M5416" s="3"/>
      <c r="N5416" s="3"/>
      <c r="O5416" s="3"/>
      <c r="P5416" s="3"/>
      <c r="Q5416" s="3"/>
      <c r="R5416" s="3"/>
      <c r="S5416" s="3"/>
      <c r="T5416" s="3"/>
      <c r="U5416" s="3"/>
      <c r="V5416" s="3"/>
      <c r="W5416" s="3"/>
      <c r="X5416" s="3"/>
      <c r="Y5416" s="3"/>
      <c r="Z5416" s="3"/>
      <c r="AA5416" s="3"/>
    </row>
    <row r="5417" ht="105.75" customHeight="1">
      <c r="A5417" s="11"/>
      <c r="B5417" s="12"/>
      <c r="C5417" s="11"/>
      <c r="D5417" s="13"/>
      <c r="E5417" s="14"/>
      <c r="F5417" s="14"/>
      <c r="G5417" s="14"/>
      <c r="H5417" s="15"/>
      <c r="I5417" s="15"/>
      <c r="J5417" s="3"/>
      <c r="K5417" s="3"/>
      <c r="L5417" s="3"/>
      <c r="M5417" s="3"/>
      <c r="N5417" s="3"/>
      <c r="O5417" s="3"/>
      <c r="P5417" s="3"/>
      <c r="Q5417" s="3"/>
      <c r="R5417" s="3"/>
      <c r="S5417" s="3"/>
      <c r="T5417" s="3"/>
      <c r="U5417" s="3"/>
      <c r="V5417" s="3"/>
      <c r="W5417" s="3"/>
      <c r="X5417" s="3"/>
      <c r="Y5417" s="3"/>
      <c r="Z5417" s="3"/>
      <c r="AA5417" s="3"/>
    </row>
    <row r="5418" ht="105.75" customHeight="1">
      <c r="A5418" s="11"/>
      <c r="B5418" s="12"/>
      <c r="C5418" s="11"/>
      <c r="D5418" s="13"/>
      <c r="E5418" s="14"/>
      <c r="F5418" s="14"/>
      <c r="G5418" s="14"/>
      <c r="H5418" s="15"/>
      <c r="I5418" s="15"/>
      <c r="J5418" s="3"/>
      <c r="K5418" s="3"/>
      <c r="L5418" s="3"/>
      <c r="M5418" s="3"/>
      <c r="N5418" s="3"/>
      <c r="O5418" s="3"/>
      <c r="P5418" s="3"/>
      <c r="Q5418" s="3"/>
      <c r="R5418" s="3"/>
      <c r="S5418" s="3"/>
      <c r="T5418" s="3"/>
      <c r="U5418" s="3"/>
      <c r="V5418" s="3"/>
      <c r="W5418" s="3"/>
      <c r="X5418" s="3"/>
      <c r="Y5418" s="3"/>
      <c r="Z5418" s="3"/>
      <c r="AA5418" s="3"/>
    </row>
    <row r="5419" ht="105.75" customHeight="1">
      <c r="A5419" s="11"/>
      <c r="B5419" s="12"/>
      <c r="C5419" s="11"/>
      <c r="D5419" s="13"/>
      <c r="E5419" s="14"/>
      <c r="F5419" s="14"/>
      <c r="G5419" s="14"/>
      <c r="H5419" s="15"/>
      <c r="I5419" s="15"/>
      <c r="J5419" s="3"/>
      <c r="K5419" s="3"/>
      <c r="L5419" s="3"/>
      <c r="M5419" s="3"/>
      <c r="N5419" s="3"/>
      <c r="O5419" s="3"/>
      <c r="P5419" s="3"/>
      <c r="Q5419" s="3"/>
      <c r="R5419" s="3"/>
      <c r="S5419" s="3"/>
      <c r="T5419" s="3"/>
      <c r="U5419" s="3"/>
      <c r="V5419" s="3"/>
      <c r="W5419" s="3"/>
      <c r="X5419" s="3"/>
      <c r="Y5419" s="3"/>
      <c r="Z5419" s="3"/>
      <c r="AA5419" s="3"/>
    </row>
    <row r="5420" ht="105.75" customHeight="1">
      <c r="A5420" s="11"/>
      <c r="B5420" s="12"/>
      <c r="C5420" s="11"/>
      <c r="D5420" s="13"/>
      <c r="E5420" s="14"/>
      <c r="F5420" s="14"/>
      <c r="G5420" s="14"/>
      <c r="H5420" s="15"/>
      <c r="I5420" s="15"/>
      <c r="J5420" s="3"/>
      <c r="K5420" s="3"/>
      <c r="L5420" s="3"/>
      <c r="M5420" s="3"/>
      <c r="N5420" s="3"/>
      <c r="O5420" s="3"/>
      <c r="P5420" s="3"/>
      <c r="Q5420" s="3"/>
      <c r="R5420" s="3"/>
      <c r="S5420" s="3"/>
      <c r="T5420" s="3"/>
      <c r="U5420" s="3"/>
      <c r="V5420" s="3"/>
      <c r="W5420" s="3"/>
      <c r="X5420" s="3"/>
      <c r="Y5420" s="3"/>
      <c r="Z5420" s="3"/>
      <c r="AA5420" s="3"/>
    </row>
    <row r="5421" ht="105.75" customHeight="1">
      <c r="A5421" s="11"/>
      <c r="B5421" s="12"/>
      <c r="C5421" s="11"/>
      <c r="D5421" s="13"/>
      <c r="E5421" s="14"/>
      <c r="F5421" s="14"/>
      <c r="G5421" s="14"/>
      <c r="H5421" s="15"/>
      <c r="I5421" s="15"/>
      <c r="J5421" s="3"/>
      <c r="K5421" s="3"/>
      <c r="L5421" s="3"/>
      <c r="M5421" s="3"/>
      <c r="N5421" s="3"/>
      <c r="O5421" s="3"/>
      <c r="P5421" s="3"/>
      <c r="Q5421" s="3"/>
      <c r="R5421" s="3"/>
      <c r="S5421" s="3"/>
      <c r="T5421" s="3"/>
      <c r="U5421" s="3"/>
      <c r="V5421" s="3"/>
      <c r="W5421" s="3"/>
      <c r="X5421" s="3"/>
      <c r="Y5421" s="3"/>
      <c r="Z5421" s="3"/>
      <c r="AA5421" s="3"/>
    </row>
    <row r="5422" ht="105.75" customHeight="1">
      <c r="A5422" s="11"/>
      <c r="B5422" s="12"/>
      <c r="C5422" s="11"/>
      <c r="D5422" s="13"/>
      <c r="E5422" s="14"/>
      <c r="F5422" s="14"/>
      <c r="G5422" s="14"/>
      <c r="H5422" s="15"/>
      <c r="I5422" s="15"/>
      <c r="J5422" s="3"/>
      <c r="K5422" s="3"/>
      <c r="L5422" s="3"/>
      <c r="M5422" s="3"/>
      <c r="N5422" s="3"/>
      <c r="O5422" s="3"/>
      <c r="P5422" s="3"/>
      <c r="Q5422" s="3"/>
      <c r="R5422" s="3"/>
      <c r="S5422" s="3"/>
      <c r="T5422" s="3"/>
      <c r="U5422" s="3"/>
      <c r="V5422" s="3"/>
      <c r="W5422" s="3"/>
      <c r="X5422" s="3"/>
      <c r="Y5422" s="3"/>
      <c r="Z5422" s="3"/>
      <c r="AA5422" s="3"/>
    </row>
    <row r="5423" ht="105.75" customHeight="1">
      <c r="A5423" s="11"/>
      <c r="B5423" s="12"/>
      <c r="C5423" s="11"/>
      <c r="D5423" s="13"/>
      <c r="E5423" s="14"/>
      <c r="F5423" s="14"/>
      <c r="G5423" s="14"/>
      <c r="H5423" s="15"/>
      <c r="I5423" s="15"/>
      <c r="J5423" s="3"/>
      <c r="K5423" s="3"/>
      <c r="L5423" s="3"/>
      <c r="M5423" s="3"/>
      <c r="N5423" s="3"/>
      <c r="O5423" s="3"/>
      <c r="P5423" s="3"/>
      <c r="Q5423" s="3"/>
      <c r="R5423" s="3"/>
      <c r="S5423" s="3"/>
      <c r="T5423" s="3"/>
      <c r="U5423" s="3"/>
      <c r="V5423" s="3"/>
      <c r="W5423" s="3"/>
      <c r="X5423" s="3"/>
      <c r="Y5423" s="3"/>
      <c r="Z5423" s="3"/>
      <c r="AA5423" s="3"/>
    </row>
    <row r="5424" ht="105.75" customHeight="1">
      <c r="A5424" s="11"/>
      <c r="B5424" s="12"/>
      <c r="C5424" s="11"/>
      <c r="D5424" s="13"/>
      <c r="E5424" s="14"/>
      <c r="F5424" s="14"/>
      <c r="G5424" s="14"/>
      <c r="H5424" s="15"/>
      <c r="I5424" s="15"/>
      <c r="J5424" s="3"/>
      <c r="K5424" s="3"/>
      <c r="L5424" s="3"/>
      <c r="M5424" s="3"/>
      <c r="N5424" s="3"/>
      <c r="O5424" s="3"/>
      <c r="P5424" s="3"/>
      <c r="Q5424" s="3"/>
      <c r="R5424" s="3"/>
      <c r="S5424" s="3"/>
      <c r="T5424" s="3"/>
      <c r="U5424" s="3"/>
      <c r="V5424" s="3"/>
      <c r="W5424" s="3"/>
      <c r="X5424" s="3"/>
      <c r="Y5424" s="3"/>
      <c r="Z5424" s="3"/>
      <c r="AA5424" s="3"/>
    </row>
    <row r="5425" ht="105.75" customHeight="1">
      <c r="A5425" s="11"/>
      <c r="B5425" s="12"/>
      <c r="C5425" s="11"/>
      <c r="D5425" s="13"/>
      <c r="E5425" s="14"/>
      <c r="F5425" s="14"/>
      <c r="G5425" s="14"/>
      <c r="H5425" s="15"/>
      <c r="I5425" s="15"/>
      <c r="J5425" s="3"/>
      <c r="K5425" s="3"/>
      <c r="L5425" s="3"/>
      <c r="M5425" s="3"/>
      <c r="N5425" s="3"/>
      <c r="O5425" s="3"/>
      <c r="P5425" s="3"/>
      <c r="Q5425" s="3"/>
      <c r="R5425" s="3"/>
      <c r="S5425" s="3"/>
      <c r="T5425" s="3"/>
      <c r="U5425" s="3"/>
      <c r="V5425" s="3"/>
      <c r="W5425" s="3"/>
      <c r="X5425" s="3"/>
      <c r="Y5425" s="3"/>
      <c r="Z5425" s="3"/>
      <c r="AA5425" s="3"/>
    </row>
    <row r="5426" ht="105.75" customHeight="1">
      <c r="A5426" s="11"/>
      <c r="B5426" s="12"/>
      <c r="C5426" s="11"/>
      <c r="D5426" s="13"/>
      <c r="E5426" s="14"/>
      <c r="F5426" s="14"/>
      <c r="G5426" s="14"/>
      <c r="H5426" s="15"/>
      <c r="I5426" s="15"/>
      <c r="J5426" s="3"/>
      <c r="K5426" s="3"/>
      <c r="L5426" s="3"/>
      <c r="M5426" s="3"/>
      <c r="N5426" s="3"/>
      <c r="O5426" s="3"/>
      <c r="P5426" s="3"/>
      <c r="Q5426" s="3"/>
      <c r="R5426" s="3"/>
      <c r="S5426" s="3"/>
      <c r="T5426" s="3"/>
      <c r="U5426" s="3"/>
      <c r="V5426" s="3"/>
      <c r="W5426" s="3"/>
      <c r="X5426" s="3"/>
      <c r="Y5426" s="3"/>
      <c r="Z5426" s="3"/>
      <c r="AA5426" s="3"/>
    </row>
    <row r="5427" ht="105.75" customHeight="1">
      <c r="A5427" s="11"/>
      <c r="B5427" s="12"/>
      <c r="C5427" s="11"/>
      <c r="D5427" s="13"/>
      <c r="E5427" s="14"/>
      <c r="F5427" s="14"/>
      <c r="G5427" s="14"/>
      <c r="H5427" s="15"/>
      <c r="I5427" s="15"/>
      <c r="J5427" s="3"/>
      <c r="K5427" s="3"/>
      <c r="L5427" s="3"/>
      <c r="M5427" s="3"/>
      <c r="N5427" s="3"/>
      <c r="O5427" s="3"/>
      <c r="P5427" s="3"/>
      <c r="Q5427" s="3"/>
      <c r="R5427" s="3"/>
      <c r="S5427" s="3"/>
      <c r="T5427" s="3"/>
      <c r="U5427" s="3"/>
      <c r="V5427" s="3"/>
      <c r="W5427" s="3"/>
      <c r="X5427" s="3"/>
      <c r="Y5427" s="3"/>
      <c r="Z5427" s="3"/>
      <c r="AA5427" s="3"/>
    </row>
    <row r="5428" ht="105.75" customHeight="1">
      <c r="A5428" s="11"/>
      <c r="B5428" s="12"/>
      <c r="C5428" s="11"/>
      <c r="D5428" s="13"/>
      <c r="E5428" s="14"/>
      <c r="F5428" s="14"/>
      <c r="G5428" s="14"/>
      <c r="H5428" s="15"/>
      <c r="I5428" s="15"/>
      <c r="J5428" s="3"/>
      <c r="K5428" s="3"/>
      <c r="L5428" s="3"/>
      <c r="M5428" s="3"/>
      <c r="N5428" s="3"/>
      <c r="O5428" s="3"/>
      <c r="P5428" s="3"/>
      <c r="Q5428" s="3"/>
      <c r="R5428" s="3"/>
      <c r="S5428" s="3"/>
      <c r="T5428" s="3"/>
      <c r="U5428" s="3"/>
      <c r="V5428" s="3"/>
      <c r="W5428" s="3"/>
      <c r="X5428" s="3"/>
      <c r="Y5428" s="3"/>
      <c r="Z5428" s="3"/>
      <c r="AA5428" s="3"/>
    </row>
    <row r="5429" ht="105.75" customHeight="1">
      <c r="A5429" s="11"/>
      <c r="B5429" s="12"/>
      <c r="C5429" s="11"/>
      <c r="D5429" s="13"/>
      <c r="E5429" s="14"/>
      <c r="F5429" s="14"/>
      <c r="G5429" s="14"/>
      <c r="H5429" s="15"/>
      <c r="I5429" s="15"/>
      <c r="J5429" s="3"/>
      <c r="K5429" s="3"/>
      <c r="L5429" s="3"/>
      <c r="M5429" s="3"/>
      <c r="N5429" s="3"/>
      <c r="O5429" s="3"/>
      <c r="P5429" s="3"/>
      <c r="Q5429" s="3"/>
      <c r="R5429" s="3"/>
      <c r="S5429" s="3"/>
      <c r="T5429" s="3"/>
      <c r="U5429" s="3"/>
      <c r="V5429" s="3"/>
      <c r="W5429" s="3"/>
      <c r="X5429" s="3"/>
      <c r="Y5429" s="3"/>
      <c r="Z5429" s="3"/>
      <c r="AA5429" s="3"/>
    </row>
    <row r="5430" ht="105.75" customHeight="1">
      <c r="A5430" s="11"/>
      <c r="B5430" s="12"/>
      <c r="C5430" s="11"/>
      <c r="D5430" s="13"/>
      <c r="E5430" s="14"/>
      <c r="F5430" s="14"/>
      <c r="G5430" s="14"/>
      <c r="H5430" s="15"/>
      <c r="I5430" s="15"/>
      <c r="J5430" s="3"/>
      <c r="K5430" s="3"/>
      <c r="L5430" s="3"/>
      <c r="M5430" s="3"/>
      <c r="N5430" s="3"/>
      <c r="O5430" s="3"/>
      <c r="P5430" s="3"/>
      <c r="Q5430" s="3"/>
      <c r="R5430" s="3"/>
      <c r="S5430" s="3"/>
      <c r="T5430" s="3"/>
      <c r="U5430" s="3"/>
      <c r="V5430" s="3"/>
      <c r="W5430" s="3"/>
      <c r="X5430" s="3"/>
      <c r="Y5430" s="3"/>
      <c r="Z5430" s="3"/>
      <c r="AA5430" s="3"/>
    </row>
    <row r="5431" ht="105.75" customHeight="1">
      <c r="A5431" s="11"/>
      <c r="B5431" s="12"/>
      <c r="C5431" s="11"/>
      <c r="D5431" s="13"/>
      <c r="E5431" s="14"/>
      <c r="F5431" s="14"/>
      <c r="G5431" s="14"/>
      <c r="H5431" s="15"/>
      <c r="I5431" s="15"/>
      <c r="J5431" s="3"/>
      <c r="K5431" s="3"/>
      <c r="L5431" s="3"/>
      <c r="M5431" s="3"/>
      <c r="N5431" s="3"/>
      <c r="O5431" s="3"/>
      <c r="P5431" s="3"/>
      <c r="Q5431" s="3"/>
      <c r="R5431" s="3"/>
      <c r="S5431" s="3"/>
      <c r="T5431" s="3"/>
      <c r="U5431" s="3"/>
      <c r="V5431" s="3"/>
      <c r="W5431" s="3"/>
      <c r="X5431" s="3"/>
      <c r="Y5431" s="3"/>
      <c r="Z5431" s="3"/>
      <c r="AA5431" s="3"/>
    </row>
    <row r="5432" ht="105.75" customHeight="1">
      <c r="A5432" s="11"/>
      <c r="B5432" s="12"/>
      <c r="C5432" s="11"/>
      <c r="D5432" s="13"/>
      <c r="E5432" s="14"/>
      <c r="F5432" s="14"/>
      <c r="G5432" s="14"/>
      <c r="H5432" s="15"/>
      <c r="I5432" s="15"/>
      <c r="J5432" s="3"/>
      <c r="K5432" s="3"/>
      <c r="L5432" s="3"/>
      <c r="M5432" s="3"/>
      <c r="N5432" s="3"/>
      <c r="O5432" s="3"/>
      <c r="P5432" s="3"/>
      <c r="Q5432" s="3"/>
      <c r="R5432" s="3"/>
      <c r="S5432" s="3"/>
      <c r="T5432" s="3"/>
      <c r="U5432" s="3"/>
      <c r="V5432" s="3"/>
      <c r="W5432" s="3"/>
      <c r="X5432" s="3"/>
      <c r="Y5432" s="3"/>
      <c r="Z5432" s="3"/>
      <c r="AA5432" s="3"/>
    </row>
    <row r="5433" ht="105.75" customHeight="1">
      <c r="A5433" s="11"/>
      <c r="B5433" s="12"/>
      <c r="C5433" s="11"/>
      <c r="D5433" s="13"/>
      <c r="E5433" s="14"/>
      <c r="F5433" s="14"/>
      <c r="G5433" s="14"/>
      <c r="H5433" s="15"/>
      <c r="I5433" s="15"/>
      <c r="J5433" s="3"/>
      <c r="K5433" s="3"/>
      <c r="L5433" s="3"/>
      <c r="M5433" s="3"/>
      <c r="N5433" s="3"/>
      <c r="O5433" s="3"/>
      <c r="P5433" s="3"/>
      <c r="Q5433" s="3"/>
      <c r="R5433" s="3"/>
      <c r="S5433" s="3"/>
      <c r="T5433" s="3"/>
      <c r="U5433" s="3"/>
      <c r="V5433" s="3"/>
      <c r="W5433" s="3"/>
      <c r="X5433" s="3"/>
      <c r="Y5433" s="3"/>
      <c r="Z5433" s="3"/>
      <c r="AA5433" s="3"/>
    </row>
    <row r="5434" ht="105.75" customHeight="1">
      <c r="A5434" s="11"/>
      <c r="B5434" s="12"/>
      <c r="C5434" s="11"/>
      <c r="D5434" s="13"/>
      <c r="E5434" s="14"/>
      <c r="F5434" s="14"/>
      <c r="G5434" s="14"/>
      <c r="H5434" s="15"/>
      <c r="I5434" s="15"/>
      <c r="J5434" s="3"/>
      <c r="K5434" s="3"/>
      <c r="L5434" s="3"/>
      <c r="M5434" s="3"/>
      <c r="N5434" s="3"/>
      <c r="O5434" s="3"/>
      <c r="P5434" s="3"/>
      <c r="Q5434" s="3"/>
      <c r="R5434" s="3"/>
      <c r="S5434" s="3"/>
      <c r="T5434" s="3"/>
      <c r="U5434" s="3"/>
      <c r="V5434" s="3"/>
      <c r="W5434" s="3"/>
      <c r="X5434" s="3"/>
      <c r="Y5434" s="3"/>
      <c r="Z5434" s="3"/>
      <c r="AA5434" s="3"/>
    </row>
    <row r="5435" ht="105.75" customHeight="1">
      <c r="A5435" s="11"/>
      <c r="B5435" s="12"/>
      <c r="C5435" s="11"/>
      <c r="D5435" s="13"/>
      <c r="E5435" s="14"/>
      <c r="F5435" s="14"/>
      <c r="G5435" s="14"/>
      <c r="H5435" s="15"/>
      <c r="I5435" s="15"/>
      <c r="J5435" s="3"/>
      <c r="K5435" s="3"/>
      <c r="L5435" s="3"/>
      <c r="M5435" s="3"/>
      <c r="N5435" s="3"/>
      <c r="O5435" s="3"/>
      <c r="P5435" s="3"/>
      <c r="Q5435" s="3"/>
      <c r="R5435" s="3"/>
      <c r="S5435" s="3"/>
      <c r="T5435" s="3"/>
      <c r="U5435" s="3"/>
      <c r="V5435" s="3"/>
      <c r="W5435" s="3"/>
      <c r="X5435" s="3"/>
      <c r="Y5435" s="3"/>
      <c r="Z5435" s="3"/>
      <c r="AA5435" s="3"/>
    </row>
    <row r="5436" ht="105.75" customHeight="1">
      <c r="A5436" s="11"/>
      <c r="B5436" s="12"/>
      <c r="C5436" s="11"/>
      <c r="D5436" s="13"/>
      <c r="E5436" s="14"/>
      <c r="F5436" s="14"/>
      <c r="G5436" s="14"/>
      <c r="H5436" s="15"/>
      <c r="I5436" s="15"/>
      <c r="J5436" s="3"/>
      <c r="K5436" s="3"/>
      <c r="L5436" s="3"/>
      <c r="M5436" s="3"/>
      <c r="N5436" s="3"/>
      <c r="O5436" s="3"/>
      <c r="P5436" s="3"/>
      <c r="Q5436" s="3"/>
      <c r="R5436" s="3"/>
      <c r="S5436" s="3"/>
      <c r="T5436" s="3"/>
      <c r="U5436" s="3"/>
      <c r="V5436" s="3"/>
      <c r="W5436" s="3"/>
      <c r="X5436" s="3"/>
      <c r="Y5436" s="3"/>
      <c r="Z5436" s="3"/>
      <c r="AA5436" s="3"/>
    </row>
    <row r="5437" ht="105.75" customHeight="1">
      <c r="A5437" s="11"/>
      <c r="B5437" s="12"/>
      <c r="C5437" s="11"/>
      <c r="D5437" s="13"/>
      <c r="E5437" s="14"/>
      <c r="F5437" s="14"/>
      <c r="G5437" s="14"/>
      <c r="H5437" s="15"/>
      <c r="I5437" s="15"/>
      <c r="J5437" s="3"/>
      <c r="K5437" s="3"/>
      <c r="L5437" s="3"/>
      <c r="M5437" s="3"/>
      <c r="N5437" s="3"/>
      <c r="O5437" s="3"/>
      <c r="P5437" s="3"/>
      <c r="Q5437" s="3"/>
      <c r="R5437" s="3"/>
      <c r="S5437" s="3"/>
      <c r="T5437" s="3"/>
      <c r="U5437" s="3"/>
      <c r="V5437" s="3"/>
      <c r="W5437" s="3"/>
      <c r="X5437" s="3"/>
      <c r="Y5437" s="3"/>
      <c r="Z5437" s="3"/>
      <c r="AA5437" s="3"/>
    </row>
    <row r="5438" ht="105.75" customHeight="1">
      <c r="A5438" s="11"/>
      <c r="B5438" s="12"/>
      <c r="C5438" s="11"/>
      <c r="D5438" s="13"/>
      <c r="E5438" s="14"/>
      <c r="F5438" s="14"/>
      <c r="G5438" s="14"/>
      <c r="H5438" s="15"/>
      <c r="I5438" s="15"/>
      <c r="J5438" s="3"/>
      <c r="K5438" s="3"/>
      <c r="L5438" s="3"/>
      <c r="M5438" s="3"/>
      <c r="N5438" s="3"/>
      <c r="O5438" s="3"/>
      <c r="P5438" s="3"/>
      <c r="Q5438" s="3"/>
      <c r="R5438" s="3"/>
      <c r="S5438" s="3"/>
      <c r="T5438" s="3"/>
      <c r="U5438" s="3"/>
      <c r="V5438" s="3"/>
      <c r="W5438" s="3"/>
      <c r="X5438" s="3"/>
      <c r="Y5438" s="3"/>
      <c r="Z5438" s="3"/>
      <c r="AA5438" s="3"/>
    </row>
    <row r="5439" ht="105.75" customHeight="1">
      <c r="A5439" s="11"/>
      <c r="B5439" s="12"/>
      <c r="C5439" s="11"/>
      <c r="D5439" s="13"/>
      <c r="E5439" s="14"/>
      <c r="F5439" s="14"/>
      <c r="G5439" s="14"/>
      <c r="H5439" s="15"/>
      <c r="I5439" s="15"/>
      <c r="J5439" s="3"/>
      <c r="K5439" s="3"/>
      <c r="L5439" s="3"/>
      <c r="M5439" s="3"/>
      <c r="N5439" s="3"/>
      <c r="O5439" s="3"/>
      <c r="P5439" s="3"/>
      <c r="Q5439" s="3"/>
      <c r="R5439" s="3"/>
      <c r="S5439" s="3"/>
      <c r="T5439" s="3"/>
      <c r="U5439" s="3"/>
      <c r="V5439" s="3"/>
      <c r="W5439" s="3"/>
      <c r="X5439" s="3"/>
      <c r="Y5439" s="3"/>
      <c r="Z5439" s="3"/>
      <c r="AA5439" s="3"/>
    </row>
    <row r="5440" ht="105.75" customHeight="1">
      <c r="A5440" s="11"/>
      <c r="B5440" s="12"/>
      <c r="C5440" s="11"/>
      <c r="D5440" s="13"/>
      <c r="E5440" s="14"/>
      <c r="F5440" s="14"/>
      <c r="G5440" s="14"/>
      <c r="H5440" s="15"/>
      <c r="I5440" s="15"/>
      <c r="J5440" s="3"/>
      <c r="K5440" s="3"/>
      <c r="L5440" s="3"/>
      <c r="M5440" s="3"/>
      <c r="N5440" s="3"/>
      <c r="O5440" s="3"/>
      <c r="P5440" s="3"/>
      <c r="Q5440" s="3"/>
      <c r="R5440" s="3"/>
      <c r="S5440" s="3"/>
      <c r="T5440" s="3"/>
      <c r="U5440" s="3"/>
      <c r="V5440" s="3"/>
      <c r="W5440" s="3"/>
      <c r="X5440" s="3"/>
      <c r="Y5440" s="3"/>
      <c r="Z5440" s="3"/>
      <c r="AA5440" s="3"/>
    </row>
    <row r="5441" ht="105.75" customHeight="1">
      <c r="A5441" s="11"/>
      <c r="B5441" s="12"/>
      <c r="C5441" s="11"/>
      <c r="D5441" s="13"/>
      <c r="E5441" s="14"/>
      <c r="F5441" s="14"/>
      <c r="G5441" s="14"/>
      <c r="H5441" s="15"/>
      <c r="I5441" s="15"/>
      <c r="J5441" s="3"/>
      <c r="K5441" s="3"/>
      <c r="L5441" s="3"/>
      <c r="M5441" s="3"/>
      <c r="N5441" s="3"/>
      <c r="O5441" s="3"/>
      <c r="P5441" s="3"/>
      <c r="Q5441" s="3"/>
      <c r="R5441" s="3"/>
      <c r="S5441" s="3"/>
      <c r="T5441" s="3"/>
      <c r="U5441" s="3"/>
      <c r="V5441" s="3"/>
      <c r="W5441" s="3"/>
      <c r="X5441" s="3"/>
      <c r="Y5441" s="3"/>
      <c r="Z5441" s="3"/>
      <c r="AA5441" s="3"/>
    </row>
    <row r="5442" ht="105.75" customHeight="1">
      <c r="A5442" s="11"/>
      <c r="B5442" s="12"/>
      <c r="C5442" s="11"/>
      <c r="D5442" s="13"/>
      <c r="E5442" s="14"/>
      <c r="F5442" s="14"/>
      <c r="G5442" s="14"/>
      <c r="H5442" s="15"/>
      <c r="I5442" s="15"/>
      <c r="J5442" s="3"/>
      <c r="K5442" s="3"/>
      <c r="L5442" s="3"/>
      <c r="M5442" s="3"/>
      <c r="N5442" s="3"/>
      <c r="O5442" s="3"/>
      <c r="P5442" s="3"/>
      <c r="Q5442" s="3"/>
      <c r="R5442" s="3"/>
      <c r="S5442" s="3"/>
      <c r="T5442" s="3"/>
      <c r="U5442" s="3"/>
      <c r="V5442" s="3"/>
      <c r="W5442" s="3"/>
      <c r="X5442" s="3"/>
      <c r="Y5442" s="3"/>
      <c r="Z5442" s="3"/>
      <c r="AA5442" s="3"/>
    </row>
    <row r="5443" ht="105.75" customHeight="1">
      <c r="A5443" s="11"/>
      <c r="B5443" s="12"/>
      <c r="C5443" s="11"/>
      <c r="D5443" s="13"/>
      <c r="E5443" s="14"/>
      <c r="F5443" s="14"/>
      <c r="G5443" s="14"/>
      <c r="H5443" s="15"/>
      <c r="I5443" s="15"/>
      <c r="J5443" s="3"/>
      <c r="K5443" s="3"/>
      <c r="L5443" s="3"/>
      <c r="M5443" s="3"/>
      <c r="N5443" s="3"/>
      <c r="O5443" s="3"/>
      <c r="P5443" s="3"/>
      <c r="Q5443" s="3"/>
      <c r="R5443" s="3"/>
      <c r="S5443" s="3"/>
      <c r="T5443" s="3"/>
      <c r="U5443" s="3"/>
      <c r="V5443" s="3"/>
      <c r="W5443" s="3"/>
      <c r="X5443" s="3"/>
      <c r="Y5443" s="3"/>
      <c r="Z5443" s="3"/>
      <c r="AA5443" s="3"/>
    </row>
    <row r="5444" ht="105.75" customHeight="1">
      <c r="A5444" s="11"/>
      <c r="B5444" s="12"/>
      <c r="C5444" s="11"/>
      <c r="D5444" s="13"/>
      <c r="E5444" s="14"/>
      <c r="F5444" s="14"/>
      <c r="G5444" s="14"/>
      <c r="H5444" s="15"/>
      <c r="I5444" s="15"/>
      <c r="J5444" s="3"/>
      <c r="K5444" s="3"/>
      <c r="L5444" s="3"/>
      <c r="M5444" s="3"/>
      <c r="N5444" s="3"/>
      <c r="O5444" s="3"/>
      <c r="P5444" s="3"/>
      <c r="Q5444" s="3"/>
      <c r="R5444" s="3"/>
      <c r="S5444" s="3"/>
      <c r="T5444" s="3"/>
      <c r="U5444" s="3"/>
      <c r="V5444" s="3"/>
      <c r="W5444" s="3"/>
      <c r="X5444" s="3"/>
      <c r="Y5444" s="3"/>
      <c r="Z5444" s="3"/>
      <c r="AA5444" s="3"/>
    </row>
    <row r="5445" ht="105.75" customHeight="1">
      <c r="A5445" s="11"/>
      <c r="B5445" s="12"/>
      <c r="C5445" s="11"/>
      <c r="D5445" s="13"/>
      <c r="E5445" s="14"/>
      <c r="F5445" s="14"/>
      <c r="G5445" s="14"/>
      <c r="H5445" s="15"/>
      <c r="I5445" s="15"/>
      <c r="J5445" s="3"/>
      <c r="K5445" s="3"/>
      <c r="L5445" s="3"/>
      <c r="M5445" s="3"/>
      <c r="N5445" s="3"/>
      <c r="O5445" s="3"/>
      <c r="P5445" s="3"/>
      <c r="Q5445" s="3"/>
      <c r="R5445" s="3"/>
      <c r="S5445" s="3"/>
      <c r="T5445" s="3"/>
      <c r="U5445" s="3"/>
      <c r="V5445" s="3"/>
      <c r="W5445" s="3"/>
      <c r="X5445" s="3"/>
      <c r="Y5445" s="3"/>
      <c r="Z5445" s="3"/>
      <c r="AA5445" s="3"/>
    </row>
    <row r="5446" ht="105.75" customHeight="1">
      <c r="A5446" s="11"/>
      <c r="B5446" s="12"/>
      <c r="C5446" s="11"/>
      <c r="D5446" s="13"/>
      <c r="E5446" s="14"/>
      <c r="F5446" s="14"/>
      <c r="G5446" s="14"/>
      <c r="H5446" s="15"/>
      <c r="I5446" s="15"/>
      <c r="J5446" s="3"/>
      <c r="K5446" s="3"/>
      <c r="L5446" s="3"/>
      <c r="M5446" s="3"/>
      <c r="N5446" s="3"/>
      <c r="O5446" s="3"/>
      <c r="P5446" s="3"/>
      <c r="Q5446" s="3"/>
      <c r="R5446" s="3"/>
      <c r="S5446" s="3"/>
      <c r="T5446" s="3"/>
      <c r="U5446" s="3"/>
      <c r="V5446" s="3"/>
      <c r="W5446" s="3"/>
      <c r="X5446" s="3"/>
      <c r="Y5446" s="3"/>
      <c r="Z5446" s="3"/>
      <c r="AA5446" s="3"/>
    </row>
    <row r="5447" ht="105.75" customHeight="1">
      <c r="A5447" s="11"/>
      <c r="B5447" s="12"/>
      <c r="C5447" s="11"/>
      <c r="D5447" s="13"/>
      <c r="E5447" s="14"/>
      <c r="F5447" s="14"/>
      <c r="G5447" s="14"/>
      <c r="H5447" s="15"/>
      <c r="I5447" s="15"/>
      <c r="J5447" s="3"/>
      <c r="K5447" s="3"/>
      <c r="L5447" s="3"/>
      <c r="M5447" s="3"/>
      <c r="N5447" s="3"/>
      <c r="O5447" s="3"/>
      <c r="P5447" s="3"/>
      <c r="Q5447" s="3"/>
      <c r="R5447" s="3"/>
      <c r="S5447" s="3"/>
      <c r="T5447" s="3"/>
      <c r="U5447" s="3"/>
      <c r="V5447" s="3"/>
      <c r="W5447" s="3"/>
      <c r="X5447" s="3"/>
      <c r="Y5447" s="3"/>
      <c r="Z5447" s="3"/>
      <c r="AA5447" s="3"/>
    </row>
    <row r="5448" ht="105.75" customHeight="1">
      <c r="A5448" s="11"/>
      <c r="B5448" s="12"/>
      <c r="C5448" s="11"/>
      <c r="D5448" s="13"/>
      <c r="E5448" s="14"/>
      <c r="F5448" s="14"/>
      <c r="G5448" s="14"/>
      <c r="H5448" s="15"/>
      <c r="I5448" s="15"/>
      <c r="J5448" s="3"/>
      <c r="K5448" s="3"/>
      <c r="L5448" s="3"/>
      <c r="M5448" s="3"/>
      <c r="N5448" s="3"/>
      <c r="O5448" s="3"/>
      <c r="P5448" s="3"/>
      <c r="Q5448" s="3"/>
      <c r="R5448" s="3"/>
      <c r="S5448" s="3"/>
      <c r="T5448" s="3"/>
      <c r="U5448" s="3"/>
      <c r="V5448" s="3"/>
      <c r="W5448" s="3"/>
      <c r="X5448" s="3"/>
      <c r="Y5448" s="3"/>
      <c r="Z5448" s="3"/>
      <c r="AA5448" s="3"/>
    </row>
    <row r="5449" ht="105.75" customHeight="1">
      <c r="A5449" s="11"/>
      <c r="B5449" s="12"/>
      <c r="C5449" s="11"/>
      <c r="D5449" s="13"/>
      <c r="E5449" s="14"/>
      <c r="F5449" s="14"/>
      <c r="G5449" s="14"/>
      <c r="H5449" s="15"/>
      <c r="I5449" s="15"/>
      <c r="J5449" s="3"/>
      <c r="K5449" s="3"/>
      <c r="L5449" s="3"/>
      <c r="M5449" s="3"/>
      <c r="N5449" s="3"/>
      <c r="O5449" s="3"/>
      <c r="P5449" s="3"/>
      <c r="Q5449" s="3"/>
      <c r="R5449" s="3"/>
      <c r="S5449" s="3"/>
      <c r="T5449" s="3"/>
      <c r="U5449" s="3"/>
      <c r="V5449" s="3"/>
      <c r="W5449" s="3"/>
      <c r="X5449" s="3"/>
      <c r="Y5449" s="3"/>
      <c r="Z5449" s="3"/>
      <c r="AA5449" s="3"/>
    </row>
    <row r="5450" ht="105.75" customHeight="1">
      <c r="A5450" s="11"/>
      <c r="B5450" s="12"/>
      <c r="C5450" s="11"/>
      <c r="D5450" s="13"/>
      <c r="E5450" s="14"/>
      <c r="F5450" s="14"/>
      <c r="G5450" s="14"/>
      <c r="H5450" s="15"/>
      <c r="I5450" s="15"/>
      <c r="J5450" s="3"/>
      <c r="K5450" s="3"/>
      <c r="L5450" s="3"/>
      <c r="M5450" s="3"/>
      <c r="N5450" s="3"/>
      <c r="O5450" s="3"/>
      <c r="P5450" s="3"/>
      <c r="Q5450" s="3"/>
      <c r="R5450" s="3"/>
      <c r="S5450" s="3"/>
      <c r="T5450" s="3"/>
      <c r="U5450" s="3"/>
      <c r="V5450" s="3"/>
      <c r="W5450" s="3"/>
      <c r="X5450" s="3"/>
      <c r="Y5450" s="3"/>
      <c r="Z5450" s="3"/>
      <c r="AA5450" s="3"/>
    </row>
    <row r="5451" ht="105.75" customHeight="1">
      <c r="A5451" s="11"/>
      <c r="B5451" s="12"/>
      <c r="C5451" s="11"/>
      <c r="D5451" s="13"/>
      <c r="E5451" s="14"/>
      <c r="F5451" s="14"/>
      <c r="G5451" s="14"/>
      <c r="H5451" s="15"/>
      <c r="I5451" s="15"/>
      <c r="J5451" s="3"/>
      <c r="K5451" s="3"/>
      <c r="L5451" s="3"/>
      <c r="M5451" s="3"/>
      <c r="N5451" s="3"/>
      <c r="O5451" s="3"/>
      <c r="P5451" s="3"/>
      <c r="Q5451" s="3"/>
      <c r="R5451" s="3"/>
      <c r="S5451" s="3"/>
      <c r="T5451" s="3"/>
      <c r="U5451" s="3"/>
      <c r="V5451" s="3"/>
      <c r="W5451" s="3"/>
      <c r="X5451" s="3"/>
      <c r="Y5451" s="3"/>
      <c r="Z5451" s="3"/>
      <c r="AA5451" s="3"/>
    </row>
    <row r="5452" ht="105.75" customHeight="1">
      <c r="A5452" s="11"/>
      <c r="B5452" s="12"/>
      <c r="C5452" s="11"/>
      <c r="D5452" s="13"/>
      <c r="E5452" s="14"/>
      <c r="F5452" s="14"/>
      <c r="G5452" s="14"/>
      <c r="H5452" s="15"/>
      <c r="I5452" s="15"/>
      <c r="J5452" s="3"/>
      <c r="K5452" s="3"/>
      <c r="L5452" s="3"/>
      <c r="M5452" s="3"/>
      <c r="N5452" s="3"/>
      <c r="O5452" s="3"/>
      <c r="P5452" s="3"/>
      <c r="Q5452" s="3"/>
      <c r="R5452" s="3"/>
      <c r="S5452" s="3"/>
      <c r="T5452" s="3"/>
      <c r="U5452" s="3"/>
      <c r="V5452" s="3"/>
      <c r="W5452" s="3"/>
      <c r="X5452" s="3"/>
      <c r="Y5452" s="3"/>
      <c r="Z5452" s="3"/>
      <c r="AA5452" s="3"/>
    </row>
    <row r="5453" ht="105.75" customHeight="1">
      <c r="A5453" s="11"/>
      <c r="B5453" s="12"/>
      <c r="C5453" s="11"/>
      <c r="D5453" s="13"/>
      <c r="E5453" s="14"/>
      <c r="F5453" s="14"/>
      <c r="G5453" s="14"/>
      <c r="H5453" s="15"/>
      <c r="I5453" s="15"/>
      <c r="J5453" s="3"/>
      <c r="K5453" s="3"/>
      <c r="L5453" s="3"/>
      <c r="M5453" s="3"/>
      <c r="N5453" s="3"/>
      <c r="O5453" s="3"/>
      <c r="P5453" s="3"/>
      <c r="Q5453" s="3"/>
      <c r="R5453" s="3"/>
      <c r="S5453" s="3"/>
      <c r="T5453" s="3"/>
      <c r="U5453" s="3"/>
      <c r="V5453" s="3"/>
      <c r="W5453" s="3"/>
      <c r="X5453" s="3"/>
      <c r="Y5453" s="3"/>
      <c r="Z5453" s="3"/>
      <c r="AA5453" s="3"/>
    </row>
    <row r="5454" ht="105.75" customHeight="1">
      <c r="A5454" s="11"/>
      <c r="B5454" s="12"/>
      <c r="C5454" s="11"/>
      <c r="D5454" s="13"/>
      <c r="E5454" s="14"/>
      <c r="F5454" s="14"/>
      <c r="G5454" s="14"/>
      <c r="H5454" s="15"/>
      <c r="I5454" s="15"/>
      <c r="J5454" s="3"/>
      <c r="K5454" s="3"/>
      <c r="L5454" s="3"/>
      <c r="M5454" s="3"/>
      <c r="N5454" s="3"/>
      <c r="O5454" s="3"/>
      <c r="P5454" s="3"/>
      <c r="Q5454" s="3"/>
      <c r="R5454" s="3"/>
      <c r="S5454" s="3"/>
      <c r="T5454" s="3"/>
      <c r="U5454" s="3"/>
      <c r="V5454" s="3"/>
      <c r="W5454" s="3"/>
      <c r="X5454" s="3"/>
      <c r="Y5454" s="3"/>
      <c r="Z5454" s="3"/>
      <c r="AA5454" s="3"/>
    </row>
    <row r="5455" ht="105.75" customHeight="1">
      <c r="A5455" s="11"/>
      <c r="B5455" s="12"/>
      <c r="C5455" s="11"/>
      <c r="D5455" s="13"/>
      <c r="E5455" s="14"/>
      <c r="F5455" s="14"/>
      <c r="G5455" s="14"/>
      <c r="H5455" s="15"/>
      <c r="I5455" s="15"/>
      <c r="J5455" s="3"/>
      <c r="K5455" s="3"/>
      <c r="L5455" s="3"/>
      <c r="M5455" s="3"/>
      <c r="N5455" s="3"/>
      <c r="O5455" s="3"/>
      <c r="P5455" s="3"/>
      <c r="Q5455" s="3"/>
      <c r="R5455" s="3"/>
      <c r="S5455" s="3"/>
      <c r="T5455" s="3"/>
      <c r="U5455" s="3"/>
      <c r="V5455" s="3"/>
      <c r="W5455" s="3"/>
      <c r="X5455" s="3"/>
      <c r="Y5455" s="3"/>
      <c r="Z5455" s="3"/>
      <c r="AA5455" s="3"/>
    </row>
    <row r="5456" ht="105.75" customHeight="1">
      <c r="A5456" s="11"/>
      <c r="B5456" s="12"/>
      <c r="C5456" s="11"/>
      <c r="D5456" s="13"/>
      <c r="E5456" s="14"/>
      <c r="F5456" s="14"/>
      <c r="G5456" s="14"/>
      <c r="H5456" s="15"/>
      <c r="I5456" s="15"/>
      <c r="J5456" s="3"/>
      <c r="K5456" s="3"/>
      <c r="L5456" s="3"/>
      <c r="M5456" s="3"/>
      <c r="N5456" s="3"/>
      <c r="O5456" s="3"/>
      <c r="P5456" s="3"/>
      <c r="Q5456" s="3"/>
      <c r="R5456" s="3"/>
      <c r="S5456" s="3"/>
      <c r="T5456" s="3"/>
      <c r="U5456" s="3"/>
      <c r="V5456" s="3"/>
      <c r="W5456" s="3"/>
      <c r="X5456" s="3"/>
      <c r="Y5456" s="3"/>
      <c r="Z5456" s="3"/>
      <c r="AA5456" s="3"/>
    </row>
    <row r="5457" ht="105.75" customHeight="1">
      <c r="A5457" s="11"/>
      <c r="B5457" s="12"/>
      <c r="C5457" s="11"/>
      <c r="D5457" s="13"/>
      <c r="E5457" s="14"/>
      <c r="F5457" s="14"/>
      <c r="G5457" s="14"/>
      <c r="H5457" s="15"/>
      <c r="I5457" s="15"/>
      <c r="J5457" s="3"/>
      <c r="K5457" s="3"/>
      <c r="L5457" s="3"/>
      <c r="M5457" s="3"/>
      <c r="N5457" s="3"/>
      <c r="O5457" s="3"/>
      <c r="P5457" s="3"/>
      <c r="Q5457" s="3"/>
      <c r="R5457" s="3"/>
      <c r="S5457" s="3"/>
      <c r="T5457" s="3"/>
      <c r="U5457" s="3"/>
      <c r="V5457" s="3"/>
      <c r="W5457" s="3"/>
      <c r="X5457" s="3"/>
      <c r="Y5457" s="3"/>
      <c r="Z5457" s="3"/>
      <c r="AA5457" s="3"/>
    </row>
    <row r="5458" ht="105.75" customHeight="1">
      <c r="A5458" s="11"/>
      <c r="B5458" s="12"/>
      <c r="C5458" s="11"/>
      <c r="D5458" s="13"/>
      <c r="E5458" s="14"/>
      <c r="F5458" s="14"/>
      <c r="G5458" s="14"/>
      <c r="H5458" s="15"/>
      <c r="I5458" s="15"/>
      <c r="J5458" s="3"/>
      <c r="K5458" s="3"/>
      <c r="L5458" s="3"/>
      <c r="M5458" s="3"/>
      <c r="N5458" s="3"/>
      <c r="O5458" s="3"/>
      <c r="P5458" s="3"/>
      <c r="Q5458" s="3"/>
      <c r="R5458" s="3"/>
      <c r="S5458" s="3"/>
      <c r="T5458" s="3"/>
      <c r="U5458" s="3"/>
      <c r="V5458" s="3"/>
      <c r="W5458" s="3"/>
      <c r="X5458" s="3"/>
      <c r="Y5458" s="3"/>
      <c r="Z5458" s="3"/>
      <c r="AA5458" s="3"/>
    </row>
    <row r="5459" ht="105.75" customHeight="1">
      <c r="A5459" s="11"/>
      <c r="B5459" s="12"/>
      <c r="C5459" s="11"/>
      <c r="D5459" s="13"/>
      <c r="E5459" s="14"/>
      <c r="F5459" s="14"/>
      <c r="G5459" s="14"/>
      <c r="H5459" s="15"/>
      <c r="I5459" s="15"/>
      <c r="J5459" s="3"/>
      <c r="K5459" s="3"/>
      <c r="L5459" s="3"/>
      <c r="M5459" s="3"/>
      <c r="N5459" s="3"/>
      <c r="O5459" s="3"/>
      <c r="P5459" s="3"/>
      <c r="Q5459" s="3"/>
      <c r="R5459" s="3"/>
      <c r="S5459" s="3"/>
      <c r="T5459" s="3"/>
      <c r="U5459" s="3"/>
      <c r="V5459" s="3"/>
      <c r="W5459" s="3"/>
      <c r="X5459" s="3"/>
      <c r="Y5459" s="3"/>
      <c r="Z5459" s="3"/>
      <c r="AA5459" s="3"/>
    </row>
    <row r="5460" ht="105.75" customHeight="1">
      <c r="A5460" s="11"/>
      <c r="B5460" s="12"/>
      <c r="C5460" s="11"/>
      <c r="D5460" s="13"/>
      <c r="E5460" s="14"/>
      <c r="F5460" s="14"/>
      <c r="G5460" s="14"/>
      <c r="H5460" s="15"/>
      <c r="I5460" s="15"/>
      <c r="J5460" s="3"/>
      <c r="K5460" s="3"/>
      <c r="L5460" s="3"/>
      <c r="M5460" s="3"/>
      <c r="N5460" s="3"/>
      <c r="O5460" s="3"/>
      <c r="P5460" s="3"/>
      <c r="Q5460" s="3"/>
      <c r="R5460" s="3"/>
      <c r="S5460" s="3"/>
      <c r="T5460" s="3"/>
      <c r="U5460" s="3"/>
      <c r="V5460" s="3"/>
      <c r="W5460" s="3"/>
      <c r="X5460" s="3"/>
      <c r="Y5460" s="3"/>
      <c r="Z5460" s="3"/>
      <c r="AA5460" s="3"/>
    </row>
    <row r="5461" ht="105.75" customHeight="1">
      <c r="A5461" s="11"/>
      <c r="B5461" s="12"/>
      <c r="C5461" s="11"/>
      <c r="D5461" s="13"/>
      <c r="E5461" s="14"/>
      <c r="F5461" s="14"/>
      <c r="G5461" s="14"/>
      <c r="H5461" s="15"/>
      <c r="I5461" s="15"/>
      <c r="J5461" s="3"/>
      <c r="K5461" s="3"/>
      <c r="L5461" s="3"/>
      <c r="M5461" s="3"/>
      <c r="N5461" s="3"/>
      <c r="O5461" s="3"/>
      <c r="P5461" s="3"/>
      <c r="Q5461" s="3"/>
      <c r="R5461" s="3"/>
      <c r="S5461" s="3"/>
      <c r="T5461" s="3"/>
      <c r="U5461" s="3"/>
      <c r="V5461" s="3"/>
      <c r="W5461" s="3"/>
      <c r="X5461" s="3"/>
      <c r="Y5461" s="3"/>
      <c r="Z5461" s="3"/>
      <c r="AA5461" s="3"/>
    </row>
    <row r="5462" ht="105.75" customHeight="1">
      <c r="A5462" s="11"/>
      <c r="B5462" s="12"/>
      <c r="C5462" s="11"/>
      <c r="D5462" s="13"/>
      <c r="E5462" s="14"/>
      <c r="F5462" s="14"/>
      <c r="G5462" s="14"/>
      <c r="H5462" s="15"/>
      <c r="I5462" s="15"/>
      <c r="J5462" s="3"/>
      <c r="K5462" s="3"/>
      <c r="L5462" s="3"/>
      <c r="M5462" s="3"/>
      <c r="N5462" s="3"/>
      <c r="O5462" s="3"/>
      <c r="P5462" s="3"/>
      <c r="Q5462" s="3"/>
      <c r="R5462" s="3"/>
      <c r="S5462" s="3"/>
      <c r="T5462" s="3"/>
      <c r="U5462" s="3"/>
      <c r="V5462" s="3"/>
      <c r="W5462" s="3"/>
      <c r="X5462" s="3"/>
      <c r="Y5462" s="3"/>
      <c r="Z5462" s="3"/>
      <c r="AA5462" s="3"/>
    </row>
    <row r="5463" ht="105.75" customHeight="1">
      <c r="A5463" s="11"/>
      <c r="B5463" s="12"/>
      <c r="C5463" s="11"/>
      <c r="D5463" s="13"/>
      <c r="E5463" s="14"/>
      <c r="F5463" s="14"/>
      <c r="G5463" s="14"/>
      <c r="H5463" s="15"/>
      <c r="I5463" s="15"/>
      <c r="J5463" s="3"/>
      <c r="K5463" s="3"/>
      <c r="L5463" s="3"/>
      <c r="M5463" s="3"/>
      <c r="N5463" s="3"/>
      <c r="O5463" s="3"/>
      <c r="P5463" s="3"/>
      <c r="Q5463" s="3"/>
      <c r="R5463" s="3"/>
      <c r="S5463" s="3"/>
      <c r="T5463" s="3"/>
      <c r="U5463" s="3"/>
      <c r="V5463" s="3"/>
      <c r="W5463" s="3"/>
      <c r="X5463" s="3"/>
      <c r="Y5463" s="3"/>
      <c r="Z5463" s="3"/>
      <c r="AA5463" s="3"/>
    </row>
    <row r="5464" ht="105.75" customHeight="1">
      <c r="A5464" s="11"/>
      <c r="B5464" s="12"/>
      <c r="C5464" s="11"/>
      <c r="D5464" s="13"/>
      <c r="E5464" s="14"/>
      <c r="F5464" s="14"/>
      <c r="G5464" s="14"/>
      <c r="H5464" s="15"/>
      <c r="I5464" s="15"/>
      <c r="J5464" s="3"/>
      <c r="K5464" s="3"/>
      <c r="L5464" s="3"/>
      <c r="M5464" s="3"/>
      <c r="N5464" s="3"/>
      <c r="O5464" s="3"/>
      <c r="P5464" s="3"/>
      <c r="Q5464" s="3"/>
      <c r="R5464" s="3"/>
      <c r="S5464" s="3"/>
      <c r="T5464" s="3"/>
      <c r="U5464" s="3"/>
      <c r="V5464" s="3"/>
      <c r="W5464" s="3"/>
      <c r="X5464" s="3"/>
      <c r="Y5464" s="3"/>
      <c r="Z5464" s="3"/>
      <c r="AA5464" s="3"/>
    </row>
    <row r="5465" ht="105.75" customHeight="1">
      <c r="A5465" s="11"/>
      <c r="B5465" s="12"/>
      <c r="C5465" s="11"/>
      <c r="D5465" s="13"/>
      <c r="E5465" s="14"/>
      <c r="F5465" s="14"/>
      <c r="G5465" s="14"/>
      <c r="H5465" s="15"/>
      <c r="I5465" s="15"/>
      <c r="J5465" s="3"/>
      <c r="K5465" s="3"/>
      <c r="L5465" s="3"/>
      <c r="M5465" s="3"/>
      <c r="N5465" s="3"/>
      <c r="O5465" s="3"/>
      <c r="P5465" s="3"/>
      <c r="Q5465" s="3"/>
      <c r="R5465" s="3"/>
      <c r="S5465" s="3"/>
      <c r="T5465" s="3"/>
      <c r="U5465" s="3"/>
      <c r="V5465" s="3"/>
      <c r="W5465" s="3"/>
      <c r="X5465" s="3"/>
      <c r="Y5465" s="3"/>
      <c r="Z5465" s="3"/>
      <c r="AA5465" s="3"/>
    </row>
    <row r="5466" ht="105.75" customHeight="1">
      <c r="A5466" s="11"/>
      <c r="B5466" s="12"/>
      <c r="C5466" s="11"/>
      <c r="D5466" s="13"/>
      <c r="E5466" s="14"/>
      <c r="F5466" s="14"/>
      <c r="G5466" s="14"/>
      <c r="H5466" s="15"/>
      <c r="I5466" s="15"/>
      <c r="J5466" s="3"/>
      <c r="K5466" s="3"/>
      <c r="L5466" s="3"/>
      <c r="M5466" s="3"/>
      <c r="N5466" s="3"/>
      <c r="O5466" s="3"/>
      <c r="P5466" s="3"/>
      <c r="Q5466" s="3"/>
      <c r="R5466" s="3"/>
      <c r="S5466" s="3"/>
      <c r="T5466" s="3"/>
      <c r="U5466" s="3"/>
      <c r="V5466" s="3"/>
      <c r="W5466" s="3"/>
      <c r="X5466" s="3"/>
      <c r="Y5466" s="3"/>
      <c r="Z5466" s="3"/>
      <c r="AA5466" s="3"/>
    </row>
    <row r="5467" ht="105.75" customHeight="1">
      <c r="A5467" s="11"/>
      <c r="B5467" s="12"/>
      <c r="C5467" s="11"/>
      <c r="D5467" s="13"/>
      <c r="E5467" s="14"/>
      <c r="F5467" s="14"/>
      <c r="G5467" s="14"/>
      <c r="H5467" s="15"/>
      <c r="I5467" s="15"/>
      <c r="J5467" s="3"/>
      <c r="K5467" s="3"/>
      <c r="L5467" s="3"/>
      <c r="M5467" s="3"/>
      <c r="N5467" s="3"/>
      <c r="O5467" s="3"/>
      <c r="P5467" s="3"/>
      <c r="Q5467" s="3"/>
      <c r="R5467" s="3"/>
      <c r="S5467" s="3"/>
      <c r="T5467" s="3"/>
      <c r="U5467" s="3"/>
      <c r="V5467" s="3"/>
      <c r="W5467" s="3"/>
      <c r="X5467" s="3"/>
      <c r="Y5467" s="3"/>
      <c r="Z5467" s="3"/>
      <c r="AA5467" s="3"/>
    </row>
    <row r="5468" ht="105.75" customHeight="1">
      <c r="A5468" s="11"/>
      <c r="B5468" s="12"/>
      <c r="C5468" s="11"/>
      <c r="D5468" s="13"/>
      <c r="E5468" s="14"/>
      <c r="F5468" s="14"/>
      <c r="G5468" s="14"/>
      <c r="H5468" s="15"/>
      <c r="I5468" s="15"/>
      <c r="J5468" s="3"/>
      <c r="K5468" s="3"/>
      <c r="L5468" s="3"/>
      <c r="M5468" s="3"/>
      <c r="N5468" s="3"/>
      <c r="O5468" s="3"/>
      <c r="P5468" s="3"/>
      <c r="Q5468" s="3"/>
      <c r="R5468" s="3"/>
      <c r="S5468" s="3"/>
      <c r="T5468" s="3"/>
      <c r="U5468" s="3"/>
      <c r="V5468" s="3"/>
      <c r="W5468" s="3"/>
      <c r="X5468" s="3"/>
      <c r="Y5468" s="3"/>
      <c r="Z5468" s="3"/>
      <c r="AA5468" s="3"/>
    </row>
    <row r="5469" ht="105.75" customHeight="1">
      <c r="A5469" s="11"/>
      <c r="B5469" s="12"/>
      <c r="C5469" s="11"/>
      <c r="D5469" s="13"/>
      <c r="E5469" s="14"/>
      <c r="F5469" s="14"/>
      <c r="G5469" s="14"/>
      <c r="H5469" s="15"/>
      <c r="I5469" s="15"/>
      <c r="J5469" s="3"/>
      <c r="K5469" s="3"/>
      <c r="L5469" s="3"/>
      <c r="M5469" s="3"/>
      <c r="N5469" s="3"/>
      <c r="O5469" s="3"/>
      <c r="P5469" s="3"/>
      <c r="Q5469" s="3"/>
      <c r="R5469" s="3"/>
      <c r="S5469" s="3"/>
      <c r="T5469" s="3"/>
      <c r="U5469" s="3"/>
      <c r="V5469" s="3"/>
      <c r="W5469" s="3"/>
      <c r="X5469" s="3"/>
      <c r="Y5469" s="3"/>
      <c r="Z5469" s="3"/>
      <c r="AA5469" s="3"/>
    </row>
    <row r="5470" ht="105.75" customHeight="1">
      <c r="A5470" s="11"/>
      <c r="B5470" s="12"/>
      <c r="C5470" s="11"/>
      <c r="D5470" s="13"/>
      <c r="E5470" s="14"/>
      <c r="F5470" s="14"/>
      <c r="G5470" s="14"/>
      <c r="H5470" s="15"/>
      <c r="I5470" s="15"/>
      <c r="J5470" s="3"/>
      <c r="K5470" s="3"/>
      <c r="L5470" s="3"/>
      <c r="M5470" s="3"/>
      <c r="N5470" s="3"/>
      <c r="O5470" s="3"/>
      <c r="P5470" s="3"/>
      <c r="Q5470" s="3"/>
      <c r="R5470" s="3"/>
      <c r="S5470" s="3"/>
      <c r="T5470" s="3"/>
      <c r="U5470" s="3"/>
      <c r="V5470" s="3"/>
      <c r="W5470" s="3"/>
      <c r="X5470" s="3"/>
      <c r="Y5470" s="3"/>
      <c r="Z5470" s="3"/>
      <c r="AA5470" s="3"/>
    </row>
    <row r="5471" ht="105.75" customHeight="1">
      <c r="A5471" s="11"/>
      <c r="B5471" s="12"/>
      <c r="C5471" s="11"/>
      <c r="D5471" s="13"/>
      <c r="E5471" s="14"/>
      <c r="F5471" s="14"/>
      <c r="G5471" s="14"/>
      <c r="H5471" s="15"/>
      <c r="I5471" s="15"/>
      <c r="J5471" s="3"/>
      <c r="K5471" s="3"/>
      <c r="L5471" s="3"/>
      <c r="M5471" s="3"/>
      <c r="N5471" s="3"/>
      <c r="O5471" s="3"/>
      <c r="P5471" s="3"/>
      <c r="Q5471" s="3"/>
      <c r="R5471" s="3"/>
      <c r="S5471" s="3"/>
      <c r="T5471" s="3"/>
      <c r="U5471" s="3"/>
      <c r="V5471" s="3"/>
      <c r="W5471" s="3"/>
      <c r="X5471" s="3"/>
      <c r="Y5471" s="3"/>
      <c r="Z5471" s="3"/>
      <c r="AA5471" s="3"/>
    </row>
    <row r="5472" ht="105.75" customHeight="1">
      <c r="A5472" s="11"/>
      <c r="B5472" s="12"/>
      <c r="C5472" s="11"/>
      <c r="D5472" s="13"/>
      <c r="E5472" s="14"/>
      <c r="F5472" s="14"/>
      <c r="G5472" s="14"/>
      <c r="H5472" s="15"/>
      <c r="I5472" s="15"/>
      <c r="J5472" s="3"/>
      <c r="K5472" s="3"/>
      <c r="L5472" s="3"/>
      <c r="M5472" s="3"/>
      <c r="N5472" s="3"/>
      <c r="O5472" s="3"/>
      <c r="P5472" s="3"/>
      <c r="Q5472" s="3"/>
      <c r="R5472" s="3"/>
      <c r="S5472" s="3"/>
      <c r="T5472" s="3"/>
      <c r="U5472" s="3"/>
      <c r="V5472" s="3"/>
      <c r="W5472" s="3"/>
      <c r="X5472" s="3"/>
      <c r="Y5472" s="3"/>
      <c r="Z5472" s="3"/>
      <c r="AA5472" s="3"/>
    </row>
    <row r="5473" ht="105.75" customHeight="1">
      <c r="A5473" s="11"/>
      <c r="B5473" s="12"/>
      <c r="C5473" s="11"/>
      <c r="D5473" s="13"/>
      <c r="E5473" s="14"/>
      <c r="F5473" s="14"/>
      <c r="G5473" s="14"/>
      <c r="H5473" s="15"/>
      <c r="I5473" s="15"/>
      <c r="J5473" s="3"/>
      <c r="K5473" s="3"/>
      <c r="L5473" s="3"/>
      <c r="M5473" s="3"/>
      <c r="N5473" s="3"/>
      <c r="O5473" s="3"/>
      <c r="P5473" s="3"/>
      <c r="Q5473" s="3"/>
      <c r="R5473" s="3"/>
      <c r="S5473" s="3"/>
      <c r="T5473" s="3"/>
      <c r="U5473" s="3"/>
      <c r="V5473" s="3"/>
      <c r="W5473" s="3"/>
      <c r="X5473" s="3"/>
      <c r="Y5473" s="3"/>
      <c r="Z5473" s="3"/>
      <c r="AA5473" s="3"/>
    </row>
    <row r="5474" ht="105.75" customHeight="1">
      <c r="A5474" s="11"/>
      <c r="B5474" s="12"/>
      <c r="C5474" s="11"/>
      <c r="D5474" s="13"/>
      <c r="E5474" s="14"/>
      <c r="F5474" s="14"/>
      <c r="G5474" s="14"/>
      <c r="H5474" s="15"/>
      <c r="I5474" s="15"/>
      <c r="J5474" s="3"/>
      <c r="K5474" s="3"/>
      <c r="L5474" s="3"/>
      <c r="M5474" s="3"/>
      <c r="N5474" s="3"/>
      <c r="O5474" s="3"/>
      <c r="P5474" s="3"/>
      <c r="Q5474" s="3"/>
      <c r="R5474" s="3"/>
      <c r="S5474" s="3"/>
      <c r="T5474" s="3"/>
      <c r="U5474" s="3"/>
      <c r="V5474" s="3"/>
      <c r="W5474" s="3"/>
      <c r="X5474" s="3"/>
      <c r="Y5474" s="3"/>
      <c r="Z5474" s="3"/>
      <c r="AA5474" s="3"/>
    </row>
    <row r="5475" ht="105.75" customHeight="1">
      <c r="A5475" s="11"/>
      <c r="B5475" s="12"/>
      <c r="C5475" s="11"/>
      <c r="D5475" s="13"/>
      <c r="E5475" s="14"/>
      <c r="F5475" s="14"/>
      <c r="G5475" s="14"/>
      <c r="H5475" s="15"/>
      <c r="I5475" s="15"/>
      <c r="J5475" s="3"/>
      <c r="K5475" s="3"/>
      <c r="L5475" s="3"/>
      <c r="M5475" s="3"/>
      <c r="N5475" s="3"/>
      <c r="O5475" s="3"/>
      <c r="P5475" s="3"/>
      <c r="Q5475" s="3"/>
      <c r="R5475" s="3"/>
      <c r="S5475" s="3"/>
      <c r="T5475" s="3"/>
      <c r="U5475" s="3"/>
      <c r="V5475" s="3"/>
      <c r="W5475" s="3"/>
      <c r="X5475" s="3"/>
      <c r="Y5475" s="3"/>
      <c r="Z5475" s="3"/>
      <c r="AA5475" s="3"/>
    </row>
    <row r="5476" ht="105.75" customHeight="1">
      <c r="A5476" s="11"/>
      <c r="B5476" s="12"/>
      <c r="C5476" s="11"/>
      <c r="D5476" s="13"/>
      <c r="E5476" s="14"/>
      <c r="F5476" s="14"/>
      <c r="G5476" s="14"/>
      <c r="H5476" s="15"/>
      <c r="I5476" s="15"/>
      <c r="J5476" s="3"/>
      <c r="K5476" s="3"/>
      <c r="L5476" s="3"/>
      <c r="M5476" s="3"/>
      <c r="N5476" s="3"/>
      <c r="O5476" s="3"/>
      <c r="P5476" s="3"/>
      <c r="Q5476" s="3"/>
      <c r="R5476" s="3"/>
      <c r="S5476" s="3"/>
      <c r="T5476" s="3"/>
      <c r="U5476" s="3"/>
      <c r="V5476" s="3"/>
      <c r="W5476" s="3"/>
      <c r="X5476" s="3"/>
      <c r="Y5476" s="3"/>
      <c r="Z5476" s="3"/>
      <c r="AA5476" s="3"/>
    </row>
    <row r="5477" ht="105.75" customHeight="1">
      <c r="A5477" s="11"/>
      <c r="B5477" s="12"/>
      <c r="C5477" s="11"/>
      <c r="D5477" s="13"/>
      <c r="E5477" s="14"/>
      <c r="F5477" s="14"/>
      <c r="G5477" s="14"/>
      <c r="H5477" s="15"/>
      <c r="I5477" s="15"/>
      <c r="J5477" s="3"/>
      <c r="K5477" s="3"/>
      <c r="L5477" s="3"/>
      <c r="M5477" s="3"/>
      <c r="N5477" s="3"/>
      <c r="O5477" s="3"/>
      <c r="P5477" s="3"/>
      <c r="Q5477" s="3"/>
      <c r="R5477" s="3"/>
      <c r="S5477" s="3"/>
      <c r="T5477" s="3"/>
      <c r="U5477" s="3"/>
      <c r="V5477" s="3"/>
      <c r="W5477" s="3"/>
      <c r="X5477" s="3"/>
      <c r="Y5477" s="3"/>
      <c r="Z5477" s="3"/>
      <c r="AA5477" s="3"/>
    </row>
    <row r="5478" ht="105.75" customHeight="1">
      <c r="A5478" s="11"/>
      <c r="B5478" s="12"/>
      <c r="C5478" s="11"/>
      <c r="D5478" s="13"/>
      <c r="E5478" s="14"/>
      <c r="F5478" s="14"/>
      <c r="G5478" s="14"/>
      <c r="H5478" s="15"/>
      <c r="I5478" s="15"/>
      <c r="J5478" s="3"/>
      <c r="K5478" s="3"/>
      <c r="L5478" s="3"/>
      <c r="M5478" s="3"/>
      <c r="N5478" s="3"/>
      <c r="O5478" s="3"/>
      <c r="P5478" s="3"/>
      <c r="Q5478" s="3"/>
      <c r="R5478" s="3"/>
      <c r="S5478" s="3"/>
      <c r="T5478" s="3"/>
      <c r="U5478" s="3"/>
      <c r="V5478" s="3"/>
      <c r="W5478" s="3"/>
      <c r="X5478" s="3"/>
      <c r="Y5478" s="3"/>
      <c r="Z5478" s="3"/>
      <c r="AA5478" s="3"/>
    </row>
    <row r="5479" ht="105.75" customHeight="1">
      <c r="A5479" s="11"/>
      <c r="B5479" s="12"/>
      <c r="C5479" s="11"/>
      <c r="D5479" s="13"/>
      <c r="E5479" s="14"/>
      <c r="F5479" s="14"/>
      <c r="G5479" s="14"/>
      <c r="H5479" s="15"/>
      <c r="I5479" s="15"/>
      <c r="J5479" s="3"/>
      <c r="K5479" s="3"/>
      <c r="L5479" s="3"/>
      <c r="M5479" s="3"/>
      <c r="N5479" s="3"/>
      <c r="O5479" s="3"/>
      <c r="P5479" s="3"/>
      <c r="Q5479" s="3"/>
      <c r="R5479" s="3"/>
      <c r="S5479" s="3"/>
      <c r="T5479" s="3"/>
      <c r="U5479" s="3"/>
      <c r="V5479" s="3"/>
      <c r="W5479" s="3"/>
      <c r="X5479" s="3"/>
      <c r="Y5479" s="3"/>
      <c r="Z5479" s="3"/>
      <c r="AA5479" s="3"/>
    </row>
    <row r="5480" ht="105.75" customHeight="1">
      <c r="A5480" s="11"/>
      <c r="B5480" s="12"/>
      <c r="C5480" s="11"/>
      <c r="D5480" s="13"/>
      <c r="E5480" s="14"/>
      <c r="F5480" s="14"/>
      <c r="G5480" s="14"/>
      <c r="H5480" s="15"/>
      <c r="I5480" s="15"/>
      <c r="J5480" s="3"/>
      <c r="K5480" s="3"/>
      <c r="L5480" s="3"/>
      <c r="M5480" s="3"/>
      <c r="N5480" s="3"/>
      <c r="O5480" s="3"/>
      <c r="P5480" s="3"/>
      <c r="Q5480" s="3"/>
      <c r="R5480" s="3"/>
      <c r="S5480" s="3"/>
      <c r="T5480" s="3"/>
      <c r="U5480" s="3"/>
      <c r="V5480" s="3"/>
      <c r="W5480" s="3"/>
      <c r="X5480" s="3"/>
      <c r="Y5480" s="3"/>
      <c r="Z5480" s="3"/>
      <c r="AA5480" s="3"/>
    </row>
    <row r="5481" ht="105.75" customHeight="1">
      <c r="A5481" s="11"/>
      <c r="B5481" s="12"/>
      <c r="C5481" s="11"/>
      <c r="D5481" s="13"/>
      <c r="E5481" s="14"/>
      <c r="F5481" s="14"/>
      <c r="G5481" s="14"/>
      <c r="H5481" s="15"/>
      <c r="I5481" s="15"/>
      <c r="J5481" s="3"/>
      <c r="K5481" s="3"/>
      <c r="L5481" s="3"/>
      <c r="M5481" s="3"/>
      <c r="N5481" s="3"/>
      <c r="O5481" s="3"/>
      <c r="P5481" s="3"/>
      <c r="Q5481" s="3"/>
      <c r="R5481" s="3"/>
      <c r="S5481" s="3"/>
      <c r="T5481" s="3"/>
      <c r="U5481" s="3"/>
      <c r="V5481" s="3"/>
      <c r="W5481" s="3"/>
      <c r="X5481" s="3"/>
      <c r="Y5481" s="3"/>
      <c r="Z5481" s="3"/>
      <c r="AA5481" s="3"/>
    </row>
    <row r="5482" ht="105.75" customHeight="1">
      <c r="A5482" s="11"/>
      <c r="B5482" s="12"/>
      <c r="C5482" s="11"/>
      <c r="D5482" s="13"/>
      <c r="E5482" s="14"/>
      <c r="F5482" s="14"/>
      <c r="G5482" s="14"/>
      <c r="H5482" s="15"/>
      <c r="I5482" s="15"/>
      <c r="J5482" s="3"/>
      <c r="K5482" s="3"/>
      <c r="L5482" s="3"/>
      <c r="M5482" s="3"/>
      <c r="N5482" s="3"/>
      <c r="O5482" s="3"/>
      <c r="P5482" s="3"/>
      <c r="Q5482" s="3"/>
      <c r="R5482" s="3"/>
      <c r="S5482" s="3"/>
      <c r="T5482" s="3"/>
      <c r="U5482" s="3"/>
      <c r="V5482" s="3"/>
      <c r="W5482" s="3"/>
      <c r="X5482" s="3"/>
      <c r="Y5482" s="3"/>
      <c r="Z5482" s="3"/>
      <c r="AA5482" s="3"/>
    </row>
    <row r="5483" ht="105.75" customHeight="1">
      <c r="A5483" s="11"/>
      <c r="B5483" s="12"/>
      <c r="C5483" s="11"/>
      <c r="D5483" s="13"/>
      <c r="E5483" s="14"/>
      <c r="F5483" s="14"/>
      <c r="G5483" s="14"/>
      <c r="H5483" s="15"/>
      <c r="I5483" s="15"/>
      <c r="J5483" s="3"/>
      <c r="K5483" s="3"/>
      <c r="L5483" s="3"/>
      <c r="M5483" s="3"/>
      <c r="N5483" s="3"/>
      <c r="O5483" s="3"/>
      <c r="P5483" s="3"/>
      <c r="Q5483" s="3"/>
      <c r="R5483" s="3"/>
      <c r="S5483" s="3"/>
      <c r="T5483" s="3"/>
      <c r="U5483" s="3"/>
      <c r="V5483" s="3"/>
      <c r="W5483" s="3"/>
      <c r="X5483" s="3"/>
      <c r="Y5483" s="3"/>
      <c r="Z5483" s="3"/>
      <c r="AA5483" s="3"/>
    </row>
    <row r="5484" ht="105.75" customHeight="1">
      <c r="A5484" s="11"/>
      <c r="B5484" s="12"/>
      <c r="C5484" s="11"/>
      <c r="D5484" s="13"/>
      <c r="E5484" s="14"/>
      <c r="F5484" s="14"/>
      <c r="G5484" s="14"/>
      <c r="H5484" s="15"/>
      <c r="I5484" s="15"/>
      <c r="J5484" s="3"/>
      <c r="K5484" s="3"/>
      <c r="L5484" s="3"/>
      <c r="M5484" s="3"/>
      <c r="N5484" s="3"/>
      <c r="O5484" s="3"/>
      <c r="P5484" s="3"/>
      <c r="Q5484" s="3"/>
      <c r="R5484" s="3"/>
      <c r="S5484" s="3"/>
      <c r="T5484" s="3"/>
      <c r="U5484" s="3"/>
      <c r="V5484" s="3"/>
      <c r="W5484" s="3"/>
      <c r="X5484" s="3"/>
      <c r="Y5484" s="3"/>
      <c r="Z5484" s="3"/>
      <c r="AA5484" s="3"/>
    </row>
    <row r="5485" ht="105.75" customHeight="1">
      <c r="A5485" s="11"/>
      <c r="B5485" s="12"/>
      <c r="C5485" s="11"/>
      <c r="D5485" s="13"/>
      <c r="E5485" s="14"/>
      <c r="F5485" s="14"/>
      <c r="G5485" s="14"/>
      <c r="H5485" s="15"/>
      <c r="I5485" s="15"/>
      <c r="J5485" s="3"/>
      <c r="K5485" s="3"/>
      <c r="L5485" s="3"/>
      <c r="M5485" s="3"/>
      <c r="N5485" s="3"/>
      <c r="O5485" s="3"/>
      <c r="P5485" s="3"/>
      <c r="Q5485" s="3"/>
      <c r="R5485" s="3"/>
      <c r="S5485" s="3"/>
      <c r="T5485" s="3"/>
      <c r="U5485" s="3"/>
      <c r="V5485" s="3"/>
      <c r="W5485" s="3"/>
      <c r="X5485" s="3"/>
      <c r="Y5485" s="3"/>
      <c r="Z5485" s="3"/>
      <c r="AA5485" s="3"/>
    </row>
    <row r="5486" ht="105.75" customHeight="1">
      <c r="A5486" s="11"/>
      <c r="B5486" s="12"/>
      <c r="C5486" s="11"/>
      <c r="D5486" s="13"/>
      <c r="E5486" s="14"/>
      <c r="F5486" s="14"/>
      <c r="G5486" s="14"/>
      <c r="H5486" s="15"/>
      <c r="I5486" s="15"/>
      <c r="J5486" s="3"/>
      <c r="K5486" s="3"/>
      <c r="L5486" s="3"/>
      <c r="M5486" s="3"/>
      <c r="N5486" s="3"/>
      <c r="O5486" s="3"/>
      <c r="P5486" s="3"/>
      <c r="Q5486" s="3"/>
      <c r="R5486" s="3"/>
      <c r="S5486" s="3"/>
      <c r="T5486" s="3"/>
      <c r="U5486" s="3"/>
      <c r="V5486" s="3"/>
      <c r="W5486" s="3"/>
      <c r="X5486" s="3"/>
      <c r="Y5486" s="3"/>
      <c r="Z5486" s="3"/>
      <c r="AA5486" s="3"/>
    </row>
    <row r="5487" ht="105.75" customHeight="1">
      <c r="A5487" s="11"/>
      <c r="B5487" s="12"/>
      <c r="C5487" s="11"/>
      <c r="D5487" s="13"/>
      <c r="E5487" s="14"/>
      <c r="F5487" s="14"/>
      <c r="G5487" s="14"/>
      <c r="H5487" s="15"/>
      <c r="I5487" s="15"/>
      <c r="J5487" s="3"/>
      <c r="K5487" s="3"/>
      <c r="L5487" s="3"/>
      <c r="M5487" s="3"/>
      <c r="N5487" s="3"/>
      <c r="O5487" s="3"/>
      <c r="P5487" s="3"/>
      <c r="Q5487" s="3"/>
      <c r="R5487" s="3"/>
      <c r="S5487" s="3"/>
      <c r="T5487" s="3"/>
      <c r="U5487" s="3"/>
      <c r="V5487" s="3"/>
      <c r="W5487" s="3"/>
      <c r="X5487" s="3"/>
      <c r="Y5487" s="3"/>
      <c r="Z5487" s="3"/>
      <c r="AA5487" s="3"/>
    </row>
    <row r="5488" ht="105.75" customHeight="1">
      <c r="A5488" s="11"/>
      <c r="B5488" s="12"/>
      <c r="C5488" s="11"/>
      <c r="D5488" s="13"/>
      <c r="E5488" s="14"/>
      <c r="F5488" s="14"/>
      <c r="G5488" s="14"/>
      <c r="H5488" s="15"/>
      <c r="I5488" s="15"/>
      <c r="J5488" s="3"/>
      <c r="K5488" s="3"/>
      <c r="L5488" s="3"/>
      <c r="M5488" s="3"/>
      <c r="N5488" s="3"/>
      <c r="O5488" s="3"/>
      <c r="P5488" s="3"/>
      <c r="Q5488" s="3"/>
      <c r="R5488" s="3"/>
      <c r="S5488" s="3"/>
      <c r="T5488" s="3"/>
      <c r="U5488" s="3"/>
      <c r="V5488" s="3"/>
      <c r="W5488" s="3"/>
      <c r="X5488" s="3"/>
      <c r="Y5488" s="3"/>
      <c r="Z5488" s="3"/>
      <c r="AA5488" s="3"/>
    </row>
    <row r="5489" ht="105.75" customHeight="1">
      <c r="A5489" s="11"/>
      <c r="B5489" s="12"/>
      <c r="C5489" s="11"/>
      <c r="D5489" s="13"/>
      <c r="E5489" s="14"/>
      <c r="F5489" s="14"/>
      <c r="G5489" s="14"/>
      <c r="H5489" s="15"/>
      <c r="I5489" s="15"/>
      <c r="J5489" s="3"/>
      <c r="K5489" s="3"/>
      <c r="L5489" s="3"/>
      <c r="M5489" s="3"/>
      <c r="N5489" s="3"/>
      <c r="O5489" s="3"/>
      <c r="P5489" s="3"/>
      <c r="Q5489" s="3"/>
      <c r="R5489" s="3"/>
      <c r="S5489" s="3"/>
      <c r="T5489" s="3"/>
      <c r="U5489" s="3"/>
      <c r="V5489" s="3"/>
      <c r="W5489" s="3"/>
      <c r="X5489" s="3"/>
      <c r="Y5489" s="3"/>
      <c r="Z5489" s="3"/>
      <c r="AA5489" s="3"/>
    </row>
    <row r="5490" ht="105.75" customHeight="1">
      <c r="A5490" s="11"/>
      <c r="B5490" s="12"/>
      <c r="C5490" s="11"/>
      <c r="D5490" s="13"/>
      <c r="E5490" s="14"/>
      <c r="F5490" s="14"/>
      <c r="G5490" s="14"/>
      <c r="H5490" s="15"/>
      <c r="I5490" s="15"/>
      <c r="J5490" s="3"/>
      <c r="K5490" s="3"/>
      <c r="L5490" s="3"/>
      <c r="M5490" s="3"/>
      <c r="N5490" s="3"/>
      <c r="O5490" s="3"/>
      <c r="P5490" s="3"/>
      <c r="Q5490" s="3"/>
      <c r="R5490" s="3"/>
      <c r="S5490" s="3"/>
      <c r="T5490" s="3"/>
      <c r="U5490" s="3"/>
      <c r="V5490" s="3"/>
      <c r="W5490" s="3"/>
      <c r="X5490" s="3"/>
      <c r="Y5490" s="3"/>
      <c r="Z5490" s="3"/>
      <c r="AA5490" s="3"/>
    </row>
    <row r="5491" ht="105.75" customHeight="1">
      <c r="A5491" s="11"/>
      <c r="B5491" s="12"/>
      <c r="C5491" s="11"/>
      <c r="D5491" s="13"/>
      <c r="E5491" s="14"/>
      <c r="F5491" s="14"/>
      <c r="G5491" s="14"/>
      <c r="H5491" s="15"/>
      <c r="I5491" s="15"/>
      <c r="J5491" s="3"/>
      <c r="K5491" s="3"/>
      <c r="L5491" s="3"/>
      <c r="M5491" s="3"/>
      <c r="N5491" s="3"/>
      <c r="O5491" s="3"/>
      <c r="P5491" s="3"/>
      <c r="Q5491" s="3"/>
      <c r="R5491" s="3"/>
      <c r="S5491" s="3"/>
      <c r="T5491" s="3"/>
      <c r="U5491" s="3"/>
      <c r="V5491" s="3"/>
      <c r="W5491" s="3"/>
      <c r="X5491" s="3"/>
      <c r="Y5491" s="3"/>
      <c r="Z5491" s="3"/>
      <c r="AA5491" s="3"/>
    </row>
    <row r="5492" ht="105.75" customHeight="1">
      <c r="A5492" s="11"/>
      <c r="B5492" s="12"/>
      <c r="C5492" s="11"/>
      <c r="D5492" s="13"/>
      <c r="E5492" s="14"/>
      <c r="F5492" s="14"/>
      <c r="G5492" s="14"/>
      <c r="H5492" s="15"/>
      <c r="I5492" s="15"/>
      <c r="J5492" s="3"/>
      <c r="K5492" s="3"/>
      <c r="L5492" s="3"/>
      <c r="M5492" s="3"/>
      <c r="N5492" s="3"/>
      <c r="O5492" s="3"/>
      <c r="P5492" s="3"/>
      <c r="Q5492" s="3"/>
      <c r="R5492" s="3"/>
      <c r="S5492" s="3"/>
      <c r="T5492" s="3"/>
      <c r="U5492" s="3"/>
      <c r="V5492" s="3"/>
      <c r="W5492" s="3"/>
      <c r="X5492" s="3"/>
      <c r="Y5492" s="3"/>
      <c r="Z5492" s="3"/>
      <c r="AA5492" s="3"/>
    </row>
    <row r="5493" ht="105.75" customHeight="1">
      <c r="A5493" s="11"/>
      <c r="B5493" s="12"/>
      <c r="C5493" s="11"/>
      <c r="D5493" s="13"/>
      <c r="E5493" s="14"/>
      <c r="F5493" s="14"/>
      <c r="G5493" s="14"/>
      <c r="H5493" s="15"/>
      <c r="I5493" s="15"/>
      <c r="J5493" s="3"/>
      <c r="K5493" s="3"/>
      <c r="L5493" s="3"/>
      <c r="M5493" s="3"/>
      <c r="N5493" s="3"/>
      <c r="O5493" s="3"/>
      <c r="P5493" s="3"/>
      <c r="Q5493" s="3"/>
      <c r="R5493" s="3"/>
      <c r="S5493" s="3"/>
      <c r="T5493" s="3"/>
      <c r="U5493" s="3"/>
      <c r="V5493" s="3"/>
      <c r="W5493" s="3"/>
      <c r="X5493" s="3"/>
      <c r="Y5493" s="3"/>
      <c r="Z5493" s="3"/>
      <c r="AA5493" s="3"/>
    </row>
    <row r="5494" ht="105.75" customHeight="1">
      <c r="A5494" s="11"/>
      <c r="B5494" s="12"/>
      <c r="C5494" s="11"/>
      <c r="D5494" s="13"/>
      <c r="E5494" s="14"/>
      <c r="F5494" s="14"/>
      <c r="G5494" s="14"/>
      <c r="H5494" s="15"/>
      <c r="I5494" s="15"/>
      <c r="J5494" s="3"/>
      <c r="K5494" s="3"/>
      <c r="L5494" s="3"/>
      <c r="M5494" s="3"/>
      <c r="N5494" s="3"/>
      <c r="O5494" s="3"/>
      <c r="P5494" s="3"/>
      <c r="Q5494" s="3"/>
      <c r="R5494" s="3"/>
      <c r="S5494" s="3"/>
      <c r="T5494" s="3"/>
      <c r="U5494" s="3"/>
      <c r="V5494" s="3"/>
      <c r="W5494" s="3"/>
      <c r="X5494" s="3"/>
      <c r="Y5494" s="3"/>
      <c r="Z5494" s="3"/>
      <c r="AA5494" s="3"/>
    </row>
    <row r="5495" ht="105.75" customHeight="1">
      <c r="A5495" s="11"/>
      <c r="B5495" s="12"/>
      <c r="C5495" s="11"/>
      <c r="D5495" s="13"/>
      <c r="E5495" s="14"/>
      <c r="F5495" s="14"/>
      <c r="G5495" s="14"/>
      <c r="H5495" s="15"/>
      <c r="I5495" s="15"/>
      <c r="J5495" s="3"/>
      <c r="K5495" s="3"/>
      <c r="L5495" s="3"/>
      <c r="M5495" s="3"/>
      <c r="N5495" s="3"/>
      <c r="O5495" s="3"/>
      <c r="P5495" s="3"/>
      <c r="Q5495" s="3"/>
      <c r="R5495" s="3"/>
      <c r="S5495" s="3"/>
      <c r="T5495" s="3"/>
      <c r="U5495" s="3"/>
      <c r="V5495" s="3"/>
      <c r="W5495" s="3"/>
      <c r="X5495" s="3"/>
      <c r="Y5495" s="3"/>
      <c r="Z5495" s="3"/>
      <c r="AA5495" s="3"/>
    </row>
    <row r="5496" ht="105.75" customHeight="1">
      <c r="A5496" s="11"/>
      <c r="B5496" s="12"/>
      <c r="C5496" s="11"/>
      <c r="D5496" s="13"/>
      <c r="E5496" s="14"/>
      <c r="F5496" s="14"/>
      <c r="G5496" s="14"/>
      <c r="H5496" s="15"/>
      <c r="I5496" s="15"/>
      <c r="J5496" s="3"/>
      <c r="K5496" s="3"/>
      <c r="L5496" s="3"/>
      <c r="M5496" s="3"/>
      <c r="N5496" s="3"/>
      <c r="O5496" s="3"/>
      <c r="P5496" s="3"/>
      <c r="Q5496" s="3"/>
      <c r="R5496" s="3"/>
      <c r="S5496" s="3"/>
      <c r="T5496" s="3"/>
      <c r="U5496" s="3"/>
      <c r="V5496" s="3"/>
      <c r="W5496" s="3"/>
      <c r="X5496" s="3"/>
      <c r="Y5496" s="3"/>
      <c r="Z5496" s="3"/>
      <c r="AA5496" s="3"/>
    </row>
    <row r="5497" ht="105.75" customHeight="1">
      <c r="A5497" s="11"/>
      <c r="B5497" s="12"/>
      <c r="C5497" s="11"/>
      <c r="D5497" s="13"/>
      <c r="E5497" s="14"/>
      <c r="F5497" s="14"/>
      <c r="G5497" s="14"/>
      <c r="H5497" s="15"/>
      <c r="I5497" s="15"/>
      <c r="J5497" s="3"/>
      <c r="K5497" s="3"/>
      <c r="L5497" s="3"/>
      <c r="M5497" s="3"/>
      <c r="N5497" s="3"/>
      <c r="O5497" s="3"/>
      <c r="P5497" s="3"/>
      <c r="Q5497" s="3"/>
      <c r="R5497" s="3"/>
      <c r="S5497" s="3"/>
      <c r="T5497" s="3"/>
      <c r="U5497" s="3"/>
      <c r="V5497" s="3"/>
      <c r="W5497" s="3"/>
      <c r="X5497" s="3"/>
      <c r="Y5497" s="3"/>
      <c r="Z5497" s="3"/>
      <c r="AA5497" s="3"/>
    </row>
    <row r="5498" ht="105.75" customHeight="1">
      <c r="A5498" s="11"/>
      <c r="B5498" s="12"/>
      <c r="C5498" s="11"/>
      <c r="D5498" s="13"/>
      <c r="E5498" s="14"/>
      <c r="F5498" s="14"/>
      <c r="G5498" s="14"/>
      <c r="H5498" s="15"/>
      <c r="I5498" s="15"/>
      <c r="J5498" s="3"/>
      <c r="K5498" s="3"/>
      <c r="L5498" s="3"/>
      <c r="M5498" s="3"/>
      <c r="N5498" s="3"/>
      <c r="O5498" s="3"/>
      <c r="P5498" s="3"/>
      <c r="Q5498" s="3"/>
      <c r="R5498" s="3"/>
      <c r="S5498" s="3"/>
      <c r="T5498" s="3"/>
      <c r="U5498" s="3"/>
      <c r="V5498" s="3"/>
      <c r="W5498" s="3"/>
      <c r="X5498" s="3"/>
      <c r="Y5498" s="3"/>
      <c r="Z5498" s="3"/>
      <c r="AA5498" s="3"/>
    </row>
    <row r="5499" ht="105.75" customHeight="1">
      <c r="A5499" s="11"/>
      <c r="B5499" s="12"/>
      <c r="C5499" s="11"/>
      <c r="D5499" s="13"/>
      <c r="E5499" s="14"/>
      <c r="F5499" s="14"/>
      <c r="G5499" s="14"/>
      <c r="H5499" s="15"/>
      <c r="I5499" s="15"/>
      <c r="J5499" s="3"/>
      <c r="K5499" s="3"/>
      <c r="L5499" s="3"/>
      <c r="M5499" s="3"/>
      <c r="N5499" s="3"/>
      <c r="O5499" s="3"/>
      <c r="P5499" s="3"/>
      <c r="Q5499" s="3"/>
      <c r="R5499" s="3"/>
      <c r="S5499" s="3"/>
      <c r="T5499" s="3"/>
      <c r="U5499" s="3"/>
      <c r="V5499" s="3"/>
      <c r="W5499" s="3"/>
      <c r="X5499" s="3"/>
      <c r="Y5499" s="3"/>
      <c r="Z5499" s="3"/>
      <c r="AA5499" s="3"/>
    </row>
    <row r="5500" ht="105.75" customHeight="1">
      <c r="A5500" s="11"/>
      <c r="B5500" s="12"/>
      <c r="C5500" s="11"/>
      <c r="D5500" s="13"/>
      <c r="E5500" s="14"/>
      <c r="F5500" s="14"/>
      <c r="G5500" s="14"/>
      <c r="H5500" s="15"/>
      <c r="I5500" s="15"/>
      <c r="J5500" s="3"/>
      <c r="K5500" s="3"/>
      <c r="L5500" s="3"/>
      <c r="M5500" s="3"/>
      <c r="N5500" s="3"/>
      <c r="O5500" s="3"/>
      <c r="P5500" s="3"/>
      <c r="Q5500" s="3"/>
      <c r="R5500" s="3"/>
      <c r="S5500" s="3"/>
      <c r="T5500" s="3"/>
      <c r="U5500" s="3"/>
      <c r="V5500" s="3"/>
      <c r="W5500" s="3"/>
      <c r="X5500" s="3"/>
      <c r="Y5500" s="3"/>
      <c r="Z5500" s="3"/>
      <c r="AA5500" s="3"/>
    </row>
    <row r="5501" ht="105.75" customHeight="1">
      <c r="A5501" s="11"/>
      <c r="B5501" s="12"/>
      <c r="C5501" s="11"/>
      <c r="D5501" s="13"/>
      <c r="E5501" s="14"/>
      <c r="F5501" s="14"/>
      <c r="G5501" s="14"/>
      <c r="H5501" s="15"/>
      <c r="I5501" s="15"/>
      <c r="J5501" s="3"/>
      <c r="K5501" s="3"/>
      <c r="L5501" s="3"/>
      <c r="M5501" s="3"/>
      <c r="N5501" s="3"/>
      <c r="O5501" s="3"/>
      <c r="P5501" s="3"/>
      <c r="Q5501" s="3"/>
      <c r="R5501" s="3"/>
      <c r="S5501" s="3"/>
      <c r="T5501" s="3"/>
      <c r="U5501" s="3"/>
      <c r="V5501" s="3"/>
      <c r="W5501" s="3"/>
      <c r="X5501" s="3"/>
      <c r="Y5501" s="3"/>
      <c r="Z5501" s="3"/>
      <c r="AA5501" s="3"/>
    </row>
    <row r="5502" ht="105.75" customHeight="1">
      <c r="A5502" s="11"/>
      <c r="B5502" s="12"/>
      <c r="C5502" s="11"/>
      <c r="D5502" s="13"/>
      <c r="E5502" s="14"/>
      <c r="F5502" s="14"/>
      <c r="G5502" s="14"/>
      <c r="H5502" s="15"/>
      <c r="I5502" s="15"/>
      <c r="J5502" s="3"/>
      <c r="K5502" s="3"/>
      <c r="L5502" s="3"/>
      <c r="M5502" s="3"/>
      <c r="N5502" s="3"/>
      <c r="O5502" s="3"/>
      <c r="P5502" s="3"/>
      <c r="Q5502" s="3"/>
      <c r="R5502" s="3"/>
      <c r="S5502" s="3"/>
      <c r="T5502" s="3"/>
      <c r="U5502" s="3"/>
      <c r="V5502" s="3"/>
      <c r="W5502" s="3"/>
      <c r="X5502" s="3"/>
      <c r="Y5502" s="3"/>
      <c r="Z5502" s="3"/>
      <c r="AA5502" s="3"/>
    </row>
    <row r="5503" ht="105.75" customHeight="1">
      <c r="A5503" s="11"/>
      <c r="B5503" s="12"/>
      <c r="C5503" s="11"/>
      <c r="D5503" s="13"/>
      <c r="E5503" s="14"/>
      <c r="F5503" s="14"/>
      <c r="G5503" s="14"/>
      <c r="H5503" s="15"/>
      <c r="I5503" s="15"/>
      <c r="J5503" s="3"/>
      <c r="K5503" s="3"/>
      <c r="L5503" s="3"/>
      <c r="M5503" s="3"/>
      <c r="N5503" s="3"/>
      <c r="O5503" s="3"/>
      <c r="P5503" s="3"/>
      <c r="Q5503" s="3"/>
      <c r="R5503" s="3"/>
      <c r="S5503" s="3"/>
      <c r="T5503" s="3"/>
      <c r="U5503" s="3"/>
      <c r="V5503" s="3"/>
      <c r="W5503" s="3"/>
      <c r="X5503" s="3"/>
      <c r="Y5503" s="3"/>
      <c r="Z5503" s="3"/>
      <c r="AA5503" s="3"/>
    </row>
    <row r="5504" ht="105.75" customHeight="1">
      <c r="A5504" s="11"/>
      <c r="B5504" s="12"/>
      <c r="C5504" s="11"/>
      <c r="D5504" s="13"/>
      <c r="E5504" s="14"/>
      <c r="F5504" s="14"/>
      <c r="G5504" s="14"/>
      <c r="H5504" s="15"/>
      <c r="I5504" s="15"/>
      <c r="J5504" s="3"/>
      <c r="K5504" s="3"/>
      <c r="L5504" s="3"/>
      <c r="M5504" s="3"/>
      <c r="N5504" s="3"/>
      <c r="O5504" s="3"/>
      <c r="P5504" s="3"/>
      <c r="Q5504" s="3"/>
      <c r="R5504" s="3"/>
      <c r="S5504" s="3"/>
      <c r="T5504" s="3"/>
      <c r="U5504" s="3"/>
      <c r="V5504" s="3"/>
      <c r="W5504" s="3"/>
      <c r="X5504" s="3"/>
      <c r="Y5504" s="3"/>
      <c r="Z5504" s="3"/>
      <c r="AA5504" s="3"/>
    </row>
    <row r="5505" ht="105.75" customHeight="1">
      <c r="A5505" s="11"/>
      <c r="B5505" s="12"/>
      <c r="C5505" s="11"/>
      <c r="D5505" s="13"/>
      <c r="E5505" s="14"/>
      <c r="F5505" s="14"/>
      <c r="G5505" s="14"/>
      <c r="H5505" s="15"/>
      <c r="I5505" s="15"/>
      <c r="J5505" s="3"/>
      <c r="K5505" s="3"/>
      <c r="L5505" s="3"/>
      <c r="M5505" s="3"/>
      <c r="N5505" s="3"/>
      <c r="O5505" s="3"/>
      <c r="P5505" s="3"/>
      <c r="Q5505" s="3"/>
      <c r="R5505" s="3"/>
      <c r="S5505" s="3"/>
      <c r="T5505" s="3"/>
      <c r="U5505" s="3"/>
      <c r="V5505" s="3"/>
      <c r="W5505" s="3"/>
      <c r="X5505" s="3"/>
      <c r="Y5505" s="3"/>
      <c r="Z5505" s="3"/>
      <c r="AA5505" s="3"/>
    </row>
    <row r="5506" ht="105.75" customHeight="1">
      <c r="A5506" s="11"/>
      <c r="B5506" s="12"/>
      <c r="C5506" s="11"/>
      <c r="D5506" s="13"/>
      <c r="E5506" s="14"/>
      <c r="F5506" s="14"/>
      <c r="G5506" s="14"/>
      <c r="H5506" s="15"/>
      <c r="I5506" s="15"/>
      <c r="J5506" s="3"/>
      <c r="K5506" s="3"/>
      <c r="L5506" s="3"/>
      <c r="M5506" s="3"/>
      <c r="N5506" s="3"/>
      <c r="O5506" s="3"/>
      <c r="P5506" s="3"/>
      <c r="Q5506" s="3"/>
      <c r="R5506" s="3"/>
      <c r="S5506" s="3"/>
      <c r="T5506" s="3"/>
      <c r="U5506" s="3"/>
      <c r="V5506" s="3"/>
      <c r="W5506" s="3"/>
      <c r="X5506" s="3"/>
      <c r="Y5506" s="3"/>
      <c r="Z5506" s="3"/>
      <c r="AA5506" s="3"/>
    </row>
    <row r="5507" ht="105.75" customHeight="1">
      <c r="A5507" s="11"/>
      <c r="B5507" s="12"/>
      <c r="C5507" s="11"/>
      <c r="D5507" s="13"/>
      <c r="E5507" s="14"/>
      <c r="F5507" s="14"/>
      <c r="G5507" s="14"/>
      <c r="H5507" s="15"/>
      <c r="I5507" s="15"/>
      <c r="J5507" s="3"/>
      <c r="K5507" s="3"/>
      <c r="L5507" s="3"/>
      <c r="M5507" s="3"/>
      <c r="N5507" s="3"/>
      <c r="O5507" s="3"/>
      <c r="P5507" s="3"/>
      <c r="Q5507" s="3"/>
      <c r="R5507" s="3"/>
      <c r="S5507" s="3"/>
      <c r="T5507" s="3"/>
      <c r="U5507" s="3"/>
      <c r="V5507" s="3"/>
      <c r="W5507" s="3"/>
      <c r="X5507" s="3"/>
      <c r="Y5507" s="3"/>
      <c r="Z5507" s="3"/>
      <c r="AA5507" s="3"/>
    </row>
    <row r="5508" ht="105.75" customHeight="1">
      <c r="A5508" s="11"/>
      <c r="B5508" s="12"/>
      <c r="C5508" s="11"/>
      <c r="D5508" s="13"/>
      <c r="E5508" s="14"/>
      <c r="F5508" s="14"/>
      <c r="G5508" s="14"/>
      <c r="H5508" s="15"/>
      <c r="I5508" s="15"/>
      <c r="J5508" s="3"/>
      <c r="K5508" s="3"/>
      <c r="L5508" s="3"/>
      <c r="M5508" s="3"/>
      <c r="N5508" s="3"/>
      <c r="O5508" s="3"/>
      <c r="P5508" s="3"/>
      <c r="Q5508" s="3"/>
      <c r="R5508" s="3"/>
      <c r="S5508" s="3"/>
      <c r="T5508" s="3"/>
      <c r="U5508" s="3"/>
      <c r="V5508" s="3"/>
      <c r="W5508" s="3"/>
      <c r="X5508" s="3"/>
      <c r="Y5508" s="3"/>
      <c r="Z5508" s="3"/>
      <c r="AA5508" s="3"/>
    </row>
    <row r="5509" ht="105.75" customHeight="1">
      <c r="A5509" s="11"/>
      <c r="B5509" s="12"/>
      <c r="C5509" s="11"/>
      <c r="D5509" s="13"/>
      <c r="E5509" s="14"/>
      <c r="F5509" s="14"/>
      <c r="G5509" s="14"/>
      <c r="H5509" s="15"/>
      <c r="I5509" s="15"/>
      <c r="J5509" s="3"/>
      <c r="K5509" s="3"/>
      <c r="L5509" s="3"/>
      <c r="M5509" s="3"/>
      <c r="N5509" s="3"/>
      <c r="O5509" s="3"/>
      <c r="P5509" s="3"/>
      <c r="Q5509" s="3"/>
      <c r="R5509" s="3"/>
      <c r="S5509" s="3"/>
      <c r="T5509" s="3"/>
      <c r="U5509" s="3"/>
      <c r="V5509" s="3"/>
      <c r="W5509" s="3"/>
      <c r="X5509" s="3"/>
      <c r="Y5509" s="3"/>
      <c r="Z5509" s="3"/>
      <c r="AA5509" s="3"/>
    </row>
    <row r="5510" ht="105.75" customHeight="1">
      <c r="A5510" s="11"/>
      <c r="B5510" s="12"/>
      <c r="C5510" s="11"/>
      <c r="D5510" s="13"/>
      <c r="E5510" s="14"/>
      <c r="F5510" s="14"/>
      <c r="G5510" s="14"/>
      <c r="H5510" s="15"/>
      <c r="I5510" s="15"/>
      <c r="J5510" s="3"/>
      <c r="K5510" s="3"/>
      <c r="L5510" s="3"/>
      <c r="M5510" s="3"/>
      <c r="N5510" s="3"/>
      <c r="O5510" s="3"/>
      <c r="P5510" s="3"/>
      <c r="Q5510" s="3"/>
      <c r="R5510" s="3"/>
      <c r="S5510" s="3"/>
      <c r="T5510" s="3"/>
      <c r="U5510" s="3"/>
      <c r="V5510" s="3"/>
      <c r="W5510" s="3"/>
      <c r="X5510" s="3"/>
      <c r="Y5510" s="3"/>
      <c r="Z5510" s="3"/>
      <c r="AA5510" s="3"/>
    </row>
    <row r="5511" ht="105.75" customHeight="1">
      <c r="A5511" s="11"/>
      <c r="B5511" s="12"/>
      <c r="C5511" s="11"/>
      <c r="D5511" s="13"/>
      <c r="E5511" s="14"/>
      <c r="F5511" s="14"/>
      <c r="G5511" s="14"/>
      <c r="H5511" s="15"/>
      <c r="I5511" s="15"/>
      <c r="J5511" s="3"/>
      <c r="K5511" s="3"/>
      <c r="L5511" s="3"/>
      <c r="M5511" s="3"/>
      <c r="N5511" s="3"/>
      <c r="O5511" s="3"/>
      <c r="P5511" s="3"/>
      <c r="Q5511" s="3"/>
      <c r="R5511" s="3"/>
      <c r="S5511" s="3"/>
      <c r="T5511" s="3"/>
      <c r="U5511" s="3"/>
      <c r="V5511" s="3"/>
      <c r="W5511" s="3"/>
      <c r="X5511" s="3"/>
      <c r="Y5511" s="3"/>
      <c r="Z5511" s="3"/>
      <c r="AA5511" s="3"/>
    </row>
    <row r="5512" ht="105.75" customHeight="1">
      <c r="A5512" s="11"/>
      <c r="B5512" s="12"/>
      <c r="C5512" s="11"/>
      <c r="D5512" s="13"/>
      <c r="E5512" s="14"/>
      <c r="F5512" s="14"/>
      <c r="G5512" s="14"/>
      <c r="H5512" s="15"/>
      <c r="I5512" s="15"/>
      <c r="J5512" s="3"/>
      <c r="K5512" s="3"/>
      <c r="L5512" s="3"/>
      <c r="M5512" s="3"/>
      <c r="N5512" s="3"/>
      <c r="O5512" s="3"/>
      <c r="P5512" s="3"/>
      <c r="Q5512" s="3"/>
      <c r="R5512" s="3"/>
      <c r="S5512" s="3"/>
      <c r="T5512" s="3"/>
      <c r="U5512" s="3"/>
      <c r="V5512" s="3"/>
      <c r="W5512" s="3"/>
      <c r="X5512" s="3"/>
      <c r="Y5512" s="3"/>
      <c r="Z5512" s="3"/>
      <c r="AA5512" s="3"/>
    </row>
    <row r="5513" ht="105.75" customHeight="1">
      <c r="A5513" s="11"/>
      <c r="B5513" s="12"/>
      <c r="C5513" s="11"/>
      <c r="D5513" s="13"/>
      <c r="E5513" s="14"/>
      <c r="F5513" s="14"/>
      <c r="G5513" s="14"/>
      <c r="H5513" s="15"/>
      <c r="I5513" s="15"/>
      <c r="J5513" s="3"/>
      <c r="K5513" s="3"/>
      <c r="L5513" s="3"/>
      <c r="M5513" s="3"/>
      <c r="N5513" s="3"/>
      <c r="O5513" s="3"/>
      <c r="P5513" s="3"/>
      <c r="Q5513" s="3"/>
      <c r="R5513" s="3"/>
      <c r="S5513" s="3"/>
      <c r="T5513" s="3"/>
      <c r="U5513" s="3"/>
      <c r="V5513" s="3"/>
      <c r="W5513" s="3"/>
      <c r="X5513" s="3"/>
      <c r="Y5513" s="3"/>
      <c r="Z5513" s="3"/>
      <c r="AA5513" s="3"/>
    </row>
    <row r="5514" ht="105.75" customHeight="1">
      <c r="A5514" s="11"/>
      <c r="B5514" s="12"/>
      <c r="C5514" s="11"/>
      <c r="D5514" s="13"/>
      <c r="E5514" s="14"/>
      <c r="F5514" s="14"/>
      <c r="G5514" s="14"/>
      <c r="H5514" s="15"/>
      <c r="I5514" s="15"/>
      <c r="J5514" s="3"/>
      <c r="K5514" s="3"/>
      <c r="L5514" s="3"/>
      <c r="M5514" s="3"/>
      <c r="N5514" s="3"/>
      <c r="O5514" s="3"/>
      <c r="P5514" s="3"/>
      <c r="Q5514" s="3"/>
      <c r="R5514" s="3"/>
      <c r="S5514" s="3"/>
      <c r="T5514" s="3"/>
      <c r="U5514" s="3"/>
      <c r="V5514" s="3"/>
      <c r="W5514" s="3"/>
      <c r="X5514" s="3"/>
      <c r="Y5514" s="3"/>
      <c r="Z5514" s="3"/>
      <c r="AA5514" s="3"/>
    </row>
    <row r="5515" ht="105.75" customHeight="1">
      <c r="A5515" s="11"/>
      <c r="B5515" s="12"/>
      <c r="C5515" s="11"/>
      <c r="D5515" s="13"/>
      <c r="E5515" s="14"/>
      <c r="F5515" s="14"/>
      <c r="G5515" s="14"/>
      <c r="H5515" s="15"/>
      <c r="I5515" s="15"/>
      <c r="J5515" s="3"/>
      <c r="K5515" s="3"/>
      <c r="L5515" s="3"/>
      <c r="M5515" s="3"/>
      <c r="N5515" s="3"/>
      <c r="O5515" s="3"/>
      <c r="P5515" s="3"/>
      <c r="Q5515" s="3"/>
      <c r="R5515" s="3"/>
      <c r="S5515" s="3"/>
      <c r="T5515" s="3"/>
      <c r="U5515" s="3"/>
      <c r="V5515" s="3"/>
      <c r="W5515" s="3"/>
      <c r="X5515" s="3"/>
      <c r="Y5515" s="3"/>
      <c r="Z5515" s="3"/>
      <c r="AA5515" s="3"/>
    </row>
    <row r="5516" ht="105.75" customHeight="1">
      <c r="A5516" s="11"/>
      <c r="B5516" s="12"/>
      <c r="C5516" s="11"/>
      <c r="D5516" s="13"/>
      <c r="E5516" s="14"/>
      <c r="F5516" s="14"/>
      <c r="G5516" s="14"/>
      <c r="H5516" s="15"/>
      <c r="I5516" s="15"/>
      <c r="J5516" s="3"/>
      <c r="K5516" s="3"/>
      <c r="L5516" s="3"/>
      <c r="M5516" s="3"/>
      <c r="N5516" s="3"/>
      <c r="O5516" s="3"/>
      <c r="P5516" s="3"/>
      <c r="Q5516" s="3"/>
      <c r="R5516" s="3"/>
      <c r="S5516" s="3"/>
      <c r="T5516" s="3"/>
      <c r="U5516" s="3"/>
      <c r="V5516" s="3"/>
      <c r="W5516" s="3"/>
      <c r="X5516" s="3"/>
      <c r="Y5516" s="3"/>
      <c r="Z5516" s="3"/>
      <c r="AA5516" s="3"/>
    </row>
    <row r="5517" ht="105.75" customHeight="1">
      <c r="A5517" s="11"/>
      <c r="B5517" s="12"/>
      <c r="C5517" s="11"/>
      <c r="D5517" s="13"/>
      <c r="E5517" s="14"/>
      <c r="F5517" s="14"/>
      <c r="G5517" s="14"/>
      <c r="H5517" s="15"/>
      <c r="I5517" s="15"/>
      <c r="J5517" s="3"/>
      <c r="K5517" s="3"/>
      <c r="L5517" s="3"/>
      <c r="M5517" s="3"/>
      <c r="N5517" s="3"/>
      <c r="O5517" s="3"/>
      <c r="P5517" s="3"/>
      <c r="Q5517" s="3"/>
      <c r="R5517" s="3"/>
      <c r="S5517" s="3"/>
      <c r="T5517" s="3"/>
      <c r="U5517" s="3"/>
      <c r="V5517" s="3"/>
      <c r="W5517" s="3"/>
      <c r="X5517" s="3"/>
      <c r="Y5517" s="3"/>
      <c r="Z5517" s="3"/>
      <c r="AA5517" s="3"/>
    </row>
    <row r="5518" ht="105.75" customHeight="1">
      <c r="A5518" s="11"/>
      <c r="B5518" s="12"/>
      <c r="C5518" s="11"/>
      <c r="D5518" s="13"/>
      <c r="E5518" s="14"/>
      <c r="F5518" s="14"/>
      <c r="G5518" s="14"/>
      <c r="H5518" s="15"/>
      <c r="I5518" s="15"/>
      <c r="J5518" s="3"/>
      <c r="K5518" s="3"/>
      <c r="L5518" s="3"/>
      <c r="M5518" s="3"/>
      <c r="N5518" s="3"/>
      <c r="O5518" s="3"/>
      <c r="P5518" s="3"/>
      <c r="Q5518" s="3"/>
      <c r="R5518" s="3"/>
      <c r="S5518" s="3"/>
      <c r="T5518" s="3"/>
      <c r="U5518" s="3"/>
      <c r="V5518" s="3"/>
      <c r="W5518" s="3"/>
      <c r="X5518" s="3"/>
      <c r="Y5518" s="3"/>
      <c r="Z5518" s="3"/>
      <c r="AA5518" s="3"/>
    </row>
    <row r="5519" ht="105.75" customHeight="1">
      <c r="A5519" s="11"/>
      <c r="B5519" s="12"/>
      <c r="C5519" s="11"/>
      <c r="D5519" s="13"/>
      <c r="E5519" s="14"/>
      <c r="F5519" s="14"/>
      <c r="G5519" s="14"/>
      <c r="H5519" s="15"/>
      <c r="I5519" s="15"/>
      <c r="J5519" s="3"/>
      <c r="K5519" s="3"/>
      <c r="L5519" s="3"/>
      <c r="M5519" s="3"/>
      <c r="N5519" s="3"/>
      <c r="O5519" s="3"/>
      <c r="P5519" s="3"/>
      <c r="Q5519" s="3"/>
      <c r="R5519" s="3"/>
      <c r="S5519" s="3"/>
      <c r="T5519" s="3"/>
      <c r="U5519" s="3"/>
      <c r="V5519" s="3"/>
      <c r="W5519" s="3"/>
      <c r="X5519" s="3"/>
      <c r="Y5519" s="3"/>
      <c r="Z5519" s="3"/>
      <c r="AA5519" s="3"/>
    </row>
    <row r="5520" ht="105.75" customHeight="1">
      <c r="A5520" s="11"/>
      <c r="B5520" s="12"/>
      <c r="C5520" s="11"/>
      <c r="D5520" s="13"/>
      <c r="E5520" s="14"/>
      <c r="F5520" s="14"/>
      <c r="G5520" s="14"/>
      <c r="H5520" s="15"/>
      <c r="I5520" s="15"/>
      <c r="J5520" s="3"/>
      <c r="K5520" s="3"/>
      <c r="L5520" s="3"/>
      <c r="M5520" s="3"/>
      <c r="N5520" s="3"/>
      <c r="O5520" s="3"/>
      <c r="P5520" s="3"/>
      <c r="Q5520" s="3"/>
      <c r="R5520" s="3"/>
      <c r="S5520" s="3"/>
      <c r="T5520" s="3"/>
      <c r="U5520" s="3"/>
      <c r="V5520" s="3"/>
      <c r="W5520" s="3"/>
      <c r="X5520" s="3"/>
      <c r="Y5520" s="3"/>
      <c r="Z5520" s="3"/>
      <c r="AA5520" s="3"/>
    </row>
    <row r="5521" ht="105.75" customHeight="1">
      <c r="A5521" s="11"/>
      <c r="B5521" s="12"/>
      <c r="C5521" s="11"/>
      <c r="D5521" s="13"/>
      <c r="E5521" s="14"/>
      <c r="F5521" s="14"/>
      <c r="G5521" s="14"/>
      <c r="H5521" s="15"/>
      <c r="I5521" s="15"/>
      <c r="J5521" s="3"/>
      <c r="K5521" s="3"/>
      <c r="L5521" s="3"/>
      <c r="M5521" s="3"/>
      <c r="N5521" s="3"/>
      <c r="O5521" s="3"/>
      <c r="P5521" s="3"/>
      <c r="Q5521" s="3"/>
      <c r="R5521" s="3"/>
      <c r="S5521" s="3"/>
      <c r="T5521" s="3"/>
      <c r="U5521" s="3"/>
      <c r="V5521" s="3"/>
      <c r="W5521" s="3"/>
      <c r="X5521" s="3"/>
      <c r="Y5521" s="3"/>
      <c r="Z5521" s="3"/>
      <c r="AA5521" s="3"/>
    </row>
    <row r="5522" ht="105.75" customHeight="1">
      <c r="A5522" s="11"/>
      <c r="B5522" s="12"/>
      <c r="C5522" s="11"/>
      <c r="D5522" s="13"/>
      <c r="E5522" s="14"/>
      <c r="F5522" s="14"/>
      <c r="G5522" s="14"/>
      <c r="H5522" s="15"/>
      <c r="I5522" s="15"/>
      <c r="J5522" s="3"/>
      <c r="K5522" s="3"/>
      <c r="L5522" s="3"/>
      <c r="M5522" s="3"/>
      <c r="N5522" s="3"/>
      <c r="O5522" s="3"/>
      <c r="P5522" s="3"/>
      <c r="Q5522" s="3"/>
      <c r="R5522" s="3"/>
      <c r="S5522" s="3"/>
      <c r="T5522" s="3"/>
      <c r="U5522" s="3"/>
      <c r="V5522" s="3"/>
      <c r="W5522" s="3"/>
      <c r="X5522" s="3"/>
      <c r="Y5522" s="3"/>
      <c r="Z5522" s="3"/>
      <c r="AA5522" s="3"/>
    </row>
    <row r="5523" ht="105.75" customHeight="1">
      <c r="A5523" s="11"/>
      <c r="B5523" s="12"/>
      <c r="C5523" s="11"/>
      <c r="D5523" s="13"/>
      <c r="E5523" s="14"/>
      <c r="F5523" s="14"/>
      <c r="G5523" s="14"/>
      <c r="H5523" s="15"/>
      <c r="I5523" s="15"/>
      <c r="J5523" s="3"/>
      <c r="K5523" s="3"/>
      <c r="L5523" s="3"/>
      <c r="M5523" s="3"/>
      <c r="N5523" s="3"/>
      <c r="O5523" s="3"/>
      <c r="P5523" s="3"/>
      <c r="Q5523" s="3"/>
      <c r="R5523" s="3"/>
      <c r="S5523" s="3"/>
      <c r="T5523" s="3"/>
      <c r="U5523" s="3"/>
      <c r="V5523" s="3"/>
      <c r="W5523" s="3"/>
      <c r="X5523" s="3"/>
      <c r="Y5523" s="3"/>
      <c r="Z5523" s="3"/>
      <c r="AA5523" s="3"/>
    </row>
    <row r="5524" ht="105.75" customHeight="1">
      <c r="A5524" s="11"/>
      <c r="B5524" s="12"/>
      <c r="C5524" s="11"/>
      <c r="D5524" s="13"/>
      <c r="E5524" s="14"/>
      <c r="F5524" s="14"/>
      <c r="G5524" s="14"/>
      <c r="H5524" s="15"/>
      <c r="I5524" s="15"/>
      <c r="J5524" s="3"/>
      <c r="K5524" s="3"/>
      <c r="L5524" s="3"/>
      <c r="M5524" s="3"/>
      <c r="N5524" s="3"/>
      <c r="O5524" s="3"/>
      <c r="P5524" s="3"/>
      <c r="Q5524" s="3"/>
      <c r="R5524" s="3"/>
      <c r="S5524" s="3"/>
      <c r="T5524" s="3"/>
      <c r="U5524" s="3"/>
      <c r="V5524" s="3"/>
      <c r="W5524" s="3"/>
      <c r="X5524" s="3"/>
      <c r="Y5524" s="3"/>
      <c r="Z5524" s="3"/>
      <c r="AA5524" s="3"/>
    </row>
    <row r="5525" ht="105.75" customHeight="1">
      <c r="A5525" s="11"/>
      <c r="B5525" s="12"/>
      <c r="C5525" s="11"/>
      <c r="D5525" s="13"/>
      <c r="E5525" s="14"/>
      <c r="F5525" s="14"/>
      <c r="G5525" s="14"/>
      <c r="H5525" s="15"/>
      <c r="I5525" s="15"/>
      <c r="J5525" s="3"/>
      <c r="K5525" s="3"/>
      <c r="L5525" s="3"/>
      <c r="M5525" s="3"/>
      <c r="N5525" s="3"/>
      <c r="O5525" s="3"/>
      <c r="P5525" s="3"/>
      <c r="Q5525" s="3"/>
      <c r="R5525" s="3"/>
      <c r="S5525" s="3"/>
      <c r="T5525" s="3"/>
      <c r="U5525" s="3"/>
      <c r="V5525" s="3"/>
      <c r="W5525" s="3"/>
      <c r="X5525" s="3"/>
      <c r="Y5525" s="3"/>
      <c r="Z5525" s="3"/>
      <c r="AA5525" s="3"/>
    </row>
    <row r="5526" ht="105.75" customHeight="1">
      <c r="A5526" s="11"/>
      <c r="B5526" s="12"/>
      <c r="C5526" s="11"/>
      <c r="D5526" s="13"/>
      <c r="E5526" s="14"/>
      <c r="F5526" s="14"/>
      <c r="G5526" s="14"/>
      <c r="H5526" s="15"/>
      <c r="I5526" s="15"/>
      <c r="J5526" s="3"/>
      <c r="K5526" s="3"/>
      <c r="L5526" s="3"/>
      <c r="M5526" s="3"/>
      <c r="N5526" s="3"/>
      <c r="O5526" s="3"/>
      <c r="P5526" s="3"/>
      <c r="Q5526" s="3"/>
      <c r="R5526" s="3"/>
      <c r="S5526" s="3"/>
      <c r="T5526" s="3"/>
      <c r="U5526" s="3"/>
      <c r="V5526" s="3"/>
      <c r="W5526" s="3"/>
      <c r="X5526" s="3"/>
      <c r="Y5526" s="3"/>
      <c r="Z5526" s="3"/>
      <c r="AA5526" s="3"/>
    </row>
    <row r="5527" ht="105.75" customHeight="1">
      <c r="A5527" s="11"/>
      <c r="B5527" s="12"/>
      <c r="C5527" s="11"/>
      <c r="D5527" s="13"/>
      <c r="E5527" s="14"/>
      <c r="F5527" s="14"/>
      <c r="G5527" s="14"/>
      <c r="H5527" s="15"/>
      <c r="I5527" s="15"/>
      <c r="J5527" s="3"/>
      <c r="K5527" s="3"/>
      <c r="L5527" s="3"/>
      <c r="M5527" s="3"/>
      <c r="N5527" s="3"/>
      <c r="O5527" s="3"/>
      <c r="P5527" s="3"/>
      <c r="Q5527" s="3"/>
      <c r="R5527" s="3"/>
      <c r="S5527" s="3"/>
      <c r="T5527" s="3"/>
      <c r="U5527" s="3"/>
      <c r="V5527" s="3"/>
      <c r="W5527" s="3"/>
      <c r="X5527" s="3"/>
      <c r="Y5527" s="3"/>
      <c r="Z5527" s="3"/>
      <c r="AA5527" s="3"/>
    </row>
    <row r="5528" ht="105.75" customHeight="1">
      <c r="A5528" s="11"/>
      <c r="B5528" s="12"/>
      <c r="C5528" s="11"/>
      <c r="D5528" s="13"/>
      <c r="E5528" s="14"/>
      <c r="F5528" s="14"/>
      <c r="G5528" s="14"/>
      <c r="H5528" s="15"/>
      <c r="I5528" s="15"/>
      <c r="J5528" s="3"/>
      <c r="K5528" s="3"/>
      <c r="L5528" s="3"/>
      <c r="M5528" s="3"/>
      <c r="N5528" s="3"/>
      <c r="O5528" s="3"/>
      <c r="P5528" s="3"/>
      <c r="Q5528" s="3"/>
      <c r="R5528" s="3"/>
      <c r="S5528" s="3"/>
      <c r="T5528" s="3"/>
      <c r="U5528" s="3"/>
      <c r="V5528" s="3"/>
      <c r="W5528" s="3"/>
      <c r="X5528" s="3"/>
      <c r="Y5528" s="3"/>
      <c r="Z5528" s="3"/>
      <c r="AA5528" s="3"/>
    </row>
    <row r="5529" ht="105.75" customHeight="1">
      <c r="A5529" s="11"/>
      <c r="B5529" s="12"/>
      <c r="C5529" s="11"/>
      <c r="D5529" s="13"/>
      <c r="E5529" s="14"/>
      <c r="F5529" s="14"/>
      <c r="G5529" s="14"/>
      <c r="H5529" s="15"/>
      <c r="I5529" s="15"/>
      <c r="J5529" s="3"/>
      <c r="K5529" s="3"/>
      <c r="L5529" s="3"/>
      <c r="M5529" s="3"/>
      <c r="N5529" s="3"/>
      <c r="O5529" s="3"/>
      <c r="P5529" s="3"/>
      <c r="Q5529" s="3"/>
      <c r="R5529" s="3"/>
      <c r="S5529" s="3"/>
      <c r="T5529" s="3"/>
      <c r="U5529" s="3"/>
      <c r="V5529" s="3"/>
      <c r="W5529" s="3"/>
      <c r="X5529" s="3"/>
      <c r="Y5529" s="3"/>
      <c r="Z5529" s="3"/>
      <c r="AA5529" s="3"/>
    </row>
    <row r="5530" ht="105.75" customHeight="1">
      <c r="A5530" s="11"/>
      <c r="B5530" s="12"/>
      <c r="C5530" s="11"/>
      <c r="D5530" s="13"/>
      <c r="E5530" s="14"/>
      <c r="F5530" s="14"/>
      <c r="G5530" s="14"/>
      <c r="H5530" s="15"/>
      <c r="I5530" s="15"/>
      <c r="J5530" s="3"/>
      <c r="K5530" s="3"/>
      <c r="L5530" s="3"/>
      <c r="M5530" s="3"/>
      <c r="N5530" s="3"/>
      <c r="O5530" s="3"/>
      <c r="P5530" s="3"/>
      <c r="Q5530" s="3"/>
      <c r="R5530" s="3"/>
      <c r="S5530" s="3"/>
      <c r="T5530" s="3"/>
      <c r="U5530" s="3"/>
      <c r="V5530" s="3"/>
      <c r="W5530" s="3"/>
      <c r="X5530" s="3"/>
      <c r="Y5530" s="3"/>
      <c r="Z5530" s="3"/>
      <c r="AA5530" s="3"/>
    </row>
    <row r="5531" ht="105.75" customHeight="1">
      <c r="A5531" s="11"/>
      <c r="B5531" s="12"/>
      <c r="C5531" s="11"/>
      <c r="D5531" s="13"/>
      <c r="E5531" s="14"/>
      <c r="F5531" s="14"/>
      <c r="G5531" s="14"/>
      <c r="H5531" s="15"/>
      <c r="I5531" s="15"/>
      <c r="J5531" s="3"/>
      <c r="K5531" s="3"/>
      <c r="L5531" s="3"/>
      <c r="M5531" s="3"/>
      <c r="N5531" s="3"/>
      <c r="O5531" s="3"/>
      <c r="P5531" s="3"/>
      <c r="Q5531" s="3"/>
      <c r="R5531" s="3"/>
      <c r="S5531" s="3"/>
      <c r="T5531" s="3"/>
      <c r="U5531" s="3"/>
      <c r="V5531" s="3"/>
      <c r="W5531" s="3"/>
      <c r="X5531" s="3"/>
      <c r="Y5531" s="3"/>
      <c r="Z5531" s="3"/>
      <c r="AA5531" s="3"/>
    </row>
    <row r="5532" ht="105.75" customHeight="1">
      <c r="A5532" s="11"/>
      <c r="B5532" s="12"/>
      <c r="C5532" s="11"/>
      <c r="D5532" s="13"/>
      <c r="E5532" s="14"/>
      <c r="F5532" s="14"/>
      <c r="G5532" s="14"/>
      <c r="H5532" s="15"/>
      <c r="I5532" s="15"/>
      <c r="J5532" s="3"/>
      <c r="K5532" s="3"/>
      <c r="L5532" s="3"/>
      <c r="M5532" s="3"/>
      <c r="N5532" s="3"/>
      <c r="O5532" s="3"/>
      <c r="P5532" s="3"/>
      <c r="Q5532" s="3"/>
      <c r="R5532" s="3"/>
      <c r="S5532" s="3"/>
      <c r="T5532" s="3"/>
      <c r="U5532" s="3"/>
      <c r="V5532" s="3"/>
      <c r="W5532" s="3"/>
      <c r="X5532" s="3"/>
      <c r="Y5532" s="3"/>
      <c r="Z5532" s="3"/>
      <c r="AA5532" s="3"/>
    </row>
    <row r="5533" ht="105.75" customHeight="1">
      <c r="A5533" s="11"/>
      <c r="B5533" s="12"/>
      <c r="C5533" s="11"/>
      <c r="D5533" s="13"/>
      <c r="E5533" s="14"/>
      <c r="F5533" s="14"/>
      <c r="G5533" s="14"/>
      <c r="H5533" s="15"/>
      <c r="I5533" s="15"/>
      <c r="J5533" s="3"/>
      <c r="K5533" s="3"/>
      <c r="L5533" s="3"/>
      <c r="M5533" s="3"/>
      <c r="N5533" s="3"/>
      <c r="O5533" s="3"/>
      <c r="P5533" s="3"/>
      <c r="Q5533" s="3"/>
      <c r="R5533" s="3"/>
      <c r="S5533" s="3"/>
      <c r="T5533" s="3"/>
      <c r="U5533" s="3"/>
      <c r="V5533" s="3"/>
      <c r="W5533" s="3"/>
      <c r="X5533" s="3"/>
      <c r="Y5533" s="3"/>
      <c r="Z5533" s="3"/>
      <c r="AA5533" s="3"/>
    </row>
    <row r="5534" ht="105.75" customHeight="1">
      <c r="A5534" s="11"/>
      <c r="B5534" s="12"/>
      <c r="C5534" s="11"/>
      <c r="D5534" s="13"/>
      <c r="E5534" s="14"/>
      <c r="F5534" s="14"/>
      <c r="G5534" s="14"/>
      <c r="H5534" s="15"/>
      <c r="I5534" s="15"/>
      <c r="J5534" s="3"/>
      <c r="K5534" s="3"/>
      <c r="L5534" s="3"/>
      <c r="M5534" s="3"/>
      <c r="N5534" s="3"/>
      <c r="O5534" s="3"/>
      <c r="P5534" s="3"/>
      <c r="Q5534" s="3"/>
      <c r="R5534" s="3"/>
      <c r="S5534" s="3"/>
      <c r="T5534" s="3"/>
      <c r="U5534" s="3"/>
      <c r="V5534" s="3"/>
      <c r="W5534" s="3"/>
      <c r="X5534" s="3"/>
      <c r="Y5534" s="3"/>
      <c r="Z5534" s="3"/>
      <c r="AA5534" s="3"/>
    </row>
    <row r="5535" ht="105.75" customHeight="1">
      <c r="A5535" s="11"/>
      <c r="B5535" s="12"/>
      <c r="C5535" s="11"/>
      <c r="D5535" s="13"/>
      <c r="E5535" s="14"/>
      <c r="F5535" s="14"/>
      <c r="G5535" s="14"/>
      <c r="H5535" s="15"/>
      <c r="I5535" s="15"/>
      <c r="J5535" s="3"/>
      <c r="K5535" s="3"/>
      <c r="L5535" s="3"/>
      <c r="M5535" s="3"/>
      <c r="N5535" s="3"/>
      <c r="O5535" s="3"/>
      <c r="P5535" s="3"/>
      <c r="Q5535" s="3"/>
      <c r="R5535" s="3"/>
      <c r="S5535" s="3"/>
      <c r="T5535" s="3"/>
      <c r="U5535" s="3"/>
      <c r="V5535" s="3"/>
      <c r="W5535" s="3"/>
      <c r="X5535" s="3"/>
      <c r="Y5535" s="3"/>
      <c r="Z5535" s="3"/>
      <c r="AA5535" s="3"/>
    </row>
    <row r="5536" ht="105.75" customHeight="1">
      <c r="A5536" s="11"/>
      <c r="B5536" s="12"/>
      <c r="C5536" s="11"/>
      <c r="D5536" s="13"/>
      <c r="E5536" s="14"/>
      <c r="F5536" s="14"/>
      <c r="G5536" s="14"/>
      <c r="H5536" s="15"/>
      <c r="I5536" s="15"/>
      <c r="J5536" s="3"/>
      <c r="K5536" s="3"/>
      <c r="L5536" s="3"/>
      <c r="M5536" s="3"/>
      <c r="N5536" s="3"/>
      <c r="O5536" s="3"/>
      <c r="P5536" s="3"/>
      <c r="Q5536" s="3"/>
      <c r="R5536" s="3"/>
      <c r="S5536" s="3"/>
      <c r="T5536" s="3"/>
      <c r="U5536" s="3"/>
      <c r="V5536" s="3"/>
      <c r="W5536" s="3"/>
      <c r="X5536" s="3"/>
      <c r="Y5536" s="3"/>
      <c r="Z5536" s="3"/>
      <c r="AA5536" s="3"/>
    </row>
    <row r="5537" ht="105.75" customHeight="1">
      <c r="A5537" s="11"/>
      <c r="B5537" s="12"/>
      <c r="C5537" s="11"/>
      <c r="D5537" s="13"/>
      <c r="E5537" s="14"/>
      <c r="F5537" s="14"/>
      <c r="G5537" s="14"/>
      <c r="H5537" s="15"/>
      <c r="I5537" s="15"/>
      <c r="J5537" s="3"/>
      <c r="K5537" s="3"/>
      <c r="L5537" s="3"/>
      <c r="M5537" s="3"/>
      <c r="N5537" s="3"/>
      <c r="O5537" s="3"/>
      <c r="P5537" s="3"/>
      <c r="Q5537" s="3"/>
      <c r="R5537" s="3"/>
      <c r="S5537" s="3"/>
      <c r="T5537" s="3"/>
      <c r="U5537" s="3"/>
      <c r="V5537" s="3"/>
      <c r="W5537" s="3"/>
      <c r="X5537" s="3"/>
      <c r="Y5537" s="3"/>
      <c r="Z5537" s="3"/>
      <c r="AA5537" s="3"/>
    </row>
    <row r="5538" ht="105.75" customHeight="1">
      <c r="A5538" s="11"/>
      <c r="B5538" s="12"/>
      <c r="C5538" s="11"/>
      <c r="D5538" s="13"/>
      <c r="E5538" s="14"/>
      <c r="F5538" s="14"/>
      <c r="G5538" s="14"/>
      <c r="H5538" s="15"/>
      <c r="I5538" s="15"/>
      <c r="J5538" s="3"/>
      <c r="K5538" s="3"/>
      <c r="L5538" s="3"/>
      <c r="M5538" s="3"/>
      <c r="N5538" s="3"/>
      <c r="O5538" s="3"/>
      <c r="P5538" s="3"/>
      <c r="Q5538" s="3"/>
      <c r="R5538" s="3"/>
      <c r="S5538" s="3"/>
      <c r="T5538" s="3"/>
      <c r="U5538" s="3"/>
      <c r="V5538" s="3"/>
      <c r="W5538" s="3"/>
      <c r="X5538" s="3"/>
      <c r="Y5538" s="3"/>
      <c r="Z5538" s="3"/>
      <c r="AA5538" s="3"/>
    </row>
    <row r="5539" ht="105.75" customHeight="1">
      <c r="A5539" s="11"/>
      <c r="B5539" s="12"/>
      <c r="C5539" s="11"/>
      <c r="D5539" s="13"/>
      <c r="E5539" s="14"/>
      <c r="F5539" s="14"/>
      <c r="G5539" s="14"/>
      <c r="H5539" s="15"/>
      <c r="I5539" s="15"/>
      <c r="J5539" s="3"/>
      <c r="K5539" s="3"/>
      <c r="L5539" s="3"/>
      <c r="M5539" s="3"/>
      <c r="N5539" s="3"/>
      <c r="O5539" s="3"/>
      <c r="P5539" s="3"/>
      <c r="Q5539" s="3"/>
      <c r="R5539" s="3"/>
      <c r="S5539" s="3"/>
      <c r="T5539" s="3"/>
      <c r="U5539" s="3"/>
      <c r="V5539" s="3"/>
      <c r="W5539" s="3"/>
      <c r="X5539" s="3"/>
      <c r="Y5539" s="3"/>
      <c r="Z5539" s="3"/>
      <c r="AA5539" s="3"/>
    </row>
    <row r="5540" ht="105.75" customHeight="1">
      <c r="A5540" s="11"/>
      <c r="B5540" s="12"/>
      <c r="C5540" s="11"/>
      <c r="D5540" s="13"/>
      <c r="E5540" s="14"/>
      <c r="F5540" s="14"/>
      <c r="G5540" s="14"/>
      <c r="H5540" s="15"/>
      <c r="I5540" s="15"/>
      <c r="J5540" s="3"/>
      <c r="K5540" s="3"/>
      <c r="L5540" s="3"/>
      <c r="M5540" s="3"/>
      <c r="N5540" s="3"/>
      <c r="O5540" s="3"/>
      <c r="P5540" s="3"/>
      <c r="Q5540" s="3"/>
      <c r="R5540" s="3"/>
      <c r="S5540" s="3"/>
      <c r="T5540" s="3"/>
      <c r="U5540" s="3"/>
      <c r="V5540" s="3"/>
      <c r="W5540" s="3"/>
      <c r="X5540" s="3"/>
      <c r="Y5540" s="3"/>
      <c r="Z5540" s="3"/>
      <c r="AA5540" s="3"/>
    </row>
    <row r="5541" ht="105.75" customHeight="1">
      <c r="A5541" s="11"/>
      <c r="B5541" s="12"/>
      <c r="C5541" s="11"/>
      <c r="D5541" s="13"/>
      <c r="E5541" s="14"/>
      <c r="F5541" s="14"/>
      <c r="G5541" s="14"/>
      <c r="H5541" s="15"/>
      <c r="I5541" s="15"/>
      <c r="J5541" s="3"/>
      <c r="K5541" s="3"/>
      <c r="L5541" s="3"/>
      <c r="M5541" s="3"/>
      <c r="N5541" s="3"/>
      <c r="O5541" s="3"/>
      <c r="P5541" s="3"/>
      <c r="Q5541" s="3"/>
      <c r="R5541" s="3"/>
      <c r="S5541" s="3"/>
      <c r="T5541" s="3"/>
      <c r="U5541" s="3"/>
      <c r="V5541" s="3"/>
      <c r="W5541" s="3"/>
      <c r="X5541" s="3"/>
      <c r="Y5541" s="3"/>
      <c r="Z5541" s="3"/>
      <c r="AA5541" s="3"/>
    </row>
    <row r="5542" ht="105.75" customHeight="1">
      <c r="A5542" s="11"/>
      <c r="B5542" s="12"/>
      <c r="C5542" s="11"/>
      <c r="D5542" s="13"/>
      <c r="E5542" s="14"/>
      <c r="F5542" s="14"/>
      <c r="G5542" s="14"/>
      <c r="H5542" s="15"/>
      <c r="I5542" s="15"/>
      <c r="J5542" s="3"/>
      <c r="K5542" s="3"/>
      <c r="L5542" s="3"/>
      <c r="M5542" s="3"/>
      <c r="N5542" s="3"/>
      <c r="O5542" s="3"/>
      <c r="P5542" s="3"/>
      <c r="Q5542" s="3"/>
      <c r="R5542" s="3"/>
      <c r="S5542" s="3"/>
      <c r="T5542" s="3"/>
      <c r="U5542" s="3"/>
      <c r="V5542" s="3"/>
      <c r="W5542" s="3"/>
      <c r="X5542" s="3"/>
      <c r="Y5542" s="3"/>
      <c r="Z5542" s="3"/>
      <c r="AA5542" s="3"/>
    </row>
    <row r="5543" ht="105.75" customHeight="1">
      <c r="A5543" s="11"/>
      <c r="B5543" s="12"/>
      <c r="C5543" s="11"/>
      <c r="D5543" s="13"/>
      <c r="E5543" s="14"/>
      <c r="F5543" s="14"/>
      <c r="G5543" s="14"/>
      <c r="H5543" s="15"/>
      <c r="I5543" s="15"/>
      <c r="J5543" s="3"/>
      <c r="K5543" s="3"/>
      <c r="L5543" s="3"/>
      <c r="M5543" s="3"/>
      <c r="N5543" s="3"/>
      <c r="O5543" s="3"/>
      <c r="P5543" s="3"/>
      <c r="Q5543" s="3"/>
      <c r="R5543" s="3"/>
      <c r="S5543" s="3"/>
      <c r="T5543" s="3"/>
      <c r="U5543" s="3"/>
      <c r="V5543" s="3"/>
      <c r="W5543" s="3"/>
      <c r="X5543" s="3"/>
      <c r="Y5543" s="3"/>
      <c r="Z5543" s="3"/>
      <c r="AA5543" s="3"/>
    </row>
    <row r="5544" ht="105.75" customHeight="1">
      <c r="A5544" s="11"/>
      <c r="B5544" s="12"/>
      <c r="C5544" s="11"/>
      <c r="D5544" s="13"/>
      <c r="E5544" s="14"/>
      <c r="F5544" s="14"/>
      <c r="G5544" s="14"/>
      <c r="H5544" s="15"/>
      <c r="I5544" s="15"/>
      <c r="J5544" s="3"/>
      <c r="K5544" s="3"/>
      <c r="L5544" s="3"/>
      <c r="M5544" s="3"/>
      <c r="N5544" s="3"/>
      <c r="O5544" s="3"/>
      <c r="P5544" s="3"/>
      <c r="Q5544" s="3"/>
      <c r="R5544" s="3"/>
      <c r="S5544" s="3"/>
      <c r="T5544" s="3"/>
      <c r="U5544" s="3"/>
      <c r="V5544" s="3"/>
      <c r="W5544" s="3"/>
      <c r="X5544" s="3"/>
      <c r="Y5544" s="3"/>
      <c r="Z5544" s="3"/>
      <c r="AA5544" s="3"/>
    </row>
    <row r="5545" ht="105.75" customHeight="1">
      <c r="A5545" s="11"/>
      <c r="B5545" s="12"/>
      <c r="C5545" s="11"/>
      <c r="D5545" s="13"/>
      <c r="E5545" s="14"/>
      <c r="F5545" s="14"/>
      <c r="G5545" s="14"/>
      <c r="H5545" s="15"/>
      <c r="I5545" s="15"/>
      <c r="J5545" s="3"/>
      <c r="K5545" s="3"/>
      <c r="L5545" s="3"/>
      <c r="M5545" s="3"/>
      <c r="N5545" s="3"/>
      <c r="O5545" s="3"/>
      <c r="P5545" s="3"/>
      <c r="Q5545" s="3"/>
      <c r="R5545" s="3"/>
      <c r="S5545" s="3"/>
      <c r="T5545" s="3"/>
      <c r="U5545" s="3"/>
      <c r="V5545" s="3"/>
      <c r="W5545" s="3"/>
      <c r="X5545" s="3"/>
      <c r="Y5545" s="3"/>
      <c r="Z5545" s="3"/>
      <c r="AA5545" s="3"/>
    </row>
    <row r="5546" ht="105.75" customHeight="1">
      <c r="A5546" s="11"/>
      <c r="B5546" s="12"/>
      <c r="C5546" s="11"/>
      <c r="D5546" s="13"/>
      <c r="E5546" s="14"/>
      <c r="F5546" s="14"/>
      <c r="G5546" s="14"/>
      <c r="H5546" s="15"/>
      <c r="I5546" s="15"/>
      <c r="J5546" s="3"/>
      <c r="K5546" s="3"/>
      <c r="L5546" s="3"/>
      <c r="M5546" s="3"/>
      <c r="N5546" s="3"/>
      <c r="O5546" s="3"/>
      <c r="P5546" s="3"/>
      <c r="Q5546" s="3"/>
      <c r="R5546" s="3"/>
      <c r="S5546" s="3"/>
      <c r="T5546" s="3"/>
      <c r="U5546" s="3"/>
      <c r="V5546" s="3"/>
      <c r="W5546" s="3"/>
      <c r="X5546" s="3"/>
      <c r="Y5546" s="3"/>
      <c r="Z5546" s="3"/>
      <c r="AA5546" s="3"/>
    </row>
    <row r="5547" ht="105.75" customHeight="1">
      <c r="A5547" s="11"/>
      <c r="B5547" s="12"/>
      <c r="C5547" s="11"/>
      <c r="D5547" s="13"/>
      <c r="E5547" s="14"/>
      <c r="F5547" s="14"/>
      <c r="G5547" s="14"/>
      <c r="H5547" s="15"/>
      <c r="I5547" s="15"/>
      <c r="J5547" s="3"/>
      <c r="K5547" s="3"/>
      <c r="L5547" s="3"/>
      <c r="M5547" s="3"/>
      <c r="N5547" s="3"/>
      <c r="O5547" s="3"/>
      <c r="P5547" s="3"/>
      <c r="Q5547" s="3"/>
      <c r="R5547" s="3"/>
      <c r="S5547" s="3"/>
      <c r="T5547" s="3"/>
      <c r="U5547" s="3"/>
      <c r="V5547" s="3"/>
      <c r="W5547" s="3"/>
      <c r="X5547" s="3"/>
      <c r="Y5547" s="3"/>
      <c r="Z5547" s="3"/>
      <c r="AA5547" s="3"/>
    </row>
    <row r="5548" ht="105.75" customHeight="1">
      <c r="A5548" s="11"/>
      <c r="B5548" s="12"/>
      <c r="C5548" s="11"/>
      <c r="D5548" s="13"/>
      <c r="E5548" s="14"/>
      <c r="F5548" s="14"/>
      <c r="G5548" s="14"/>
      <c r="H5548" s="15"/>
      <c r="I5548" s="15"/>
      <c r="J5548" s="3"/>
      <c r="K5548" s="3"/>
      <c r="L5548" s="3"/>
      <c r="M5548" s="3"/>
      <c r="N5548" s="3"/>
      <c r="O5548" s="3"/>
      <c r="P5548" s="3"/>
      <c r="Q5548" s="3"/>
      <c r="R5548" s="3"/>
      <c r="S5548" s="3"/>
      <c r="T5548" s="3"/>
      <c r="U5548" s="3"/>
      <c r="V5548" s="3"/>
      <c r="W5548" s="3"/>
      <c r="X5548" s="3"/>
      <c r="Y5548" s="3"/>
      <c r="Z5548" s="3"/>
      <c r="AA5548" s="3"/>
    </row>
    <row r="5549" ht="105.75" customHeight="1">
      <c r="A5549" s="11"/>
      <c r="B5549" s="12"/>
      <c r="C5549" s="11"/>
      <c r="D5549" s="13"/>
      <c r="E5549" s="14"/>
      <c r="F5549" s="14"/>
      <c r="G5549" s="14"/>
      <c r="H5549" s="15"/>
      <c r="I5549" s="15"/>
      <c r="J5549" s="3"/>
      <c r="K5549" s="3"/>
      <c r="L5549" s="3"/>
      <c r="M5549" s="3"/>
      <c r="N5549" s="3"/>
      <c r="O5549" s="3"/>
      <c r="P5549" s="3"/>
      <c r="Q5549" s="3"/>
      <c r="R5549" s="3"/>
      <c r="S5549" s="3"/>
      <c r="T5549" s="3"/>
      <c r="U5549" s="3"/>
      <c r="V5549" s="3"/>
      <c r="W5549" s="3"/>
      <c r="X5549" s="3"/>
      <c r="Y5549" s="3"/>
      <c r="Z5549" s="3"/>
      <c r="AA5549" s="3"/>
    </row>
    <row r="5550" ht="105.75" customHeight="1">
      <c r="A5550" s="11"/>
      <c r="B5550" s="12"/>
      <c r="C5550" s="11"/>
      <c r="D5550" s="13"/>
      <c r="E5550" s="14"/>
      <c r="F5550" s="14"/>
      <c r="G5550" s="14"/>
      <c r="H5550" s="15"/>
      <c r="I5550" s="15"/>
      <c r="J5550" s="3"/>
      <c r="K5550" s="3"/>
      <c r="L5550" s="3"/>
      <c r="M5550" s="3"/>
      <c r="N5550" s="3"/>
      <c r="O5550" s="3"/>
      <c r="P5550" s="3"/>
      <c r="Q5550" s="3"/>
      <c r="R5550" s="3"/>
      <c r="S5550" s="3"/>
      <c r="T5550" s="3"/>
      <c r="U5550" s="3"/>
      <c r="V5550" s="3"/>
      <c r="W5550" s="3"/>
      <c r="X5550" s="3"/>
      <c r="Y5550" s="3"/>
      <c r="Z5550" s="3"/>
      <c r="AA5550" s="3"/>
    </row>
    <row r="5551" ht="105.75" customHeight="1">
      <c r="A5551" s="11"/>
      <c r="B5551" s="12"/>
      <c r="C5551" s="11"/>
      <c r="D5551" s="13"/>
      <c r="E5551" s="14"/>
      <c r="F5551" s="14"/>
      <c r="G5551" s="14"/>
      <c r="H5551" s="15"/>
      <c r="I5551" s="15"/>
      <c r="J5551" s="3"/>
      <c r="K5551" s="3"/>
      <c r="L5551" s="3"/>
      <c r="M5551" s="3"/>
      <c r="N5551" s="3"/>
      <c r="O5551" s="3"/>
      <c r="P5551" s="3"/>
      <c r="Q5551" s="3"/>
      <c r="R5551" s="3"/>
      <c r="S5551" s="3"/>
      <c r="T5551" s="3"/>
      <c r="U5551" s="3"/>
      <c r="V5551" s="3"/>
      <c r="W5551" s="3"/>
      <c r="X5551" s="3"/>
      <c r="Y5551" s="3"/>
      <c r="Z5551" s="3"/>
      <c r="AA5551" s="3"/>
    </row>
    <row r="5552" ht="105.75" customHeight="1">
      <c r="A5552" s="11"/>
      <c r="B5552" s="12"/>
      <c r="C5552" s="11"/>
      <c r="D5552" s="13"/>
      <c r="E5552" s="14"/>
      <c r="F5552" s="14"/>
      <c r="G5552" s="14"/>
      <c r="H5552" s="15"/>
      <c r="I5552" s="15"/>
      <c r="J5552" s="3"/>
      <c r="K5552" s="3"/>
      <c r="L5552" s="3"/>
      <c r="M5552" s="3"/>
      <c r="N5552" s="3"/>
      <c r="O5552" s="3"/>
      <c r="P5552" s="3"/>
      <c r="Q5552" s="3"/>
      <c r="R5552" s="3"/>
      <c r="S5552" s="3"/>
      <c r="T5552" s="3"/>
      <c r="U5552" s="3"/>
      <c r="V5552" s="3"/>
      <c r="W5552" s="3"/>
      <c r="X5552" s="3"/>
      <c r="Y5552" s="3"/>
      <c r="Z5552" s="3"/>
      <c r="AA5552" s="3"/>
    </row>
    <row r="5553" ht="105.75" customHeight="1">
      <c r="A5553" s="11"/>
      <c r="B5553" s="12"/>
      <c r="C5553" s="11"/>
      <c r="D5553" s="13"/>
      <c r="E5553" s="14"/>
      <c r="F5553" s="14"/>
      <c r="G5553" s="14"/>
      <c r="H5553" s="15"/>
      <c r="I5553" s="15"/>
      <c r="J5553" s="3"/>
      <c r="K5553" s="3"/>
      <c r="L5553" s="3"/>
      <c r="M5553" s="3"/>
      <c r="N5553" s="3"/>
      <c r="O5553" s="3"/>
      <c r="P5553" s="3"/>
      <c r="Q5553" s="3"/>
      <c r="R5553" s="3"/>
      <c r="S5553" s="3"/>
      <c r="T5553" s="3"/>
      <c r="U5553" s="3"/>
      <c r="V5553" s="3"/>
      <c r="W5553" s="3"/>
      <c r="X5553" s="3"/>
      <c r="Y5553" s="3"/>
      <c r="Z5553" s="3"/>
      <c r="AA5553" s="3"/>
    </row>
    <row r="5554" ht="105.75" customHeight="1">
      <c r="A5554" s="11"/>
      <c r="B5554" s="12"/>
      <c r="C5554" s="11"/>
      <c r="D5554" s="13"/>
      <c r="E5554" s="14"/>
      <c r="F5554" s="14"/>
      <c r="G5554" s="14"/>
      <c r="H5554" s="15"/>
      <c r="I5554" s="15"/>
      <c r="J5554" s="3"/>
      <c r="K5554" s="3"/>
      <c r="L5554" s="3"/>
      <c r="M5554" s="3"/>
      <c r="N5554" s="3"/>
      <c r="O5554" s="3"/>
      <c r="P5554" s="3"/>
      <c r="Q5554" s="3"/>
      <c r="R5554" s="3"/>
      <c r="S5554" s="3"/>
      <c r="T5554" s="3"/>
      <c r="U5554" s="3"/>
      <c r="V5554" s="3"/>
      <c r="W5554" s="3"/>
      <c r="X5554" s="3"/>
      <c r="Y5554" s="3"/>
      <c r="Z5554" s="3"/>
      <c r="AA5554" s="3"/>
    </row>
    <row r="5555" ht="105.75" customHeight="1">
      <c r="A5555" s="11"/>
      <c r="B5555" s="12"/>
      <c r="C5555" s="11"/>
      <c r="D5555" s="13"/>
      <c r="E5555" s="14"/>
      <c r="F5555" s="14"/>
      <c r="G5555" s="14"/>
      <c r="H5555" s="15"/>
      <c r="I5555" s="15"/>
      <c r="J5555" s="3"/>
      <c r="K5555" s="3"/>
      <c r="L5555" s="3"/>
      <c r="M5555" s="3"/>
      <c r="N5555" s="3"/>
      <c r="O5555" s="3"/>
      <c r="P5555" s="3"/>
      <c r="Q5555" s="3"/>
      <c r="R5555" s="3"/>
      <c r="S5555" s="3"/>
      <c r="T5555" s="3"/>
      <c r="U5555" s="3"/>
      <c r="V5555" s="3"/>
      <c r="W5555" s="3"/>
      <c r="X5555" s="3"/>
      <c r="Y5555" s="3"/>
      <c r="Z5555" s="3"/>
      <c r="AA5555" s="3"/>
    </row>
    <row r="5556" ht="105.75" customHeight="1">
      <c r="A5556" s="11"/>
      <c r="B5556" s="12"/>
      <c r="C5556" s="11"/>
      <c r="D5556" s="13"/>
      <c r="E5556" s="14"/>
      <c r="F5556" s="14"/>
      <c r="G5556" s="14"/>
      <c r="H5556" s="15"/>
      <c r="I5556" s="15"/>
      <c r="J5556" s="3"/>
      <c r="K5556" s="3"/>
      <c r="L5556" s="3"/>
      <c r="M5556" s="3"/>
      <c r="N5556" s="3"/>
      <c r="O5556" s="3"/>
      <c r="P5556" s="3"/>
      <c r="Q5556" s="3"/>
      <c r="R5556" s="3"/>
      <c r="S5556" s="3"/>
      <c r="T5556" s="3"/>
      <c r="U5556" s="3"/>
      <c r="V5556" s="3"/>
      <c r="W5556" s="3"/>
      <c r="X5556" s="3"/>
      <c r="Y5556" s="3"/>
      <c r="Z5556" s="3"/>
      <c r="AA5556" s="3"/>
    </row>
    <row r="5557" ht="105.75" customHeight="1">
      <c r="A5557" s="11"/>
      <c r="B5557" s="12"/>
      <c r="C5557" s="11"/>
      <c r="D5557" s="13"/>
      <c r="E5557" s="14"/>
      <c r="F5557" s="14"/>
      <c r="G5557" s="14"/>
      <c r="H5557" s="15"/>
      <c r="I5557" s="15"/>
      <c r="J5557" s="3"/>
      <c r="K5557" s="3"/>
      <c r="L5557" s="3"/>
      <c r="M5557" s="3"/>
      <c r="N5557" s="3"/>
      <c r="O5557" s="3"/>
      <c r="P5557" s="3"/>
      <c r="Q5557" s="3"/>
      <c r="R5557" s="3"/>
      <c r="S5557" s="3"/>
      <c r="T5557" s="3"/>
      <c r="U5557" s="3"/>
      <c r="V5557" s="3"/>
      <c r="W5557" s="3"/>
      <c r="X5557" s="3"/>
      <c r="Y5557" s="3"/>
      <c r="Z5557" s="3"/>
      <c r="AA5557" s="3"/>
    </row>
    <row r="5558" ht="105.75" customHeight="1">
      <c r="A5558" s="11"/>
      <c r="B5558" s="12"/>
      <c r="C5558" s="11"/>
      <c r="D5558" s="13"/>
      <c r="E5558" s="14"/>
      <c r="F5558" s="14"/>
      <c r="G5558" s="14"/>
      <c r="H5558" s="15"/>
      <c r="I5558" s="15"/>
      <c r="J5558" s="3"/>
      <c r="K5558" s="3"/>
      <c r="L5558" s="3"/>
      <c r="M5558" s="3"/>
      <c r="N5558" s="3"/>
      <c r="O5558" s="3"/>
      <c r="P5558" s="3"/>
      <c r="Q5558" s="3"/>
      <c r="R5558" s="3"/>
      <c r="S5558" s="3"/>
      <c r="T5558" s="3"/>
      <c r="U5558" s="3"/>
      <c r="V5558" s="3"/>
      <c r="W5558" s="3"/>
      <c r="X5558" s="3"/>
      <c r="Y5558" s="3"/>
      <c r="Z5558" s="3"/>
      <c r="AA5558" s="3"/>
    </row>
    <row r="5559" ht="105.75" customHeight="1">
      <c r="A5559" s="11"/>
      <c r="B5559" s="12"/>
      <c r="C5559" s="11"/>
      <c r="D5559" s="13"/>
      <c r="E5559" s="14"/>
      <c r="F5559" s="14"/>
      <c r="G5559" s="14"/>
      <c r="H5559" s="15"/>
      <c r="I5559" s="15"/>
      <c r="J5559" s="3"/>
      <c r="K5559" s="3"/>
      <c r="L5559" s="3"/>
      <c r="M5559" s="3"/>
      <c r="N5559" s="3"/>
      <c r="O5559" s="3"/>
      <c r="P5559" s="3"/>
      <c r="Q5559" s="3"/>
      <c r="R5559" s="3"/>
      <c r="S5559" s="3"/>
      <c r="T5559" s="3"/>
      <c r="U5559" s="3"/>
      <c r="V5559" s="3"/>
      <c r="W5559" s="3"/>
      <c r="X5559" s="3"/>
      <c r="Y5559" s="3"/>
      <c r="Z5559" s="3"/>
      <c r="AA5559" s="3"/>
    </row>
    <row r="5560" ht="105.75" customHeight="1">
      <c r="A5560" s="11"/>
      <c r="B5560" s="12"/>
      <c r="C5560" s="11"/>
      <c r="D5560" s="13"/>
      <c r="E5560" s="14"/>
      <c r="F5560" s="14"/>
      <c r="G5560" s="14"/>
      <c r="H5560" s="15"/>
      <c r="I5560" s="15"/>
      <c r="J5560" s="3"/>
      <c r="K5560" s="3"/>
      <c r="L5560" s="3"/>
      <c r="M5560" s="3"/>
      <c r="N5560" s="3"/>
      <c r="O5560" s="3"/>
      <c r="P5560" s="3"/>
      <c r="Q5560" s="3"/>
      <c r="R5560" s="3"/>
      <c r="S5560" s="3"/>
      <c r="T5560" s="3"/>
      <c r="U5560" s="3"/>
      <c r="V5560" s="3"/>
      <c r="W5560" s="3"/>
      <c r="X5560" s="3"/>
      <c r="Y5560" s="3"/>
      <c r="Z5560" s="3"/>
      <c r="AA5560" s="3"/>
    </row>
    <row r="5561" ht="105.75" customHeight="1">
      <c r="A5561" s="11"/>
      <c r="B5561" s="12"/>
      <c r="C5561" s="11"/>
      <c r="D5561" s="13"/>
      <c r="E5561" s="14"/>
      <c r="F5561" s="14"/>
      <c r="G5561" s="14"/>
      <c r="H5561" s="15"/>
      <c r="I5561" s="15"/>
      <c r="J5561" s="3"/>
      <c r="K5561" s="3"/>
      <c r="L5561" s="3"/>
      <c r="M5561" s="3"/>
      <c r="N5561" s="3"/>
      <c r="O5561" s="3"/>
      <c r="P5561" s="3"/>
      <c r="Q5561" s="3"/>
      <c r="R5561" s="3"/>
      <c r="S5561" s="3"/>
      <c r="T5561" s="3"/>
      <c r="U5561" s="3"/>
      <c r="V5561" s="3"/>
      <c r="W5561" s="3"/>
      <c r="X5561" s="3"/>
      <c r="Y5561" s="3"/>
      <c r="Z5561" s="3"/>
      <c r="AA5561" s="3"/>
    </row>
    <row r="5562" ht="105.75" customHeight="1">
      <c r="A5562" s="11"/>
      <c r="B5562" s="12"/>
      <c r="C5562" s="11"/>
      <c r="D5562" s="13"/>
      <c r="E5562" s="14"/>
      <c r="F5562" s="14"/>
      <c r="G5562" s="14"/>
      <c r="H5562" s="15"/>
      <c r="I5562" s="15"/>
      <c r="J5562" s="3"/>
      <c r="K5562" s="3"/>
      <c r="L5562" s="3"/>
      <c r="M5562" s="3"/>
      <c r="N5562" s="3"/>
      <c r="O5562" s="3"/>
      <c r="P5562" s="3"/>
      <c r="Q5562" s="3"/>
      <c r="R5562" s="3"/>
      <c r="S5562" s="3"/>
      <c r="T5562" s="3"/>
      <c r="U5562" s="3"/>
      <c r="V5562" s="3"/>
      <c r="W5562" s="3"/>
      <c r="X5562" s="3"/>
      <c r="Y5562" s="3"/>
      <c r="Z5562" s="3"/>
      <c r="AA5562" s="3"/>
    </row>
    <row r="5563" ht="105.75" customHeight="1">
      <c r="A5563" s="11"/>
      <c r="B5563" s="12"/>
      <c r="C5563" s="11"/>
      <c r="D5563" s="13"/>
      <c r="E5563" s="14"/>
      <c r="F5563" s="14"/>
      <c r="G5563" s="14"/>
      <c r="H5563" s="15"/>
      <c r="I5563" s="15"/>
      <c r="J5563" s="3"/>
      <c r="K5563" s="3"/>
      <c r="L5563" s="3"/>
      <c r="M5563" s="3"/>
      <c r="N5563" s="3"/>
      <c r="O5563" s="3"/>
      <c r="P5563" s="3"/>
      <c r="Q5563" s="3"/>
      <c r="R5563" s="3"/>
      <c r="S5563" s="3"/>
      <c r="T5563" s="3"/>
      <c r="U5563" s="3"/>
      <c r="V5563" s="3"/>
      <c r="W5563" s="3"/>
      <c r="X5563" s="3"/>
      <c r="Y5563" s="3"/>
      <c r="Z5563" s="3"/>
      <c r="AA5563" s="3"/>
    </row>
    <row r="5564" ht="105.75" customHeight="1">
      <c r="A5564" s="11"/>
      <c r="B5564" s="12"/>
      <c r="C5564" s="11"/>
      <c r="D5564" s="13"/>
      <c r="E5564" s="14"/>
      <c r="F5564" s="14"/>
      <c r="G5564" s="14"/>
      <c r="H5564" s="15"/>
      <c r="I5564" s="15"/>
      <c r="J5564" s="3"/>
      <c r="K5564" s="3"/>
      <c r="L5564" s="3"/>
      <c r="M5564" s="3"/>
      <c r="N5564" s="3"/>
      <c r="O5564" s="3"/>
      <c r="P5564" s="3"/>
      <c r="Q5564" s="3"/>
      <c r="R5564" s="3"/>
      <c r="S5564" s="3"/>
      <c r="T5564" s="3"/>
      <c r="U5564" s="3"/>
      <c r="V5564" s="3"/>
      <c r="W5564" s="3"/>
      <c r="X5564" s="3"/>
      <c r="Y5564" s="3"/>
      <c r="Z5564" s="3"/>
      <c r="AA5564" s="3"/>
    </row>
    <row r="5565" ht="105.75" customHeight="1">
      <c r="A5565" s="11"/>
      <c r="B5565" s="12"/>
      <c r="C5565" s="11"/>
      <c r="D5565" s="13"/>
      <c r="E5565" s="14"/>
      <c r="F5565" s="14"/>
      <c r="G5565" s="14"/>
      <c r="H5565" s="15"/>
      <c r="I5565" s="15"/>
      <c r="J5565" s="3"/>
      <c r="K5565" s="3"/>
      <c r="L5565" s="3"/>
      <c r="M5565" s="3"/>
      <c r="N5565" s="3"/>
      <c r="O5565" s="3"/>
      <c r="P5565" s="3"/>
      <c r="Q5565" s="3"/>
      <c r="R5565" s="3"/>
      <c r="S5565" s="3"/>
      <c r="T5565" s="3"/>
      <c r="U5565" s="3"/>
      <c r="V5565" s="3"/>
      <c r="W5565" s="3"/>
      <c r="X5565" s="3"/>
      <c r="Y5565" s="3"/>
      <c r="Z5565" s="3"/>
      <c r="AA5565" s="3"/>
    </row>
    <row r="5566" ht="105.75" customHeight="1">
      <c r="A5566" s="11"/>
      <c r="B5566" s="12"/>
      <c r="C5566" s="11"/>
      <c r="D5566" s="13"/>
      <c r="E5566" s="14"/>
      <c r="F5566" s="14"/>
      <c r="G5566" s="14"/>
      <c r="H5566" s="15"/>
      <c r="I5566" s="15"/>
      <c r="J5566" s="3"/>
      <c r="K5566" s="3"/>
      <c r="L5566" s="3"/>
      <c r="M5566" s="3"/>
      <c r="N5566" s="3"/>
      <c r="O5566" s="3"/>
      <c r="P5566" s="3"/>
      <c r="Q5566" s="3"/>
      <c r="R5566" s="3"/>
      <c r="S5566" s="3"/>
      <c r="T5566" s="3"/>
      <c r="U5566" s="3"/>
      <c r="V5566" s="3"/>
      <c r="W5566" s="3"/>
      <c r="X5566" s="3"/>
      <c r="Y5566" s="3"/>
      <c r="Z5566" s="3"/>
      <c r="AA5566" s="3"/>
    </row>
    <row r="5567" ht="105.75" customHeight="1">
      <c r="A5567" s="11"/>
      <c r="B5567" s="12"/>
      <c r="C5567" s="11"/>
      <c r="D5567" s="13"/>
      <c r="E5567" s="14"/>
      <c r="F5567" s="14"/>
      <c r="G5567" s="14"/>
      <c r="H5567" s="15"/>
      <c r="I5567" s="15"/>
      <c r="J5567" s="3"/>
      <c r="K5567" s="3"/>
      <c r="L5567" s="3"/>
      <c r="M5567" s="3"/>
      <c r="N5567" s="3"/>
      <c r="O5567" s="3"/>
      <c r="P5567" s="3"/>
      <c r="Q5567" s="3"/>
      <c r="R5567" s="3"/>
      <c r="S5567" s="3"/>
      <c r="T5567" s="3"/>
      <c r="U5567" s="3"/>
      <c r="V5567" s="3"/>
      <c r="W5567" s="3"/>
      <c r="X5567" s="3"/>
      <c r="Y5567" s="3"/>
      <c r="Z5567" s="3"/>
      <c r="AA5567" s="3"/>
    </row>
    <row r="5568" ht="105.75" customHeight="1">
      <c r="A5568" s="11"/>
      <c r="B5568" s="12"/>
      <c r="C5568" s="11"/>
      <c r="D5568" s="13"/>
      <c r="E5568" s="14"/>
      <c r="F5568" s="14"/>
      <c r="G5568" s="14"/>
      <c r="H5568" s="15"/>
      <c r="I5568" s="15"/>
      <c r="J5568" s="3"/>
      <c r="K5568" s="3"/>
      <c r="L5568" s="3"/>
      <c r="M5568" s="3"/>
      <c r="N5568" s="3"/>
      <c r="O5568" s="3"/>
      <c r="P5568" s="3"/>
      <c r="Q5568" s="3"/>
      <c r="R5568" s="3"/>
      <c r="S5568" s="3"/>
      <c r="T5568" s="3"/>
      <c r="U5568" s="3"/>
      <c r="V5568" s="3"/>
      <c r="W5568" s="3"/>
      <c r="X5568" s="3"/>
      <c r="Y5568" s="3"/>
      <c r="Z5568" s="3"/>
      <c r="AA5568" s="3"/>
    </row>
    <row r="5569" ht="105.75" customHeight="1">
      <c r="A5569" s="11"/>
      <c r="B5569" s="12"/>
      <c r="C5569" s="11"/>
      <c r="D5569" s="13"/>
      <c r="E5569" s="14"/>
      <c r="F5569" s="14"/>
      <c r="G5569" s="14"/>
      <c r="H5569" s="15"/>
      <c r="I5569" s="15"/>
      <c r="J5569" s="3"/>
      <c r="K5569" s="3"/>
      <c r="L5569" s="3"/>
      <c r="M5569" s="3"/>
      <c r="N5569" s="3"/>
      <c r="O5569" s="3"/>
      <c r="P5569" s="3"/>
      <c r="Q5569" s="3"/>
      <c r="R5569" s="3"/>
      <c r="S5569" s="3"/>
      <c r="T5569" s="3"/>
      <c r="U5569" s="3"/>
      <c r="V5569" s="3"/>
      <c r="W5569" s="3"/>
      <c r="X5569" s="3"/>
      <c r="Y5569" s="3"/>
      <c r="Z5569" s="3"/>
      <c r="AA5569" s="3"/>
    </row>
    <row r="5570" ht="105.75" customHeight="1">
      <c r="A5570" s="11"/>
      <c r="B5570" s="12"/>
      <c r="C5570" s="11"/>
      <c r="D5570" s="13"/>
      <c r="E5570" s="14"/>
      <c r="F5570" s="14"/>
      <c r="G5570" s="14"/>
      <c r="H5570" s="15"/>
      <c r="I5570" s="15"/>
      <c r="J5570" s="3"/>
      <c r="K5570" s="3"/>
      <c r="L5570" s="3"/>
      <c r="M5570" s="3"/>
      <c r="N5570" s="3"/>
      <c r="O5570" s="3"/>
      <c r="P5570" s="3"/>
      <c r="Q5570" s="3"/>
      <c r="R5570" s="3"/>
      <c r="S5570" s="3"/>
      <c r="T5570" s="3"/>
      <c r="U5570" s="3"/>
      <c r="V5570" s="3"/>
      <c r="W5570" s="3"/>
      <c r="X5570" s="3"/>
      <c r="Y5570" s="3"/>
      <c r="Z5570" s="3"/>
      <c r="AA5570" s="3"/>
    </row>
    <row r="5571" ht="105.75" customHeight="1">
      <c r="A5571" s="11"/>
      <c r="B5571" s="12"/>
      <c r="C5571" s="11"/>
      <c r="D5571" s="13"/>
      <c r="E5571" s="14"/>
      <c r="F5571" s="14"/>
      <c r="G5571" s="14"/>
      <c r="H5571" s="15"/>
      <c r="I5571" s="15"/>
      <c r="J5571" s="3"/>
      <c r="K5571" s="3"/>
      <c r="L5571" s="3"/>
      <c r="M5571" s="3"/>
      <c r="N5571" s="3"/>
      <c r="O5571" s="3"/>
      <c r="P5571" s="3"/>
      <c r="Q5571" s="3"/>
      <c r="R5571" s="3"/>
      <c r="S5571" s="3"/>
      <c r="T5571" s="3"/>
      <c r="U5571" s="3"/>
      <c r="V5571" s="3"/>
      <c r="W5571" s="3"/>
      <c r="X5571" s="3"/>
      <c r="Y5571" s="3"/>
      <c r="Z5571" s="3"/>
      <c r="AA5571" s="3"/>
    </row>
    <row r="5572" ht="105.75" customHeight="1">
      <c r="A5572" s="11"/>
      <c r="B5572" s="12"/>
      <c r="C5572" s="11"/>
      <c r="D5572" s="13"/>
      <c r="E5572" s="14"/>
      <c r="F5572" s="14"/>
      <c r="G5572" s="14"/>
      <c r="H5572" s="15"/>
      <c r="I5572" s="15"/>
      <c r="J5572" s="3"/>
      <c r="K5572" s="3"/>
      <c r="L5572" s="3"/>
      <c r="M5572" s="3"/>
      <c r="N5572" s="3"/>
      <c r="O5572" s="3"/>
      <c r="P5572" s="3"/>
      <c r="Q5572" s="3"/>
      <c r="R5572" s="3"/>
      <c r="S5572" s="3"/>
      <c r="T5572" s="3"/>
      <c r="U5572" s="3"/>
      <c r="V5572" s="3"/>
      <c r="W5572" s="3"/>
      <c r="X5572" s="3"/>
      <c r="Y5572" s="3"/>
      <c r="Z5572" s="3"/>
      <c r="AA5572" s="3"/>
    </row>
    <row r="5573" ht="105.75" customHeight="1">
      <c r="A5573" s="11"/>
      <c r="B5573" s="12"/>
      <c r="C5573" s="11"/>
      <c r="D5573" s="13"/>
      <c r="E5573" s="14"/>
      <c r="F5573" s="14"/>
      <c r="G5573" s="14"/>
      <c r="H5573" s="15"/>
      <c r="I5573" s="15"/>
      <c r="J5573" s="3"/>
      <c r="K5573" s="3"/>
      <c r="L5573" s="3"/>
      <c r="M5573" s="3"/>
      <c r="N5573" s="3"/>
      <c r="O5573" s="3"/>
      <c r="P5573" s="3"/>
      <c r="Q5573" s="3"/>
      <c r="R5573" s="3"/>
      <c r="S5573" s="3"/>
      <c r="T5573" s="3"/>
      <c r="U5573" s="3"/>
      <c r="V5573" s="3"/>
      <c r="W5573" s="3"/>
      <c r="X5573" s="3"/>
      <c r="Y5573" s="3"/>
      <c r="Z5573" s="3"/>
      <c r="AA5573" s="3"/>
    </row>
    <row r="5574" ht="105.75" customHeight="1">
      <c r="A5574" s="11"/>
      <c r="B5574" s="12"/>
      <c r="C5574" s="11"/>
      <c r="D5574" s="13"/>
      <c r="E5574" s="14"/>
      <c r="F5574" s="14"/>
      <c r="G5574" s="14"/>
      <c r="H5574" s="15"/>
      <c r="I5574" s="15"/>
      <c r="J5574" s="3"/>
      <c r="K5574" s="3"/>
      <c r="L5574" s="3"/>
      <c r="M5574" s="3"/>
      <c r="N5574" s="3"/>
      <c r="O5574" s="3"/>
      <c r="P5574" s="3"/>
      <c r="Q5574" s="3"/>
      <c r="R5574" s="3"/>
      <c r="S5574" s="3"/>
      <c r="T5574" s="3"/>
      <c r="U5574" s="3"/>
      <c r="V5574" s="3"/>
      <c r="W5574" s="3"/>
      <c r="X5574" s="3"/>
      <c r="Y5574" s="3"/>
      <c r="Z5574" s="3"/>
      <c r="AA5574" s="3"/>
    </row>
    <row r="5575" ht="105.75" customHeight="1">
      <c r="A5575" s="11"/>
      <c r="B5575" s="12"/>
      <c r="C5575" s="11"/>
      <c r="D5575" s="13"/>
      <c r="E5575" s="14"/>
      <c r="F5575" s="14"/>
      <c r="G5575" s="14"/>
      <c r="H5575" s="15"/>
      <c r="I5575" s="15"/>
      <c r="J5575" s="3"/>
      <c r="K5575" s="3"/>
      <c r="L5575" s="3"/>
      <c r="M5575" s="3"/>
      <c r="N5575" s="3"/>
      <c r="O5575" s="3"/>
      <c r="P5575" s="3"/>
      <c r="Q5575" s="3"/>
      <c r="R5575" s="3"/>
      <c r="S5575" s="3"/>
      <c r="T5575" s="3"/>
      <c r="U5575" s="3"/>
      <c r="V5575" s="3"/>
      <c r="W5575" s="3"/>
      <c r="X5575" s="3"/>
      <c r="Y5575" s="3"/>
      <c r="Z5575" s="3"/>
      <c r="AA5575" s="3"/>
    </row>
    <row r="5576" ht="105.75" customHeight="1">
      <c r="A5576" s="11"/>
      <c r="B5576" s="12"/>
      <c r="C5576" s="11"/>
      <c r="D5576" s="13"/>
      <c r="E5576" s="14"/>
      <c r="F5576" s="14"/>
      <c r="G5576" s="14"/>
      <c r="H5576" s="15"/>
      <c r="I5576" s="15"/>
      <c r="J5576" s="3"/>
      <c r="K5576" s="3"/>
      <c r="L5576" s="3"/>
      <c r="M5576" s="3"/>
      <c r="N5576" s="3"/>
      <c r="O5576" s="3"/>
      <c r="P5576" s="3"/>
      <c r="Q5576" s="3"/>
      <c r="R5576" s="3"/>
      <c r="S5576" s="3"/>
      <c r="T5576" s="3"/>
      <c r="U5576" s="3"/>
      <c r="V5576" s="3"/>
      <c r="W5576" s="3"/>
      <c r="X5576" s="3"/>
      <c r="Y5576" s="3"/>
      <c r="Z5576" s="3"/>
      <c r="AA5576" s="3"/>
    </row>
    <row r="5577" ht="105.75" customHeight="1">
      <c r="A5577" s="11"/>
      <c r="B5577" s="12"/>
      <c r="C5577" s="11"/>
      <c r="D5577" s="13"/>
      <c r="E5577" s="14"/>
      <c r="F5577" s="14"/>
      <c r="G5577" s="14"/>
      <c r="H5577" s="15"/>
      <c r="I5577" s="15"/>
      <c r="J5577" s="3"/>
      <c r="K5577" s="3"/>
      <c r="L5577" s="3"/>
      <c r="M5577" s="3"/>
      <c r="N5577" s="3"/>
      <c r="O5577" s="3"/>
      <c r="P5577" s="3"/>
      <c r="Q5577" s="3"/>
      <c r="R5577" s="3"/>
      <c r="S5577" s="3"/>
      <c r="T5577" s="3"/>
      <c r="U5577" s="3"/>
      <c r="V5577" s="3"/>
      <c r="W5577" s="3"/>
      <c r="X5577" s="3"/>
      <c r="Y5577" s="3"/>
      <c r="Z5577" s="3"/>
      <c r="AA5577" s="3"/>
    </row>
    <row r="5578" ht="105.75" customHeight="1">
      <c r="A5578" s="11"/>
      <c r="B5578" s="12"/>
      <c r="C5578" s="11"/>
      <c r="D5578" s="13"/>
      <c r="E5578" s="14"/>
      <c r="F5578" s="14"/>
      <c r="G5578" s="14"/>
      <c r="H5578" s="15"/>
      <c r="I5578" s="15"/>
      <c r="J5578" s="3"/>
      <c r="K5578" s="3"/>
      <c r="L5578" s="3"/>
      <c r="M5578" s="3"/>
      <c r="N5578" s="3"/>
      <c r="O5578" s="3"/>
      <c r="P5578" s="3"/>
      <c r="Q5578" s="3"/>
      <c r="R5578" s="3"/>
      <c r="S5578" s="3"/>
      <c r="T5578" s="3"/>
      <c r="U5578" s="3"/>
      <c r="V5578" s="3"/>
      <c r="W5578" s="3"/>
      <c r="X5578" s="3"/>
      <c r="Y5578" s="3"/>
      <c r="Z5578" s="3"/>
      <c r="AA5578" s="3"/>
    </row>
    <row r="5579" ht="105.75" customHeight="1">
      <c r="A5579" s="11"/>
      <c r="B5579" s="12"/>
      <c r="C5579" s="11"/>
      <c r="D5579" s="13"/>
      <c r="E5579" s="14"/>
      <c r="F5579" s="14"/>
      <c r="G5579" s="14"/>
      <c r="H5579" s="15"/>
      <c r="I5579" s="15"/>
      <c r="J5579" s="3"/>
      <c r="K5579" s="3"/>
      <c r="L5579" s="3"/>
      <c r="M5579" s="3"/>
      <c r="N5579" s="3"/>
      <c r="O5579" s="3"/>
      <c r="P5579" s="3"/>
      <c r="Q5579" s="3"/>
      <c r="R5579" s="3"/>
      <c r="S5579" s="3"/>
      <c r="T5579" s="3"/>
      <c r="U5579" s="3"/>
      <c r="V5579" s="3"/>
      <c r="W5579" s="3"/>
      <c r="X5579" s="3"/>
      <c r="Y5579" s="3"/>
      <c r="Z5579" s="3"/>
      <c r="AA5579" s="3"/>
    </row>
    <row r="5580" ht="105.75" customHeight="1">
      <c r="A5580" s="11"/>
      <c r="B5580" s="12"/>
      <c r="C5580" s="11"/>
      <c r="D5580" s="13"/>
      <c r="E5580" s="14"/>
      <c r="F5580" s="14"/>
      <c r="G5580" s="14"/>
      <c r="H5580" s="15"/>
      <c r="I5580" s="15"/>
      <c r="J5580" s="3"/>
      <c r="K5580" s="3"/>
      <c r="L5580" s="3"/>
      <c r="M5580" s="3"/>
      <c r="N5580" s="3"/>
      <c r="O5580" s="3"/>
      <c r="P5580" s="3"/>
      <c r="Q5580" s="3"/>
      <c r="R5580" s="3"/>
      <c r="S5580" s="3"/>
      <c r="T5580" s="3"/>
      <c r="U5580" s="3"/>
      <c r="V5580" s="3"/>
      <c r="W5580" s="3"/>
      <c r="X5580" s="3"/>
      <c r="Y5580" s="3"/>
      <c r="Z5580" s="3"/>
      <c r="AA5580" s="3"/>
    </row>
    <row r="5581" ht="105.75" customHeight="1">
      <c r="A5581" s="11"/>
      <c r="B5581" s="12"/>
      <c r="C5581" s="11"/>
      <c r="D5581" s="13"/>
      <c r="E5581" s="14"/>
      <c r="F5581" s="14"/>
      <c r="G5581" s="14"/>
      <c r="H5581" s="15"/>
      <c r="I5581" s="15"/>
      <c r="J5581" s="3"/>
      <c r="K5581" s="3"/>
      <c r="L5581" s="3"/>
      <c r="M5581" s="3"/>
      <c r="N5581" s="3"/>
      <c r="O5581" s="3"/>
      <c r="P5581" s="3"/>
      <c r="Q5581" s="3"/>
      <c r="R5581" s="3"/>
      <c r="S5581" s="3"/>
      <c r="T5581" s="3"/>
      <c r="U5581" s="3"/>
      <c r="V5581" s="3"/>
      <c r="W5581" s="3"/>
      <c r="X5581" s="3"/>
      <c r="Y5581" s="3"/>
      <c r="Z5581" s="3"/>
      <c r="AA5581" s="3"/>
    </row>
    <row r="5582" ht="105.75" customHeight="1">
      <c r="A5582" s="11"/>
      <c r="B5582" s="12"/>
      <c r="C5582" s="11"/>
      <c r="D5582" s="13"/>
      <c r="E5582" s="14"/>
      <c r="F5582" s="14"/>
      <c r="G5582" s="14"/>
      <c r="H5582" s="15"/>
      <c r="I5582" s="15"/>
      <c r="J5582" s="3"/>
      <c r="K5582" s="3"/>
      <c r="L5582" s="3"/>
      <c r="M5582" s="3"/>
      <c r="N5582" s="3"/>
      <c r="O5582" s="3"/>
      <c r="P5582" s="3"/>
      <c r="Q5582" s="3"/>
      <c r="R5582" s="3"/>
      <c r="S5582" s="3"/>
      <c r="T5582" s="3"/>
      <c r="U5582" s="3"/>
      <c r="V5582" s="3"/>
      <c r="W5582" s="3"/>
      <c r="X5582" s="3"/>
      <c r="Y5582" s="3"/>
      <c r="Z5582" s="3"/>
      <c r="AA5582" s="3"/>
    </row>
    <row r="5583" ht="105.75" customHeight="1">
      <c r="A5583" s="11"/>
      <c r="B5583" s="12"/>
      <c r="C5583" s="11"/>
      <c r="D5583" s="13"/>
      <c r="E5583" s="14"/>
      <c r="F5583" s="14"/>
      <c r="G5583" s="14"/>
      <c r="H5583" s="15"/>
      <c r="I5583" s="15"/>
      <c r="J5583" s="3"/>
      <c r="K5583" s="3"/>
      <c r="L5583" s="3"/>
      <c r="M5583" s="3"/>
      <c r="N5583" s="3"/>
      <c r="O5583" s="3"/>
      <c r="P5583" s="3"/>
      <c r="Q5583" s="3"/>
      <c r="R5583" s="3"/>
      <c r="S5583" s="3"/>
      <c r="T5583" s="3"/>
      <c r="U5583" s="3"/>
      <c r="V5583" s="3"/>
      <c r="W5583" s="3"/>
      <c r="X5583" s="3"/>
      <c r="Y5583" s="3"/>
      <c r="Z5583" s="3"/>
      <c r="AA5583" s="3"/>
    </row>
    <row r="5584" ht="105.75" customHeight="1">
      <c r="A5584" s="11"/>
      <c r="B5584" s="12"/>
      <c r="C5584" s="11"/>
      <c r="D5584" s="13"/>
      <c r="E5584" s="14"/>
      <c r="F5584" s="14"/>
      <c r="G5584" s="14"/>
      <c r="H5584" s="15"/>
      <c r="I5584" s="15"/>
      <c r="J5584" s="3"/>
      <c r="K5584" s="3"/>
      <c r="L5584" s="3"/>
      <c r="M5584" s="3"/>
      <c r="N5584" s="3"/>
      <c r="O5584" s="3"/>
      <c r="P5584" s="3"/>
      <c r="Q5584" s="3"/>
      <c r="R5584" s="3"/>
      <c r="S5584" s="3"/>
      <c r="T5584" s="3"/>
      <c r="U5584" s="3"/>
      <c r="V5584" s="3"/>
      <c r="W5584" s="3"/>
      <c r="X5584" s="3"/>
      <c r="Y5584" s="3"/>
      <c r="Z5584" s="3"/>
      <c r="AA5584" s="3"/>
    </row>
    <row r="5585" ht="105.75" customHeight="1">
      <c r="A5585" s="11"/>
      <c r="B5585" s="12"/>
      <c r="C5585" s="11"/>
      <c r="D5585" s="13"/>
      <c r="E5585" s="14"/>
      <c r="F5585" s="14"/>
      <c r="G5585" s="14"/>
      <c r="H5585" s="15"/>
      <c r="I5585" s="15"/>
      <c r="J5585" s="3"/>
      <c r="K5585" s="3"/>
      <c r="L5585" s="3"/>
      <c r="M5585" s="3"/>
      <c r="N5585" s="3"/>
      <c r="O5585" s="3"/>
      <c r="P5585" s="3"/>
      <c r="Q5585" s="3"/>
      <c r="R5585" s="3"/>
      <c r="S5585" s="3"/>
      <c r="T5585" s="3"/>
      <c r="U5585" s="3"/>
      <c r="V5585" s="3"/>
      <c r="W5585" s="3"/>
      <c r="X5585" s="3"/>
      <c r="Y5585" s="3"/>
      <c r="Z5585" s="3"/>
      <c r="AA5585" s="3"/>
    </row>
    <row r="5586" ht="105.75" customHeight="1">
      <c r="A5586" s="11"/>
      <c r="B5586" s="12"/>
      <c r="C5586" s="11"/>
      <c r="D5586" s="13"/>
      <c r="E5586" s="14"/>
      <c r="F5586" s="14"/>
      <c r="G5586" s="14"/>
      <c r="H5586" s="15"/>
      <c r="I5586" s="15"/>
      <c r="J5586" s="3"/>
      <c r="K5586" s="3"/>
      <c r="L5586" s="3"/>
      <c r="M5586" s="3"/>
      <c r="N5586" s="3"/>
      <c r="O5586" s="3"/>
      <c r="P5586" s="3"/>
      <c r="Q5586" s="3"/>
      <c r="R5586" s="3"/>
      <c r="S5586" s="3"/>
      <c r="T5586" s="3"/>
      <c r="U5586" s="3"/>
      <c r="V5586" s="3"/>
      <c r="W5586" s="3"/>
      <c r="X5586" s="3"/>
      <c r="Y5586" s="3"/>
      <c r="Z5586" s="3"/>
      <c r="AA5586" s="3"/>
    </row>
    <row r="5587" ht="105.75" customHeight="1">
      <c r="A5587" s="11"/>
      <c r="B5587" s="12"/>
      <c r="C5587" s="11"/>
      <c r="D5587" s="13"/>
      <c r="E5587" s="14"/>
      <c r="F5587" s="14"/>
      <c r="G5587" s="14"/>
      <c r="H5587" s="15"/>
      <c r="I5587" s="15"/>
      <c r="J5587" s="3"/>
      <c r="K5587" s="3"/>
      <c r="L5587" s="3"/>
      <c r="M5587" s="3"/>
      <c r="N5587" s="3"/>
      <c r="O5587" s="3"/>
      <c r="P5587" s="3"/>
      <c r="Q5587" s="3"/>
      <c r="R5587" s="3"/>
      <c r="S5587" s="3"/>
      <c r="T5587" s="3"/>
      <c r="U5587" s="3"/>
      <c r="V5587" s="3"/>
      <c r="W5587" s="3"/>
      <c r="X5587" s="3"/>
      <c r="Y5587" s="3"/>
      <c r="Z5587" s="3"/>
      <c r="AA5587" s="3"/>
    </row>
    <row r="5588" ht="105.75" customHeight="1">
      <c r="A5588" s="11"/>
      <c r="B5588" s="12"/>
      <c r="C5588" s="11"/>
      <c r="D5588" s="13"/>
      <c r="E5588" s="14"/>
      <c r="F5588" s="14"/>
      <c r="G5588" s="14"/>
      <c r="H5588" s="15"/>
      <c r="I5588" s="15"/>
      <c r="J5588" s="3"/>
      <c r="K5588" s="3"/>
      <c r="L5588" s="3"/>
      <c r="M5588" s="3"/>
      <c r="N5588" s="3"/>
      <c r="O5588" s="3"/>
      <c r="P5588" s="3"/>
      <c r="Q5588" s="3"/>
      <c r="R5588" s="3"/>
      <c r="S5588" s="3"/>
      <c r="T5588" s="3"/>
      <c r="U5588" s="3"/>
      <c r="V5588" s="3"/>
      <c r="W5588" s="3"/>
      <c r="X5588" s="3"/>
      <c r="Y5588" s="3"/>
      <c r="Z5588" s="3"/>
      <c r="AA5588" s="3"/>
    </row>
    <row r="5589" ht="105.75" customHeight="1">
      <c r="A5589" s="11"/>
      <c r="B5589" s="12"/>
      <c r="C5589" s="11"/>
      <c r="D5589" s="13"/>
      <c r="E5589" s="14"/>
      <c r="F5589" s="14"/>
      <c r="G5589" s="14"/>
      <c r="H5589" s="15"/>
      <c r="I5589" s="15"/>
      <c r="J5589" s="3"/>
      <c r="K5589" s="3"/>
      <c r="L5589" s="3"/>
      <c r="M5589" s="3"/>
      <c r="N5589" s="3"/>
      <c r="O5589" s="3"/>
      <c r="P5589" s="3"/>
      <c r="Q5589" s="3"/>
      <c r="R5589" s="3"/>
      <c r="S5589" s="3"/>
      <c r="T5589" s="3"/>
      <c r="U5589" s="3"/>
      <c r="V5589" s="3"/>
      <c r="W5589" s="3"/>
      <c r="X5589" s="3"/>
      <c r="Y5589" s="3"/>
      <c r="Z5589" s="3"/>
      <c r="AA5589" s="3"/>
    </row>
    <row r="5590" ht="105.75" customHeight="1">
      <c r="A5590" s="11"/>
      <c r="B5590" s="12"/>
      <c r="C5590" s="11"/>
      <c r="D5590" s="13"/>
      <c r="E5590" s="14"/>
      <c r="F5590" s="14"/>
      <c r="G5590" s="14"/>
      <c r="H5590" s="15"/>
      <c r="I5590" s="15"/>
      <c r="J5590" s="3"/>
      <c r="K5590" s="3"/>
      <c r="L5590" s="3"/>
      <c r="M5590" s="3"/>
      <c r="N5590" s="3"/>
      <c r="O5590" s="3"/>
      <c r="P5590" s="3"/>
      <c r="Q5590" s="3"/>
      <c r="R5590" s="3"/>
      <c r="S5590" s="3"/>
      <c r="T5590" s="3"/>
      <c r="U5590" s="3"/>
      <c r="V5590" s="3"/>
      <c r="W5590" s="3"/>
      <c r="X5590" s="3"/>
      <c r="Y5590" s="3"/>
      <c r="Z5590" s="3"/>
      <c r="AA5590" s="3"/>
    </row>
    <row r="5591" ht="105.75" customHeight="1">
      <c r="A5591" s="11"/>
      <c r="B5591" s="12"/>
      <c r="C5591" s="11"/>
      <c r="D5591" s="13"/>
      <c r="E5591" s="14"/>
      <c r="F5591" s="14"/>
      <c r="G5591" s="14"/>
      <c r="H5591" s="15"/>
      <c r="I5591" s="15"/>
      <c r="J5591" s="3"/>
      <c r="K5591" s="3"/>
      <c r="L5591" s="3"/>
      <c r="M5591" s="3"/>
      <c r="N5591" s="3"/>
      <c r="O5591" s="3"/>
      <c r="P5591" s="3"/>
      <c r="Q5591" s="3"/>
      <c r="R5591" s="3"/>
      <c r="S5591" s="3"/>
      <c r="T5591" s="3"/>
      <c r="U5591" s="3"/>
      <c r="V5591" s="3"/>
      <c r="W5591" s="3"/>
      <c r="X5591" s="3"/>
      <c r="Y5591" s="3"/>
      <c r="Z5591" s="3"/>
      <c r="AA5591" s="3"/>
    </row>
    <row r="5592" ht="105.75" customHeight="1">
      <c r="A5592" s="11"/>
      <c r="B5592" s="12"/>
      <c r="C5592" s="11"/>
      <c r="D5592" s="13"/>
      <c r="E5592" s="14"/>
      <c r="F5592" s="14"/>
      <c r="G5592" s="14"/>
      <c r="H5592" s="15"/>
      <c r="I5592" s="15"/>
      <c r="J5592" s="3"/>
      <c r="K5592" s="3"/>
      <c r="L5592" s="3"/>
      <c r="M5592" s="3"/>
      <c r="N5592" s="3"/>
      <c r="O5592" s="3"/>
      <c r="P5592" s="3"/>
      <c r="Q5592" s="3"/>
      <c r="R5592" s="3"/>
      <c r="S5592" s="3"/>
      <c r="T5592" s="3"/>
      <c r="U5592" s="3"/>
      <c r="V5592" s="3"/>
      <c r="W5592" s="3"/>
      <c r="X5592" s="3"/>
      <c r="Y5592" s="3"/>
      <c r="Z5592" s="3"/>
      <c r="AA5592" s="3"/>
    </row>
    <row r="5593" ht="105.75" customHeight="1">
      <c r="A5593" s="11"/>
      <c r="B5593" s="12"/>
      <c r="C5593" s="11"/>
      <c r="D5593" s="13"/>
      <c r="E5593" s="14"/>
      <c r="F5593" s="14"/>
      <c r="G5593" s="14"/>
      <c r="H5593" s="15"/>
      <c r="I5593" s="15"/>
      <c r="J5593" s="3"/>
      <c r="K5593" s="3"/>
      <c r="L5593" s="3"/>
      <c r="M5593" s="3"/>
      <c r="N5593" s="3"/>
      <c r="O5593" s="3"/>
      <c r="P5593" s="3"/>
      <c r="Q5593" s="3"/>
      <c r="R5593" s="3"/>
      <c r="S5593" s="3"/>
      <c r="T5593" s="3"/>
      <c r="U5593" s="3"/>
      <c r="V5593" s="3"/>
      <c r="W5593" s="3"/>
      <c r="X5593" s="3"/>
      <c r="Y5593" s="3"/>
      <c r="Z5593" s="3"/>
      <c r="AA5593" s="3"/>
    </row>
    <row r="5594" ht="105.75" customHeight="1">
      <c r="A5594" s="11"/>
      <c r="B5594" s="12"/>
      <c r="C5594" s="11"/>
      <c r="D5594" s="13"/>
      <c r="E5594" s="14"/>
      <c r="F5594" s="14"/>
      <c r="G5594" s="14"/>
      <c r="H5594" s="15"/>
      <c r="I5594" s="15"/>
      <c r="J5594" s="3"/>
      <c r="K5594" s="3"/>
      <c r="L5594" s="3"/>
      <c r="M5594" s="3"/>
      <c r="N5594" s="3"/>
      <c r="O5594" s="3"/>
      <c r="P5594" s="3"/>
      <c r="Q5594" s="3"/>
      <c r="R5594" s="3"/>
      <c r="S5594" s="3"/>
      <c r="T5594" s="3"/>
      <c r="U5594" s="3"/>
      <c r="V5594" s="3"/>
      <c r="W5594" s="3"/>
      <c r="X5594" s="3"/>
      <c r="Y5594" s="3"/>
      <c r="Z5594" s="3"/>
      <c r="AA5594" s="3"/>
    </row>
    <row r="5595" ht="105.75" customHeight="1">
      <c r="A5595" s="11"/>
      <c r="B5595" s="12"/>
      <c r="C5595" s="11"/>
      <c r="D5595" s="13"/>
      <c r="E5595" s="14"/>
      <c r="F5595" s="14"/>
      <c r="G5595" s="14"/>
      <c r="H5595" s="15"/>
      <c r="I5595" s="15"/>
      <c r="J5595" s="3"/>
      <c r="K5595" s="3"/>
      <c r="L5595" s="3"/>
      <c r="M5595" s="3"/>
      <c r="N5595" s="3"/>
      <c r="O5595" s="3"/>
      <c r="P5595" s="3"/>
      <c r="Q5595" s="3"/>
      <c r="R5595" s="3"/>
      <c r="S5595" s="3"/>
      <c r="T5595" s="3"/>
      <c r="U5595" s="3"/>
      <c r="V5595" s="3"/>
      <c r="W5595" s="3"/>
      <c r="X5595" s="3"/>
      <c r="Y5595" s="3"/>
      <c r="Z5595" s="3"/>
      <c r="AA5595" s="3"/>
    </row>
    <row r="5596" ht="105.75" customHeight="1">
      <c r="A5596" s="11"/>
      <c r="B5596" s="12"/>
      <c r="C5596" s="11"/>
      <c r="D5596" s="13"/>
      <c r="E5596" s="14"/>
      <c r="F5596" s="14"/>
      <c r="G5596" s="14"/>
      <c r="H5596" s="15"/>
      <c r="I5596" s="15"/>
      <c r="J5596" s="3"/>
      <c r="K5596" s="3"/>
      <c r="L5596" s="3"/>
      <c r="M5596" s="3"/>
      <c r="N5596" s="3"/>
      <c r="O5596" s="3"/>
      <c r="P5596" s="3"/>
      <c r="Q5596" s="3"/>
      <c r="R5596" s="3"/>
      <c r="S5596" s="3"/>
      <c r="T5596" s="3"/>
      <c r="U5596" s="3"/>
      <c r="V5596" s="3"/>
      <c r="W5596" s="3"/>
      <c r="X5596" s="3"/>
      <c r="Y5596" s="3"/>
      <c r="Z5596" s="3"/>
      <c r="AA5596" s="3"/>
    </row>
    <row r="5597" ht="105.75" customHeight="1">
      <c r="A5597" s="11"/>
      <c r="B5597" s="12"/>
      <c r="C5597" s="11"/>
      <c r="D5597" s="13"/>
      <c r="E5597" s="14"/>
      <c r="F5597" s="14"/>
      <c r="G5597" s="14"/>
      <c r="H5597" s="15"/>
      <c r="I5597" s="15"/>
      <c r="J5597" s="3"/>
      <c r="K5597" s="3"/>
      <c r="L5597" s="3"/>
      <c r="M5597" s="3"/>
      <c r="N5597" s="3"/>
      <c r="O5597" s="3"/>
      <c r="P5597" s="3"/>
      <c r="Q5597" s="3"/>
      <c r="R5597" s="3"/>
      <c r="S5597" s="3"/>
      <c r="T5597" s="3"/>
      <c r="U5597" s="3"/>
      <c r="V5597" s="3"/>
      <c r="W5597" s="3"/>
      <c r="X5597" s="3"/>
      <c r="Y5597" s="3"/>
      <c r="Z5597" s="3"/>
      <c r="AA5597" s="3"/>
    </row>
    <row r="5598" ht="105.75" customHeight="1">
      <c r="A5598" s="11"/>
      <c r="B5598" s="12"/>
      <c r="C5598" s="11"/>
      <c r="D5598" s="13"/>
      <c r="E5598" s="14"/>
      <c r="F5598" s="14"/>
      <c r="G5598" s="14"/>
      <c r="H5598" s="15"/>
      <c r="I5598" s="15"/>
      <c r="J5598" s="3"/>
      <c r="K5598" s="3"/>
      <c r="L5598" s="3"/>
      <c r="M5598" s="3"/>
      <c r="N5598" s="3"/>
      <c r="O5598" s="3"/>
      <c r="P5598" s="3"/>
      <c r="Q5598" s="3"/>
      <c r="R5598" s="3"/>
      <c r="S5598" s="3"/>
      <c r="T5598" s="3"/>
      <c r="U5598" s="3"/>
      <c r="V5598" s="3"/>
      <c r="W5598" s="3"/>
      <c r="X5598" s="3"/>
      <c r="Y5598" s="3"/>
      <c r="Z5598" s="3"/>
      <c r="AA5598" s="3"/>
    </row>
    <row r="5599" ht="105.75" customHeight="1">
      <c r="A5599" s="11"/>
      <c r="B5599" s="12"/>
      <c r="C5599" s="11"/>
      <c r="D5599" s="13"/>
      <c r="E5599" s="14"/>
      <c r="F5599" s="14"/>
      <c r="G5599" s="14"/>
      <c r="H5599" s="15"/>
      <c r="I5599" s="15"/>
      <c r="J5599" s="3"/>
      <c r="K5599" s="3"/>
      <c r="L5599" s="3"/>
      <c r="M5599" s="3"/>
      <c r="N5599" s="3"/>
      <c r="O5599" s="3"/>
      <c r="P5599" s="3"/>
      <c r="Q5599" s="3"/>
      <c r="R5599" s="3"/>
      <c r="S5599" s="3"/>
      <c r="T5599" s="3"/>
      <c r="U5599" s="3"/>
      <c r="V5599" s="3"/>
      <c r="W5599" s="3"/>
      <c r="X5599" s="3"/>
      <c r="Y5599" s="3"/>
      <c r="Z5599" s="3"/>
      <c r="AA5599" s="3"/>
    </row>
    <row r="5600" ht="105.75" customHeight="1">
      <c r="A5600" s="11"/>
      <c r="B5600" s="12"/>
      <c r="C5600" s="11"/>
      <c r="D5600" s="13"/>
      <c r="E5600" s="14"/>
      <c r="F5600" s="14"/>
      <c r="G5600" s="14"/>
      <c r="H5600" s="15"/>
      <c r="I5600" s="15"/>
      <c r="J5600" s="3"/>
      <c r="K5600" s="3"/>
      <c r="L5600" s="3"/>
      <c r="M5600" s="3"/>
      <c r="N5600" s="3"/>
      <c r="O5600" s="3"/>
      <c r="P5600" s="3"/>
      <c r="Q5600" s="3"/>
      <c r="R5600" s="3"/>
      <c r="S5600" s="3"/>
      <c r="T5600" s="3"/>
      <c r="U5600" s="3"/>
      <c r="V5600" s="3"/>
      <c r="W5600" s="3"/>
      <c r="X5600" s="3"/>
      <c r="Y5600" s="3"/>
      <c r="Z5600" s="3"/>
      <c r="AA5600" s="3"/>
    </row>
    <row r="5601" ht="105.75" customHeight="1">
      <c r="A5601" s="11"/>
      <c r="B5601" s="12"/>
      <c r="C5601" s="11"/>
      <c r="D5601" s="13"/>
      <c r="E5601" s="14"/>
      <c r="F5601" s="14"/>
      <c r="G5601" s="14"/>
      <c r="H5601" s="15"/>
      <c r="I5601" s="15"/>
      <c r="J5601" s="3"/>
      <c r="K5601" s="3"/>
      <c r="L5601" s="3"/>
      <c r="M5601" s="3"/>
      <c r="N5601" s="3"/>
      <c r="O5601" s="3"/>
      <c r="P5601" s="3"/>
      <c r="Q5601" s="3"/>
      <c r="R5601" s="3"/>
      <c r="S5601" s="3"/>
      <c r="T5601" s="3"/>
      <c r="U5601" s="3"/>
      <c r="V5601" s="3"/>
      <c r="W5601" s="3"/>
      <c r="X5601" s="3"/>
      <c r="Y5601" s="3"/>
      <c r="Z5601" s="3"/>
      <c r="AA5601" s="3"/>
    </row>
    <row r="5602" ht="105.75" customHeight="1">
      <c r="A5602" s="11"/>
      <c r="B5602" s="12"/>
      <c r="C5602" s="11"/>
      <c r="D5602" s="13"/>
      <c r="E5602" s="14"/>
      <c r="F5602" s="14"/>
      <c r="G5602" s="14"/>
      <c r="H5602" s="15"/>
      <c r="I5602" s="15"/>
      <c r="J5602" s="3"/>
      <c r="K5602" s="3"/>
      <c r="L5602" s="3"/>
      <c r="M5602" s="3"/>
      <c r="N5602" s="3"/>
      <c r="O5602" s="3"/>
      <c r="P5602" s="3"/>
      <c r="Q5602" s="3"/>
      <c r="R5602" s="3"/>
      <c r="S5602" s="3"/>
      <c r="T5602" s="3"/>
      <c r="U5602" s="3"/>
      <c r="V5602" s="3"/>
      <c r="W5602" s="3"/>
      <c r="X5602" s="3"/>
      <c r="Y5602" s="3"/>
      <c r="Z5602" s="3"/>
      <c r="AA5602" s="3"/>
    </row>
    <row r="5603" ht="105.75" customHeight="1">
      <c r="A5603" s="11"/>
      <c r="B5603" s="12"/>
      <c r="C5603" s="11"/>
      <c r="D5603" s="13"/>
      <c r="E5603" s="14"/>
      <c r="F5603" s="14"/>
      <c r="G5603" s="14"/>
      <c r="H5603" s="15"/>
      <c r="I5603" s="15"/>
      <c r="J5603" s="3"/>
      <c r="K5603" s="3"/>
      <c r="L5603" s="3"/>
      <c r="M5603" s="3"/>
      <c r="N5603" s="3"/>
      <c r="O5603" s="3"/>
      <c r="P5603" s="3"/>
      <c r="Q5603" s="3"/>
      <c r="R5603" s="3"/>
      <c r="S5603" s="3"/>
      <c r="T5603" s="3"/>
      <c r="U5603" s="3"/>
      <c r="V5603" s="3"/>
      <c r="W5603" s="3"/>
      <c r="X5603" s="3"/>
      <c r="Y5603" s="3"/>
      <c r="Z5603" s="3"/>
      <c r="AA5603" s="3"/>
    </row>
    <row r="5604" ht="105.75" customHeight="1">
      <c r="A5604" s="11"/>
      <c r="B5604" s="12"/>
      <c r="C5604" s="11"/>
      <c r="D5604" s="13"/>
      <c r="E5604" s="14"/>
      <c r="F5604" s="14"/>
      <c r="G5604" s="14"/>
      <c r="H5604" s="15"/>
      <c r="I5604" s="15"/>
      <c r="J5604" s="3"/>
      <c r="K5604" s="3"/>
      <c r="L5604" s="3"/>
      <c r="M5604" s="3"/>
      <c r="N5604" s="3"/>
      <c r="O5604" s="3"/>
      <c r="P5604" s="3"/>
      <c r="Q5604" s="3"/>
      <c r="R5604" s="3"/>
      <c r="S5604" s="3"/>
      <c r="T5604" s="3"/>
      <c r="U5604" s="3"/>
      <c r="V5604" s="3"/>
      <c r="W5604" s="3"/>
      <c r="X5604" s="3"/>
      <c r="Y5604" s="3"/>
      <c r="Z5604" s="3"/>
      <c r="AA5604" s="3"/>
    </row>
    <row r="5605" ht="105.75" customHeight="1">
      <c r="A5605" s="11"/>
      <c r="B5605" s="12"/>
      <c r="C5605" s="11"/>
      <c r="D5605" s="13"/>
      <c r="E5605" s="14"/>
      <c r="F5605" s="14"/>
      <c r="G5605" s="14"/>
      <c r="H5605" s="15"/>
      <c r="I5605" s="15"/>
      <c r="J5605" s="3"/>
      <c r="K5605" s="3"/>
      <c r="L5605" s="3"/>
      <c r="M5605" s="3"/>
      <c r="N5605" s="3"/>
      <c r="O5605" s="3"/>
      <c r="P5605" s="3"/>
      <c r="Q5605" s="3"/>
      <c r="R5605" s="3"/>
      <c r="S5605" s="3"/>
      <c r="T5605" s="3"/>
      <c r="U5605" s="3"/>
      <c r="V5605" s="3"/>
      <c r="W5605" s="3"/>
      <c r="X5605" s="3"/>
      <c r="Y5605" s="3"/>
      <c r="Z5605" s="3"/>
      <c r="AA5605" s="3"/>
    </row>
    <row r="5606" ht="105.75" customHeight="1">
      <c r="A5606" s="11"/>
      <c r="B5606" s="12"/>
      <c r="C5606" s="11"/>
      <c r="D5606" s="13"/>
      <c r="E5606" s="14"/>
      <c r="F5606" s="14"/>
      <c r="G5606" s="14"/>
      <c r="H5606" s="15"/>
      <c r="I5606" s="15"/>
      <c r="J5606" s="3"/>
      <c r="K5606" s="3"/>
      <c r="L5606" s="3"/>
      <c r="M5606" s="3"/>
      <c r="N5606" s="3"/>
      <c r="O5606" s="3"/>
      <c r="P5606" s="3"/>
      <c r="Q5606" s="3"/>
      <c r="R5606" s="3"/>
      <c r="S5606" s="3"/>
      <c r="T5606" s="3"/>
      <c r="U5606" s="3"/>
      <c r="V5606" s="3"/>
      <c r="W5606" s="3"/>
      <c r="X5606" s="3"/>
      <c r="Y5606" s="3"/>
      <c r="Z5606" s="3"/>
      <c r="AA5606" s="3"/>
    </row>
    <row r="5607" ht="105.75" customHeight="1">
      <c r="A5607" s="11"/>
      <c r="B5607" s="12"/>
      <c r="C5607" s="11"/>
      <c r="D5607" s="13"/>
      <c r="E5607" s="14"/>
      <c r="F5607" s="14"/>
      <c r="G5607" s="14"/>
      <c r="H5607" s="15"/>
      <c r="I5607" s="15"/>
      <c r="J5607" s="3"/>
      <c r="K5607" s="3"/>
      <c r="L5607" s="3"/>
      <c r="M5607" s="3"/>
      <c r="N5607" s="3"/>
      <c r="O5607" s="3"/>
      <c r="P5607" s="3"/>
      <c r="Q5607" s="3"/>
      <c r="R5607" s="3"/>
      <c r="S5607" s="3"/>
      <c r="T5607" s="3"/>
      <c r="U5607" s="3"/>
      <c r="V5607" s="3"/>
      <c r="W5607" s="3"/>
      <c r="X5607" s="3"/>
      <c r="Y5607" s="3"/>
      <c r="Z5607" s="3"/>
      <c r="AA5607" s="3"/>
    </row>
    <row r="5608" ht="105.75" customHeight="1">
      <c r="A5608" s="11"/>
      <c r="B5608" s="12"/>
      <c r="C5608" s="11"/>
      <c r="D5608" s="13"/>
      <c r="E5608" s="14"/>
      <c r="F5608" s="14"/>
      <c r="G5608" s="14"/>
      <c r="H5608" s="15"/>
      <c r="I5608" s="15"/>
      <c r="J5608" s="3"/>
      <c r="K5608" s="3"/>
      <c r="L5608" s="3"/>
      <c r="M5608" s="3"/>
      <c r="N5608" s="3"/>
      <c r="O5608" s="3"/>
      <c r="P5608" s="3"/>
      <c r="Q5608" s="3"/>
      <c r="R5608" s="3"/>
      <c r="S5608" s="3"/>
      <c r="T5608" s="3"/>
      <c r="U5608" s="3"/>
      <c r="V5608" s="3"/>
      <c r="W5608" s="3"/>
      <c r="X5608" s="3"/>
      <c r="Y5608" s="3"/>
      <c r="Z5608" s="3"/>
      <c r="AA5608" s="3"/>
    </row>
    <row r="5609" ht="105.75" customHeight="1">
      <c r="A5609" s="11"/>
      <c r="B5609" s="12"/>
      <c r="C5609" s="11"/>
      <c r="D5609" s="13"/>
      <c r="E5609" s="14"/>
      <c r="F5609" s="14"/>
      <c r="G5609" s="14"/>
      <c r="H5609" s="15"/>
      <c r="I5609" s="15"/>
      <c r="J5609" s="3"/>
      <c r="K5609" s="3"/>
      <c r="L5609" s="3"/>
      <c r="M5609" s="3"/>
      <c r="N5609" s="3"/>
      <c r="O5609" s="3"/>
      <c r="P5609" s="3"/>
      <c r="Q5609" s="3"/>
      <c r="R5609" s="3"/>
      <c r="S5609" s="3"/>
      <c r="T5609" s="3"/>
      <c r="U5609" s="3"/>
      <c r="V5609" s="3"/>
      <c r="W5609" s="3"/>
      <c r="X5609" s="3"/>
      <c r="Y5609" s="3"/>
      <c r="Z5609" s="3"/>
      <c r="AA5609" s="3"/>
    </row>
    <row r="5610" ht="105.75" customHeight="1">
      <c r="A5610" s="11"/>
      <c r="B5610" s="12"/>
      <c r="C5610" s="11"/>
      <c r="D5610" s="13"/>
      <c r="E5610" s="14"/>
      <c r="F5610" s="14"/>
      <c r="G5610" s="14"/>
      <c r="H5610" s="15"/>
      <c r="I5610" s="15"/>
      <c r="J5610" s="3"/>
      <c r="K5610" s="3"/>
      <c r="L5610" s="3"/>
      <c r="M5610" s="3"/>
      <c r="N5610" s="3"/>
      <c r="O5610" s="3"/>
      <c r="P5610" s="3"/>
      <c r="Q5610" s="3"/>
      <c r="R5610" s="3"/>
      <c r="S5610" s="3"/>
      <c r="T5610" s="3"/>
      <c r="U5610" s="3"/>
      <c r="V5610" s="3"/>
      <c r="W5610" s="3"/>
      <c r="X5610" s="3"/>
      <c r="Y5610" s="3"/>
      <c r="Z5610" s="3"/>
      <c r="AA5610" s="3"/>
    </row>
    <row r="5611" ht="105.75" customHeight="1">
      <c r="A5611" s="11"/>
      <c r="B5611" s="12"/>
      <c r="C5611" s="11"/>
      <c r="D5611" s="13"/>
      <c r="E5611" s="14"/>
      <c r="F5611" s="14"/>
      <c r="G5611" s="14"/>
      <c r="H5611" s="15"/>
      <c r="I5611" s="15"/>
      <c r="J5611" s="3"/>
      <c r="K5611" s="3"/>
      <c r="L5611" s="3"/>
      <c r="M5611" s="3"/>
      <c r="N5611" s="3"/>
      <c r="O5611" s="3"/>
      <c r="P5611" s="3"/>
      <c r="Q5611" s="3"/>
      <c r="R5611" s="3"/>
      <c r="S5611" s="3"/>
      <c r="T5611" s="3"/>
      <c r="U5611" s="3"/>
      <c r="V5611" s="3"/>
      <c r="W5611" s="3"/>
      <c r="X5611" s="3"/>
      <c r="Y5611" s="3"/>
      <c r="Z5611" s="3"/>
      <c r="AA5611" s="3"/>
    </row>
    <row r="5612" ht="105.75" customHeight="1">
      <c r="A5612" s="11"/>
      <c r="B5612" s="12"/>
      <c r="C5612" s="11"/>
      <c r="D5612" s="13"/>
      <c r="E5612" s="14"/>
      <c r="F5612" s="14"/>
      <c r="G5612" s="14"/>
      <c r="H5612" s="15"/>
      <c r="I5612" s="15"/>
      <c r="J5612" s="3"/>
      <c r="K5612" s="3"/>
      <c r="L5612" s="3"/>
      <c r="M5612" s="3"/>
      <c r="N5612" s="3"/>
      <c r="O5612" s="3"/>
      <c r="P5612" s="3"/>
      <c r="Q5612" s="3"/>
      <c r="R5612" s="3"/>
      <c r="S5612" s="3"/>
      <c r="T5612" s="3"/>
      <c r="U5612" s="3"/>
      <c r="V5612" s="3"/>
      <c r="W5612" s="3"/>
      <c r="X5612" s="3"/>
      <c r="Y5612" s="3"/>
      <c r="Z5612" s="3"/>
      <c r="AA5612" s="3"/>
    </row>
    <row r="5613" ht="105.75" customHeight="1">
      <c r="A5613" s="11"/>
      <c r="B5613" s="12"/>
      <c r="C5613" s="11"/>
      <c r="D5613" s="13"/>
      <c r="E5613" s="14"/>
      <c r="F5613" s="14"/>
      <c r="G5613" s="14"/>
      <c r="H5613" s="15"/>
      <c r="I5613" s="15"/>
      <c r="J5613" s="3"/>
      <c r="K5613" s="3"/>
      <c r="L5613" s="3"/>
      <c r="M5613" s="3"/>
      <c r="N5613" s="3"/>
      <c r="O5613" s="3"/>
      <c r="P5613" s="3"/>
      <c r="Q5613" s="3"/>
      <c r="R5613" s="3"/>
      <c r="S5613" s="3"/>
      <c r="T5613" s="3"/>
      <c r="U5613" s="3"/>
      <c r="V5613" s="3"/>
      <c r="W5613" s="3"/>
      <c r="X5613" s="3"/>
      <c r="Y5613" s="3"/>
      <c r="Z5613" s="3"/>
      <c r="AA5613" s="3"/>
    </row>
    <row r="5614" ht="105.75" customHeight="1">
      <c r="A5614" s="11"/>
      <c r="B5614" s="12"/>
      <c r="C5614" s="11"/>
      <c r="D5614" s="13"/>
      <c r="E5614" s="14"/>
      <c r="F5614" s="14"/>
      <c r="G5614" s="14"/>
      <c r="H5614" s="15"/>
      <c r="I5614" s="15"/>
      <c r="J5614" s="3"/>
      <c r="K5614" s="3"/>
      <c r="L5614" s="3"/>
      <c r="M5614" s="3"/>
      <c r="N5614" s="3"/>
      <c r="O5614" s="3"/>
      <c r="P5614" s="3"/>
      <c r="Q5614" s="3"/>
      <c r="R5614" s="3"/>
      <c r="S5614" s="3"/>
      <c r="T5614" s="3"/>
      <c r="U5614" s="3"/>
      <c r="V5614" s="3"/>
      <c r="W5614" s="3"/>
      <c r="X5614" s="3"/>
      <c r="Y5614" s="3"/>
      <c r="Z5614" s="3"/>
      <c r="AA5614" s="3"/>
    </row>
    <row r="5615" ht="105.75" customHeight="1">
      <c r="A5615" s="11"/>
      <c r="B5615" s="12"/>
      <c r="C5615" s="11"/>
      <c r="D5615" s="13"/>
      <c r="E5615" s="14"/>
      <c r="F5615" s="14"/>
      <c r="G5615" s="14"/>
      <c r="H5615" s="15"/>
      <c r="I5615" s="15"/>
      <c r="J5615" s="3"/>
      <c r="K5615" s="3"/>
      <c r="L5615" s="3"/>
      <c r="M5615" s="3"/>
      <c r="N5615" s="3"/>
      <c r="O5615" s="3"/>
      <c r="P5615" s="3"/>
      <c r="Q5615" s="3"/>
      <c r="R5615" s="3"/>
      <c r="S5615" s="3"/>
      <c r="T5615" s="3"/>
      <c r="U5615" s="3"/>
      <c r="V5615" s="3"/>
      <c r="W5615" s="3"/>
      <c r="X5615" s="3"/>
      <c r="Y5615" s="3"/>
      <c r="Z5615" s="3"/>
      <c r="AA5615" s="3"/>
    </row>
    <row r="5616" ht="105.75" customHeight="1">
      <c r="A5616" s="11"/>
      <c r="B5616" s="12"/>
      <c r="C5616" s="11"/>
      <c r="D5616" s="13"/>
      <c r="E5616" s="14"/>
      <c r="F5616" s="14"/>
      <c r="G5616" s="14"/>
      <c r="H5616" s="15"/>
      <c r="I5616" s="15"/>
      <c r="J5616" s="3"/>
      <c r="K5616" s="3"/>
      <c r="L5616" s="3"/>
      <c r="M5616" s="3"/>
      <c r="N5616" s="3"/>
      <c r="O5616" s="3"/>
      <c r="P5616" s="3"/>
      <c r="Q5616" s="3"/>
      <c r="R5616" s="3"/>
      <c r="S5616" s="3"/>
      <c r="T5616" s="3"/>
      <c r="U5616" s="3"/>
      <c r="V5616" s="3"/>
      <c r="W5616" s="3"/>
      <c r="X5616" s="3"/>
      <c r="Y5616" s="3"/>
      <c r="Z5616" s="3"/>
      <c r="AA5616" s="3"/>
    </row>
    <row r="5617" ht="105.75" customHeight="1">
      <c r="A5617" s="11"/>
      <c r="B5617" s="12"/>
      <c r="C5617" s="11"/>
      <c r="D5617" s="13"/>
      <c r="E5617" s="14"/>
      <c r="F5617" s="14"/>
      <c r="G5617" s="14"/>
      <c r="H5617" s="15"/>
      <c r="I5617" s="15"/>
      <c r="J5617" s="3"/>
      <c r="K5617" s="3"/>
      <c r="L5617" s="3"/>
      <c r="M5617" s="3"/>
      <c r="N5617" s="3"/>
      <c r="O5617" s="3"/>
      <c r="P5617" s="3"/>
      <c r="Q5617" s="3"/>
      <c r="R5617" s="3"/>
      <c r="S5617" s="3"/>
      <c r="T5617" s="3"/>
      <c r="U5617" s="3"/>
      <c r="V5617" s="3"/>
      <c r="W5617" s="3"/>
      <c r="X5617" s="3"/>
      <c r="Y5617" s="3"/>
      <c r="Z5617" s="3"/>
      <c r="AA5617" s="3"/>
    </row>
    <row r="5618" ht="105.75" customHeight="1">
      <c r="A5618" s="11"/>
      <c r="B5618" s="12"/>
      <c r="C5618" s="11"/>
      <c r="D5618" s="13"/>
      <c r="E5618" s="14"/>
      <c r="F5618" s="14"/>
      <c r="G5618" s="14"/>
      <c r="H5618" s="15"/>
      <c r="I5618" s="15"/>
      <c r="J5618" s="3"/>
      <c r="K5618" s="3"/>
      <c r="L5618" s="3"/>
      <c r="M5618" s="3"/>
      <c r="N5618" s="3"/>
      <c r="O5618" s="3"/>
      <c r="P5618" s="3"/>
      <c r="Q5618" s="3"/>
      <c r="R5618" s="3"/>
      <c r="S5618" s="3"/>
      <c r="T5618" s="3"/>
      <c r="U5618" s="3"/>
      <c r="V5618" s="3"/>
      <c r="W5618" s="3"/>
      <c r="X5618" s="3"/>
      <c r="Y5618" s="3"/>
      <c r="Z5618" s="3"/>
      <c r="AA5618" s="3"/>
    </row>
    <row r="5619" ht="105.75" customHeight="1">
      <c r="A5619" s="11"/>
      <c r="B5619" s="12"/>
      <c r="C5619" s="11"/>
      <c r="D5619" s="13"/>
      <c r="E5619" s="14"/>
      <c r="F5619" s="14"/>
      <c r="G5619" s="14"/>
      <c r="H5619" s="15"/>
      <c r="I5619" s="15"/>
      <c r="J5619" s="3"/>
      <c r="K5619" s="3"/>
      <c r="L5619" s="3"/>
      <c r="M5619" s="3"/>
      <c r="N5619" s="3"/>
      <c r="O5619" s="3"/>
      <c r="P5619" s="3"/>
      <c r="Q5619" s="3"/>
      <c r="R5619" s="3"/>
      <c r="S5619" s="3"/>
      <c r="T5619" s="3"/>
      <c r="U5619" s="3"/>
      <c r="V5619" s="3"/>
      <c r="W5619" s="3"/>
      <c r="X5619" s="3"/>
      <c r="Y5619" s="3"/>
      <c r="Z5619" s="3"/>
      <c r="AA5619" s="3"/>
    </row>
    <row r="5620" ht="105.75" customHeight="1">
      <c r="A5620" s="11"/>
      <c r="B5620" s="12"/>
      <c r="C5620" s="11"/>
      <c r="D5620" s="13"/>
      <c r="E5620" s="14"/>
      <c r="F5620" s="14"/>
      <c r="G5620" s="14"/>
      <c r="H5620" s="15"/>
      <c r="I5620" s="15"/>
      <c r="J5620" s="3"/>
      <c r="K5620" s="3"/>
      <c r="L5620" s="3"/>
      <c r="M5620" s="3"/>
      <c r="N5620" s="3"/>
      <c r="O5620" s="3"/>
      <c r="P5620" s="3"/>
      <c r="Q5620" s="3"/>
      <c r="R5620" s="3"/>
      <c r="S5620" s="3"/>
      <c r="T5620" s="3"/>
      <c r="U5620" s="3"/>
      <c r="V5620" s="3"/>
      <c r="W5620" s="3"/>
      <c r="X5620" s="3"/>
      <c r="Y5620" s="3"/>
      <c r="Z5620" s="3"/>
      <c r="AA5620" s="3"/>
    </row>
    <row r="5621" ht="105.75" customHeight="1">
      <c r="A5621" s="11"/>
      <c r="B5621" s="12"/>
      <c r="C5621" s="11"/>
      <c r="D5621" s="13"/>
      <c r="E5621" s="14"/>
      <c r="F5621" s="14"/>
      <c r="G5621" s="14"/>
      <c r="H5621" s="15"/>
      <c r="I5621" s="15"/>
      <c r="J5621" s="3"/>
      <c r="K5621" s="3"/>
      <c r="L5621" s="3"/>
      <c r="M5621" s="3"/>
      <c r="N5621" s="3"/>
      <c r="O5621" s="3"/>
      <c r="P5621" s="3"/>
      <c r="Q5621" s="3"/>
      <c r="R5621" s="3"/>
      <c r="S5621" s="3"/>
      <c r="T5621" s="3"/>
      <c r="U5621" s="3"/>
      <c r="V5621" s="3"/>
      <c r="W5621" s="3"/>
      <c r="X5621" s="3"/>
      <c r="Y5621" s="3"/>
      <c r="Z5621" s="3"/>
      <c r="AA5621" s="3"/>
    </row>
    <row r="5622" ht="105.75" customHeight="1">
      <c r="A5622" s="11"/>
      <c r="B5622" s="12"/>
      <c r="C5622" s="11"/>
      <c r="D5622" s="13"/>
      <c r="E5622" s="14"/>
      <c r="F5622" s="14"/>
      <c r="G5622" s="14"/>
      <c r="H5622" s="15"/>
      <c r="I5622" s="15"/>
      <c r="J5622" s="3"/>
      <c r="K5622" s="3"/>
      <c r="L5622" s="3"/>
      <c r="M5622" s="3"/>
      <c r="N5622" s="3"/>
      <c r="O5622" s="3"/>
      <c r="P5622" s="3"/>
      <c r="Q5622" s="3"/>
      <c r="R5622" s="3"/>
      <c r="S5622" s="3"/>
      <c r="T5622" s="3"/>
      <c r="U5622" s="3"/>
      <c r="V5622" s="3"/>
      <c r="W5622" s="3"/>
      <c r="X5622" s="3"/>
      <c r="Y5622" s="3"/>
      <c r="Z5622" s="3"/>
      <c r="AA5622" s="3"/>
    </row>
    <row r="5623" ht="105.75" customHeight="1">
      <c r="A5623" s="11"/>
      <c r="B5623" s="12"/>
      <c r="C5623" s="11"/>
      <c r="D5623" s="13"/>
      <c r="E5623" s="14"/>
      <c r="F5623" s="14"/>
      <c r="G5623" s="14"/>
      <c r="H5623" s="15"/>
      <c r="I5623" s="15"/>
      <c r="J5623" s="3"/>
      <c r="K5623" s="3"/>
      <c r="L5623" s="3"/>
      <c r="M5623" s="3"/>
      <c r="N5623" s="3"/>
      <c r="O5623" s="3"/>
      <c r="P5623" s="3"/>
      <c r="Q5623" s="3"/>
      <c r="R5623" s="3"/>
      <c r="S5623" s="3"/>
      <c r="T5623" s="3"/>
      <c r="U5623" s="3"/>
      <c r="V5623" s="3"/>
      <c r="W5623" s="3"/>
      <c r="X5623" s="3"/>
      <c r="Y5623" s="3"/>
      <c r="Z5623" s="3"/>
      <c r="AA5623" s="3"/>
    </row>
    <row r="5624" ht="105.75" customHeight="1">
      <c r="A5624" s="11"/>
      <c r="B5624" s="12"/>
      <c r="C5624" s="11"/>
      <c r="D5624" s="13"/>
      <c r="E5624" s="14"/>
      <c r="F5624" s="14"/>
      <c r="G5624" s="14"/>
      <c r="H5624" s="15"/>
      <c r="I5624" s="15"/>
      <c r="J5624" s="3"/>
      <c r="K5624" s="3"/>
      <c r="L5624" s="3"/>
      <c r="M5624" s="3"/>
      <c r="N5624" s="3"/>
      <c r="O5624" s="3"/>
      <c r="P5624" s="3"/>
      <c r="Q5624" s="3"/>
      <c r="R5624" s="3"/>
      <c r="S5624" s="3"/>
      <c r="T5624" s="3"/>
      <c r="U5624" s="3"/>
      <c r="V5624" s="3"/>
      <c r="W5624" s="3"/>
      <c r="X5624" s="3"/>
      <c r="Y5624" s="3"/>
      <c r="Z5624" s="3"/>
      <c r="AA5624" s="3"/>
    </row>
    <row r="5625" ht="105.75" customHeight="1">
      <c r="A5625" s="11"/>
      <c r="B5625" s="12"/>
      <c r="C5625" s="11"/>
      <c r="D5625" s="13"/>
      <c r="E5625" s="14"/>
      <c r="F5625" s="14"/>
      <c r="G5625" s="14"/>
      <c r="H5625" s="15"/>
      <c r="I5625" s="15"/>
      <c r="J5625" s="3"/>
      <c r="K5625" s="3"/>
      <c r="L5625" s="3"/>
      <c r="M5625" s="3"/>
      <c r="N5625" s="3"/>
      <c r="O5625" s="3"/>
      <c r="P5625" s="3"/>
      <c r="Q5625" s="3"/>
      <c r="R5625" s="3"/>
      <c r="S5625" s="3"/>
      <c r="T5625" s="3"/>
      <c r="U5625" s="3"/>
      <c r="V5625" s="3"/>
      <c r="W5625" s="3"/>
      <c r="X5625" s="3"/>
      <c r="Y5625" s="3"/>
      <c r="Z5625" s="3"/>
      <c r="AA5625" s="3"/>
    </row>
    <row r="5626" ht="105.75" customHeight="1">
      <c r="A5626" s="11"/>
      <c r="B5626" s="12"/>
      <c r="C5626" s="11"/>
      <c r="D5626" s="13"/>
      <c r="E5626" s="14"/>
      <c r="F5626" s="14"/>
      <c r="G5626" s="14"/>
      <c r="H5626" s="15"/>
      <c r="I5626" s="15"/>
      <c r="J5626" s="3"/>
      <c r="K5626" s="3"/>
      <c r="L5626" s="3"/>
      <c r="M5626" s="3"/>
      <c r="N5626" s="3"/>
      <c r="O5626" s="3"/>
      <c r="P5626" s="3"/>
      <c r="Q5626" s="3"/>
      <c r="R5626" s="3"/>
      <c r="S5626" s="3"/>
      <c r="T5626" s="3"/>
      <c r="U5626" s="3"/>
      <c r="V5626" s="3"/>
      <c r="W5626" s="3"/>
      <c r="X5626" s="3"/>
      <c r="Y5626" s="3"/>
      <c r="Z5626" s="3"/>
      <c r="AA5626" s="3"/>
    </row>
    <row r="5627" ht="105.75" customHeight="1">
      <c r="A5627" s="11"/>
      <c r="B5627" s="12"/>
      <c r="C5627" s="11"/>
      <c r="D5627" s="13"/>
      <c r="E5627" s="14"/>
      <c r="F5627" s="14"/>
      <c r="G5627" s="14"/>
      <c r="H5627" s="15"/>
      <c r="I5627" s="15"/>
      <c r="J5627" s="3"/>
      <c r="K5627" s="3"/>
      <c r="L5627" s="3"/>
      <c r="M5627" s="3"/>
      <c r="N5627" s="3"/>
      <c r="O5627" s="3"/>
      <c r="P5627" s="3"/>
      <c r="Q5627" s="3"/>
      <c r="R5627" s="3"/>
      <c r="S5627" s="3"/>
      <c r="T5627" s="3"/>
      <c r="U5627" s="3"/>
      <c r="V5627" s="3"/>
      <c r="W5627" s="3"/>
      <c r="X5627" s="3"/>
      <c r="Y5627" s="3"/>
      <c r="Z5627" s="3"/>
      <c r="AA5627" s="3"/>
    </row>
    <row r="5628" ht="105.75" customHeight="1">
      <c r="A5628" s="11"/>
      <c r="B5628" s="12"/>
      <c r="C5628" s="11"/>
      <c r="D5628" s="13"/>
      <c r="E5628" s="14"/>
      <c r="F5628" s="14"/>
      <c r="G5628" s="14"/>
      <c r="H5628" s="15"/>
      <c r="I5628" s="15"/>
      <c r="J5628" s="3"/>
      <c r="K5628" s="3"/>
      <c r="L5628" s="3"/>
      <c r="M5628" s="3"/>
      <c r="N5628" s="3"/>
      <c r="O5628" s="3"/>
      <c r="P5628" s="3"/>
      <c r="Q5628" s="3"/>
      <c r="R5628" s="3"/>
      <c r="S5628" s="3"/>
      <c r="T5628" s="3"/>
      <c r="U5628" s="3"/>
      <c r="V5628" s="3"/>
      <c r="W5628" s="3"/>
      <c r="X5628" s="3"/>
      <c r="Y5628" s="3"/>
      <c r="Z5628" s="3"/>
      <c r="AA5628" s="3"/>
    </row>
    <row r="5629" ht="105.75" customHeight="1">
      <c r="A5629" s="11"/>
      <c r="B5629" s="12"/>
      <c r="C5629" s="11"/>
      <c r="D5629" s="13"/>
      <c r="E5629" s="14"/>
      <c r="F5629" s="14"/>
      <c r="G5629" s="14"/>
      <c r="H5629" s="15"/>
      <c r="I5629" s="15"/>
      <c r="J5629" s="3"/>
      <c r="K5629" s="3"/>
      <c r="L5629" s="3"/>
      <c r="M5629" s="3"/>
      <c r="N5629" s="3"/>
      <c r="O5629" s="3"/>
      <c r="P5629" s="3"/>
      <c r="Q5629" s="3"/>
      <c r="R5629" s="3"/>
      <c r="S5629" s="3"/>
      <c r="T5629" s="3"/>
      <c r="U5629" s="3"/>
      <c r="V5629" s="3"/>
      <c r="W5629" s="3"/>
      <c r="X5629" s="3"/>
      <c r="Y5629" s="3"/>
      <c r="Z5629" s="3"/>
      <c r="AA5629" s="3"/>
    </row>
    <row r="5630" ht="105.75" customHeight="1">
      <c r="A5630" s="11"/>
      <c r="B5630" s="12"/>
      <c r="C5630" s="11"/>
      <c r="D5630" s="13"/>
      <c r="E5630" s="14"/>
      <c r="F5630" s="14"/>
      <c r="G5630" s="14"/>
      <c r="H5630" s="15"/>
      <c r="I5630" s="15"/>
      <c r="J5630" s="3"/>
      <c r="K5630" s="3"/>
      <c r="L5630" s="3"/>
      <c r="M5630" s="3"/>
      <c r="N5630" s="3"/>
      <c r="O5630" s="3"/>
      <c r="P5630" s="3"/>
      <c r="Q5630" s="3"/>
      <c r="R5630" s="3"/>
      <c r="S5630" s="3"/>
      <c r="T5630" s="3"/>
      <c r="U5630" s="3"/>
      <c r="V5630" s="3"/>
      <c r="W5630" s="3"/>
      <c r="X5630" s="3"/>
      <c r="Y5630" s="3"/>
      <c r="Z5630" s="3"/>
      <c r="AA5630" s="3"/>
    </row>
    <row r="5631" ht="105.75" customHeight="1">
      <c r="A5631" s="11"/>
      <c r="B5631" s="12"/>
      <c r="C5631" s="11"/>
      <c r="D5631" s="13"/>
      <c r="E5631" s="14"/>
      <c r="F5631" s="14"/>
      <c r="G5631" s="14"/>
      <c r="H5631" s="15"/>
      <c r="I5631" s="15"/>
      <c r="J5631" s="3"/>
      <c r="K5631" s="3"/>
      <c r="L5631" s="3"/>
      <c r="M5631" s="3"/>
      <c r="N5631" s="3"/>
      <c r="O5631" s="3"/>
      <c r="P5631" s="3"/>
      <c r="Q5631" s="3"/>
      <c r="R5631" s="3"/>
      <c r="S5631" s="3"/>
      <c r="T5631" s="3"/>
      <c r="U5631" s="3"/>
      <c r="V5631" s="3"/>
      <c r="W5631" s="3"/>
      <c r="X5631" s="3"/>
      <c r="Y5631" s="3"/>
      <c r="Z5631" s="3"/>
      <c r="AA5631" s="3"/>
    </row>
    <row r="5632" ht="105.75" customHeight="1">
      <c r="A5632" s="11"/>
      <c r="B5632" s="12"/>
      <c r="C5632" s="11"/>
      <c r="D5632" s="13"/>
      <c r="E5632" s="14"/>
      <c r="F5632" s="14"/>
      <c r="G5632" s="14"/>
      <c r="H5632" s="15"/>
      <c r="I5632" s="15"/>
      <c r="J5632" s="3"/>
      <c r="K5632" s="3"/>
      <c r="L5632" s="3"/>
      <c r="M5632" s="3"/>
      <c r="N5632" s="3"/>
      <c r="O5632" s="3"/>
      <c r="P5632" s="3"/>
      <c r="Q5632" s="3"/>
      <c r="R5632" s="3"/>
      <c r="S5632" s="3"/>
      <c r="T5632" s="3"/>
      <c r="U5632" s="3"/>
      <c r="V5632" s="3"/>
      <c r="W5632" s="3"/>
      <c r="X5632" s="3"/>
      <c r="Y5632" s="3"/>
      <c r="Z5632" s="3"/>
      <c r="AA5632" s="3"/>
    </row>
    <row r="5633" ht="105.75" customHeight="1">
      <c r="A5633" s="11"/>
      <c r="B5633" s="12"/>
      <c r="C5633" s="11"/>
      <c r="D5633" s="13"/>
      <c r="E5633" s="14"/>
      <c r="F5633" s="14"/>
      <c r="G5633" s="14"/>
      <c r="H5633" s="15"/>
      <c r="I5633" s="15"/>
      <c r="J5633" s="3"/>
      <c r="K5633" s="3"/>
      <c r="L5633" s="3"/>
      <c r="M5633" s="3"/>
      <c r="N5633" s="3"/>
      <c r="O5633" s="3"/>
      <c r="P5633" s="3"/>
      <c r="Q5633" s="3"/>
      <c r="R5633" s="3"/>
      <c r="S5633" s="3"/>
      <c r="T5633" s="3"/>
      <c r="U5633" s="3"/>
      <c r="V5633" s="3"/>
      <c r="W5633" s="3"/>
      <c r="X5633" s="3"/>
      <c r="Y5633" s="3"/>
      <c r="Z5633" s="3"/>
      <c r="AA5633" s="3"/>
    </row>
    <row r="5634" ht="105.75" customHeight="1">
      <c r="A5634" s="11"/>
      <c r="B5634" s="12"/>
      <c r="C5634" s="11"/>
      <c r="D5634" s="13"/>
      <c r="E5634" s="14"/>
      <c r="F5634" s="14"/>
      <c r="G5634" s="14"/>
      <c r="H5634" s="15"/>
      <c r="I5634" s="15"/>
      <c r="J5634" s="3"/>
      <c r="K5634" s="3"/>
      <c r="L5634" s="3"/>
      <c r="M5634" s="3"/>
      <c r="N5634" s="3"/>
      <c r="O5634" s="3"/>
      <c r="P5634" s="3"/>
      <c r="Q5634" s="3"/>
      <c r="R5634" s="3"/>
      <c r="S5634" s="3"/>
      <c r="T5634" s="3"/>
      <c r="U5634" s="3"/>
      <c r="V5634" s="3"/>
      <c r="W5634" s="3"/>
      <c r="X5634" s="3"/>
      <c r="Y5634" s="3"/>
      <c r="Z5634" s="3"/>
      <c r="AA5634" s="3"/>
    </row>
    <row r="5635" ht="105.75" customHeight="1">
      <c r="A5635" s="11"/>
      <c r="B5635" s="12"/>
      <c r="C5635" s="11"/>
      <c r="D5635" s="13"/>
      <c r="E5635" s="14"/>
      <c r="F5635" s="14"/>
      <c r="G5635" s="14"/>
      <c r="H5635" s="15"/>
      <c r="I5635" s="15"/>
      <c r="J5635" s="3"/>
      <c r="K5635" s="3"/>
      <c r="L5635" s="3"/>
      <c r="M5635" s="3"/>
      <c r="N5635" s="3"/>
      <c r="O5635" s="3"/>
      <c r="P5635" s="3"/>
      <c r="Q5635" s="3"/>
      <c r="R5635" s="3"/>
      <c r="S5635" s="3"/>
      <c r="T5635" s="3"/>
      <c r="U5635" s="3"/>
      <c r="V5635" s="3"/>
      <c r="W5635" s="3"/>
      <c r="X5635" s="3"/>
      <c r="Y5635" s="3"/>
      <c r="Z5635" s="3"/>
      <c r="AA5635" s="3"/>
    </row>
    <row r="5636" ht="105.75" customHeight="1">
      <c r="A5636" s="11"/>
      <c r="B5636" s="12"/>
      <c r="C5636" s="11"/>
      <c r="D5636" s="13"/>
      <c r="E5636" s="14"/>
      <c r="F5636" s="14"/>
      <c r="G5636" s="14"/>
      <c r="H5636" s="15"/>
      <c r="I5636" s="15"/>
      <c r="J5636" s="3"/>
      <c r="K5636" s="3"/>
      <c r="L5636" s="3"/>
      <c r="M5636" s="3"/>
      <c r="N5636" s="3"/>
      <c r="O5636" s="3"/>
      <c r="P5636" s="3"/>
      <c r="Q5636" s="3"/>
      <c r="R5636" s="3"/>
      <c r="S5636" s="3"/>
      <c r="T5636" s="3"/>
      <c r="U5636" s="3"/>
      <c r="V5636" s="3"/>
      <c r="W5636" s="3"/>
      <c r="X5636" s="3"/>
      <c r="Y5636" s="3"/>
      <c r="Z5636" s="3"/>
      <c r="AA5636" s="3"/>
    </row>
    <row r="5637" ht="105.75" customHeight="1">
      <c r="A5637" s="11"/>
      <c r="B5637" s="12"/>
      <c r="C5637" s="11"/>
      <c r="D5637" s="13"/>
      <c r="E5637" s="14"/>
      <c r="F5637" s="14"/>
      <c r="G5637" s="14"/>
      <c r="H5637" s="15"/>
      <c r="I5637" s="15"/>
      <c r="J5637" s="3"/>
      <c r="K5637" s="3"/>
      <c r="L5637" s="3"/>
      <c r="M5637" s="3"/>
      <c r="N5637" s="3"/>
      <c r="O5637" s="3"/>
      <c r="P5637" s="3"/>
      <c r="Q5637" s="3"/>
      <c r="R5637" s="3"/>
      <c r="S5637" s="3"/>
      <c r="T5637" s="3"/>
      <c r="U5637" s="3"/>
      <c r="V5637" s="3"/>
      <c r="W5637" s="3"/>
      <c r="X5637" s="3"/>
      <c r="Y5637" s="3"/>
      <c r="Z5637" s="3"/>
      <c r="AA5637" s="3"/>
    </row>
    <row r="5638" ht="105.75" customHeight="1">
      <c r="A5638" s="11"/>
      <c r="B5638" s="12"/>
      <c r="C5638" s="11"/>
      <c r="D5638" s="13"/>
      <c r="E5638" s="14"/>
      <c r="F5638" s="14"/>
      <c r="G5638" s="14"/>
      <c r="H5638" s="15"/>
      <c r="I5638" s="15"/>
      <c r="J5638" s="3"/>
      <c r="K5638" s="3"/>
      <c r="L5638" s="3"/>
      <c r="M5638" s="3"/>
      <c r="N5638" s="3"/>
      <c r="O5638" s="3"/>
      <c r="P5638" s="3"/>
      <c r="Q5638" s="3"/>
      <c r="R5638" s="3"/>
      <c r="S5638" s="3"/>
      <c r="T5638" s="3"/>
      <c r="U5638" s="3"/>
      <c r="V5638" s="3"/>
      <c r="W5638" s="3"/>
      <c r="X5638" s="3"/>
      <c r="Y5638" s="3"/>
      <c r="Z5638" s="3"/>
      <c r="AA5638" s="3"/>
    </row>
    <row r="5639" ht="105.75" customHeight="1">
      <c r="A5639" s="11"/>
      <c r="B5639" s="12"/>
      <c r="C5639" s="11"/>
      <c r="D5639" s="13"/>
      <c r="E5639" s="14"/>
      <c r="F5639" s="14"/>
      <c r="G5639" s="14"/>
      <c r="H5639" s="15"/>
      <c r="I5639" s="15"/>
      <c r="J5639" s="3"/>
      <c r="K5639" s="3"/>
      <c r="L5639" s="3"/>
      <c r="M5639" s="3"/>
      <c r="N5639" s="3"/>
      <c r="O5639" s="3"/>
      <c r="P5639" s="3"/>
      <c r="Q5639" s="3"/>
      <c r="R5639" s="3"/>
      <c r="S5639" s="3"/>
      <c r="T5639" s="3"/>
      <c r="U5639" s="3"/>
      <c r="V5639" s="3"/>
      <c r="W5639" s="3"/>
      <c r="X5639" s="3"/>
      <c r="Y5639" s="3"/>
      <c r="Z5639" s="3"/>
      <c r="AA5639" s="3"/>
    </row>
    <row r="5640" ht="105.75" customHeight="1">
      <c r="A5640" s="11"/>
      <c r="B5640" s="12"/>
      <c r="C5640" s="11"/>
      <c r="D5640" s="13"/>
      <c r="E5640" s="14"/>
      <c r="F5640" s="14"/>
      <c r="G5640" s="14"/>
      <c r="H5640" s="15"/>
      <c r="I5640" s="15"/>
      <c r="J5640" s="3"/>
      <c r="K5640" s="3"/>
      <c r="L5640" s="3"/>
      <c r="M5640" s="3"/>
      <c r="N5640" s="3"/>
      <c r="O5640" s="3"/>
      <c r="P5640" s="3"/>
      <c r="Q5640" s="3"/>
      <c r="R5640" s="3"/>
      <c r="S5640" s="3"/>
      <c r="T5640" s="3"/>
      <c r="U5640" s="3"/>
      <c r="V5640" s="3"/>
      <c r="W5640" s="3"/>
      <c r="X5640" s="3"/>
      <c r="Y5640" s="3"/>
      <c r="Z5640" s="3"/>
      <c r="AA5640" s="3"/>
    </row>
    <row r="5641" ht="105.75" customHeight="1">
      <c r="A5641" s="11"/>
      <c r="B5641" s="12"/>
      <c r="C5641" s="11"/>
      <c r="D5641" s="13"/>
      <c r="E5641" s="14"/>
      <c r="F5641" s="14"/>
      <c r="G5641" s="14"/>
      <c r="H5641" s="15"/>
      <c r="I5641" s="15"/>
      <c r="J5641" s="3"/>
      <c r="K5641" s="3"/>
      <c r="L5641" s="3"/>
      <c r="M5641" s="3"/>
      <c r="N5641" s="3"/>
      <c r="O5641" s="3"/>
      <c r="P5641" s="3"/>
      <c r="Q5641" s="3"/>
      <c r="R5641" s="3"/>
      <c r="S5641" s="3"/>
      <c r="T5641" s="3"/>
      <c r="U5641" s="3"/>
      <c r="V5641" s="3"/>
      <c r="W5641" s="3"/>
      <c r="X5641" s="3"/>
      <c r="Y5641" s="3"/>
      <c r="Z5641" s="3"/>
      <c r="AA5641" s="3"/>
    </row>
    <row r="5642" ht="105.75" customHeight="1">
      <c r="A5642" s="11"/>
      <c r="B5642" s="12"/>
      <c r="C5642" s="11"/>
      <c r="D5642" s="13"/>
      <c r="E5642" s="14"/>
      <c r="F5642" s="14"/>
      <c r="G5642" s="14"/>
      <c r="H5642" s="15"/>
      <c r="I5642" s="15"/>
      <c r="J5642" s="3"/>
      <c r="K5642" s="3"/>
      <c r="L5642" s="3"/>
      <c r="M5642" s="3"/>
      <c r="N5642" s="3"/>
      <c r="O5642" s="3"/>
      <c r="P5642" s="3"/>
      <c r="Q5642" s="3"/>
      <c r="R5642" s="3"/>
      <c r="S5642" s="3"/>
      <c r="T5642" s="3"/>
      <c r="U5642" s="3"/>
      <c r="V5642" s="3"/>
      <c r="W5642" s="3"/>
      <c r="X5642" s="3"/>
      <c r="Y5642" s="3"/>
      <c r="Z5642" s="3"/>
      <c r="AA5642" s="3"/>
    </row>
    <row r="5643" ht="105.75" customHeight="1">
      <c r="A5643" s="11"/>
      <c r="B5643" s="12"/>
      <c r="C5643" s="11"/>
      <c r="D5643" s="13"/>
      <c r="E5643" s="14"/>
      <c r="F5643" s="14"/>
      <c r="G5643" s="14"/>
      <c r="H5643" s="15"/>
      <c r="I5643" s="15"/>
      <c r="J5643" s="3"/>
      <c r="K5643" s="3"/>
      <c r="L5643" s="3"/>
      <c r="M5643" s="3"/>
      <c r="N5643" s="3"/>
      <c r="O5643" s="3"/>
      <c r="P5643" s="3"/>
      <c r="Q5643" s="3"/>
      <c r="R5643" s="3"/>
      <c r="S5643" s="3"/>
      <c r="T5643" s="3"/>
      <c r="U5643" s="3"/>
      <c r="V5643" s="3"/>
      <c r="W5643" s="3"/>
      <c r="X5643" s="3"/>
      <c r="Y5643" s="3"/>
      <c r="Z5643" s="3"/>
      <c r="AA5643" s="3"/>
    </row>
    <row r="5644" ht="105.75" customHeight="1">
      <c r="A5644" s="11"/>
      <c r="B5644" s="12"/>
      <c r="C5644" s="11"/>
      <c r="D5644" s="13"/>
      <c r="E5644" s="14"/>
      <c r="F5644" s="14"/>
      <c r="G5644" s="14"/>
      <c r="H5644" s="15"/>
      <c r="I5644" s="15"/>
      <c r="J5644" s="3"/>
      <c r="K5644" s="3"/>
      <c r="L5644" s="3"/>
      <c r="M5644" s="3"/>
      <c r="N5644" s="3"/>
      <c r="O5644" s="3"/>
      <c r="P5644" s="3"/>
      <c r="Q5644" s="3"/>
      <c r="R5644" s="3"/>
      <c r="S5644" s="3"/>
      <c r="T5644" s="3"/>
      <c r="U5644" s="3"/>
      <c r="V5644" s="3"/>
      <c r="W5644" s="3"/>
      <c r="X5644" s="3"/>
      <c r="Y5644" s="3"/>
      <c r="Z5644" s="3"/>
      <c r="AA5644" s="3"/>
    </row>
    <row r="5645" ht="105.75" customHeight="1">
      <c r="A5645" s="11"/>
      <c r="B5645" s="12"/>
      <c r="C5645" s="11"/>
      <c r="D5645" s="13"/>
      <c r="E5645" s="14"/>
      <c r="F5645" s="14"/>
      <c r="G5645" s="14"/>
      <c r="H5645" s="15"/>
      <c r="I5645" s="15"/>
      <c r="J5645" s="3"/>
      <c r="K5645" s="3"/>
      <c r="L5645" s="3"/>
      <c r="M5645" s="3"/>
      <c r="N5645" s="3"/>
      <c r="O5645" s="3"/>
      <c r="P5645" s="3"/>
      <c r="Q5645" s="3"/>
      <c r="R5645" s="3"/>
      <c r="S5645" s="3"/>
      <c r="T5645" s="3"/>
      <c r="U5645" s="3"/>
      <c r="V5645" s="3"/>
      <c r="W5645" s="3"/>
      <c r="X5645" s="3"/>
      <c r="Y5645" s="3"/>
      <c r="Z5645" s="3"/>
      <c r="AA5645" s="3"/>
    </row>
    <row r="5646" ht="105.75" customHeight="1">
      <c r="A5646" s="11"/>
      <c r="B5646" s="12"/>
      <c r="C5646" s="11"/>
      <c r="D5646" s="13"/>
      <c r="E5646" s="14"/>
      <c r="F5646" s="14"/>
      <c r="G5646" s="14"/>
      <c r="H5646" s="15"/>
      <c r="I5646" s="15"/>
      <c r="J5646" s="3"/>
      <c r="K5646" s="3"/>
      <c r="L5646" s="3"/>
      <c r="M5646" s="3"/>
      <c r="N5646" s="3"/>
      <c r="O5646" s="3"/>
      <c r="P5646" s="3"/>
      <c r="Q5646" s="3"/>
      <c r="R5646" s="3"/>
      <c r="S5646" s="3"/>
      <c r="T5646" s="3"/>
      <c r="U5646" s="3"/>
      <c r="V5646" s="3"/>
      <c r="W5646" s="3"/>
      <c r="X5646" s="3"/>
      <c r="Y5646" s="3"/>
      <c r="Z5646" s="3"/>
      <c r="AA5646" s="3"/>
    </row>
    <row r="5647" ht="105.75" customHeight="1">
      <c r="A5647" s="11"/>
      <c r="B5647" s="12"/>
      <c r="C5647" s="11"/>
      <c r="D5647" s="13"/>
      <c r="E5647" s="14"/>
      <c r="F5647" s="14"/>
      <c r="G5647" s="14"/>
      <c r="H5647" s="15"/>
      <c r="I5647" s="15"/>
      <c r="J5647" s="3"/>
      <c r="K5647" s="3"/>
      <c r="L5647" s="3"/>
      <c r="M5647" s="3"/>
      <c r="N5647" s="3"/>
      <c r="O5647" s="3"/>
      <c r="P5647" s="3"/>
      <c r="Q5647" s="3"/>
      <c r="R5647" s="3"/>
      <c r="S5647" s="3"/>
      <c r="T5647" s="3"/>
      <c r="U5647" s="3"/>
      <c r="V5647" s="3"/>
      <c r="W5647" s="3"/>
      <c r="X5647" s="3"/>
      <c r="Y5647" s="3"/>
      <c r="Z5647" s="3"/>
      <c r="AA5647" s="3"/>
    </row>
    <row r="5648" ht="105.75" customHeight="1">
      <c r="A5648" s="11"/>
      <c r="B5648" s="12"/>
      <c r="C5648" s="11"/>
      <c r="D5648" s="13"/>
      <c r="E5648" s="14"/>
      <c r="F5648" s="14"/>
      <c r="G5648" s="14"/>
      <c r="H5648" s="15"/>
      <c r="I5648" s="15"/>
      <c r="J5648" s="3"/>
      <c r="K5648" s="3"/>
      <c r="L5648" s="3"/>
      <c r="M5648" s="3"/>
      <c r="N5648" s="3"/>
      <c r="O5648" s="3"/>
      <c r="P5648" s="3"/>
      <c r="Q5648" s="3"/>
      <c r="R5648" s="3"/>
      <c r="S5648" s="3"/>
      <c r="T5648" s="3"/>
      <c r="U5648" s="3"/>
      <c r="V5648" s="3"/>
      <c r="W5648" s="3"/>
      <c r="X5648" s="3"/>
      <c r="Y5648" s="3"/>
      <c r="Z5648" s="3"/>
      <c r="AA5648" s="3"/>
    </row>
    <row r="5649" ht="105.75" customHeight="1">
      <c r="A5649" s="11"/>
      <c r="B5649" s="12"/>
      <c r="C5649" s="11"/>
      <c r="D5649" s="13"/>
      <c r="E5649" s="14"/>
      <c r="F5649" s="14"/>
      <c r="G5649" s="14"/>
      <c r="H5649" s="15"/>
      <c r="I5649" s="15"/>
      <c r="J5649" s="3"/>
      <c r="K5649" s="3"/>
      <c r="L5649" s="3"/>
      <c r="M5649" s="3"/>
      <c r="N5649" s="3"/>
      <c r="O5649" s="3"/>
      <c r="P5649" s="3"/>
      <c r="Q5649" s="3"/>
      <c r="R5649" s="3"/>
      <c r="S5649" s="3"/>
      <c r="T5649" s="3"/>
      <c r="U5649" s="3"/>
      <c r="V5649" s="3"/>
      <c r="W5649" s="3"/>
      <c r="X5649" s="3"/>
      <c r="Y5649" s="3"/>
      <c r="Z5649" s="3"/>
      <c r="AA5649" s="3"/>
    </row>
    <row r="5650" ht="105.75" customHeight="1">
      <c r="A5650" s="11"/>
      <c r="B5650" s="12"/>
      <c r="C5650" s="11"/>
      <c r="D5650" s="13"/>
      <c r="E5650" s="14"/>
      <c r="F5650" s="14"/>
      <c r="G5650" s="14"/>
      <c r="H5650" s="15"/>
      <c r="I5650" s="15"/>
      <c r="J5650" s="3"/>
      <c r="K5650" s="3"/>
      <c r="L5650" s="3"/>
      <c r="M5650" s="3"/>
      <c r="N5650" s="3"/>
      <c r="O5650" s="3"/>
      <c r="P5650" s="3"/>
      <c r="Q5650" s="3"/>
      <c r="R5650" s="3"/>
      <c r="S5650" s="3"/>
      <c r="T5650" s="3"/>
      <c r="U5650" s="3"/>
      <c r="V5650" s="3"/>
      <c r="W5650" s="3"/>
      <c r="X5650" s="3"/>
      <c r="Y5650" s="3"/>
      <c r="Z5650" s="3"/>
      <c r="AA5650" s="3"/>
    </row>
    <row r="5651" ht="105.75" customHeight="1">
      <c r="A5651" s="11"/>
      <c r="B5651" s="12"/>
      <c r="C5651" s="11"/>
      <c r="D5651" s="13"/>
      <c r="E5651" s="14"/>
      <c r="F5651" s="14"/>
      <c r="G5651" s="14"/>
      <c r="H5651" s="15"/>
      <c r="I5651" s="15"/>
      <c r="J5651" s="3"/>
      <c r="K5651" s="3"/>
      <c r="L5651" s="3"/>
      <c r="M5651" s="3"/>
      <c r="N5651" s="3"/>
      <c r="O5651" s="3"/>
      <c r="P5651" s="3"/>
      <c r="Q5651" s="3"/>
      <c r="R5651" s="3"/>
      <c r="S5651" s="3"/>
      <c r="T5651" s="3"/>
      <c r="U5651" s="3"/>
      <c r="V5651" s="3"/>
      <c r="W5651" s="3"/>
      <c r="X5651" s="3"/>
      <c r="Y5651" s="3"/>
      <c r="Z5651" s="3"/>
      <c r="AA5651" s="3"/>
    </row>
    <row r="5652" ht="105.75" customHeight="1">
      <c r="A5652" s="11"/>
      <c r="B5652" s="12"/>
      <c r="C5652" s="11"/>
      <c r="D5652" s="13"/>
      <c r="E5652" s="14"/>
      <c r="F5652" s="14"/>
      <c r="G5652" s="14"/>
      <c r="H5652" s="15"/>
      <c r="I5652" s="15"/>
      <c r="J5652" s="3"/>
      <c r="K5652" s="3"/>
      <c r="L5652" s="3"/>
      <c r="M5652" s="3"/>
      <c r="N5652" s="3"/>
      <c r="O5652" s="3"/>
      <c r="P5652" s="3"/>
      <c r="Q5652" s="3"/>
      <c r="R5652" s="3"/>
      <c r="S5652" s="3"/>
      <c r="T5652" s="3"/>
      <c r="U5652" s="3"/>
      <c r="V5652" s="3"/>
      <c r="W5652" s="3"/>
      <c r="X5652" s="3"/>
      <c r="Y5652" s="3"/>
      <c r="Z5652" s="3"/>
      <c r="AA5652" s="3"/>
    </row>
    <row r="5653" ht="105.75" customHeight="1">
      <c r="A5653" s="11"/>
      <c r="B5653" s="12"/>
      <c r="C5653" s="11"/>
      <c r="D5653" s="13"/>
      <c r="E5653" s="14"/>
      <c r="F5653" s="14"/>
      <c r="G5653" s="14"/>
      <c r="H5653" s="15"/>
      <c r="I5653" s="15"/>
      <c r="J5653" s="3"/>
      <c r="K5653" s="3"/>
      <c r="L5653" s="3"/>
      <c r="M5653" s="3"/>
      <c r="N5653" s="3"/>
      <c r="O5653" s="3"/>
      <c r="P5653" s="3"/>
      <c r="Q5653" s="3"/>
      <c r="R5653" s="3"/>
      <c r="S5653" s="3"/>
      <c r="T5653" s="3"/>
      <c r="U5653" s="3"/>
      <c r="V5653" s="3"/>
      <c r="W5653" s="3"/>
      <c r="X5653" s="3"/>
      <c r="Y5653" s="3"/>
      <c r="Z5653" s="3"/>
      <c r="AA5653" s="3"/>
    </row>
    <row r="5654" ht="105.75" customHeight="1">
      <c r="A5654" s="11"/>
      <c r="B5654" s="12"/>
      <c r="C5654" s="11"/>
      <c r="D5654" s="13"/>
      <c r="E5654" s="14"/>
      <c r="F5654" s="14"/>
      <c r="G5654" s="14"/>
      <c r="H5654" s="15"/>
      <c r="I5654" s="15"/>
      <c r="J5654" s="3"/>
      <c r="K5654" s="3"/>
      <c r="L5654" s="3"/>
      <c r="M5654" s="3"/>
      <c r="N5654" s="3"/>
      <c r="O5654" s="3"/>
      <c r="P5654" s="3"/>
      <c r="Q5654" s="3"/>
      <c r="R5654" s="3"/>
      <c r="S5654" s="3"/>
      <c r="T5654" s="3"/>
      <c r="U5654" s="3"/>
      <c r="V5654" s="3"/>
      <c r="W5654" s="3"/>
      <c r="X5654" s="3"/>
      <c r="Y5654" s="3"/>
      <c r="Z5654" s="3"/>
      <c r="AA5654" s="3"/>
    </row>
    <row r="5655" ht="105.75" customHeight="1">
      <c r="A5655" s="11"/>
      <c r="B5655" s="12"/>
      <c r="C5655" s="11"/>
      <c r="D5655" s="13"/>
      <c r="E5655" s="14"/>
      <c r="F5655" s="14"/>
      <c r="G5655" s="14"/>
      <c r="H5655" s="15"/>
      <c r="I5655" s="15"/>
      <c r="J5655" s="3"/>
      <c r="K5655" s="3"/>
      <c r="L5655" s="3"/>
      <c r="M5655" s="3"/>
      <c r="N5655" s="3"/>
      <c r="O5655" s="3"/>
      <c r="P5655" s="3"/>
      <c r="Q5655" s="3"/>
      <c r="R5655" s="3"/>
      <c r="S5655" s="3"/>
      <c r="T5655" s="3"/>
      <c r="U5655" s="3"/>
      <c r="V5655" s="3"/>
      <c r="W5655" s="3"/>
      <c r="X5655" s="3"/>
      <c r="Y5655" s="3"/>
      <c r="Z5655" s="3"/>
      <c r="AA5655" s="3"/>
    </row>
    <row r="5656" ht="105.75" customHeight="1">
      <c r="A5656" s="11"/>
      <c r="B5656" s="12"/>
      <c r="C5656" s="11"/>
      <c r="D5656" s="13"/>
      <c r="E5656" s="14"/>
      <c r="F5656" s="14"/>
      <c r="G5656" s="14"/>
      <c r="H5656" s="15"/>
      <c r="I5656" s="15"/>
      <c r="J5656" s="3"/>
      <c r="K5656" s="3"/>
      <c r="L5656" s="3"/>
      <c r="M5656" s="3"/>
      <c r="N5656" s="3"/>
      <c r="O5656" s="3"/>
      <c r="P5656" s="3"/>
      <c r="Q5656" s="3"/>
      <c r="R5656" s="3"/>
      <c r="S5656" s="3"/>
      <c r="T5656" s="3"/>
      <c r="U5656" s="3"/>
      <c r="V5656" s="3"/>
      <c r="W5656" s="3"/>
      <c r="X5656" s="3"/>
      <c r="Y5656" s="3"/>
      <c r="Z5656" s="3"/>
      <c r="AA5656" s="3"/>
    </row>
    <row r="5657" ht="105.75" customHeight="1">
      <c r="A5657" s="11"/>
      <c r="B5657" s="12"/>
      <c r="C5657" s="11"/>
      <c r="D5657" s="13"/>
      <c r="E5657" s="14"/>
      <c r="F5657" s="14"/>
      <c r="G5657" s="14"/>
      <c r="H5657" s="15"/>
      <c r="I5657" s="15"/>
      <c r="J5657" s="3"/>
      <c r="K5657" s="3"/>
      <c r="L5657" s="3"/>
      <c r="M5657" s="3"/>
      <c r="N5657" s="3"/>
      <c r="O5657" s="3"/>
      <c r="P5657" s="3"/>
      <c r="Q5657" s="3"/>
      <c r="R5657" s="3"/>
      <c r="S5657" s="3"/>
      <c r="T5657" s="3"/>
      <c r="U5657" s="3"/>
      <c r="V5657" s="3"/>
      <c r="W5657" s="3"/>
      <c r="X5657" s="3"/>
      <c r="Y5657" s="3"/>
      <c r="Z5657" s="3"/>
      <c r="AA5657" s="3"/>
    </row>
    <row r="5658" ht="105.75" customHeight="1">
      <c r="A5658" s="11"/>
      <c r="B5658" s="12"/>
      <c r="C5658" s="11"/>
      <c r="D5658" s="13"/>
      <c r="E5658" s="14"/>
      <c r="F5658" s="14"/>
      <c r="G5658" s="14"/>
      <c r="H5658" s="15"/>
      <c r="I5658" s="15"/>
      <c r="J5658" s="3"/>
      <c r="K5658" s="3"/>
      <c r="L5658" s="3"/>
      <c r="M5658" s="3"/>
      <c r="N5658" s="3"/>
      <c r="O5658" s="3"/>
      <c r="P5658" s="3"/>
      <c r="Q5658" s="3"/>
      <c r="R5658" s="3"/>
      <c r="S5658" s="3"/>
      <c r="T5658" s="3"/>
      <c r="U5658" s="3"/>
      <c r="V5658" s="3"/>
      <c r="W5658" s="3"/>
      <c r="X5658" s="3"/>
      <c r="Y5658" s="3"/>
      <c r="Z5658" s="3"/>
      <c r="AA5658" s="3"/>
    </row>
    <row r="5659" ht="105.75" customHeight="1">
      <c r="A5659" s="11"/>
      <c r="B5659" s="12"/>
      <c r="C5659" s="11"/>
      <c r="D5659" s="13"/>
      <c r="E5659" s="14"/>
      <c r="F5659" s="14"/>
      <c r="G5659" s="14"/>
      <c r="H5659" s="15"/>
      <c r="I5659" s="15"/>
      <c r="J5659" s="3"/>
      <c r="K5659" s="3"/>
      <c r="L5659" s="3"/>
      <c r="M5659" s="3"/>
      <c r="N5659" s="3"/>
      <c r="O5659" s="3"/>
      <c r="P5659" s="3"/>
      <c r="Q5659" s="3"/>
      <c r="R5659" s="3"/>
      <c r="S5659" s="3"/>
      <c r="T5659" s="3"/>
      <c r="U5659" s="3"/>
      <c r="V5659" s="3"/>
      <c r="W5659" s="3"/>
      <c r="X5659" s="3"/>
      <c r="Y5659" s="3"/>
      <c r="Z5659" s="3"/>
      <c r="AA5659" s="3"/>
    </row>
    <row r="5660" ht="105.75" customHeight="1">
      <c r="A5660" s="11"/>
      <c r="B5660" s="12"/>
      <c r="C5660" s="11"/>
      <c r="D5660" s="13"/>
      <c r="E5660" s="14"/>
      <c r="F5660" s="14"/>
      <c r="G5660" s="14"/>
      <c r="H5660" s="15"/>
      <c r="I5660" s="15"/>
      <c r="J5660" s="3"/>
      <c r="K5660" s="3"/>
      <c r="L5660" s="3"/>
      <c r="M5660" s="3"/>
      <c r="N5660" s="3"/>
      <c r="O5660" s="3"/>
      <c r="P5660" s="3"/>
      <c r="Q5660" s="3"/>
      <c r="R5660" s="3"/>
      <c r="S5660" s="3"/>
      <c r="T5660" s="3"/>
      <c r="U5660" s="3"/>
      <c r="V5660" s="3"/>
      <c r="W5660" s="3"/>
      <c r="X5660" s="3"/>
      <c r="Y5660" s="3"/>
      <c r="Z5660" s="3"/>
      <c r="AA5660" s="3"/>
    </row>
    <row r="5661" ht="105.75" customHeight="1">
      <c r="A5661" s="11"/>
      <c r="B5661" s="12"/>
      <c r="C5661" s="11"/>
      <c r="D5661" s="13"/>
      <c r="E5661" s="14"/>
      <c r="F5661" s="14"/>
      <c r="G5661" s="14"/>
      <c r="H5661" s="15"/>
      <c r="I5661" s="15"/>
      <c r="J5661" s="3"/>
      <c r="K5661" s="3"/>
      <c r="L5661" s="3"/>
      <c r="M5661" s="3"/>
      <c r="N5661" s="3"/>
      <c r="O5661" s="3"/>
      <c r="P5661" s="3"/>
      <c r="Q5661" s="3"/>
      <c r="R5661" s="3"/>
      <c r="S5661" s="3"/>
      <c r="T5661" s="3"/>
      <c r="U5661" s="3"/>
      <c r="V5661" s="3"/>
      <c r="W5661" s="3"/>
      <c r="X5661" s="3"/>
      <c r="Y5661" s="3"/>
      <c r="Z5661" s="3"/>
      <c r="AA5661" s="3"/>
    </row>
    <row r="5662" ht="105.75" customHeight="1">
      <c r="A5662" s="11"/>
      <c r="B5662" s="12"/>
      <c r="C5662" s="11"/>
      <c r="D5662" s="13"/>
      <c r="E5662" s="14"/>
      <c r="F5662" s="14"/>
      <c r="G5662" s="14"/>
      <c r="H5662" s="15"/>
      <c r="I5662" s="15"/>
      <c r="J5662" s="3"/>
      <c r="K5662" s="3"/>
      <c r="L5662" s="3"/>
      <c r="M5662" s="3"/>
      <c r="N5662" s="3"/>
      <c r="O5662" s="3"/>
      <c r="P5662" s="3"/>
      <c r="Q5662" s="3"/>
      <c r="R5662" s="3"/>
      <c r="S5662" s="3"/>
      <c r="T5662" s="3"/>
      <c r="U5662" s="3"/>
      <c r="V5662" s="3"/>
      <c r="W5662" s="3"/>
      <c r="X5662" s="3"/>
      <c r="Y5662" s="3"/>
      <c r="Z5662" s="3"/>
      <c r="AA5662" s="3"/>
    </row>
    <row r="5663" ht="105.75" customHeight="1">
      <c r="A5663" s="11"/>
      <c r="B5663" s="12"/>
      <c r="C5663" s="11"/>
      <c r="D5663" s="13"/>
      <c r="E5663" s="14"/>
      <c r="F5663" s="14"/>
      <c r="G5663" s="14"/>
      <c r="H5663" s="15"/>
      <c r="I5663" s="15"/>
      <c r="J5663" s="3"/>
      <c r="K5663" s="3"/>
      <c r="L5663" s="3"/>
      <c r="M5663" s="3"/>
      <c r="N5663" s="3"/>
      <c r="O5663" s="3"/>
      <c r="P5663" s="3"/>
      <c r="Q5663" s="3"/>
      <c r="R5663" s="3"/>
      <c r="S5663" s="3"/>
      <c r="T5663" s="3"/>
      <c r="U5663" s="3"/>
      <c r="V5663" s="3"/>
      <c r="W5663" s="3"/>
      <c r="X5663" s="3"/>
      <c r="Y5663" s="3"/>
      <c r="Z5663" s="3"/>
      <c r="AA5663" s="3"/>
    </row>
    <row r="5664" ht="105.75" customHeight="1">
      <c r="A5664" s="11"/>
      <c r="B5664" s="12"/>
      <c r="C5664" s="11"/>
      <c r="D5664" s="13"/>
      <c r="E5664" s="14"/>
      <c r="F5664" s="14"/>
      <c r="G5664" s="14"/>
      <c r="H5664" s="15"/>
      <c r="I5664" s="15"/>
      <c r="J5664" s="3"/>
      <c r="K5664" s="3"/>
      <c r="L5664" s="3"/>
      <c r="M5664" s="3"/>
      <c r="N5664" s="3"/>
      <c r="O5664" s="3"/>
      <c r="P5664" s="3"/>
      <c r="Q5664" s="3"/>
      <c r="R5664" s="3"/>
      <c r="S5664" s="3"/>
      <c r="T5664" s="3"/>
      <c r="U5664" s="3"/>
      <c r="V5664" s="3"/>
      <c r="W5664" s="3"/>
      <c r="X5664" s="3"/>
      <c r="Y5664" s="3"/>
      <c r="Z5664" s="3"/>
      <c r="AA5664" s="3"/>
    </row>
    <row r="5665" ht="105.75" customHeight="1">
      <c r="A5665" s="11"/>
      <c r="B5665" s="12"/>
      <c r="C5665" s="11"/>
      <c r="D5665" s="13"/>
      <c r="E5665" s="14"/>
      <c r="F5665" s="14"/>
      <c r="G5665" s="14"/>
      <c r="H5665" s="15"/>
      <c r="I5665" s="15"/>
      <c r="J5665" s="3"/>
      <c r="K5665" s="3"/>
      <c r="L5665" s="3"/>
      <c r="M5665" s="3"/>
      <c r="N5665" s="3"/>
      <c r="O5665" s="3"/>
      <c r="P5665" s="3"/>
      <c r="Q5665" s="3"/>
      <c r="R5665" s="3"/>
      <c r="S5665" s="3"/>
      <c r="T5665" s="3"/>
      <c r="U5665" s="3"/>
      <c r="V5665" s="3"/>
      <c r="W5665" s="3"/>
      <c r="X5665" s="3"/>
      <c r="Y5665" s="3"/>
      <c r="Z5665" s="3"/>
      <c r="AA5665" s="3"/>
    </row>
    <row r="5666" ht="105.75" customHeight="1">
      <c r="A5666" s="11"/>
      <c r="B5666" s="12"/>
      <c r="C5666" s="11"/>
      <c r="D5666" s="13"/>
      <c r="E5666" s="14"/>
      <c r="F5666" s="14"/>
      <c r="G5666" s="14"/>
      <c r="H5666" s="15"/>
      <c r="I5666" s="15"/>
      <c r="J5666" s="3"/>
      <c r="K5666" s="3"/>
      <c r="L5666" s="3"/>
      <c r="M5666" s="3"/>
      <c r="N5666" s="3"/>
      <c r="O5666" s="3"/>
      <c r="P5666" s="3"/>
      <c r="Q5666" s="3"/>
      <c r="R5666" s="3"/>
      <c r="S5666" s="3"/>
      <c r="T5666" s="3"/>
      <c r="U5666" s="3"/>
      <c r="V5666" s="3"/>
      <c r="W5666" s="3"/>
      <c r="X5666" s="3"/>
      <c r="Y5666" s="3"/>
      <c r="Z5666" s="3"/>
      <c r="AA5666" s="3"/>
    </row>
    <row r="5667" ht="105.75" customHeight="1">
      <c r="A5667" s="11"/>
      <c r="B5667" s="12"/>
      <c r="C5667" s="11"/>
      <c r="D5667" s="13"/>
      <c r="E5667" s="14"/>
      <c r="F5667" s="14"/>
      <c r="G5667" s="14"/>
      <c r="H5667" s="15"/>
      <c r="I5667" s="15"/>
      <c r="J5667" s="3"/>
      <c r="K5667" s="3"/>
      <c r="L5667" s="3"/>
      <c r="M5667" s="3"/>
      <c r="N5667" s="3"/>
      <c r="O5667" s="3"/>
      <c r="P5667" s="3"/>
      <c r="Q5667" s="3"/>
      <c r="R5667" s="3"/>
      <c r="S5667" s="3"/>
      <c r="T5667" s="3"/>
      <c r="U5667" s="3"/>
      <c r="V5667" s="3"/>
      <c r="W5667" s="3"/>
      <c r="X5667" s="3"/>
      <c r="Y5667" s="3"/>
      <c r="Z5667" s="3"/>
      <c r="AA5667" s="3"/>
    </row>
    <row r="5668" ht="105.75" customHeight="1">
      <c r="A5668" s="11"/>
      <c r="B5668" s="12"/>
      <c r="C5668" s="11"/>
      <c r="D5668" s="13"/>
      <c r="E5668" s="14"/>
      <c r="F5668" s="14"/>
      <c r="G5668" s="14"/>
      <c r="H5668" s="15"/>
      <c r="I5668" s="15"/>
      <c r="J5668" s="3"/>
      <c r="K5668" s="3"/>
      <c r="L5668" s="3"/>
      <c r="M5668" s="3"/>
      <c r="N5668" s="3"/>
      <c r="O5668" s="3"/>
      <c r="P5668" s="3"/>
      <c r="Q5668" s="3"/>
      <c r="R5668" s="3"/>
      <c r="S5668" s="3"/>
      <c r="T5668" s="3"/>
      <c r="U5668" s="3"/>
      <c r="V5668" s="3"/>
      <c r="W5668" s="3"/>
      <c r="X5668" s="3"/>
      <c r="Y5668" s="3"/>
      <c r="Z5668" s="3"/>
      <c r="AA5668" s="3"/>
    </row>
    <row r="5669" ht="105.75" customHeight="1">
      <c r="A5669" s="11"/>
      <c r="B5669" s="12"/>
      <c r="C5669" s="11"/>
      <c r="D5669" s="13"/>
      <c r="E5669" s="14"/>
      <c r="F5669" s="14"/>
      <c r="G5669" s="14"/>
      <c r="H5669" s="15"/>
      <c r="I5669" s="15"/>
      <c r="J5669" s="3"/>
      <c r="K5669" s="3"/>
      <c r="L5669" s="3"/>
      <c r="M5669" s="3"/>
      <c r="N5669" s="3"/>
      <c r="O5669" s="3"/>
      <c r="P5669" s="3"/>
      <c r="Q5669" s="3"/>
      <c r="R5669" s="3"/>
      <c r="S5669" s="3"/>
      <c r="T5669" s="3"/>
      <c r="U5669" s="3"/>
      <c r="V5669" s="3"/>
      <c r="W5669" s="3"/>
      <c r="X5669" s="3"/>
      <c r="Y5669" s="3"/>
      <c r="Z5669" s="3"/>
      <c r="AA5669" s="3"/>
    </row>
    <row r="5670" ht="105.75" customHeight="1">
      <c r="A5670" s="11"/>
      <c r="B5670" s="12"/>
      <c r="C5670" s="11"/>
      <c r="D5670" s="13"/>
      <c r="E5670" s="14"/>
      <c r="F5670" s="14"/>
      <c r="G5670" s="14"/>
      <c r="H5670" s="15"/>
      <c r="I5670" s="15"/>
      <c r="J5670" s="3"/>
      <c r="K5670" s="3"/>
      <c r="L5670" s="3"/>
      <c r="M5670" s="3"/>
      <c r="N5670" s="3"/>
      <c r="O5670" s="3"/>
      <c r="P5670" s="3"/>
      <c r="Q5670" s="3"/>
      <c r="R5670" s="3"/>
      <c r="S5670" s="3"/>
      <c r="T5670" s="3"/>
      <c r="U5670" s="3"/>
      <c r="V5670" s="3"/>
      <c r="W5670" s="3"/>
      <c r="X5670" s="3"/>
      <c r="Y5670" s="3"/>
      <c r="Z5670" s="3"/>
      <c r="AA5670" s="3"/>
    </row>
    <row r="5671" ht="105.75" customHeight="1">
      <c r="A5671" s="11"/>
      <c r="B5671" s="12"/>
      <c r="C5671" s="11"/>
      <c r="D5671" s="13"/>
      <c r="E5671" s="14"/>
      <c r="F5671" s="14"/>
      <c r="G5671" s="14"/>
      <c r="H5671" s="15"/>
      <c r="I5671" s="15"/>
      <c r="J5671" s="3"/>
      <c r="K5671" s="3"/>
      <c r="L5671" s="3"/>
      <c r="M5671" s="3"/>
      <c r="N5671" s="3"/>
      <c r="O5671" s="3"/>
      <c r="P5671" s="3"/>
      <c r="Q5671" s="3"/>
      <c r="R5671" s="3"/>
      <c r="S5671" s="3"/>
      <c r="T5671" s="3"/>
      <c r="U5671" s="3"/>
      <c r="V5671" s="3"/>
      <c r="W5671" s="3"/>
      <c r="X5671" s="3"/>
      <c r="Y5671" s="3"/>
      <c r="Z5671" s="3"/>
      <c r="AA5671" s="3"/>
    </row>
    <row r="5672" ht="105.75" customHeight="1">
      <c r="A5672" s="11"/>
      <c r="B5672" s="12"/>
      <c r="C5672" s="11"/>
      <c r="D5672" s="13"/>
      <c r="E5672" s="14"/>
      <c r="F5672" s="14"/>
      <c r="G5672" s="14"/>
      <c r="H5672" s="15"/>
      <c r="I5672" s="15"/>
      <c r="J5672" s="3"/>
      <c r="K5672" s="3"/>
      <c r="L5672" s="3"/>
      <c r="M5672" s="3"/>
      <c r="N5672" s="3"/>
      <c r="O5672" s="3"/>
      <c r="P5672" s="3"/>
      <c r="Q5672" s="3"/>
      <c r="R5672" s="3"/>
      <c r="S5672" s="3"/>
      <c r="T5672" s="3"/>
      <c r="U5672" s="3"/>
      <c r="V5672" s="3"/>
      <c r="W5672" s="3"/>
      <c r="X5672" s="3"/>
      <c r="Y5672" s="3"/>
      <c r="Z5672" s="3"/>
      <c r="AA5672" s="3"/>
    </row>
    <row r="5673" ht="105.75" customHeight="1">
      <c r="A5673" s="11"/>
      <c r="B5673" s="12"/>
      <c r="C5673" s="11"/>
      <c r="D5673" s="13"/>
      <c r="E5673" s="14"/>
      <c r="F5673" s="14"/>
      <c r="G5673" s="14"/>
      <c r="H5673" s="15"/>
      <c r="I5673" s="15"/>
      <c r="J5673" s="3"/>
      <c r="K5673" s="3"/>
      <c r="L5673" s="3"/>
      <c r="M5673" s="3"/>
      <c r="N5673" s="3"/>
      <c r="O5673" s="3"/>
      <c r="P5673" s="3"/>
      <c r="Q5673" s="3"/>
      <c r="R5673" s="3"/>
      <c r="S5673" s="3"/>
      <c r="T5673" s="3"/>
      <c r="U5673" s="3"/>
      <c r="V5673" s="3"/>
      <c r="W5673" s="3"/>
      <c r="X5673" s="3"/>
      <c r="Y5673" s="3"/>
      <c r="Z5673" s="3"/>
      <c r="AA5673" s="3"/>
    </row>
    <row r="5674" ht="105.75" customHeight="1">
      <c r="A5674" s="11"/>
      <c r="B5674" s="12"/>
      <c r="C5674" s="11"/>
      <c r="D5674" s="13"/>
      <c r="E5674" s="14"/>
      <c r="F5674" s="14"/>
      <c r="G5674" s="14"/>
      <c r="H5674" s="15"/>
      <c r="I5674" s="15"/>
      <c r="J5674" s="3"/>
      <c r="K5674" s="3"/>
      <c r="L5674" s="3"/>
      <c r="M5674" s="3"/>
      <c r="N5674" s="3"/>
      <c r="O5674" s="3"/>
      <c r="P5674" s="3"/>
      <c r="Q5674" s="3"/>
      <c r="R5674" s="3"/>
      <c r="S5674" s="3"/>
      <c r="T5674" s="3"/>
      <c r="U5674" s="3"/>
      <c r="V5674" s="3"/>
      <c r="W5674" s="3"/>
      <c r="X5674" s="3"/>
      <c r="Y5674" s="3"/>
      <c r="Z5674" s="3"/>
      <c r="AA5674" s="3"/>
    </row>
    <row r="5675" ht="105.75" customHeight="1">
      <c r="A5675" s="11"/>
      <c r="B5675" s="12"/>
      <c r="C5675" s="11"/>
      <c r="D5675" s="13"/>
      <c r="E5675" s="14"/>
      <c r="F5675" s="14"/>
      <c r="G5675" s="14"/>
      <c r="H5675" s="15"/>
      <c r="I5675" s="15"/>
      <c r="J5675" s="3"/>
      <c r="K5675" s="3"/>
      <c r="L5675" s="3"/>
      <c r="M5675" s="3"/>
      <c r="N5675" s="3"/>
      <c r="O5675" s="3"/>
      <c r="P5675" s="3"/>
      <c r="Q5675" s="3"/>
      <c r="R5675" s="3"/>
      <c r="S5675" s="3"/>
      <c r="T5675" s="3"/>
      <c r="U5675" s="3"/>
      <c r="V5675" s="3"/>
      <c r="W5675" s="3"/>
      <c r="X5675" s="3"/>
      <c r="Y5675" s="3"/>
      <c r="Z5675" s="3"/>
      <c r="AA5675" s="3"/>
    </row>
    <row r="5676" ht="105.75" customHeight="1">
      <c r="A5676" s="11"/>
      <c r="B5676" s="12"/>
      <c r="C5676" s="11"/>
      <c r="D5676" s="13"/>
      <c r="E5676" s="14"/>
      <c r="F5676" s="14"/>
      <c r="G5676" s="14"/>
      <c r="H5676" s="15"/>
      <c r="I5676" s="15"/>
      <c r="J5676" s="3"/>
      <c r="K5676" s="3"/>
      <c r="L5676" s="3"/>
      <c r="M5676" s="3"/>
      <c r="N5676" s="3"/>
      <c r="O5676" s="3"/>
      <c r="P5676" s="3"/>
      <c r="Q5676" s="3"/>
      <c r="R5676" s="3"/>
      <c r="S5676" s="3"/>
      <c r="T5676" s="3"/>
      <c r="U5676" s="3"/>
      <c r="V5676" s="3"/>
      <c r="W5676" s="3"/>
      <c r="X5676" s="3"/>
      <c r="Y5676" s="3"/>
      <c r="Z5676" s="3"/>
      <c r="AA5676" s="3"/>
    </row>
    <row r="5677" ht="105.75" customHeight="1">
      <c r="A5677" s="11"/>
      <c r="B5677" s="12"/>
      <c r="C5677" s="11"/>
      <c r="D5677" s="13"/>
      <c r="E5677" s="14"/>
      <c r="F5677" s="14"/>
      <c r="G5677" s="14"/>
      <c r="H5677" s="15"/>
      <c r="I5677" s="15"/>
      <c r="J5677" s="3"/>
      <c r="K5677" s="3"/>
      <c r="L5677" s="3"/>
      <c r="M5677" s="3"/>
      <c r="N5677" s="3"/>
      <c r="O5677" s="3"/>
      <c r="P5677" s="3"/>
      <c r="Q5677" s="3"/>
      <c r="R5677" s="3"/>
      <c r="S5677" s="3"/>
      <c r="T5677" s="3"/>
      <c r="U5677" s="3"/>
      <c r="V5677" s="3"/>
      <c r="W5677" s="3"/>
      <c r="X5677" s="3"/>
      <c r="Y5677" s="3"/>
      <c r="Z5677" s="3"/>
      <c r="AA5677" s="3"/>
    </row>
    <row r="5678" ht="105.75" customHeight="1">
      <c r="A5678" s="11"/>
      <c r="B5678" s="12"/>
      <c r="C5678" s="11"/>
      <c r="D5678" s="13"/>
      <c r="E5678" s="14"/>
      <c r="F5678" s="14"/>
      <c r="G5678" s="14"/>
      <c r="H5678" s="15"/>
      <c r="I5678" s="15"/>
      <c r="J5678" s="3"/>
      <c r="K5678" s="3"/>
      <c r="L5678" s="3"/>
      <c r="M5678" s="3"/>
      <c r="N5678" s="3"/>
      <c r="O5678" s="3"/>
      <c r="P5678" s="3"/>
      <c r="Q5678" s="3"/>
      <c r="R5678" s="3"/>
      <c r="S5678" s="3"/>
      <c r="T5678" s="3"/>
      <c r="U5678" s="3"/>
      <c r="V5678" s="3"/>
      <c r="W5678" s="3"/>
      <c r="X5678" s="3"/>
      <c r="Y5678" s="3"/>
      <c r="Z5678" s="3"/>
      <c r="AA5678" s="3"/>
    </row>
    <row r="5679" ht="105.75" customHeight="1">
      <c r="A5679" s="11"/>
      <c r="B5679" s="12"/>
      <c r="C5679" s="11"/>
      <c r="D5679" s="13"/>
      <c r="E5679" s="14"/>
      <c r="F5679" s="14"/>
      <c r="G5679" s="14"/>
      <c r="H5679" s="15"/>
      <c r="I5679" s="15"/>
      <c r="J5679" s="3"/>
      <c r="K5679" s="3"/>
      <c r="L5679" s="3"/>
      <c r="M5679" s="3"/>
      <c r="N5679" s="3"/>
      <c r="O5679" s="3"/>
      <c r="P5679" s="3"/>
      <c r="Q5679" s="3"/>
      <c r="R5679" s="3"/>
      <c r="S5679" s="3"/>
      <c r="T5679" s="3"/>
      <c r="U5679" s="3"/>
      <c r="V5679" s="3"/>
      <c r="W5679" s="3"/>
      <c r="X5679" s="3"/>
      <c r="Y5679" s="3"/>
      <c r="Z5679" s="3"/>
      <c r="AA5679" s="3"/>
    </row>
    <row r="5680" ht="105.75" customHeight="1">
      <c r="A5680" s="11"/>
      <c r="B5680" s="12"/>
      <c r="C5680" s="11"/>
      <c r="D5680" s="13"/>
      <c r="E5680" s="14"/>
      <c r="F5680" s="14"/>
      <c r="G5680" s="14"/>
      <c r="H5680" s="15"/>
      <c r="I5680" s="15"/>
      <c r="J5680" s="3"/>
      <c r="K5680" s="3"/>
      <c r="L5680" s="3"/>
      <c r="M5680" s="3"/>
      <c r="N5680" s="3"/>
      <c r="O5680" s="3"/>
      <c r="P5680" s="3"/>
      <c r="Q5680" s="3"/>
      <c r="R5680" s="3"/>
      <c r="S5680" s="3"/>
      <c r="T5680" s="3"/>
      <c r="U5680" s="3"/>
      <c r="V5680" s="3"/>
      <c r="W5680" s="3"/>
      <c r="X5680" s="3"/>
      <c r="Y5680" s="3"/>
      <c r="Z5680" s="3"/>
      <c r="AA5680" s="3"/>
    </row>
    <row r="5681" ht="105.75" customHeight="1">
      <c r="A5681" s="11"/>
      <c r="B5681" s="12"/>
      <c r="C5681" s="11"/>
      <c r="D5681" s="13"/>
      <c r="E5681" s="14"/>
      <c r="F5681" s="14"/>
      <c r="G5681" s="14"/>
      <c r="H5681" s="15"/>
      <c r="I5681" s="15"/>
      <c r="J5681" s="3"/>
      <c r="K5681" s="3"/>
      <c r="L5681" s="3"/>
      <c r="M5681" s="3"/>
      <c r="N5681" s="3"/>
      <c r="O5681" s="3"/>
      <c r="P5681" s="3"/>
      <c r="Q5681" s="3"/>
      <c r="R5681" s="3"/>
      <c r="S5681" s="3"/>
      <c r="T5681" s="3"/>
      <c r="U5681" s="3"/>
      <c r="V5681" s="3"/>
      <c r="W5681" s="3"/>
      <c r="X5681" s="3"/>
      <c r="Y5681" s="3"/>
      <c r="Z5681" s="3"/>
      <c r="AA5681" s="3"/>
    </row>
    <row r="5682" ht="105.75" customHeight="1">
      <c r="A5682" s="11"/>
      <c r="B5682" s="12"/>
      <c r="C5682" s="11"/>
      <c r="D5682" s="13"/>
      <c r="E5682" s="14"/>
      <c r="F5682" s="14"/>
      <c r="G5682" s="14"/>
      <c r="H5682" s="15"/>
      <c r="I5682" s="15"/>
      <c r="J5682" s="3"/>
      <c r="K5682" s="3"/>
      <c r="L5682" s="3"/>
      <c r="M5682" s="3"/>
      <c r="N5682" s="3"/>
      <c r="O5682" s="3"/>
      <c r="P5682" s="3"/>
      <c r="Q5682" s="3"/>
      <c r="R5682" s="3"/>
      <c r="S5682" s="3"/>
      <c r="T5682" s="3"/>
      <c r="U5682" s="3"/>
      <c r="V5682" s="3"/>
      <c r="W5682" s="3"/>
      <c r="X5682" s="3"/>
      <c r="Y5682" s="3"/>
      <c r="Z5682" s="3"/>
      <c r="AA5682" s="3"/>
    </row>
    <row r="5683" ht="105.75" customHeight="1">
      <c r="A5683" s="11"/>
      <c r="B5683" s="12"/>
      <c r="C5683" s="11"/>
      <c r="D5683" s="13"/>
      <c r="E5683" s="14"/>
      <c r="F5683" s="14"/>
      <c r="G5683" s="14"/>
      <c r="H5683" s="15"/>
      <c r="I5683" s="15"/>
      <c r="J5683" s="3"/>
      <c r="K5683" s="3"/>
      <c r="L5683" s="3"/>
      <c r="M5683" s="3"/>
      <c r="N5683" s="3"/>
      <c r="O5683" s="3"/>
      <c r="P5683" s="3"/>
      <c r="Q5683" s="3"/>
      <c r="R5683" s="3"/>
      <c r="S5683" s="3"/>
      <c r="T5683" s="3"/>
      <c r="U5683" s="3"/>
      <c r="V5683" s="3"/>
      <c r="W5683" s="3"/>
      <c r="X5683" s="3"/>
      <c r="Y5683" s="3"/>
      <c r="Z5683" s="3"/>
      <c r="AA5683" s="3"/>
    </row>
    <row r="5684" ht="105.75" customHeight="1">
      <c r="A5684" s="11"/>
      <c r="B5684" s="12"/>
      <c r="C5684" s="11"/>
      <c r="D5684" s="13"/>
      <c r="E5684" s="14"/>
      <c r="F5684" s="14"/>
      <c r="G5684" s="14"/>
      <c r="H5684" s="15"/>
      <c r="I5684" s="15"/>
      <c r="J5684" s="3"/>
      <c r="K5684" s="3"/>
      <c r="L5684" s="3"/>
      <c r="M5684" s="3"/>
      <c r="N5684" s="3"/>
      <c r="O5684" s="3"/>
      <c r="P5684" s="3"/>
      <c r="Q5684" s="3"/>
      <c r="R5684" s="3"/>
      <c r="S5684" s="3"/>
      <c r="T5684" s="3"/>
      <c r="U5684" s="3"/>
      <c r="V5684" s="3"/>
      <c r="W5684" s="3"/>
      <c r="X5684" s="3"/>
      <c r="Y5684" s="3"/>
      <c r="Z5684" s="3"/>
      <c r="AA5684" s="3"/>
    </row>
    <row r="5685" ht="105.75" customHeight="1">
      <c r="A5685" s="11"/>
      <c r="B5685" s="12"/>
      <c r="C5685" s="11"/>
      <c r="D5685" s="13"/>
      <c r="E5685" s="14"/>
      <c r="F5685" s="14"/>
      <c r="G5685" s="14"/>
      <c r="H5685" s="15"/>
      <c r="I5685" s="15"/>
      <c r="J5685" s="3"/>
      <c r="K5685" s="3"/>
      <c r="L5685" s="3"/>
      <c r="M5685" s="3"/>
      <c r="N5685" s="3"/>
      <c r="O5685" s="3"/>
      <c r="P5685" s="3"/>
      <c r="Q5685" s="3"/>
      <c r="R5685" s="3"/>
      <c r="S5685" s="3"/>
      <c r="T5685" s="3"/>
      <c r="U5685" s="3"/>
      <c r="V5685" s="3"/>
      <c r="W5685" s="3"/>
      <c r="X5685" s="3"/>
      <c r="Y5685" s="3"/>
      <c r="Z5685" s="3"/>
      <c r="AA5685" s="3"/>
    </row>
    <row r="5686" ht="105.75" customHeight="1">
      <c r="A5686" s="11"/>
      <c r="B5686" s="12"/>
      <c r="C5686" s="11"/>
      <c r="D5686" s="13"/>
      <c r="E5686" s="14"/>
      <c r="F5686" s="14"/>
      <c r="G5686" s="14"/>
      <c r="H5686" s="15"/>
      <c r="I5686" s="15"/>
      <c r="J5686" s="3"/>
      <c r="K5686" s="3"/>
      <c r="L5686" s="3"/>
      <c r="M5686" s="3"/>
      <c r="N5686" s="3"/>
      <c r="O5686" s="3"/>
      <c r="P5686" s="3"/>
      <c r="Q5686" s="3"/>
      <c r="R5686" s="3"/>
      <c r="S5686" s="3"/>
      <c r="T5686" s="3"/>
      <c r="U5686" s="3"/>
      <c r="V5686" s="3"/>
      <c r="W5686" s="3"/>
      <c r="X5686" s="3"/>
      <c r="Y5686" s="3"/>
      <c r="Z5686" s="3"/>
      <c r="AA5686" s="3"/>
    </row>
    <row r="5687" ht="105.75" customHeight="1">
      <c r="A5687" s="11"/>
      <c r="B5687" s="12"/>
      <c r="C5687" s="11"/>
      <c r="D5687" s="13"/>
      <c r="E5687" s="14"/>
      <c r="F5687" s="14"/>
      <c r="G5687" s="14"/>
      <c r="H5687" s="15"/>
      <c r="I5687" s="15"/>
      <c r="J5687" s="3"/>
      <c r="K5687" s="3"/>
      <c r="L5687" s="3"/>
      <c r="M5687" s="3"/>
      <c r="N5687" s="3"/>
      <c r="O5687" s="3"/>
      <c r="P5687" s="3"/>
      <c r="Q5687" s="3"/>
      <c r="R5687" s="3"/>
      <c r="S5687" s="3"/>
      <c r="T5687" s="3"/>
      <c r="U5687" s="3"/>
      <c r="V5687" s="3"/>
      <c r="W5687" s="3"/>
      <c r="X5687" s="3"/>
      <c r="Y5687" s="3"/>
      <c r="Z5687" s="3"/>
      <c r="AA5687" s="3"/>
    </row>
    <row r="5688" ht="105.75" customHeight="1">
      <c r="A5688" s="11"/>
      <c r="B5688" s="12"/>
      <c r="C5688" s="11"/>
      <c r="D5688" s="13"/>
      <c r="E5688" s="14"/>
      <c r="F5688" s="14"/>
      <c r="G5688" s="14"/>
      <c r="H5688" s="15"/>
      <c r="I5688" s="15"/>
      <c r="J5688" s="3"/>
      <c r="K5688" s="3"/>
      <c r="L5688" s="3"/>
      <c r="M5688" s="3"/>
      <c r="N5688" s="3"/>
      <c r="O5688" s="3"/>
      <c r="P5688" s="3"/>
      <c r="Q5688" s="3"/>
      <c r="R5688" s="3"/>
      <c r="S5688" s="3"/>
      <c r="T5688" s="3"/>
      <c r="U5688" s="3"/>
      <c r="V5688" s="3"/>
      <c r="W5688" s="3"/>
      <c r="X5688" s="3"/>
      <c r="Y5688" s="3"/>
      <c r="Z5688" s="3"/>
      <c r="AA5688" s="3"/>
    </row>
    <row r="5689" ht="105.75" customHeight="1">
      <c r="A5689" s="11"/>
      <c r="B5689" s="12"/>
      <c r="C5689" s="11"/>
      <c r="D5689" s="13"/>
      <c r="E5689" s="14"/>
      <c r="F5689" s="14"/>
      <c r="G5689" s="14"/>
      <c r="H5689" s="15"/>
      <c r="I5689" s="15"/>
      <c r="J5689" s="3"/>
      <c r="K5689" s="3"/>
      <c r="L5689" s="3"/>
      <c r="M5689" s="3"/>
      <c r="N5689" s="3"/>
      <c r="O5689" s="3"/>
      <c r="P5689" s="3"/>
      <c r="Q5689" s="3"/>
      <c r="R5689" s="3"/>
      <c r="S5689" s="3"/>
      <c r="T5689" s="3"/>
      <c r="U5689" s="3"/>
      <c r="V5689" s="3"/>
      <c r="W5689" s="3"/>
      <c r="X5689" s="3"/>
      <c r="Y5689" s="3"/>
      <c r="Z5689" s="3"/>
      <c r="AA5689" s="3"/>
    </row>
    <row r="5690" ht="105.75" customHeight="1">
      <c r="A5690" s="11"/>
      <c r="B5690" s="12"/>
      <c r="C5690" s="11"/>
      <c r="D5690" s="13"/>
      <c r="E5690" s="14"/>
      <c r="F5690" s="14"/>
      <c r="G5690" s="14"/>
      <c r="H5690" s="15"/>
      <c r="I5690" s="15"/>
      <c r="J5690" s="3"/>
      <c r="K5690" s="3"/>
      <c r="L5690" s="3"/>
      <c r="M5690" s="3"/>
      <c r="N5690" s="3"/>
      <c r="O5690" s="3"/>
      <c r="P5690" s="3"/>
      <c r="Q5690" s="3"/>
      <c r="R5690" s="3"/>
      <c r="S5690" s="3"/>
      <c r="T5690" s="3"/>
      <c r="U5690" s="3"/>
      <c r="V5690" s="3"/>
      <c r="W5690" s="3"/>
      <c r="X5690" s="3"/>
      <c r="Y5690" s="3"/>
      <c r="Z5690" s="3"/>
      <c r="AA5690" s="3"/>
    </row>
    <row r="5691" ht="105.75" customHeight="1">
      <c r="A5691" s="11"/>
      <c r="B5691" s="12"/>
      <c r="C5691" s="11"/>
      <c r="D5691" s="13"/>
      <c r="E5691" s="14"/>
      <c r="F5691" s="14"/>
      <c r="G5691" s="14"/>
      <c r="H5691" s="15"/>
      <c r="I5691" s="15"/>
      <c r="J5691" s="3"/>
      <c r="K5691" s="3"/>
      <c r="L5691" s="3"/>
      <c r="M5691" s="3"/>
      <c r="N5691" s="3"/>
      <c r="O5691" s="3"/>
      <c r="P5691" s="3"/>
      <c r="Q5691" s="3"/>
      <c r="R5691" s="3"/>
      <c r="S5691" s="3"/>
      <c r="T5691" s="3"/>
      <c r="U5691" s="3"/>
      <c r="V5691" s="3"/>
      <c r="W5691" s="3"/>
      <c r="X5691" s="3"/>
      <c r="Y5691" s="3"/>
      <c r="Z5691" s="3"/>
      <c r="AA5691" s="3"/>
    </row>
    <row r="5692" ht="105.75" customHeight="1">
      <c r="A5692" s="11"/>
      <c r="B5692" s="12"/>
      <c r="C5692" s="11"/>
      <c r="D5692" s="13"/>
      <c r="E5692" s="14"/>
      <c r="F5692" s="14"/>
      <c r="G5692" s="14"/>
      <c r="H5692" s="15"/>
      <c r="I5692" s="15"/>
      <c r="J5692" s="3"/>
      <c r="K5692" s="3"/>
      <c r="L5692" s="3"/>
      <c r="M5692" s="3"/>
      <c r="N5692" s="3"/>
      <c r="O5692" s="3"/>
      <c r="P5692" s="3"/>
      <c r="Q5692" s="3"/>
      <c r="R5692" s="3"/>
      <c r="S5692" s="3"/>
      <c r="T5692" s="3"/>
      <c r="U5692" s="3"/>
      <c r="V5692" s="3"/>
      <c r="W5692" s="3"/>
      <c r="X5692" s="3"/>
      <c r="Y5692" s="3"/>
      <c r="Z5692" s="3"/>
      <c r="AA5692" s="3"/>
    </row>
    <row r="5693" ht="105.75" customHeight="1">
      <c r="A5693" s="11"/>
      <c r="B5693" s="12"/>
      <c r="C5693" s="11"/>
      <c r="D5693" s="13"/>
      <c r="E5693" s="14"/>
      <c r="F5693" s="14"/>
      <c r="G5693" s="14"/>
      <c r="H5693" s="15"/>
      <c r="I5693" s="15"/>
      <c r="J5693" s="3"/>
      <c r="K5693" s="3"/>
      <c r="L5693" s="3"/>
      <c r="M5693" s="3"/>
      <c r="N5693" s="3"/>
      <c r="O5693" s="3"/>
      <c r="P5693" s="3"/>
      <c r="Q5693" s="3"/>
      <c r="R5693" s="3"/>
      <c r="S5693" s="3"/>
      <c r="T5693" s="3"/>
      <c r="U5693" s="3"/>
      <c r="V5693" s="3"/>
      <c r="W5693" s="3"/>
      <c r="X5693" s="3"/>
      <c r="Y5693" s="3"/>
      <c r="Z5693" s="3"/>
      <c r="AA5693" s="3"/>
    </row>
    <row r="5694" ht="105.75" customHeight="1">
      <c r="A5694" s="11"/>
      <c r="B5694" s="12"/>
      <c r="C5694" s="11"/>
      <c r="D5694" s="13"/>
      <c r="E5694" s="14"/>
      <c r="F5694" s="14"/>
      <c r="G5694" s="14"/>
      <c r="H5694" s="15"/>
      <c r="I5694" s="15"/>
      <c r="J5694" s="3"/>
      <c r="K5694" s="3"/>
      <c r="L5694" s="3"/>
      <c r="M5694" s="3"/>
      <c r="N5694" s="3"/>
      <c r="O5694" s="3"/>
      <c r="P5694" s="3"/>
      <c r="Q5694" s="3"/>
      <c r="R5694" s="3"/>
      <c r="S5694" s="3"/>
      <c r="T5694" s="3"/>
      <c r="U5694" s="3"/>
      <c r="V5694" s="3"/>
      <c r="W5694" s="3"/>
      <c r="X5694" s="3"/>
      <c r="Y5694" s="3"/>
      <c r="Z5694" s="3"/>
      <c r="AA5694" s="3"/>
    </row>
    <row r="5695" ht="105.75" customHeight="1">
      <c r="A5695" s="11"/>
      <c r="B5695" s="12"/>
      <c r="C5695" s="11"/>
      <c r="D5695" s="13"/>
      <c r="E5695" s="14"/>
      <c r="F5695" s="14"/>
      <c r="G5695" s="14"/>
      <c r="H5695" s="15"/>
      <c r="I5695" s="15"/>
      <c r="J5695" s="3"/>
      <c r="K5695" s="3"/>
      <c r="L5695" s="3"/>
      <c r="M5695" s="3"/>
      <c r="N5695" s="3"/>
      <c r="O5695" s="3"/>
      <c r="P5695" s="3"/>
      <c r="Q5695" s="3"/>
      <c r="R5695" s="3"/>
      <c r="S5695" s="3"/>
      <c r="T5695" s="3"/>
      <c r="U5695" s="3"/>
      <c r="V5695" s="3"/>
      <c r="W5695" s="3"/>
      <c r="X5695" s="3"/>
      <c r="Y5695" s="3"/>
      <c r="Z5695" s="3"/>
      <c r="AA5695" s="3"/>
    </row>
    <row r="5696" ht="105.75" customHeight="1">
      <c r="A5696" s="11"/>
      <c r="B5696" s="12"/>
      <c r="C5696" s="11"/>
      <c r="D5696" s="13"/>
      <c r="E5696" s="14"/>
      <c r="F5696" s="14"/>
      <c r="G5696" s="14"/>
      <c r="H5696" s="15"/>
      <c r="I5696" s="15"/>
      <c r="J5696" s="3"/>
      <c r="K5696" s="3"/>
      <c r="L5696" s="3"/>
      <c r="M5696" s="3"/>
      <c r="N5696" s="3"/>
      <c r="O5696" s="3"/>
      <c r="P5696" s="3"/>
      <c r="Q5696" s="3"/>
      <c r="R5696" s="3"/>
      <c r="S5696" s="3"/>
      <c r="T5696" s="3"/>
      <c r="U5696" s="3"/>
      <c r="V5696" s="3"/>
      <c r="W5696" s="3"/>
      <c r="X5696" s="3"/>
      <c r="Y5696" s="3"/>
      <c r="Z5696" s="3"/>
      <c r="AA5696" s="3"/>
    </row>
    <row r="5697" ht="105.75" customHeight="1">
      <c r="A5697" s="11"/>
      <c r="B5697" s="12"/>
      <c r="C5697" s="11"/>
      <c r="D5697" s="13"/>
      <c r="E5697" s="14"/>
      <c r="F5697" s="14"/>
      <c r="G5697" s="14"/>
      <c r="H5697" s="15"/>
      <c r="I5697" s="15"/>
      <c r="J5697" s="3"/>
      <c r="K5697" s="3"/>
      <c r="L5697" s="3"/>
      <c r="M5697" s="3"/>
      <c r="N5697" s="3"/>
      <c r="O5697" s="3"/>
      <c r="P5697" s="3"/>
      <c r="Q5697" s="3"/>
      <c r="R5697" s="3"/>
      <c r="S5697" s="3"/>
      <c r="T5697" s="3"/>
      <c r="U5697" s="3"/>
      <c r="V5697" s="3"/>
      <c r="W5697" s="3"/>
      <c r="X5697" s="3"/>
      <c r="Y5697" s="3"/>
      <c r="Z5697" s="3"/>
      <c r="AA5697" s="3"/>
    </row>
    <row r="5698" ht="105.75" customHeight="1">
      <c r="A5698" s="11"/>
      <c r="B5698" s="12"/>
      <c r="C5698" s="11"/>
      <c r="D5698" s="13"/>
      <c r="E5698" s="14"/>
      <c r="F5698" s="14"/>
      <c r="G5698" s="14"/>
      <c r="H5698" s="15"/>
      <c r="I5698" s="15"/>
      <c r="J5698" s="3"/>
      <c r="K5698" s="3"/>
      <c r="L5698" s="3"/>
      <c r="M5698" s="3"/>
      <c r="N5698" s="3"/>
      <c r="O5698" s="3"/>
      <c r="P5698" s="3"/>
      <c r="Q5698" s="3"/>
      <c r="R5698" s="3"/>
      <c r="S5698" s="3"/>
      <c r="T5698" s="3"/>
      <c r="U5698" s="3"/>
      <c r="V5698" s="3"/>
      <c r="W5698" s="3"/>
      <c r="X5698" s="3"/>
      <c r="Y5698" s="3"/>
      <c r="Z5698" s="3"/>
      <c r="AA5698" s="3"/>
    </row>
    <row r="5699" ht="105.75" customHeight="1">
      <c r="A5699" s="11"/>
      <c r="B5699" s="12"/>
      <c r="C5699" s="11"/>
      <c r="D5699" s="13"/>
      <c r="E5699" s="14"/>
      <c r="F5699" s="14"/>
      <c r="G5699" s="14"/>
      <c r="H5699" s="15"/>
      <c r="I5699" s="15"/>
      <c r="J5699" s="3"/>
      <c r="K5699" s="3"/>
      <c r="L5699" s="3"/>
      <c r="M5699" s="3"/>
      <c r="N5699" s="3"/>
      <c r="O5699" s="3"/>
      <c r="P5699" s="3"/>
      <c r="Q5699" s="3"/>
      <c r="R5699" s="3"/>
      <c r="S5699" s="3"/>
      <c r="T5699" s="3"/>
      <c r="U5699" s="3"/>
      <c r="V5699" s="3"/>
      <c r="W5699" s="3"/>
      <c r="X5699" s="3"/>
      <c r="Y5699" s="3"/>
      <c r="Z5699" s="3"/>
      <c r="AA5699" s="3"/>
    </row>
    <row r="5700" ht="105.75" customHeight="1">
      <c r="A5700" s="11"/>
      <c r="B5700" s="12"/>
      <c r="C5700" s="11"/>
      <c r="D5700" s="13"/>
      <c r="E5700" s="14"/>
      <c r="F5700" s="14"/>
      <c r="G5700" s="14"/>
      <c r="H5700" s="15"/>
      <c r="I5700" s="15"/>
      <c r="J5700" s="3"/>
      <c r="K5700" s="3"/>
      <c r="L5700" s="3"/>
      <c r="M5700" s="3"/>
      <c r="N5700" s="3"/>
      <c r="O5700" s="3"/>
      <c r="P5700" s="3"/>
      <c r="Q5700" s="3"/>
      <c r="R5700" s="3"/>
      <c r="S5700" s="3"/>
      <c r="T5700" s="3"/>
      <c r="U5700" s="3"/>
      <c r="V5700" s="3"/>
      <c r="W5700" s="3"/>
      <c r="X5700" s="3"/>
      <c r="Y5700" s="3"/>
      <c r="Z5700" s="3"/>
      <c r="AA5700" s="3"/>
    </row>
    <row r="5701" ht="105.75" customHeight="1">
      <c r="A5701" s="11"/>
      <c r="B5701" s="12"/>
      <c r="C5701" s="11"/>
      <c r="D5701" s="13"/>
      <c r="E5701" s="14"/>
      <c r="F5701" s="14"/>
      <c r="G5701" s="14"/>
      <c r="H5701" s="15"/>
      <c r="I5701" s="15"/>
      <c r="J5701" s="3"/>
      <c r="K5701" s="3"/>
      <c r="L5701" s="3"/>
      <c r="M5701" s="3"/>
      <c r="N5701" s="3"/>
      <c r="O5701" s="3"/>
      <c r="P5701" s="3"/>
      <c r="Q5701" s="3"/>
      <c r="R5701" s="3"/>
      <c r="S5701" s="3"/>
      <c r="T5701" s="3"/>
      <c r="U5701" s="3"/>
      <c r="V5701" s="3"/>
      <c r="W5701" s="3"/>
      <c r="X5701" s="3"/>
      <c r="Y5701" s="3"/>
      <c r="Z5701" s="3"/>
      <c r="AA5701" s="3"/>
    </row>
    <row r="5702" ht="105.75" customHeight="1">
      <c r="A5702" s="11"/>
      <c r="B5702" s="12"/>
      <c r="C5702" s="11"/>
      <c r="D5702" s="13"/>
      <c r="E5702" s="14"/>
      <c r="F5702" s="14"/>
      <c r="G5702" s="14"/>
      <c r="H5702" s="15"/>
      <c r="I5702" s="15"/>
      <c r="J5702" s="3"/>
      <c r="K5702" s="3"/>
      <c r="L5702" s="3"/>
      <c r="M5702" s="3"/>
      <c r="N5702" s="3"/>
      <c r="O5702" s="3"/>
      <c r="P5702" s="3"/>
      <c r="Q5702" s="3"/>
      <c r="R5702" s="3"/>
      <c r="S5702" s="3"/>
      <c r="T5702" s="3"/>
      <c r="U5702" s="3"/>
      <c r="V5702" s="3"/>
      <c r="W5702" s="3"/>
      <c r="X5702" s="3"/>
      <c r="Y5702" s="3"/>
      <c r="Z5702" s="3"/>
      <c r="AA5702" s="3"/>
    </row>
    <row r="5703" ht="105.75" customHeight="1">
      <c r="A5703" s="11"/>
      <c r="B5703" s="12"/>
      <c r="C5703" s="11"/>
      <c r="D5703" s="13"/>
      <c r="E5703" s="14"/>
      <c r="F5703" s="14"/>
      <c r="G5703" s="14"/>
      <c r="H5703" s="15"/>
      <c r="I5703" s="15"/>
      <c r="J5703" s="3"/>
      <c r="K5703" s="3"/>
      <c r="L5703" s="3"/>
      <c r="M5703" s="3"/>
      <c r="N5703" s="3"/>
      <c r="O5703" s="3"/>
      <c r="P5703" s="3"/>
      <c r="Q5703" s="3"/>
      <c r="R5703" s="3"/>
      <c r="S5703" s="3"/>
      <c r="T5703" s="3"/>
      <c r="U5703" s="3"/>
      <c r="V5703" s="3"/>
      <c r="W5703" s="3"/>
      <c r="X5703" s="3"/>
      <c r="Y5703" s="3"/>
      <c r="Z5703" s="3"/>
      <c r="AA5703" s="3"/>
    </row>
    <row r="5704" ht="105.75" customHeight="1">
      <c r="A5704" s="11"/>
      <c r="B5704" s="12"/>
      <c r="C5704" s="11"/>
      <c r="D5704" s="13"/>
      <c r="E5704" s="14"/>
      <c r="F5704" s="14"/>
      <c r="G5704" s="14"/>
      <c r="H5704" s="15"/>
      <c r="I5704" s="15"/>
      <c r="J5704" s="3"/>
      <c r="K5704" s="3"/>
      <c r="L5704" s="3"/>
      <c r="M5704" s="3"/>
      <c r="N5704" s="3"/>
      <c r="O5704" s="3"/>
      <c r="P5704" s="3"/>
      <c r="Q5704" s="3"/>
      <c r="R5704" s="3"/>
      <c r="S5704" s="3"/>
      <c r="T5704" s="3"/>
      <c r="U5704" s="3"/>
      <c r="V5704" s="3"/>
      <c r="W5704" s="3"/>
      <c r="X5704" s="3"/>
      <c r="Y5704" s="3"/>
      <c r="Z5704" s="3"/>
      <c r="AA5704" s="3"/>
    </row>
    <row r="5705" ht="105.75" customHeight="1">
      <c r="A5705" s="11"/>
      <c r="B5705" s="12"/>
      <c r="C5705" s="11"/>
      <c r="D5705" s="13"/>
      <c r="E5705" s="14"/>
      <c r="F5705" s="14"/>
      <c r="G5705" s="14"/>
      <c r="H5705" s="15"/>
      <c r="I5705" s="15"/>
      <c r="J5705" s="3"/>
      <c r="K5705" s="3"/>
      <c r="L5705" s="3"/>
      <c r="M5705" s="3"/>
      <c r="N5705" s="3"/>
      <c r="O5705" s="3"/>
      <c r="P5705" s="3"/>
      <c r="Q5705" s="3"/>
      <c r="R5705" s="3"/>
      <c r="S5705" s="3"/>
      <c r="T5705" s="3"/>
      <c r="U5705" s="3"/>
      <c r="V5705" s="3"/>
      <c r="W5705" s="3"/>
      <c r="X5705" s="3"/>
      <c r="Y5705" s="3"/>
      <c r="Z5705" s="3"/>
      <c r="AA5705" s="3"/>
    </row>
    <row r="5706" ht="105.75" customHeight="1">
      <c r="A5706" s="11"/>
      <c r="B5706" s="12"/>
      <c r="C5706" s="11"/>
      <c r="D5706" s="13"/>
      <c r="E5706" s="14"/>
      <c r="F5706" s="14"/>
      <c r="G5706" s="14"/>
      <c r="H5706" s="15"/>
      <c r="I5706" s="15"/>
      <c r="J5706" s="3"/>
      <c r="K5706" s="3"/>
      <c r="L5706" s="3"/>
      <c r="M5706" s="3"/>
      <c r="N5706" s="3"/>
      <c r="O5706" s="3"/>
      <c r="P5706" s="3"/>
      <c r="Q5706" s="3"/>
      <c r="R5706" s="3"/>
      <c r="S5706" s="3"/>
      <c r="T5706" s="3"/>
      <c r="U5706" s="3"/>
      <c r="V5706" s="3"/>
      <c r="W5706" s="3"/>
      <c r="X5706" s="3"/>
      <c r="Y5706" s="3"/>
      <c r="Z5706" s="3"/>
      <c r="AA5706" s="3"/>
    </row>
    <row r="5707" ht="105.75" customHeight="1">
      <c r="A5707" s="11"/>
      <c r="B5707" s="12"/>
      <c r="C5707" s="11"/>
      <c r="D5707" s="13"/>
      <c r="E5707" s="14"/>
      <c r="F5707" s="14"/>
      <c r="G5707" s="14"/>
      <c r="H5707" s="15"/>
      <c r="I5707" s="15"/>
      <c r="J5707" s="3"/>
      <c r="K5707" s="3"/>
      <c r="L5707" s="3"/>
      <c r="M5707" s="3"/>
      <c r="N5707" s="3"/>
      <c r="O5707" s="3"/>
      <c r="P5707" s="3"/>
      <c r="Q5707" s="3"/>
      <c r="R5707" s="3"/>
      <c r="S5707" s="3"/>
      <c r="T5707" s="3"/>
      <c r="U5707" s="3"/>
      <c r="V5707" s="3"/>
      <c r="W5707" s="3"/>
      <c r="X5707" s="3"/>
      <c r="Y5707" s="3"/>
      <c r="Z5707" s="3"/>
      <c r="AA5707" s="3"/>
    </row>
    <row r="5708" ht="105.75" customHeight="1">
      <c r="A5708" s="11"/>
      <c r="B5708" s="12"/>
      <c r="C5708" s="11"/>
      <c r="D5708" s="13"/>
      <c r="E5708" s="14"/>
      <c r="F5708" s="14"/>
      <c r="G5708" s="14"/>
      <c r="H5708" s="15"/>
      <c r="I5708" s="15"/>
      <c r="J5708" s="3"/>
      <c r="K5708" s="3"/>
      <c r="L5708" s="3"/>
      <c r="M5708" s="3"/>
      <c r="N5708" s="3"/>
      <c r="O5708" s="3"/>
      <c r="P5708" s="3"/>
      <c r="Q5708" s="3"/>
      <c r="R5708" s="3"/>
      <c r="S5708" s="3"/>
      <c r="T5708" s="3"/>
      <c r="U5708" s="3"/>
      <c r="V5708" s="3"/>
      <c r="W5708" s="3"/>
      <c r="X5708" s="3"/>
      <c r="Y5708" s="3"/>
      <c r="Z5708" s="3"/>
      <c r="AA5708" s="3"/>
    </row>
    <row r="5709" ht="105.75" customHeight="1">
      <c r="A5709" s="11"/>
      <c r="B5709" s="12"/>
      <c r="C5709" s="11"/>
      <c r="D5709" s="13"/>
      <c r="E5709" s="14"/>
      <c r="F5709" s="14"/>
      <c r="G5709" s="14"/>
      <c r="H5709" s="15"/>
      <c r="I5709" s="15"/>
      <c r="J5709" s="3"/>
      <c r="K5709" s="3"/>
      <c r="L5709" s="3"/>
      <c r="M5709" s="3"/>
      <c r="N5709" s="3"/>
      <c r="O5709" s="3"/>
      <c r="P5709" s="3"/>
      <c r="Q5709" s="3"/>
      <c r="R5709" s="3"/>
      <c r="S5709" s="3"/>
      <c r="T5709" s="3"/>
      <c r="U5709" s="3"/>
      <c r="V5709" s="3"/>
      <c r="W5709" s="3"/>
      <c r="X5709" s="3"/>
      <c r="Y5709" s="3"/>
      <c r="Z5709" s="3"/>
      <c r="AA5709" s="3"/>
    </row>
    <row r="5710" ht="105.75" customHeight="1">
      <c r="A5710" s="11"/>
      <c r="B5710" s="12"/>
      <c r="C5710" s="11"/>
      <c r="D5710" s="13"/>
      <c r="E5710" s="14"/>
      <c r="F5710" s="14"/>
      <c r="G5710" s="14"/>
      <c r="H5710" s="15"/>
      <c r="I5710" s="15"/>
      <c r="J5710" s="3"/>
      <c r="K5710" s="3"/>
      <c r="L5710" s="3"/>
      <c r="M5710" s="3"/>
      <c r="N5710" s="3"/>
      <c r="O5710" s="3"/>
      <c r="P5710" s="3"/>
      <c r="Q5710" s="3"/>
      <c r="R5710" s="3"/>
      <c r="S5710" s="3"/>
      <c r="T5710" s="3"/>
      <c r="U5710" s="3"/>
      <c r="V5710" s="3"/>
      <c r="W5710" s="3"/>
      <c r="X5710" s="3"/>
      <c r="Y5710" s="3"/>
      <c r="Z5710" s="3"/>
      <c r="AA5710" s="3"/>
    </row>
    <row r="5711" ht="105.75" customHeight="1">
      <c r="A5711" s="11"/>
      <c r="B5711" s="12"/>
      <c r="C5711" s="11"/>
      <c r="D5711" s="13"/>
      <c r="E5711" s="14"/>
      <c r="F5711" s="14"/>
      <c r="G5711" s="14"/>
      <c r="H5711" s="15"/>
      <c r="I5711" s="15"/>
      <c r="J5711" s="3"/>
      <c r="K5711" s="3"/>
      <c r="L5711" s="3"/>
      <c r="M5711" s="3"/>
      <c r="N5711" s="3"/>
      <c r="O5711" s="3"/>
      <c r="P5711" s="3"/>
      <c r="Q5711" s="3"/>
      <c r="R5711" s="3"/>
      <c r="S5711" s="3"/>
      <c r="T5711" s="3"/>
      <c r="U5711" s="3"/>
      <c r="V5711" s="3"/>
      <c r="W5711" s="3"/>
      <c r="X5711" s="3"/>
      <c r="Y5711" s="3"/>
      <c r="Z5711" s="3"/>
      <c r="AA5711" s="3"/>
    </row>
    <row r="5712" ht="105.75" customHeight="1">
      <c r="A5712" s="11"/>
      <c r="B5712" s="12"/>
      <c r="C5712" s="11"/>
      <c r="D5712" s="13"/>
      <c r="E5712" s="14"/>
      <c r="F5712" s="14"/>
      <c r="G5712" s="14"/>
      <c r="H5712" s="15"/>
      <c r="I5712" s="15"/>
      <c r="J5712" s="3"/>
      <c r="K5712" s="3"/>
      <c r="L5712" s="3"/>
      <c r="M5712" s="3"/>
      <c r="N5712" s="3"/>
      <c r="O5712" s="3"/>
      <c r="P5712" s="3"/>
      <c r="Q5712" s="3"/>
      <c r="R5712" s="3"/>
      <c r="S5712" s="3"/>
      <c r="T5712" s="3"/>
      <c r="U5712" s="3"/>
      <c r="V5712" s="3"/>
      <c r="W5712" s="3"/>
      <c r="X5712" s="3"/>
      <c r="Y5712" s="3"/>
      <c r="Z5712" s="3"/>
      <c r="AA5712" s="3"/>
    </row>
    <row r="5713" ht="105.75" customHeight="1">
      <c r="A5713" s="11"/>
      <c r="B5713" s="12"/>
      <c r="C5713" s="11"/>
      <c r="D5713" s="13"/>
      <c r="E5713" s="14"/>
      <c r="F5713" s="14"/>
      <c r="G5713" s="14"/>
      <c r="H5713" s="15"/>
      <c r="I5713" s="15"/>
      <c r="J5713" s="3"/>
      <c r="K5713" s="3"/>
      <c r="L5713" s="3"/>
      <c r="M5713" s="3"/>
      <c r="N5713" s="3"/>
      <c r="O5713" s="3"/>
      <c r="P5713" s="3"/>
      <c r="Q5713" s="3"/>
      <c r="R5713" s="3"/>
      <c r="S5713" s="3"/>
      <c r="T5713" s="3"/>
      <c r="U5713" s="3"/>
      <c r="V5713" s="3"/>
      <c r="W5713" s="3"/>
      <c r="X5713" s="3"/>
      <c r="Y5713" s="3"/>
      <c r="Z5713" s="3"/>
      <c r="AA5713" s="3"/>
    </row>
    <row r="5714" ht="105.75" customHeight="1">
      <c r="A5714" s="11"/>
      <c r="B5714" s="12"/>
      <c r="C5714" s="11"/>
      <c r="D5714" s="13"/>
      <c r="E5714" s="14"/>
      <c r="F5714" s="14"/>
      <c r="G5714" s="14"/>
      <c r="H5714" s="15"/>
      <c r="I5714" s="15"/>
      <c r="J5714" s="3"/>
      <c r="K5714" s="3"/>
      <c r="L5714" s="3"/>
      <c r="M5714" s="3"/>
      <c r="N5714" s="3"/>
      <c r="O5714" s="3"/>
      <c r="P5714" s="3"/>
      <c r="Q5714" s="3"/>
      <c r="R5714" s="3"/>
      <c r="S5714" s="3"/>
      <c r="T5714" s="3"/>
      <c r="U5714" s="3"/>
      <c r="V5714" s="3"/>
      <c r="W5714" s="3"/>
      <c r="X5714" s="3"/>
      <c r="Y5714" s="3"/>
      <c r="Z5714" s="3"/>
      <c r="AA5714" s="3"/>
    </row>
    <row r="5715" ht="105.75" customHeight="1">
      <c r="A5715" s="11"/>
      <c r="B5715" s="12"/>
      <c r="C5715" s="11"/>
      <c r="D5715" s="13"/>
      <c r="E5715" s="14"/>
      <c r="F5715" s="14"/>
      <c r="G5715" s="14"/>
      <c r="H5715" s="15"/>
      <c r="I5715" s="15"/>
      <c r="J5715" s="3"/>
      <c r="K5715" s="3"/>
      <c r="L5715" s="3"/>
      <c r="M5715" s="3"/>
      <c r="N5715" s="3"/>
      <c r="O5715" s="3"/>
      <c r="P5715" s="3"/>
      <c r="Q5715" s="3"/>
      <c r="R5715" s="3"/>
      <c r="S5715" s="3"/>
      <c r="T5715" s="3"/>
      <c r="U5715" s="3"/>
      <c r="V5715" s="3"/>
      <c r="W5715" s="3"/>
      <c r="X5715" s="3"/>
      <c r="Y5715" s="3"/>
      <c r="Z5715" s="3"/>
      <c r="AA5715" s="3"/>
    </row>
    <row r="5716" ht="105.75" customHeight="1">
      <c r="A5716" s="11"/>
      <c r="B5716" s="12"/>
      <c r="C5716" s="11"/>
      <c r="D5716" s="13"/>
      <c r="E5716" s="14"/>
      <c r="F5716" s="14"/>
      <c r="G5716" s="14"/>
      <c r="H5716" s="15"/>
      <c r="I5716" s="15"/>
      <c r="J5716" s="3"/>
      <c r="K5716" s="3"/>
      <c r="L5716" s="3"/>
      <c r="M5716" s="3"/>
      <c r="N5716" s="3"/>
      <c r="O5716" s="3"/>
      <c r="P5716" s="3"/>
      <c r="Q5716" s="3"/>
      <c r="R5716" s="3"/>
      <c r="S5716" s="3"/>
      <c r="T5716" s="3"/>
      <c r="U5716" s="3"/>
      <c r="V5716" s="3"/>
      <c r="W5716" s="3"/>
      <c r="X5716" s="3"/>
      <c r="Y5716" s="3"/>
      <c r="Z5716" s="3"/>
      <c r="AA5716" s="3"/>
    </row>
    <row r="5717" ht="105.75" customHeight="1">
      <c r="A5717" s="11"/>
      <c r="B5717" s="12"/>
      <c r="C5717" s="11"/>
      <c r="D5717" s="13"/>
      <c r="E5717" s="14"/>
      <c r="F5717" s="14"/>
      <c r="G5717" s="14"/>
      <c r="H5717" s="15"/>
      <c r="I5717" s="15"/>
      <c r="J5717" s="3"/>
      <c r="K5717" s="3"/>
      <c r="L5717" s="3"/>
      <c r="M5717" s="3"/>
      <c r="N5717" s="3"/>
      <c r="O5717" s="3"/>
      <c r="P5717" s="3"/>
      <c r="Q5717" s="3"/>
      <c r="R5717" s="3"/>
      <c r="S5717" s="3"/>
      <c r="T5717" s="3"/>
      <c r="U5717" s="3"/>
      <c r="V5717" s="3"/>
      <c r="W5717" s="3"/>
      <c r="X5717" s="3"/>
      <c r="Y5717" s="3"/>
      <c r="Z5717" s="3"/>
      <c r="AA5717" s="3"/>
    </row>
    <row r="5718" ht="105.75" customHeight="1">
      <c r="A5718" s="11"/>
      <c r="B5718" s="12"/>
      <c r="C5718" s="11"/>
      <c r="D5718" s="13"/>
      <c r="E5718" s="14"/>
      <c r="F5718" s="14"/>
      <c r="G5718" s="14"/>
      <c r="H5718" s="15"/>
      <c r="I5718" s="15"/>
      <c r="J5718" s="3"/>
      <c r="K5718" s="3"/>
      <c r="L5718" s="3"/>
      <c r="M5718" s="3"/>
      <c r="N5718" s="3"/>
      <c r="O5718" s="3"/>
      <c r="P5718" s="3"/>
      <c r="Q5718" s="3"/>
      <c r="R5718" s="3"/>
      <c r="S5718" s="3"/>
      <c r="T5718" s="3"/>
      <c r="U5718" s="3"/>
      <c r="V5718" s="3"/>
      <c r="W5718" s="3"/>
      <c r="X5718" s="3"/>
      <c r="Y5718" s="3"/>
      <c r="Z5718" s="3"/>
      <c r="AA5718" s="3"/>
    </row>
    <row r="5719" ht="105.75" customHeight="1">
      <c r="A5719" s="11"/>
      <c r="B5719" s="12"/>
      <c r="C5719" s="11"/>
      <c r="D5719" s="13"/>
      <c r="E5719" s="14"/>
      <c r="F5719" s="14"/>
      <c r="G5719" s="14"/>
      <c r="H5719" s="15"/>
      <c r="I5719" s="15"/>
      <c r="J5719" s="3"/>
      <c r="K5719" s="3"/>
      <c r="L5719" s="3"/>
      <c r="M5719" s="3"/>
      <c r="N5719" s="3"/>
      <c r="O5719" s="3"/>
      <c r="P5719" s="3"/>
      <c r="Q5719" s="3"/>
      <c r="R5719" s="3"/>
      <c r="S5719" s="3"/>
      <c r="T5719" s="3"/>
      <c r="U5719" s="3"/>
      <c r="V5719" s="3"/>
      <c r="W5719" s="3"/>
      <c r="X5719" s="3"/>
      <c r="Y5719" s="3"/>
      <c r="Z5719" s="3"/>
      <c r="AA5719" s="3"/>
    </row>
    <row r="5720" ht="105.75" customHeight="1">
      <c r="A5720" s="11"/>
      <c r="B5720" s="12"/>
      <c r="C5720" s="11"/>
      <c r="D5720" s="13"/>
      <c r="E5720" s="14"/>
      <c r="F5720" s="14"/>
      <c r="G5720" s="14"/>
      <c r="H5720" s="15"/>
      <c r="I5720" s="15"/>
      <c r="J5720" s="3"/>
      <c r="K5720" s="3"/>
      <c r="L5720" s="3"/>
      <c r="M5720" s="3"/>
      <c r="N5720" s="3"/>
      <c r="O5720" s="3"/>
      <c r="P5720" s="3"/>
      <c r="Q5720" s="3"/>
      <c r="R5720" s="3"/>
      <c r="S5720" s="3"/>
      <c r="T5720" s="3"/>
      <c r="U5720" s="3"/>
      <c r="V5720" s="3"/>
      <c r="W5720" s="3"/>
      <c r="X5720" s="3"/>
      <c r="Y5720" s="3"/>
      <c r="Z5720" s="3"/>
      <c r="AA5720" s="3"/>
    </row>
    <row r="5721" ht="105.75" customHeight="1">
      <c r="A5721" s="11"/>
      <c r="B5721" s="12"/>
      <c r="C5721" s="11"/>
      <c r="D5721" s="13"/>
      <c r="E5721" s="14"/>
      <c r="F5721" s="14"/>
      <c r="G5721" s="14"/>
      <c r="H5721" s="15"/>
      <c r="I5721" s="15"/>
      <c r="J5721" s="3"/>
      <c r="K5721" s="3"/>
      <c r="L5721" s="3"/>
      <c r="M5721" s="3"/>
      <c r="N5721" s="3"/>
      <c r="O5721" s="3"/>
      <c r="P5721" s="3"/>
      <c r="Q5721" s="3"/>
      <c r="R5721" s="3"/>
      <c r="S5721" s="3"/>
      <c r="T5721" s="3"/>
      <c r="U5721" s="3"/>
      <c r="V5721" s="3"/>
      <c r="W5721" s="3"/>
      <c r="X5721" s="3"/>
      <c r="Y5721" s="3"/>
      <c r="Z5721" s="3"/>
      <c r="AA5721" s="3"/>
    </row>
    <row r="5722" ht="105.75" customHeight="1">
      <c r="A5722" s="11"/>
      <c r="B5722" s="12"/>
      <c r="C5722" s="11"/>
      <c r="D5722" s="13"/>
      <c r="E5722" s="14"/>
      <c r="F5722" s="14"/>
      <c r="G5722" s="14"/>
      <c r="H5722" s="15"/>
      <c r="I5722" s="15"/>
      <c r="J5722" s="3"/>
      <c r="K5722" s="3"/>
      <c r="L5722" s="3"/>
      <c r="M5722" s="3"/>
      <c r="N5722" s="3"/>
      <c r="O5722" s="3"/>
      <c r="P5722" s="3"/>
      <c r="Q5722" s="3"/>
      <c r="R5722" s="3"/>
      <c r="S5722" s="3"/>
      <c r="T5722" s="3"/>
      <c r="U5722" s="3"/>
      <c r="V5722" s="3"/>
      <c r="W5722" s="3"/>
      <c r="X5722" s="3"/>
      <c r="Y5722" s="3"/>
      <c r="Z5722" s="3"/>
      <c r="AA5722" s="3"/>
    </row>
    <row r="5723" ht="105.75" customHeight="1">
      <c r="A5723" s="11"/>
      <c r="B5723" s="12"/>
      <c r="C5723" s="11"/>
      <c r="D5723" s="13"/>
      <c r="E5723" s="14"/>
      <c r="F5723" s="14"/>
      <c r="G5723" s="14"/>
      <c r="H5723" s="15"/>
      <c r="I5723" s="15"/>
      <c r="J5723" s="3"/>
      <c r="K5723" s="3"/>
      <c r="L5723" s="3"/>
      <c r="M5723" s="3"/>
      <c r="N5723" s="3"/>
      <c r="O5723" s="3"/>
      <c r="P5723" s="3"/>
      <c r="Q5723" s="3"/>
      <c r="R5723" s="3"/>
      <c r="S5723" s="3"/>
      <c r="T5723" s="3"/>
      <c r="U5723" s="3"/>
      <c r="V5723" s="3"/>
      <c r="W5723" s="3"/>
      <c r="X5723" s="3"/>
      <c r="Y5723" s="3"/>
      <c r="Z5723" s="3"/>
      <c r="AA5723" s="3"/>
    </row>
    <row r="5724" ht="105.75" customHeight="1">
      <c r="A5724" s="11"/>
      <c r="B5724" s="12"/>
      <c r="C5724" s="11"/>
      <c r="D5724" s="13"/>
      <c r="E5724" s="14"/>
      <c r="F5724" s="14"/>
      <c r="G5724" s="14"/>
      <c r="H5724" s="15"/>
      <c r="I5724" s="15"/>
      <c r="J5724" s="3"/>
      <c r="K5724" s="3"/>
      <c r="L5724" s="3"/>
      <c r="M5724" s="3"/>
      <c r="N5724" s="3"/>
      <c r="O5724" s="3"/>
      <c r="P5724" s="3"/>
      <c r="Q5724" s="3"/>
      <c r="R5724" s="3"/>
      <c r="S5724" s="3"/>
      <c r="T5724" s="3"/>
      <c r="U5724" s="3"/>
      <c r="V5724" s="3"/>
      <c r="W5724" s="3"/>
      <c r="X5724" s="3"/>
      <c r="Y5724" s="3"/>
      <c r="Z5724" s="3"/>
      <c r="AA5724" s="3"/>
    </row>
    <row r="5725" ht="105.75" customHeight="1">
      <c r="A5725" s="11"/>
      <c r="B5725" s="12"/>
      <c r="C5725" s="11"/>
      <c r="D5725" s="13"/>
      <c r="E5725" s="14"/>
      <c r="F5725" s="14"/>
      <c r="G5725" s="14"/>
      <c r="H5725" s="15"/>
      <c r="I5725" s="15"/>
      <c r="J5725" s="3"/>
      <c r="K5725" s="3"/>
      <c r="L5725" s="3"/>
      <c r="M5725" s="3"/>
      <c r="N5725" s="3"/>
      <c r="O5725" s="3"/>
      <c r="P5725" s="3"/>
      <c r="Q5725" s="3"/>
      <c r="R5725" s="3"/>
      <c r="S5725" s="3"/>
      <c r="T5725" s="3"/>
      <c r="U5725" s="3"/>
      <c r="V5725" s="3"/>
      <c r="W5725" s="3"/>
      <c r="X5725" s="3"/>
      <c r="Y5725" s="3"/>
      <c r="Z5725" s="3"/>
      <c r="AA5725" s="3"/>
    </row>
    <row r="5726" ht="105.75" customHeight="1">
      <c r="A5726" s="11"/>
      <c r="B5726" s="12"/>
      <c r="C5726" s="11"/>
      <c r="D5726" s="13"/>
      <c r="E5726" s="14"/>
      <c r="F5726" s="14"/>
      <c r="G5726" s="14"/>
      <c r="H5726" s="15"/>
      <c r="I5726" s="15"/>
      <c r="J5726" s="3"/>
      <c r="K5726" s="3"/>
      <c r="L5726" s="3"/>
      <c r="M5726" s="3"/>
      <c r="N5726" s="3"/>
      <c r="O5726" s="3"/>
      <c r="P5726" s="3"/>
      <c r="Q5726" s="3"/>
      <c r="R5726" s="3"/>
      <c r="S5726" s="3"/>
      <c r="T5726" s="3"/>
      <c r="U5726" s="3"/>
      <c r="V5726" s="3"/>
      <c r="W5726" s="3"/>
      <c r="X5726" s="3"/>
      <c r="Y5726" s="3"/>
      <c r="Z5726" s="3"/>
      <c r="AA5726" s="3"/>
    </row>
    <row r="5727" ht="105.75" customHeight="1">
      <c r="A5727" s="11"/>
      <c r="B5727" s="12"/>
      <c r="C5727" s="11"/>
      <c r="D5727" s="13"/>
      <c r="E5727" s="14"/>
      <c r="F5727" s="14"/>
      <c r="G5727" s="14"/>
      <c r="H5727" s="15"/>
      <c r="I5727" s="15"/>
      <c r="J5727" s="3"/>
      <c r="K5727" s="3"/>
      <c r="L5727" s="3"/>
      <c r="M5727" s="3"/>
      <c r="N5727" s="3"/>
      <c r="O5727" s="3"/>
      <c r="P5727" s="3"/>
      <c r="Q5727" s="3"/>
      <c r="R5727" s="3"/>
      <c r="S5727" s="3"/>
      <c r="T5727" s="3"/>
      <c r="U5727" s="3"/>
      <c r="V5727" s="3"/>
      <c r="W5727" s="3"/>
      <c r="X5727" s="3"/>
      <c r="Y5727" s="3"/>
      <c r="Z5727" s="3"/>
      <c r="AA5727" s="3"/>
    </row>
    <row r="5728" ht="105.75" customHeight="1">
      <c r="A5728" s="11"/>
      <c r="B5728" s="12"/>
      <c r="C5728" s="11"/>
      <c r="D5728" s="13"/>
      <c r="E5728" s="14"/>
      <c r="F5728" s="14"/>
      <c r="G5728" s="14"/>
      <c r="H5728" s="15"/>
      <c r="I5728" s="15"/>
      <c r="J5728" s="3"/>
      <c r="K5728" s="3"/>
      <c r="L5728" s="3"/>
      <c r="M5728" s="3"/>
      <c r="N5728" s="3"/>
      <c r="O5728" s="3"/>
      <c r="P5728" s="3"/>
      <c r="Q5728" s="3"/>
      <c r="R5728" s="3"/>
      <c r="S5728" s="3"/>
      <c r="T5728" s="3"/>
      <c r="U5728" s="3"/>
      <c r="V5728" s="3"/>
      <c r="W5728" s="3"/>
      <c r="X5728" s="3"/>
      <c r="Y5728" s="3"/>
      <c r="Z5728" s="3"/>
      <c r="AA5728" s="3"/>
    </row>
    <row r="5729" ht="105.75" customHeight="1">
      <c r="A5729" s="11"/>
      <c r="B5729" s="12"/>
      <c r="C5729" s="11"/>
      <c r="D5729" s="13"/>
      <c r="E5729" s="14"/>
      <c r="F5729" s="14"/>
      <c r="G5729" s="14"/>
      <c r="H5729" s="15"/>
      <c r="I5729" s="15"/>
      <c r="J5729" s="3"/>
      <c r="K5729" s="3"/>
      <c r="L5729" s="3"/>
      <c r="M5729" s="3"/>
      <c r="N5729" s="3"/>
      <c r="O5729" s="3"/>
      <c r="P5729" s="3"/>
      <c r="Q5729" s="3"/>
      <c r="R5729" s="3"/>
      <c r="S5729" s="3"/>
      <c r="T5729" s="3"/>
      <c r="U5729" s="3"/>
      <c r="V5729" s="3"/>
      <c r="W5729" s="3"/>
      <c r="X5729" s="3"/>
      <c r="Y5729" s="3"/>
      <c r="Z5729" s="3"/>
      <c r="AA5729" s="3"/>
    </row>
    <row r="5730" ht="105.75" customHeight="1">
      <c r="A5730" s="11"/>
      <c r="B5730" s="12"/>
      <c r="C5730" s="11"/>
      <c r="D5730" s="13"/>
      <c r="E5730" s="14"/>
      <c r="F5730" s="14"/>
      <c r="G5730" s="14"/>
      <c r="H5730" s="15"/>
      <c r="I5730" s="15"/>
      <c r="J5730" s="3"/>
      <c r="K5730" s="3"/>
      <c r="L5730" s="3"/>
      <c r="M5730" s="3"/>
      <c r="N5730" s="3"/>
      <c r="O5730" s="3"/>
      <c r="P5730" s="3"/>
      <c r="Q5730" s="3"/>
      <c r="R5730" s="3"/>
      <c r="S5730" s="3"/>
      <c r="T5730" s="3"/>
      <c r="U5730" s="3"/>
      <c r="V5730" s="3"/>
      <c r="W5730" s="3"/>
      <c r="X5730" s="3"/>
      <c r="Y5730" s="3"/>
      <c r="Z5730" s="3"/>
      <c r="AA5730" s="3"/>
    </row>
    <row r="5731" ht="105.75" customHeight="1">
      <c r="A5731" s="11"/>
      <c r="B5731" s="12"/>
      <c r="C5731" s="11"/>
      <c r="D5731" s="13"/>
      <c r="E5731" s="14"/>
      <c r="F5731" s="14"/>
      <c r="G5731" s="14"/>
      <c r="H5731" s="15"/>
      <c r="I5731" s="15"/>
      <c r="J5731" s="3"/>
      <c r="K5731" s="3"/>
      <c r="L5731" s="3"/>
      <c r="M5731" s="3"/>
      <c r="N5731" s="3"/>
      <c r="O5731" s="3"/>
      <c r="P5731" s="3"/>
      <c r="Q5731" s="3"/>
      <c r="R5731" s="3"/>
      <c r="S5731" s="3"/>
      <c r="T5731" s="3"/>
      <c r="U5731" s="3"/>
      <c r="V5731" s="3"/>
      <c r="W5731" s="3"/>
      <c r="X5731" s="3"/>
      <c r="Y5731" s="3"/>
      <c r="Z5731" s="3"/>
      <c r="AA5731" s="3"/>
    </row>
    <row r="5732" ht="105.75" customHeight="1">
      <c r="A5732" s="11"/>
      <c r="B5732" s="12"/>
      <c r="C5732" s="11"/>
      <c r="D5732" s="13"/>
      <c r="E5732" s="14"/>
      <c r="F5732" s="14"/>
      <c r="G5732" s="14"/>
      <c r="H5732" s="15"/>
      <c r="I5732" s="15"/>
      <c r="J5732" s="3"/>
      <c r="K5732" s="3"/>
      <c r="L5732" s="3"/>
      <c r="M5732" s="3"/>
      <c r="N5732" s="3"/>
      <c r="O5732" s="3"/>
      <c r="P5732" s="3"/>
      <c r="Q5732" s="3"/>
      <c r="R5732" s="3"/>
      <c r="S5732" s="3"/>
      <c r="T5732" s="3"/>
      <c r="U5732" s="3"/>
      <c r="V5732" s="3"/>
      <c r="W5732" s="3"/>
      <c r="X5732" s="3"/>
      <c r="Y5732" s="3"/>
      <c r="Z5732" s="3"/>
      <c r="AA573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1.0"/>
    <col customWidth="1" min="3" max="3" width="64.75"/>
  </cols>
  <sheetData>
    <row r="1">
      <c r="A1" s="17" t="s">
        <v>509</v>
      </c>
      <c r="B1" s="1" t="s">
        <v>510</v>
      </c>
      <c r="C1" s="1" t="s">
        <v>511</v>
      </c>
      <c r="D1" s="18"/>
      <c r="E1" s="18"/>
      <c r="F1" s="18"/>
      <c r="G1" s="18"/>
      <c r="H1" s="18"/>
      <c r="I1" s="18"/>
      <c r="J1" s="18"/>
      <c r="K1" s="18"/>
      <c r="L1" s="18"/>
      <c r="M1" s="18"/>
      <c r="N1" s="18"/>
      <c r="O1" s="18"/>
      <c r="P1" s="18"/>
      <c r="Q1" s="18"/>
      <c r="R1" s="18"/>
      <c r="S1" s="18"/>
      <c r="T1" s="18"/>
      <c r="U1" s="18"/>
      <c r="V1" s="18"/>
      <c r="W1" s="18"/>
      <c r="X1" s="18"/>
      <c r="Y1" s="18"/>
      <c r="Z1" s="18"/>
    </row>
    <row r="2">
      <c r="A2" s="19">
        <v>1.0</v>
      </c>
      <c r="B2" s="3">
        <f>COUNTIF(dados!C2:C500, "=1")</f>
        <v>129</v>
      </c>
      <c r="C2" s="15" t="str">
        <f>IFERROR(__xludf.DUMMYFUNCTION("INDEX(SORT(UNIQUE(FILTER(dados!I2:I500, dados!C2:C500=1))), COUNTIF(FILTER(dados!I2:I500, dados!C2:C500=1), UNIQUE(FILTER(dados!I2:I500, dados!C2:C500=1))), 1)"),"A coleta de dados neste aplicativo é sinistra O contrato de usuário tem a mesma função do Facebook onde eles literalmente possuem suas imagens e conteúdo e pode usá la comercialmente Agora não posso excluí lo sem excluir meu Instagram Se você é um artista"&amp;" evite este aplicativo a todo custo Todo mundo vá para as configurações de Alloance de dados do telefone e desative todas as permissões de dados para o aplicativo Não interrompe a mineração de dados mas pode ajudar Muito perigoso para segurança do usuário")</f>
        <v>A coleta de dados neste aplicativo é sinistra O contrato de usuário tem a mesma função do Facebook onde eles literalmente possuem suas imagens e conteúdo e pode usá la comercialmente Agora não posso excluí lo sem excluir meu Instagram Se você é um artista evite este aplicativo a todo custo Todo mundo vá para as configurações de Alloance de dados do telefone e desative todas as permissões de dados para o aplicativo Não interrompe a mineração de dados mas pode ajudar Muito perigoso para segurança do usuário</v>
      </c>
      <c r="D2" s="18"/>
      <c r="E2" s="18"/>
      <c r="F2" s="18"/>
      <c r="G2" s="18"/>
      <c r="H2" s="18"/>
      <c r="I2" s="18"/>
      <c r="J2" s="18"/>
      <c r="K2" s="18"/>
      <c r="L2" s="18"/>
      <c r="M2" s="18"/>
      <c r="N2" s="18"/>
      <c r="O2" s="18"/>
      <c r="P2" s="18"/>
      <c r="Q2" s="18"/>
      <c r="R2" s="18"/>
      <c r="S2" s="18"/>
      <c r="T2" s="18"/>
      <c r="U2" s="18"/>
      <c r="V2" s="18"/>
      <c r="W2" s="18"/>
      <c r="X2" s="18"/>
      <c r="Y2" s="18"/>
      <c r="Z2" s="18"/>
    </row>
    <row r="3">
      <c r="A3" s="19">
        <v>2.0</v>
      </c>
      <c r="B3" s="20">
        <f>COUNTIF(dados!C2:C500, "=2")</f>
        <v>96</v>
      </c>
      <c r="C3" s="15" t="str">
        <f>IFERROR(__xludf.DUMMYFUNCTION("INDEX(SORT(UNIQUE(FILTER(dados!I2:I500, dados!C2:C500=2))), COUNTIF(FILTER(dados!I2:I500, dados!C2:C500=2), UNIQUE(FILTER(dados!I2:I500, dados!C2:C500=2))), 1)"),"A experiência do usuário é muito boa em comparação com o Twitter mas alguns recursos estão faltando por exemplo não posso no meu perfil as pessoas que estou seguindo e também não consigo ver outros seguintes espero que esse recurso chegue em breve e o log"&amp;"otipo do aplicativo não parece profissional Espero que eles não acresçam muito conteúdo promovido como o Twitter")</f>
        <v>A experiência do usuário é muito boa em comparação com o Twitter mas alguns recursos estão faltando por exemplo não posso no meu perfil as pessoas que estou seguindo e também não consigo ver outros seguintes espero que esse recurso chegue em breve e o logotipo do aplicativo não parece profissional Espero que eles não acresçam muito conteúdo promovido como o Twitter</v>
      </c>
      <c r="D3" s="18"/>
      <c r="E3" s="18"/>
      <c r="F3" s="18"/>
      <c r="G3" s="18"/>
      <c r="H3" s="18"/>
      <c r="I3" s="18"/>
      <c r="J3" s="18"/>
      <c r="K3" s="18"/>
      <c r="L3" s="18"/>
      <c r="M3" s="18"/>
      <c r="N3" s="18"/>
      <c r="O3" s="18"/>
      <c r="P3" s="18"/>
      <c r="Q3" s="18"/>
      <c r="R3" s="18"/>
      <c r="S3" s="18"/>
      <c r="T3" s="18"/>
      <c r="U3" s="18"/>
      <c r="V3" s="18"/>
      <c r="W3" s="18"/>
      <c r="X3" s="18"/>
      <c r="Y3" s="18"/>
      <c r="Z3" s="18"/>
    </row>
    <row r="4">
      <c r="A4" s="19">
        <v>3.0</v>
      </c>
      <c r="B4" s="20">
        <f>COUNTIF(dados!C2:C500, "=3")</f>
        <v>147</v>
      </c>
      <c r="C4" s="15" t="str">
        <f>IFERROR(__xludf.DUMMYFUNCTION("INDEX(SORT(UNIQUE(FILTER(dados!I2:I500, dados!C2:C500=3))), COUNTIF(FILTER(dados!I2:I500, dados!C2:C500=3), UNIQUE(FILTER(dados!I2:I500, dados!C2:C500=3))), 1)"),"A experiência do usuário até agora é boa limpa e arrumada e fácil de navegar meu maior problema com ele que não há modo escuro até agora e as pessoas que seguem você podem encontrar facilmente e segui lo o que é uma coisa que Devo escolher em vez do siste"&amp;"ma escolher para mim reconheço que é um aplicativo do Instagram mas quando se trata da escolha do usuário é melhor deixar as seguintes coisas os usuários não automaticamente você encontra a mesma lista que migra para tópicos")</f>
        <v>A experiência do usuário até agora é boa limpa e arrumada e fácil de navegar meu maior problema com ele que não há modo escuro até agora e as pessoas que seguem você podem encontrar facilmente e segui lo o que é uma coisa que Devo escolher em vez do sistema escolher para mim reconheço que é um aplicativo do Instagram mas quando se trata da escolha do usuário é melhor deixar as seguintes coisas os usuários não automaticamente você encontra a mesma lista que migra para tópicos</v>
      </c>
      <c r="D4" s="18"/>
      <c r="E4" s="18"/>
      <c r="F4" s="18"/>
      <c r="G4" s="18"/>
      <c r="H4" s="18"/>
      <c r="I4" s="18"/>
      <c r="J4" s="18"/>
      <c r="K4" s="18"/>
      <c r="L4" s="18"/>
      <c r="M4" s="18"/>
      <c r="N4" s="18"/>
      <c r="O4" s="18"/>
      <c r="P4" s="18"/>
      <c r="Q4" s="18"/>
      <c r="R4" s="18"/>
      <c r="S4" s="18"/>
      <c r="T4" s="18"/>
      <c r="U4" s="18"/>
      <c r="V4" s="18"/>
      <c r="W4" s="18"/>
      <c r="X4" s="18"/>
      <c r="Y4" s="18"/>
      <c r="Z4" s="18"/>
    </row>
    <row r="5">
      <c r="A5" s="19">
        <v>4.0</v>
      </c>
      <c r="B5" s="20">
        <f>COUNTIF(dados!C2:C500, "=4")</f>
        <v>93</v>
      </c>
      <c r="C5" s="15" t="str">
        <f>IFERROR(__xludf.DUMMYFUNCTION("INDEX(SORT(UNIQUE(FILTER(dados!I2:I500, dados!C2:C500=4))), COUNTIF(FILTER(dados!I2:I500, dados!C2:C500=4), UNIQUE(FILTER(dados!I2:I500, dados!C2:C500=4))), 1)"),"A ideia do aplicativo é divertida Parece um espaço seguro onde as pessoas estão compartilhando pensamentos e idéias Existem alguns bugs senta frequentemente e ele diminuiu o IG também Mas é um novo aplicativo Ainda não estou esperando a perfeição pois foi"&amp;" lançada apenas uma semana atrás")</f>
        <v>A ideia do aplicativo é divertida Parece um espaço seguro onde as pessoas estão compartilhando pensamentos e idéias Existem alguns bugs senta frequentemente e ele diminuiu o IG também Mas é um novo aplicativo Ainda não estou esperando a perfeição pois foi lançada apenas uma semana atrás</v>
      </c>
      <c r="D5" s="18"/>
      <c r="E5" s="18"/>
      <c r="F5" s="18"/>
      <c r="G5" s="18"/>
      <c r="H5" s="18"/>
      <c r="I5" s="18"/>
      <c r="J5" s="18"/>
      <c r="K5" s="18"/>
      <c r="L5" s="18"/>
      <c r="M5" s="18"/>
      <c r="N5" s="18"/>
      <c r="O5" s="18"/>
      <c r="P5" s="18"/>
      <c r="Q5" s="18"/>
      <c r="R5" s="18"/>
      <c r="S5" s="18"/>
      <c r="T5" s="18"/>
      <c r="U5" s="18"/>
      <c r="V5" s="18"/>
      <c r="W5" s="18"/>
      <c r="X5" s="18"/>
      <c r="Y5" s="18"/>
      <c r="Z5" s="18"/>
    </row>
    <row r="6">
      <c r="A6" s="17">
        <v>5.0</v>
      </c>
      <c r="B6" s="21">
        <f>COUNTIF(dados!C2:C500, "=5")</f>
        <v>34</v>
      </c>
      <c r="C6" s="22" t="str">
        <f>IFERROR(__xludf.DUMMYFUNCTION("INDEX(SORT(UNIQUE(FILTER(dados!I2:I500, dados!C2:C500=5))), COUNTIF(FILTER(dados!I2:I500, dados!C2:C500=5), UNIQUE(FILTER(dados!I2:I500, dados!C2:C500=5))), 1)"),"A interface do usuário é realmente incrível suave e livre de atraso diferente da interface do usuário do Twitter Isso é realmente uma coisa boa pois a experiência lenta e sem problemas pode ser tão irritante")</f>
        <v>A interface do usuário é realmente incrível suave e livre de atraso diferente da interface do usuário do Twitter Isso é realmente uma coisa boa pois a experiência lenta e sem problemas pode ser tão irritante</v>
      </c>
      <c r="D6" s="18"/>
      <c r="E6" s="18"/>
      <c r="F6" s="18"/>
      <c r="G6" s="18"/>
      <c r="H6" s="18"/>
      <c r="I6" s="18"/>
      <c r="J6" s="18"/>
      <c r="K6" s="18"/>
      <c r="L6" s="18"/>
      <c r="M6" s="18"/>
      <c r="N6" s="18"/>
      <c r="O6" s="18"/>
      <c r="P6" s="18"/>
      <c r="Q6" s="18"/>
      <c r="R6" s="18"/>
      <c r="S6" s="18"/>
      <c r="T6" s="18"/>
      <c r="U6" s="18"/>
      <c r="V6" s="18"/>
      <c r="W6" s="18"/>
      <c r="X6" s="18"/>
      <c r="Y6" s="18"/>
      <c r="Z6" s="18"/>
    </row>
    <row r="7">
      <c r="A7" s="3"/>
      <c r="B7" s="3"/>
      <c r="C7" s="3"/>
      <c r="D7" s="18"/>
      <c r="E7" s="18"/>
      <c r="F7" s="18"/>
      <c r="G7" s="18"/>
      <c r="H7" s="18"/>
      <c r="I7" s="18"/>
      <c r="J7" s="18"/>
      <c r="K7" s="18"/>
      <c r="L7" s="18"/>
      <c r="M7" s="18"/>
      <c r="N7" s="18"/>
      <c r="O7" s="18"/>
      <c r="P7" s="18"/>
      <c r="Q7" s="18"/>
      <c r="R7" s="18"/>
      <c r="S7" s="18"/>
      <c r="T7" s="18"/>
      <c r="U7" s="18"/>
      <c r="V7" s="18"/>
      <c r="W7" s="18"/>
      <c r="X7" s="18"/>
      <c r="Y7" s="18"/>
      <c r="Z7" s="18"/>
    </row>
    <row r="8">
      <c r="A8" s="17" t="s">
        <v>512</v>
      </c>
      <c r="B8" s="1" t="s">
        <v>510</v>
      </c>
      <c r="C8" s="3"/>
      <c r="D8" s="18"/>
      <c r="E8" s="18"/>
      <c r="F8" s="18"/>
      <c r="G8" s="18"/>
      <c r="H8" s="18"/>
      <c r="I8" s="18"/>
      <c r="J8" s="18"/>
      <c r="K8" s="18"/>
      <c r="L8" s="18"/>
      <c r="M8" s="18"/>
      <c r="N8" s="18"/>
      <c r="O8" s="18"/>
      <c r="P8" s="18"/>
      <c r="Q8" s="18"/>
      <c r="R8" s="18"/>
      <c r="S8" s="18"/>
      <c r="T8" s="18"/>
      <c r="U8" s="18"/>
      <c r="V8" s="18"/>
      <c r="W8" s="18"/>
      <c r="X8" s="18"/>
      <c r="Y8" s="18"/>
      <c r="Z8" s="18"/>
    </row>
    <row r="9">
      <c r="A9" s="19" t="s">
        <v>513</v>
      </c>
      <c r="B9" s="23">
        <f>COUNTIF(dados!G2:G500, "=Manhã")</f>
        <v>222</v>
      </c>
      <c r="C9" s="3"/>
      <c r="D9" s="18"/>
      <c r="E9" s="18"/>
      <c r="F9" s="18"/>
      <c r="G9" s="18"/>
      <c r="H9" s="18"/>
      <c r="I9" s="18"/>
      <c r="J9" s="18"/>
      <c r="K9" s="18"/>
      <c r="L9" s="18"/>
      <c r="M9" s="18"/>
      <c r="N9" s="18"/>
      <c r="O9" s="18"/>
      <c r="P9" s="18"/>
      <c r="Q9" s="18"/>
      <c r="R9" s="18"/>
      <c r="S9" s="18"/>
      <c r="T9" s="18"/>
      <c r="U9" s="18"/>
      <c r="V9" s="18"/>
      <c r="W9" s="18"/>
      <c r="X9" s="18"/>
      <c r="Y9" s="18"/>
      <c r="Z9" s="18"/>
    </row>
    <row r="10">
      <c r="A10" s="19" t="s">
        <v>514</v>
      </c>
      <c r="B10" s="23">
        <f>COUNTIF(dados!G2:G500, "=Tarde")</f>
        <v>167</v>
      </c>
      <c r="C10" s="3"/>
      <c r="D10" s="18"/>
      <c r="E10" s="18"/>
      <c r="F10" s="18"/>
      <c r="G10" s="18"/>
      <c r="H10" s="18"/>
      <c r="I10" s="18"/>
      <c r="J10" s="18"/>
      <c r="K10" s="18"/>
      <c r="L10" s="18"/>
      <c r="M10" s="18"/>
      <c r="N10" s="18"/>
      <c r="O10" s="18"/>
      <c r="P10" s="18"/>
      <c r="Q10" s="18"/>
      <c r="R10" s="18"/>
      <c r="S10" s="18"/>
      <c r="T10" s="18"/>
      <c r="U10" s="18"/>
      <c r="V10" s="18"/>
      <c r="W10" s="18"/>
      <c r="X10" s="18"/>
      <c r="Y10" s="18"/>
      <c r="Z10" s="18"/>
    </row>
    <row r="11">
      <c r="A11" s="17" t="s">
        <v>515</v>
      </c>
      <c r="B11" s="24">
        <f>COUNTIF(dados!G2:G500, "=Noite")</f>
        <v>110</v>
      </c>
      <c r="C11" s="3"/>
      <c r="D11" s="18"/>
      <c r="E11" s="18"/>
      <c r="F11" s="18"/>
      <c r="G11" s="18"/>
      <c r="H11" s="18"/>
      <c r="I11" s="18"/>
      <c r="J11" s="18"/>
      <c r="K11" s="18"/>
      <c r="L11" s="18"/>
      <c r="M11" s="18"/>
      <c r="N11" s="18"/>
      <c r="O11" s="18"/>
      <c r="P11" s="18"/>
      <c r="Q11" s="18"/>
      <c r="R11" s="18"/>
      <c r="S11" s="18"/>
      <c r="T11" s="18"/>
      <c r="U11" s="18"/>
      <c r="V11" s="18"/>
      <c r="W11" s="18"/>
      <c r="X11" s="18"/>
      <c r="Y11" s="18"/>
      <c r="Z11" s="18"/>
    </row>
    <row r="12">
      <c r="A12" s="3"/>
      <c r="B12" s="3"/>
      <c r="C12" s="3"/>
      <c r="D12" s="18"/>
      <c r="E12" s="18"/>
      <c r="F12" s="18"/>
      <c r="G12" s="18"/>
      <c r="H12" s="18"/>
      <c r="I12" s="18"/>
      <c r="J12" s="18"/>
      <c r="K12" s="18"/>
      <c r="L12" s="18"/>
      <c r="M12" s="18"/>
      <c r="N12" s="18"/>
      <c r="O12" s="18"/>
      <c r="P12" s="18"/>
      <c r="Q12" s="18"/>
      <c r="R12" s="18"/>
      <c r="S12" s="18"/>
      <c r="T12" s="18"/>
      <c r="U12" s="18"/>
      <c r="V12" s="18"/>
      <c r="W12" s="18"/>
      <c r="X12" s="18"/>
      <c r="Y12" s="18"/>
      <c r="Z12" s="18"/>
    </row>
    <row r="13">
      <c r="A13" s="3"/>
      <c r="B13" s="3"/>
      <c r="C13" s="3"/>
      <c r="D13" s="18"/>
      <c r="E13" s="18"/>
      <c r="F13" s="18"/>
      <c r="G13" s="18"/>
      <c r="H13" s="18"/>
      <c r="I13" s="18"/>
      <c r="J13" s="18"/>
      <c r="K13" s="18"/>
      <c r="L13" s="18"/>
      <c r="M13" s="18"/>
      <c r="N13" s="18"/>
      <c r="O13" s="18"/>
      <c r="P13" s="18"/>
      <c r="Q13" s="18"/>
      <c r="R13" s="18"/>
      <c r="S13" s="18"/>
      <c r="T13" s="18"/>
      <c r="U13" s="18"/>
      <c r="V13" s="18"/>
      <c r="W13" s="18"/>
      <c r="X13" s="18"/>
      <c r="Y13" s="18"/>
      <c r="Z13" s="18"/>
    </row>
    <row r="14">
      <c r="A14" s="3"/>
      <c r="B14" s="3"/>
      <c r="C14" s="3"/>
      <c r="D14" s="18"/>
      <c r="E14" s="18"/>
      <c r="F14" s="18"/>
      <c r="G14" s="18"/>
      <c r="H14" s="18"/>
      <c r="I14" s="18"/>
      <c r="J14" s="18"/>
      <c r="K14" s="18"/>
      <c r="L14" s="18"/>
      <c r="M14" s="18"/>
      <c r="N14" s="18"/>
      <c r="O14" s="18"/>
      <c r="P14" s="18"/>
      <c r="Q14" s="18"/>
      <c r="R14" s="18"/>
      <c r="S14" s="18"/>
      <c r="T14" s="18"/>
      <c r="U14" s="18"/>
      <c r="V14" s="18"/>
      <c r="W14" s="18"/>
      <c r="X14" s="18"/>
      <c r="Y14" s="18"/>
      <c r="Z14" s="18"/>
    </row>
    <row r="15">
      <c r="A15" s="3"/>
      <c r="B15" s="3"/>
      <c r="C15" s="3"/>
      <c r="D15" s="18"/>
      <c r="E15" s="18"/>
      <c r="F15" s="18"/>
      <c r="G15" s="18"/>
      <c r="H15" s="18"/>
      <c r="I15" s="18"/>
      <c r="J15" s="18"/>
      <c r="K15" s="18"/>
      <c r="L15" s="18"/>
      <c r="M15" s="18"/>
      <c r="N15" s="18"/>
      <c r="O15" s="18"/>
      <c r="P15" s="18"/>
      <c r="Q15" s="18"/>
      <c r="R15" s="18"/>
      <c r="S15" s="18"/>
      <c r="T15" s="18"/>
      <c r="U15" s="18"/>
      <c r="V15" s="18"/>
      <c r="W15" s="18"/>
      <c r="X15" s="18"/>
      <c r="Y15" s="18"/>
      <c r="Z15" s="18"/>
    </row>
    <row r="16">
      <c r="A16" s="3"/>
      <c r="B16" s="3"/>
      <c r="C16" s="3"/>
      <c r="D16" s="18"/>
      <c r="E16" s="18"/>
      <c r="F16" s="18"/>
      <c r="G16" s="18"/>
      <c r="H16" s="18"/>
      <c r="I16" s="18"/>
      <c r="J16" s="18"/>
      <c r="K16" s="18"/>
      <c r="L16" s="18"/>
      <c r="M16" s="18"/>
      <c r="N16" s="18"/>
      <c r="O16" s="18"/>
      <c r="P16" s="18"/>
      <c r="Q16" s="18"/>
      <c r="R16" s="18"/>
      <c r="S16" s="18"/>
      <c r="T16" s="18"/>
      <c r="U16" s="18"/>
      <c r="V16" s="18"/>
      <c r="W16" s="18"/>
      <c r="X16" s="18"/>
      <c r="Y16" s="18"/>
      <c r="Z16" s="18"/>
    </row>
    <row r="17">
      <c r="A17" s="3"/>
      <c r="B17" s="3"/>
      <c r="C17" s="3"/>
      <c r="D17" s="18"/>
      <c r="E17" s="18"/>
      <c r="F17" s="18"/>
      <c r="G17" s="18"/>
      <c r="H17" s="18"/>
      <c r="I17" s="18"/>
      <c r="J17" s="18"/>
      <c r="K17" s="18"/>
      <c r="L17" s="18"/>
      <c r="M17" s="18"/>
      <c r="N17" s="18"/>
      <c r="O17" s="18"/>
      <c r="P17" s="18"/>
      <c r="Q17" s="18"/>
      <c r="R17" s="18"/>
      <c r="S17" s="18"/>
      <c r="T17" s="18"/>
      <c r="U17" s="18"/>
      <c r="V17" s="18"/>
      <c r="W17" s="18"/>
      <c r="X17" s="18"/>
      <c r="Y17" s="18"/>
      <c r="Z17" s="18"/>
    </row>
    <row r="18">
      <c r="A18" s="3"/>
      <c r="B18" s="3"/>
      <c r="C18" s="3"/>
      <c r="D18" s="18"/>
      <c r="E18" s="18"/>
      <c r="F18" s="18"/>
      <c r="G18" s="18"/>
      <c r="H18" s="18"/>
      <c r="I18" s="18"/>
      <c r="J18" s="18"/>
      <c r="K18" s="18"/>
      <c r="L18" s="18"/>
      <c r="M18" s="18"/>
      <c r="N18" s="18"/>
      <c r="O18" s="18"/>
      <c r="P18" s="18"/>
      <c r="Q18" s="18"/>
      <c r="R18" s="18"/>
      <c r="S18" s="18"/>
      <c r="T18" s="18"/>
      <c r="U18" s="18"/>
      <c r="V18" s="18"/>
      <c r="W18" s="18"/>
      <c r="X18" s="18"/>
      <c r="Y18" s="18"/>
      <c r="Z18" s="18"/>
    </row>
    <row r="19">
      <c r="A19" s="3"/>
      <c r="B19" s="3"/>
      <c r="C19" s="3"/>
      <c r="D19" s="18"/>
      <c r="E19" s="18"/>
      <c r="F19" s="18"/>
      <c r="G19" s="18"/>
      <c r="H19" s="18"/>
      <c r="I19" s="18"/>
      <c r="J19" s="18"/>
      <c r="K19" s="18"/>
      <c r="L19" s="18"/>
      <c r="M19" s="18"/>
      <c r="N19" s="18"/>
      <c r="O19" s="18"/>
      <c r="P19" s="18"/>
      <c r="Q19" s="18"/>
      <c r="R19" s="18"/>
      <c r="S19" s="18"/>
      <c r="T19" s="18"/>
      <c r="U19" s="18"/>
      <c r="V19" s="18"/>
      <c r="W19" s="18"/>
      <c r="X19" s="18"/>
      <c r="Y19" s="18"/>
      <c r="Z19" s="18"/>
    </row>
    <row r="20">
      <c r="A20" s="3"/>
      <c r="B20" s="3"/>
      <c r="C20" s="3"/>
      <c r="D20" s="18"/>
      <c r="E20" s="18"/>
      <c r="F20" s="18"/>
      <c r="G20" s="18"/>
      <c r="H20" s="18"/>
      <c r="I20" s="18"/>
      <c r="J20" s="18"/>
      <c r="K20" s="18"/>
      <c r="L20" s="18"/>
      <c r="M20" s="18"/>
      <c r="N20" s="18"/>
      <c r="O20" s="18"/>
      <c r="P20" s="18"/>
      <c r="Q20" s="18"/>
      <c r="R20" s="18"/>
      <c r="S20" s="18"/>
      <c r="T20" s="18"/>
      <c r="U20" s="18"/>
      <c r="V20" s="18"/>
      <c r="W20" s="18"/>
      <c r="X20" s="18"/>
      <c r="Y20" s="18"/>
      <c r="Z20" s="18"/>
    </row>
    <row r="21">
      <c r="A21" s="3"/>
      <c r="B21" s="3"/>
      <c r="C21" s="3"/>
      <c r="D21" s="18"/>
      <c r="E21" s="18"/>
      <c r="F21" s="18"/>
      <c r="G21" s="18"/>
      <c r="H21" s="18"/>
      <c r="I21" s="18"/>
      <c r="J21" s="18"/>
      <c r="K21" s="18"/>
      <c r="L21" s="18"/>
      <c r="M21" s="18"/>
      <c r="N21" s="18"/>
      <c r="O21" s="18"/>
      <c r="P21" s="18"/>
      <c r="Q21" s="18"/>
      <c r="R21" s="18"/>
      <c r="S21" s="18"/>
      <c r="T21" s="18"/>
      <c r="U21" s="18"/>
      <c r="V21" s="18"/>
      <c r="W21" s="18"/>
      <c r="X21" s="18"/>
      <c r="Y21" s="18"/>
      <c r="Z21" s="18"/>
    </row>
    <row r="22">
      <c r="A22" s="3"/>
      <c r="B22" s="3"/>
      <c r="C22" s="3"/>
      <c r="D22" s="18"/>
      <c r="E22" s="18"/>
      <c r="F22" s="18"/>
      <c r="G22" s="18"/>
      <c r="H22" s="18"/>
      <c r="I22" s="18"/>
      <c r="J22" s="18"/>
      <c r="K22" s="18"/>
      <c r="L22" s="18"/>
      <c r="M22" s="18"/>
      <c r="N22" s="18"/>
      <c r="O22" s="18"/>
      <c r="P22" s="18"/>
      <c r="Q22" s="18"/>
      <c r="R22" s="18"/>
      <c r="S22" s="18"/>
      <c r="T22" s="18"/>
      <c r="U22" s="18"/>
      <c r="V22" s="18"/>
      <c r="W22" s="18"/>
      <c r="X22" s="18"/>
      <c r="Y22" s="18"/>
      <c r="Z22" s="18"/>
    </row>
    <row r="23">
      <c r="A23" s="3"/>
      <c r="B23" s="3"/>
      <c r="C23" s="3"/>
      <c r="D23" s="18"/>
      <c r="E23" s="18"/>
      <c r="F23" s="18"/>
      <c r="G23" s="18"/>
      <c r="H23" s="18"/>
      <c r="I23" s="18"/>
      <c r="J23" s="18"/>
      <c r="K23" s="18"/>
      <c r="L23" s="18"/>
      <c r="M23" s="18"/>
      <c r="N23" s="18"/>
      <c r="O23" s="18"/>
      <c r="P23" s="18"/>
      <c r="Q23" s="18"/>
      <c r="R23" s="18"/>
      <c r="S23" s="18"/>
      <c r="T23" s="18"/>
      <c r="U23" s="18"/>
      <c r="V23" s="18"/>
      <c r="W23" s="18"/>
      <c r="X23" s="18"/>
      <c r="Y23" s="18"/>
      <c r="Z23" s="18"/>
    </row>
    <row r="24">
      <c r="A24" s="3"/>
      <c r="B24" s="3"/>
      <c r="C24" s="3"/>
      <c r="D24" s="18"/>
      <c r="E24" s="18"/>
      <c r="F24" s="18"/>
      <c r="G24" s="18"/>
      <c r="H24" s="18"/>
      <c r="I24" s="18"/>
      <c r="J24" s="18"/>
      <c r="K24" s="18"/>
      <c r="L24" s="18"/>
      <c r="M24" s="18"/>
      <c r="N24" s="18"/>
      <c r="O24" s="18"/>
      <c r="P24" s="18"/>
      <c r="Q24" s="18"/>
      <c r="R24" s="18"/>
      <c r="S24" s="18"/>
      <c r="T24" s="18"/>
      <c r="U24" s="18"/>
      <c r="V24" s="18"/>
      <c r="W24" s="18"/>
      <c r="X24" s="18"/>
      <c r="Y24" s="18"/>
      <c r="Z24" s="18"/>
    </row>
    <row r="25">
      <c r="A25" s="3"/>
      <c r="B25" s="3"/>
      <c r="C25" s="3"/>
      <c r="D25" s="18"/>
      <c r="E25" s="18"/>
      <c r="F25" s="18"/>
      <c r="G25" s="18"/>
      <c r="H25" s="18"/>
      <c r="I25" s="18"/>
      <c r="J25" s="18"/>
      <c r="K25" s="18"/>
      <c r="L25" s="18"/>
      <c r="M25" s="18"/>
      <c r="N25" s="18"/>
      <c r="O25" s="18"/>
      <c r="P25" s="18"/>
      <c r="Q25" s="18"/>
      <c r="R25" s="18"/>
      <c r="S25" s="18"/>
      <c r="T25" s="18"/>
      <c r="U25" s="18"/>
      <c r="V25" s="18"/>
      <c r="W25" s="18"/>
      <c r="X25" s="18"/>
      <c r="Y25" s="18"/>
      <c r="Z25" s="18"/>
    </row>
    <row r="26">
      <c r="A26" s="3"/>
      <c r="B26" s="3"/>
      <c r="C26" s="3"/>
      <c r="D26" s="18"/>
      <c r="E26" s="18"/>
      <c r="F26" s="18"/>
      <c r="G26" s="18"/>
      <c r="H26" s="18"/>
      <c r="I26" s="18"/>
      <c r="J26" s="18"/>
      <c r="K26" s="18"/>
      <c r="L26" s="18"/>
      <c r="M26" s="18"/>
      <c r="N26" s="18"/>
      <c r="O26" s="18"/>
      <c r="P26" s="18"/>
      <c r="Q26" s="18"/>
      <c r="R26" s="18"/>
      <c r="S26" s="18"/>
      <c r="T26" s="18"/>
      <c r="U26" s="18"/>
      <c r="V26" s="18"/>
      <c r="W26" s="18"/>
      <c r="X26" s="18"/>
      <c r="Y26" s="18"/>
      <c r="Z26" s="18"/>
    </row>
    <row r="27">
      <c r="A27" s="3"/>
      <c r="B27" s="3"/>
      <c r="C27" s="3"/>
      <c r="D27" s="18"/>
      <c r="E27" s="18"/>
      <c r="F27" s="18"/>
      <c r="G27" s="18"/>
      <c r="H27" s="18"/>
      <c r="I27" s="18"/>
      <c r="J27" s="18"/>
      <c r="K27" s="18"/>
      <c r="L27" s="18"/>
      <c r="M27" s="18"/>
      <c r="N27" s="18"/>
      <c r="O27" s="18"/>
      <c r="P27" s="18"/>
      <c r="Q27" s="18"/>
      <c r="R27" s="18"/>
      <c r="S27" s="18"/>
      <c r="T27" s="18"/>
      <c r="U27" s="18"/>
      <c r="V27" s="18"/>
      <c r="W27" s="18"/>
      <c r="X27" s="18"/>
      <c r="Y27" s="18"/>
      <c r="Z27" s="18"/>
    </row>
    <row r="28">
      <c r="A28" s="3"/>
      <c r="B28" s="3"/>
      <c r="C28" s="3"/>
      <c r="D28" s="18"/>
      <c r="E28" s="18"/>
      <c r="F28" s="18"/>
      <c r="G28" s="18"/>
      <c r="H28" s="18"/>
      <c r="I28" s="18"/>
      <c r="J28" s="18"/>
      <c r="K28" s="18"/>
      <c r="L28" s="18"/>
      <c r="M28" s="18"/>
      <c r="N28" s="18"/>
      <c r="O28" s="18"/>
      <c r="P28" s="18"/>
      <c r="Q28" s="18"/>
      <c r="R28" s="18"/>
      <c r="S28" s="18"/>
      <c r="T28" s="18"/>
      <c r="U28" s="18"/>
      <c r="V28" s="18"/>
      <c r="W28" s="18"/>
      <c r="X28" s="18"/>
      <c r="Y28" s="18"/>
      <c r="Z28" s="18"/>
    </row>
    <row r="29">
      <c r="A29" s="3"/>
      <c r="B29" s="3"/>
      <c r="C29" s="3"/>
      <c r="D29" s="18"/>
      <c r="E29" s="18"/>
      <c r="F29" s="18"/>
      <c r="G29" s="18"/>
      <c r="H29" s="18"/>
      <c r="I29" s="18"/>
      <c r="J29" s="18"/>
      <c r="K29" s="18"/>
      <c r="L29" s="18"/>
      <c r="M29" s="18"/>
      <c r="N29" s="18"/>
      <c r="O29" s="18"/>
      <c r="P29" s="18"/>
      <c r="Q29" s="18"/>
      <c r="R29" s="18"/>
      <c r="S29" s="18"/>
      <c r="T29" s="18"/>
      <c r="U29" s="18"/>
      <c r="V29" s="18"/>
      <c r="W29" s="18"/>
      <c r="X29" s="18"/>
      <c r="Y29" s="18"/>
      <c r="Z29" s="18"/>
    </row>
    <row r="30">
      <c r="A30" s="3"/>
      <c r="B30" s="3"/>
      <c r="C30" s="3"/>
      <c r="D30" s="18"/>
      <c r="E30" s="18"/>
      <c r="F30" s="18"/>
      <c r="G30" s="18"/>
      <c r="H30" s="18"/>
      <c r="I30" s="18"/>
      <c r="J30" s="18"/>
      <c r="K30" s="18"/>
      <c r="L30" s="18"/>
      <c r="M30" s="18"/>
      <c r="N30" s="18"/>
      <c r="O30" s="18"/>
      <c r="P30" s="18"/>
      <c r="Q30" s="18"/>
      <c r="R30" s="18"/>
      <c r="S30" s="18"/>
      <c r="T30" s="18"/>
      <c r="U30" s="18"/>
      <c r="V30" s="18"/>
      <c r="W30" s="18"/>
      <c r="X30" s="18"/>
      <c r="Y30" s="18"/>
      <c r="Z30" s="18"/>
    </row>
    <row r="31">
      <c r="A31" s="3"/>
      <c r="B31" s="3"/>
      <c r="C31" s="3"/>
      <c r="D31" s="18"/>
      <c r="E31" s="18"/>
      <c r="F31" s="18"/>
      <c r="G31" s="18"/>
      <c r="H31" s="18"/>
      <c r="I31" s="18"/>
      <c r="J31" s="18"/>
      <c r="K31" s="18"/>
      <c r="L31" s="18"/>
      <c r="M31" s="18"/>
      <c r="N31" s="18"/>
      <c r="O31" s="18"/>
      <c r="P31" s="18"/>
      <c r="Q31" s="18"/>
      <c r="R31" s="18"/>
      <c r="S31" s="18"/>
      <c r="T31" s="18"/>
      <c r="U31" s="18"/>
      <c r="V31" s="18"/>
      <c r="W31" s="18"/>
      <c r="X31" s="18"/>
      <c r="Y31" s="18"/>
      <c r="Z31" s="18"/>
    </row>
    <row r="32">
      <c r="A32" s="3"/>
      <c r="B32" s="3"/>
      <c r="C32" s="3"/>
      <c r="D32" s="18"/>
      <c r="E32" s="18"/>
      <c r="F32" s="18"/>
      <c r="G32" s="18"/>
      <c r="H32" s="18"/>
      <c r="I32" s="18"/>
      <c r="J32" s="18"/>
      <c r="K32" s="18"/>
      <c r="L32" s="18"/>
      <c r="M32" s="18"/>
      <c r="N32" s="18"/>
      <c r="O32" s="18"/>
      <c r="P32" s="18"/>
      <c r="Q32" s="18"/>
      <c r="R32" s="18"/>
      <c r="S32" s="18"/>
      <c r="T32" s="18"/>
      <c r="U32" s="18"/>
      <c r="V32" s="18"/>
      <c r="W32" s="18"/>
      <c r="X32" s="18"/>
      <c r="Y32" s="18"/>
      <c r="Z32" s="18"/>
    </row>
    <row r="33">
      <c r="A33" s="3"/>
      <c r="B33" s="3"/>
      <c r="C33" s="3"/>
      <c r="D33" s="18"/>
      <c r="E33" s="18"/>
      <c r="F33" s="18"/>
      <c r="G33" s="18"/>
      <c r="H33" s="18"/>
      <c r="I33" s="18"/>
      <c r="J33" s="18"/>
      <c r="K33" s="18"/>
      <c r="L33" s="18"/>
      <c r="M33" s="18"/>
      <c r="N33" s="18"/>
      <c r="O33" s="18"/>
      <c r="P33" s="18"/>
      <c r="Q33" s="18"/>
      <c r="R33" s="18"/>
      <c r="S33" s="18"/>
      <c r="T33" s="18"/>
      <c r="U33" s="18"/>
      <c r="V33" s="18"/>
      <c r="W33" s="18"/>
      <c r="X33" s="18"/>
      <c r="Y33" s="18"/>
      <c r="Z33" s="18"/>
    </row>
    <row r="34">
      <c r="A34" s="3"/>
      <c r="B34" s="3"/>
      <c r="C34" s="3"/>
      <c r="D34" s="18"/>
      <c r="E34" s="18"/>
      <c r="F34" s="18"/>
      <c r="G34" s="18"/>
      <c r="H34" s="18"/>
      <c r="I34" s="18"/>
      <c r="J34" s="18"/>
      <c r="K34" s="18"/>
      <c r="L34" s="18"/>
      <c r="M34" s="18"/>
      <c r="N34" s="18"/>
      <c r="O34" s="18"/>
      <c r="P34" s="18"/>
      <c r="Q34" s="18"/>
      <c r="R34" s="18"/>
      <c r="S34" s="18"/>
      <c r="T34" s="18"/>
      <c r="U34" s="18"/>
      <c r="V34" s="18"/>
      <c r="W34" s="18"/>
      <c r="X34" s="18"/>
      <c r="Y34" s="18"/>
      <c r="Z34" s="18"/>
    </row>
    <row r="35">
      <c r="A35" s="3"/>
      <c r="B35" s="3"/>
      <c r="C35" s="3"/>
      <c r="D35" s="18"/>
      <c r="E35" s="18"/>
      <c r="F35" s="18"/>
      <c r="G35" s="18"/>
      <c r="H35" s="18"/>
      <c r="I35" s="18"/>
      <c r="J35" s="18"/>
      <c r="K35" s="18"/>
      <c r="L35" s="18"/>
      <c r="M35" s="18"/>
      <c r="N35" s="18"/>
      <c r="O35" s="18"/>
      <c r="P35" s="18"/>
      <c r="Q35" s="18"/>
      <c r="R35" s="18"/>
      <c r="S35" s="18"/>
      <c r="T35" s="18"/>
      <c r="U35" s="18"/>
      <c r="V35" s="18"/>
      <c r="W35" s="18"/>
      <c r="X35" s="18"/>
      <c r="Y35" s="18"/>
      <c r="Z35" s="18"/>
    </row>
    <row r="36">
      <c r="A36" s="3"/>
      <c r="B36" s="3"/>
      <c r="C36" s="3"/>
      <c r="D36" s="18"/>
      <c r="E36" s="18"/>
      <c r="F36" s="18"/>
      <c r="G36" s="18"/>
      <c r="H36" s="18"/>
      <c r="I36" s="18"/>
      <c r="J36" s="18"/>
      <c r="K36" s="18"/>
      <c r="L36" s="18"/>
      <c r="M36" s="18"/>
      <c r="N36" s="18"/>
      <c r="O36" s="18"/>
      <c r="P36" s="18"/>
      <c r="Q36" s="18"/>
      <c r="R36" s="18"/>
      <c r="S36" s="18"/>
      <c r="T36" s="18"/>
      <c r="U36" s="18"/>
      <c r="V36" s="18"/>
      <c r="W36" s="18"/>
      <c r="X36" s="18"/>
      <c r="Y36" s="18"/>
      <c r="Z36" s="18"/>
    </row>
    <row r="37">
      <c r="A37" s="3"/>
      <c r="B37" s="3"/>
      <c r="C37" s="3"/>
      <c r="D37" s="18"/>
      <c r="E37" s="18"/>
      <c r="F37" s="18"/>
      <c r="G37" s="18"/>
      <c r="H37" s="18"/>
      <c r="I37" s="18"/>
      <c r="J37" s="18"/>
      <c r="K37" s="18"/>
      <c r="L37" s="18"/>
      <c r="M37" s="18"/>
      <c r="N37" s="18"/>
      <c r="O37" s="18"/>
      <c r="P37" s="18"/>
      <c r="Q37" s="18"/>
      <c r="R37" s="18"/>
      <c r="S37" s="18"/>
      <c r="T37" s="18"/>
      <c r="U37" s="18"/>
      <c r="V37" s="18"/>
      <c r="W37" s="18"/>
      <c r="X37" s="18"/>
      <c r="Y37" s="18"/>
      <c r="Z37" s="18"/>
    </row>
    <row r="38">
      <c r="A38" s="3"/>
      <c r="B38" s="3"/>
      <c r="C38" s="3"/>
      <c r="D38" s="18"/>
      <c r="E38" s="18"/>
      <c r="F38" s="18"/>
      <c r="G38" s="18"/>
      <c r="H38" s="18"/>
      <c r="I38" s="18"/>
      <c r="J38" s="18"/>
      <c r="K38" s="18"/>
      <c r="L38" s="18"/>
      <c r="M38" s="18"/>
      <c r="N38" s="18"/>
      <c r="O38" s="18"/>
      <c r="P38" s="18"/>
      <c r="Q38" s="18"/>
      <c r="R38" s="18"/>
      <c r="S38" s="18"/>
      <c r="T38" s="18"/>
      <c r="U38" s="18"/>
      <c r="V38" s="18"/>
      <c r="W38" s="18"/>
      <c r="X38" s="18"/>
      <c r="Y38" s="18"/>
      <c r="Z38" s="18"/>
    </row>
    <row r="39">
      <c r="A39" s="3"/>
      <c r="B39" s="3"/>
      <c r="C39" s="3"/>
      <c r="D39" s="18"/>
      <c r="E39" s="18"/>
      <c r="F39" s="18"/>
      <c r="G39" s="18"/>
      <c r="H39" s="18"/>
      <c r="I39" s="18"/>
      <c r="J39" s="18"/>
      <c r="K39" s="18"/>
      <c r="L39" s="18"/>
      <c r="M39" s="18"/>
      <c r="N39" s="18"/>
      <c r="O39" s="18"/>
      <c r="P39" s="18"/>
      <c r="Q39" s="18"/>
      <c r="R39" s="18"/>
      <c r="S39" s="18"/>
      <c r="T39" s="18"/>
      <c r="U39" s="18"/>
      <c r="V39" s="18"/>
      <c r="W39" s="18"/>
      <c r="X39" s="18"/>
      <c r="Y39" s="18"/>
      <c r="Z39" s="18"/>
    </row>
    <row r="40">
      <c r="A40" s="3"/>
      <c r="B40" s="3"/>
      <c r="C40" s="3"/>
      <c r="D40" s="18"/>
      <c r="E40" s="18"/>
      <c r="F40" s="18"/>
      <c r="G40" s="18"/>
      <c r="H40" s="18"/>
      <c r="I40" s="18"/>
      <c r="J40" s="18"/>
      <c r="K40" s="18"/>
      <c r="L40" s="18"/>
      <c r="M40" s="18"/>
      <c r="N40" s="18"/>
      <c r="O40" s="18"/>
      <c r="P40" s="18"/>
      <c r="Q40" s="18"/>
      <c r="R40" s="18"/>
      <c r="S40" s="18"/>
      <c r="T40" s="18"/>
      <c r="U40" s="18"/>
      <c r="V40" s="18"/>
      <c r="W40" s="18"/>
      <c r="X40" s="18"/>
      <c r="Y40" s="18"/>
      <c r="Z40" s="18"/>
    </row>
    <row r="41">
      <c r="A41" s="3"/>
      <c r="B41" s="3"/>
      <c r="C41" s="3"/>
      <c r="D41" s="18"/>
      <c r="E41" s="18"/>
      <c r="F41" s="18"/>
      <c r="G41" s="18"/>
      <c r="H41" s="18"/>
      <c r="I41" s="18"/>
      <c r="J41" s="18"/>
      <c r="K41" s="18"/>
      <c r="L41" s="18"/>
      <c r="M41" s="18"/>
      <c r="N41" s="18"/>
      <c r="O41" s="18"/>
      <c r="P41" s="18"/>
      <c r="Q41" s="18"/>
      <c r="R41" s="18"/>
      <c r="S41" s="18"/>
      <c r="T41" s="18"/>
      <c r="U41" s="18"/>
      <c r="V41" s="18"/>
      <c r="W41" s="18"/>
      <c r="X41" s="18"/>
      <c r="Y41" s="18"/>
      <c r="Z41" s="18"/>
    </row>
    <row r="42">
      <c r="A42" s="3"/>
      <c r="B42" s="3"/>
      <c r="C42" s="3"/>
      <c r="D42" s="18"/>
      <c r="E42" s="18"/>
      <c r="F42" s="18"/>
      <c r="G42" s="18"/>
      <c r="H42" s="18"/>
      <c r="I42" s="18"/>
      <c r="J42" s="18"/>
      <c r="K42" s="18"/>
      <c r="L42" s="18"/>
      <c r="M42" s="18"/>
      <c r="N42" s="18"/>
      <c r="O42" s="18"/>
      <c r="P42" s="18"/>
      <c r="Q42" s="18"/>
      <c r="R42" s="18"/>
      <c r="S42" s="18"/>
      <c r="T42" s="18"/>
      <c r="U42" s="18"/>
      <c r="V42" s="18"/>
      <c r="W42" s="18"/>
      <c r="X42" s="18"/>
      <c r="Y42" s="18"/>
      <c r="Z42" s="18"/>
    </row>
    <row r="43">
      <c r="A43" s="3"/>
      <c r="B43" s="3"/>
      <c r="C43" s="3"/>
      <c r="D43" s="18"/>
      <c r="E43" s="18"/>
      <c r="F43" s="18"/>
      <c r="G43" s="18"/>
      <c r="H43" s="18"/>
      <c r="I43" s="18"/>
      <c r="J43" s="18"/>
      <c r="K43" s="18"/>
      <c r="L43" s="18"/>
      <c r="M43" s="18"/>
      <c r="N43" s="18"/>
      <c r="O43" s="18"/>
      <c r="P43" s="18"/>
      <c r="Q43" s="18"/>
      <c r="R43" s="18"/>
      <c r="S43" s="18"/>
      <c r="T43" s="18"/>
      <c r="U43" s="18"/>
      <c r="V43" s="18"/>
      <c r="W43" s="18"/>
      <c r="X43" s="18"/>
      <c r="Y43" s="18"/>
      <c r="Z43" s="18"/>
    </row>
    <row r="44">
      <c r="A44" s="3"/>
      <c r="B44" s="3"/>
      <c r="C44" s="3"/>
      <c r="D44" s="18"/>
      <c r="E44" s="18"/>
      <c r="F44" s="18"/>
      <c r="G44" s="18"/>
      <c r="H44" s="18"/>
      <c r="I44" s="18"/>
      <c r="J44" s="18"/>
      <c r="K44" s="18"/>
      <c r="L44" s="18"/>
      <c r="M44" s="18"/>
      <c r="N44" s="18"/>
      <c r="O44" s="18"/>
      <c r="P44" s="18"/>
      <c r="Q44" s="18"/>
      <c r="R44" s="18"/>
      <c r="S44" s="18"/>
      <c r="T44" s="18"/>
      <c r="U44" s="18"/>
      <c r="V44" s="18"/>
      <c r="W44" s="18"/>
      <c r="X44" s="18"/>
      <c r="Y44" s="18"/>
      <c r="Z44" s="18"/>
    </row>
    <row r="45">
      <c r="A45" s="3"/>
      <c r="B45" s="3"/>
      <c r="C45" s="3"/>
      <c r="D45" s="18"/>
      <c r="E45" s="18"/>
      <c r="F45" s="18"/>
      <c r="G45" s="18"/>
      <c r="H45" s="18"/>
      <c r="I45" s="18"/>
      <c r="J45" s="18"/>
      <c r="K45" s="18"/>
      <c r="L45" s="18"/>
      <c r="M45" s="18"/>
      <c r="N45" s="18"/>
      <c r="O45" s="18"/>
      <c r="P45" s="18"/>
      <c r="Q45" s="18"/>
      <c r="R45" s="18"/>
      <c r="S45" s="18"/>
      <c r="T45" s="18"/>
      <c r="U45" s="18"/>
      <c r="V45" s="18"/>
      <c r="W45" s="18"/>
      <c r="X45" s="18"/>
      <c r="Y45" s="18"/>
      <c r="Z45" s="18"/>
    </row>
    <row r="46">
      <c r="A46" s="3"/>
      <c r="B46" s="3"/>
      <c r="C46" s="3"/>
      <c r="D46" s="18"/>
      <c r="E46" s="18"/>
      <c r="F46" s="18"/>
      <c r="G46" s="18"/>
      <c r="H46" s="18"/>
      <c r="I46" s="18"/>
      <c r="J46" s="18"/>
      <c r="K46" s="18"/>
      <c r="L46" s="18"/>
      <c r="M46" s="18"/>
      <c r="N46" s="18"/>
      <c r="O46" s="18"/>
      <c r="P46" s="18"/>
      <c r="Q46" s="18"/>
      <c r="R46" s="18"/>
      <c r="S46" s="18"/>
      <c r="T46" s="18"/>
      <c r="U46" s="18"/>
      <c r="V46" s="18"/>
      <c r="W46" s="18"/>
      <c r="X46" s="18"/>
      <c r="Y46" s="18"/>
      <c r="Z46" s="18"/>
    </row>
    <row r="47">
      <c r="A47" s="3"/>
      <c r="B47" s="3"/>
      <c r="C47" s="3"/>
      <c r="D47" s="18"/>
      <c r="E47" s="18"/>
      <c r="F47" s="18"/>
      <c r="G47" s="18"/>
      <c r="H47" s="18"/>
      <c r="I47" s="18"/>
      <c r="J47" s="18"/>
      <c r="K47" s="18"/>
      <c r="L47" s="18"/>
      <c r="M47" s="18"/>
      <c r="N47" s="18"/>
      <c r="O47" s="18"/>
      <c r="P47" s="18"/>
      <c r="Q47" s="18"/>
      <c r="R47" s="18"/>
      <c r="S47" s="18"/>
      <c r="T47" s="18"/>
      <c r="U47" s="18"/>
      <c r="V47" s="18"/>
      <c r="W47" s="18"/>
      <c r="X47" s="18"/>
      <c r="Y47" s="18"/>
      <c r="Z47" s="18"/>
    </row>
    <row r="48">
      <c r="A48" s="3"/>
      <c r="B48" s="3"/>
      <c r="C48" s="3"/>
      <c r="D48" s="18"/>
      <c r="E48" s="18"/>
      <c r="F48" s="18"/>
      <c r="G48" s="18"/>
      <c r="H48" s="18"/>
      <c r="I48" s="18"/>
      <c r="J48" s="18"/>
      <c r="K48" s="18"/>
      <c r="L48" s="18"/>
      <c r="M48" s="18"/>
      <c r="N48" s="18"/>
      <c r="O48" s="18"/>
      <c r="P48" s="18"/>
      <c r="Q48" s="18"/>
      <c r="R48" s="18"/>
      <c r="S48" s="18"/>
      <c r="T48" s="18"/>
      <c r="U48" s="18"/>
      <c r="V48" s="18"/>
      <c r="W48" s="18"/>
      <c r="X48" s="18"/>
      <c r="Y48" s="18"/>
      <c r="Z48" s="18"/>
    </row>
    <row r="49">
      <c r="A49" s="3"/>
      <c r="B49" s="3"/>
      <c r="C49" s="3"/>
      <c r="D49" s="18"/>
      <c r="E49" s="18"/>
      <c r="F49" s="18"/>
      <c r="G49" s="18"/>
      <c r="H49" s="18"/>
      <c r="I49" s="18"/>
      <c r="J49" s="18"/>
      <c r="K49" s="18"/>
      <c r="L49" s="18"/>
      <c r="M49" s="18"/>
      <c r="N49" s="18"/>
      <c r="O49" s="18"/>
      <c r="P49" s="18"/>
      <c r="Q49" s="18"/>
      <c r="R49" s="18"/>
      <c r="S49" s="18"/>
      <c r="T49" s="18"/>
      <c r="U49" s="18"/>
      <c r="V49" s="18"/>
      <c r="W49" s="18"/>
      <c r="X49" s="18"/>
      <c r="Y49" s="18"/>
      <c r="Z49" s="18"/>
    </row>
    <row r="50">
      <c r="A50" s="3"/>
      <c r="B50" s="3"/>
      <c r="C50" s="3"/>
      <c r="D50" s="18"/>
      <c r="E50" s="18"/>
      <c r="F50" s="18"/>
      <c r="G50" s="18"/>
      <c r="H50" s="18"/>
      <c r="I50" s="18"/>
      <c r="J50" s="18"/>
      <c r="K50" s="18"/>
      <c r="L50" s="18"/>
      <c r="M50" s="18"/>
      <c r="N50" s="18"/>
      <c r="O50" s="18"/>
      <c r="P50" s="18"/>
      <c r="Q50" s="18"/>
      <c r="R50" s="18"/>
      <c r="S50" s="18"/>
      <c r="T50" s="18"/>
      <c r="U50" s="18"/>
      <c r="V50" s="18"/>
      <c r="W50" s="18"/>
      <c r="X50" s="18"/>
      <c r="Y50" s="18"/>
      <c r="Z50" s="18"/>
    </row>
    <row r="51">
      <c r="A51" s="3"/>
      <c r="B51" s="3"/>
      <c r="C51" s="3"/>
      <c r="D51" s="18"/>
      <c r="E51" s="18"/>
      <c r="F51" s="18"/>
      <c r="G51" s="18"/>
      <c r="H51" s="18"/>
      <c r="I51" s="18"/>
      <c r="J51" s="18"/>
      <c r="K51" s="18"/>
      <c r="L51" s="18"/>
      <c r="M51" s="18"/>
      <c r="N51" s="18"/>
      <c r="O51" s="18"/>
      <c r="P51" s="18"/>
      <c r="Q51" s="18"/>
      <c r="R51" s="18"/>
      <c r="S51" s="18"/>
      <c r="T51" s="18"/>
      <c r="U51" s="18"/>
      <c r="V51" s="18"/>
      <c r="W51" s="18"/>
      <c r="X51" s="18"/>
      <c r="Y51" s="18"/>
      <c r="Z51" s="18"/>
    </row>
    <row r="52">
      <c r="A52" s="3"/>
      <c r="B52" s="3"/>
      <c r="C52" s="3"/>
      <c r="D52" s="18"/>
      <c r="E52" s="18"/>
      <c r="F52" s="18"/>
      <c r="G52" s="18"/>
      <c r="H52" s="18"/>
      <c r="I52" s="18"/>
      <c r="J52" s="18"/>
      <c r="K52" s="18"/>
      <c r="L52" s="18"/>
      <c r="M52" s="18"/>
      <c r="N52" s="18"/>
      <c r="O52" s="18"/>
      <c r="P52" s="18"/>
      <c r="Q52" s="18"/>
      <c r="R52" s="18"/>
      <c r="S52" s="18"/>
      <c r="T52" s="18"/>
      <c r="U52" s="18"/>
      <c r="V52" s="18"/>
      <c r="W52" s="18"/>
      <c r="X52" s="18"/>
      <c r="Y52" s="18"/>
      <c r="Z52" s="18"/>
    </row>
    <row r="53">
      <c r="A53" s="3"/>
      <c r="B53" s="3"/>
      <c r="C53" s="3"/>
      <c r="D53" s="18"/>
      <c r="E53" s="18"/>
      <c r="F53" s="18"/>
      <c r="G53" s="18"/>
      <c r="H53" s="18"/>
      <c r="I53" s="18"/>
      <c r="J53" s="18"/>
      <c r="K53" s="18"/>
      <c r="L53" s="18"/>
      <c r="M53" s="18"/>
      <c r="N53" s="18"/>
      <c r="O53" s="18"/>
      <c r="P53" s="18"/>
      <c r="Q53" s="18"/>
      <c r="R53" s="18"/>
      <c r="S53" s="18"/>
      <c r="T53" s="18"/>
      <c r="U53" s="18"/>
      <c r="V53" s="18"/>
      <c r="W53" s="18"/>
      <c r="X53" s="18"/>
      <c r="Y53" s="18"/>
      <c r="Z53" s="18"/>
    </row>
    <row r="54">
      <c r="A54" s="3"/>
      <c r="B54" s="3"/>
      <c r="C54" s="3"/>
      <c r="D54" s="18"/>
      <c r="E54" s="18"/>
      <c r="F54" s="18"/>
      <c r="G54" s="18"/>
      <c r="H54" s="18"/>
      <c r="I54" s="18"/>
      <c r="J54" s="18"/>
      <c r="K54" s="18"/>
      <c r="L54" s="18"/>
      <c r="M54" s="18"/>
      <c r="N54" s="18"/>
      <c r="O54" s="18"/>
      <c r="P54" s="18"/>
      <c r="Q54" s="18"/>
      <c r="R54" s="18"/>
      <c r="S54" s="18"/>
      <c r="T54" s="18"/>
      <c r="U54" s="18"/>
      <c r="V54" s="18"/>
      <c r="W54" s="18"/>
      <c r="X54" s="18"/>
      <c r="Y54" s="18"/>
      <c r="Z54" s="18"/>
    </row>
    <row r="55">
      <c r="A55" s="3"/>
      <c r="B55" s="3"/>
      <c r="C55" s="3"/>
      <c r="D55" s="18"/>
      <c r="E55" s="18"/>
      <c r="F55" s="18"/>
      <c r="G55" s="18"/>
      <c r="H55" s="18"/>
      <c r="I55" s="18"/>
      <c r="J55" s="18"/>
      <c r="K55" s="18"/>
      <c r="L55" s="18"/>
      <c r="M55" s="18"/>
      <c r="N55" s="18"/>
      <c r="O55" s="18"/>
      <c r="P55" s="18"/>
      <c r="Q55" s="18"/>
      <c r="R55" s="18"/>
      <c r="S55" s="18"/>
      <c r="T55" s="18"/>
      <c r="U55" s="18"/>
      <c r="V55" s="18"/>
      <c r="W55" s="18"/>
      <c r="X55" s="18"/>
      <c r="Y55" s="18"/>
      <c r="Z55" s="18"/>
    </row>
    <row r="56">
      <c r="A56" s="3"/>
      <c r="B56" s="3"/>
      <c r="C56" s="3"/>
      <c r="D56" s="18"/>
      <c r="E56" s="18"/>
      <c r="F56" s="18"/>
      <c r="G56" s="18"/>
      <c r="H56" s="18"/>
      <c r="I56" s="18"/>
      <c r="J56" s="18"/>
      <c r="K56" s="18"/>
      <c r="L56" s="18"/>
      <c r="M56" s="18"/>
      <c r="N56" s="18"/>
      <c r="O56" s="18"/>
      <c r="P56" s="18"/>
      <c r="Q56" s="18"/>
      <c r="R56" s="18"/>
      <c r="S56" s="18"/>
      <c r="T56" s="18"/>
      <c r="U56" s="18"/>
      <c r="V56" s="18"/>
      <c r="W56" s="18"/>
      <c r="X56" s="18"/>
      <c r="Y56" s="18"/>
      <c r="Z56" s="18"/>
    </row>
    <row r="57">
      <c r="A57" s="3"/>
      <c r="B57" s="3"/>
      <c r="C57" s="3"/>
      <c r="D57" s="18"/>
      <c r="E57" s="18"/>
      <c r="F57" s="18"/>
      <c r="G57" s="18"/>
      <c r="H57" s="18"/>
      <c r="I57" s="18"/>
      <c r="J57" s="18"/>
      <c r="K57" s="18"/>
      <c r="L57" s="18"/>
      <c r="M57" s="18"/>
      <c r="N57" s="18"/>
      <c r="O57" s="18"/>
      <c r="P57" s="18"/>
      <c r="Q57" s="18"/>
      <c r="R57" s="18"/>
      <c r="S57" s="18"/>
      <c r="T57" s="18"/>
      <c r="U57" s="18"/>
      <c r="V57" s="18"/>
      <c r="W57" s="18"/>
      <c r="X57" s="18"/>
      <c r="Y57" s="18"/>
      <c r="Z57" s="18"/>
    </row>
    <row r="58">
      <c r="A58" s="3"/>
      <c r="B58" s="3"/>
      <c r="C58" s="3"/>
      <c r="D58" s="18"/>
      <c r="E58" s="18"/>
      <c r="F58" s="18"/>
      <c r="G58" s="18"/>
      <c r="H58" s="18"/>
      <c r="I58" s="18"/>
      <c r="J58" s="18"/>
      <c r="K58" s="18"/>
      <c r="L58" s="18"/>
      <c r="M58" s="18"/>
      <c r="N58" s="18"/>
      <c r="O58" s="18"/>
      <c r="P58" s="18"/>
      <c r="Q58" s="18"/>
      <c r="R58" s="18"/>
      <c r="S58" s="18"/>
      <c r="T58" s="18"/>
      <c r="U58" s="18"/>
      <c r="V58" s="18"/>
      <c r="W58" s="18"/>
      <c r="X58" s="18"/>
      <c r="Y58" s="18"/>
      <c r="Z58" s="18"/>
    </row>
    <row r="59">
      <c r="A59" s="3"/>
      <c r="B59" s="3"/>
      <c r="C59" s="3"/>
      <c r="D59" s="18"/>
      <c r="E59" s="18"/>
      <c r="F59" s="18"/>
      <c r="G59" s="18"/>
      <c r="H59" s="18"/>
      <c r="I59" s="18"/>
      <c r="J59" s="18"/>
      <c r="K59" s="18"/>
      <c r="L59" s="18"/>
      <c r="M59" s="18"/>
      <c r="N59" s="18"/>
      <c r="O59" s="18"/>
      <c r="P59" s="18"/>
      <c r="Q59" s="18"/>
      <c r="R59" s="18"/>
      <c r="S59" s="18"/>
      <c r="T59" s="18"/>
      <c r="U59" s="18"/>
      <c r="V59" s="18"/>
      <c r="W59" s="18"/>
      <c r="X59" s="18"/>
      <c r="Y59" s="18"/>
      <c r="Z59" s="18"/>
    </row>
    <row r="60">
      <c r="A60" s="3"/>
      <c r="B60" s="3"/>
      <c r="C60" s="3"/>
      <c r="D60" s="18"/>
      <c r="E60" s="18"/>
      <c r="F60" s="18"/>
      <c r="G60" s="18"/>
      <c r="H60" s="18"/>
      <c r="I60" s="18"/>
      <c r="J60" s="18"/>
      <c r="K60" s="18"/>
      <c r="L60" s="18"/>
      <c r="M60" s="18"/>
      <c r="N60" s="18"/>
      <c r="O60" s="18"/>
      <c r="P60" s="18"/>
      <c r="Q60" s="18"/>
      <c r="R60" s="18"/>
      <c r="S60" s="18"/>
      <c r="T60" s="18"/>
      <c r="U60" s="18"/>
      <c r="V60" s="18"/>
      <c r="W60" s="18"/>
      <c r="X60" s="18"/>
      <c r="Y60" s="18"/>
      <c r="Z60" s="18"/>
    </row>
    <row r="61">
      <c r="A61" s="3"/>
      <c r="B61" s="3"/>
      <c r="C61" s="3"/>
      <c r="D61" s="18"/>
      <c r="E61" s="18"/>
      <c r="F61" s="18"/>
      <c r="G61" s="18"/>
      <c r="H61" s="18"/>
      <c r="I61" s="18"/>
      <c r="J61" s="18"/>
      <c r="K61" s="18"/>
      <c r="L61" s="18"/>
      <c r="M61" s="18"/>
      <c r="N61" s="18"/>
      <c r="O61" s="18"/>
      <c r="P61" s="18"/>
      <c r="Q61" s="18"/>
      <c r="R61" s="18"/>
      <c r="S61" s="18"/>
      <c r="T61" s="18"/>
      <c r="U61" s="18"/>
      <c r="V61" s="18"/>
      <c r="W61" s="18"/>
      <c r="X61" s="18"/>
      <c r="Y61" s="18"/>
      <c r="Z61" s="18"/>
    </row>
    <row r="62">
      <c r="A62" s="3"/>
      <c r="B62" s="3"/>
      <c r="C62" s="3"/>
      <c r="D62" s="18"/>
      <c r="E62" s="18"/>
      <c r="F62" s="18"/>
      <c r="G62" s="18"/>
      <c r="H62" s="18"/>
      <c r="I62" s="18"/>
      <c r="J62" s="18"/>
      <c r="K62" s="18"/>
      <c r="L62" s="18"/>
      <c r="M62" s="18"/>
      <c r="N62" s="18"/>
      <c r="O62" s="18"/>
      <c r="P62" s="18"/>
      <c r="Q62" s="18"/>
      <c r="R62" s="18"/>
      <c r="S62" s="18"/>
      <c r="T62" s="18"/>
      <c r="U62" s="18"/>
      <c r="V62" s="18"/>
      <c r="W62" s="18"/>
      <c r="X62" s="18"/>
      <c r="Y62" s="18"/>
      <c r="Z62" s="18"/>
    </row>
    <row r="63">
      <c r="A63" s="3"/>
      <c r="B63" s="3"/>
      <c r="C63" s="3"/>
      <c r="D63" s="18"/>
      <c r="E63" s="18"/>
      <c r="F63" s="18"/>
      <c r="G63" s="18"/>
      <c r="H63" s="18"/>
      <c r="I63" s="18"/>
      <c r="J63" s="18"/>
      <c r="K63" s="18"/>
      <c r="L63" s="18"/>
      <c r="M63" s="18"/>
      <c r="N63" s="18"/>
      <c r="O63" s="18"/>
      <c r="P63" s="18"/>
      <c r="Q63" s="18"/>
      <c r="R63" s="18"/>
      <c r="S63" s="18"/>
      <c r="T63" s="18"/>
      <c r="U63" s="18"/>
      <c r="V63" s="18"/>
      <c r="W63" s="18"/>
      <c r="X63" s="18"/>
      <c r="Y63" s="18"/>
      <c r="Z63" s="18"/>
    </row>
    <row r="64">
      <c r="A64" s="3"/>
      <c r="B64" s="3"/>
      <c r="C64" s="3"/>
      <c r="D64" s="18"/>
      <c r="E64" s="18"/>
      <c r="F64" s="18"/>
      <c r="G64" s="18"/>
      <c r="H64" s="18"/>
      <c r="I64" s="18"/>
      <c r="J64" s="18"/>
      <c r="K64" s="18"/>
      <c r="L64" s="18"/>
      <c r="M64" s="18"/>
      <c r="N64" s="18"/>
      <c r="O64" s="18"/>
      <c r="P64" s="18"/>
      <c r="Q64" s="18"/>
      <c r="R64" s="18"/>
      <c r="S64" s="18"/>
      <c r="T64" s="18"/>
      <c r="U64" s="18"/>
      <c r="V64" s="18"/>
      <c r="W64" s="18"/>
      <c r="X64" s="18"/>
      <c r="Y64" s="18"/>
      <c r="Z64" s="18"/>
    </row>
    <row r="65">
      <c r="A65" s="3"/>
      <c r="B65" s="3"/>
      <c r="C65" s="3"/>
      <c r="D65" s="18"/>
      <c r="E65" s="18"/>
      <c r="F65" s="18"/>
      <c r="G65" s="18"/>
      <c r="H65" s="18"/>
      <c r="I65" s="18"/>
      <c r="J65" s="18"/>
      <c r="K65" s="18"/>
      <c r="L65" s="18"/>
      <c r="M65" s="18"/>
      <c r="N65" s="18"/>
      <c r="O65" s="18"/>
      <c r="P65" s="18"/>
      <c r="Q65" s="18"/>
      <c r="R65" s="18"/>
      <c r="S65" s="18"/>
      <c r="T65" s="18"/>
      <c r="U65" s="18"/>
      <c r="V65" s="18"/>
      <c r="W65" s="18"/>
      <c r="X65" s="18"/>
      <c r="Y65" s="18"/>
      <c r="Z65" s="18"/>
    </row>
    <row r="66">
      <c r="A66" s="3"/>
      <c r="B66" s="3"/>
      <c r="C66" s="3"/>
      <c r="D66" s="18"/>
      <c r="E66" s="18"/>
      <c r="F66" s="18"/>
      <c r="G66" s="18"/>
      <c r="H66" s="18"/>
      <c r="I66" s="18"/>
      <c r="J66" s="18"/>
      <c r="K66" s="18"/>
      <c r="L66" s="18"/>
      <c r="M66" s="18"/>
      <c r="N66" s="18"/>
      <c r="O66" s="18"/>
      <c r="P66" s="18"/>
      <c r="Q66" s="18"/>
      <c r="R66" s="18"/>
      <c r="S66" s="18"/>
      <c r="T66" s="18"/>
      <c r="U66" s="18"/>
      <c r="V66" s="18"/>
      <c r="W66" s="18"/>
      <c r="X66" s="18"/>
      <c r="Y66" s="18"/>
      <c r="Z66" s="18"/>
    </row>
    <row r="67">
      <c r="A67" s="3"/>
      <c r="B67" s="3"/>
      <c r="C67" s="3"/>
      <c r="D67" s="18"/>
      <c r="E67" s="18"/>
      <c r="F67" s="18"/>
      <c r="G67" s="18"/>
      <c r="H67" s="18"/>
      <c r="I67" s="18"/>
      <c r="J67" s="18"/>
      <c r="K67" s="18"/>
      <c r="L67" s="18"/>
      <c r="M67" s="18"/>
      <c r="N67" s="18"/>
      <c r="O67" s="18"/>
      <c r="P67" s="18"/>
      <c r="Q67" s="18"/>
      <c r="R67" s="18"/>
      <c r="S67" s="18"/>
      <c r="T67" s="18"/>
      <c r="U67" s="18"/>
      <c r="V67" s="18"/>
      <c r="W67" s="18"/>
      <c r="X67" s="18"/>
      <c r="Y67" s="18"/>
      <c r="Z67" s="18"/>
    </row>
    <row r="68">
      <c r="A68" s="3"/>
      <c r="B68" s="3"/>
      <c r="C68" s="3"/>
      <c r="D68" s="18"/>
      <c r="E68" s="18"/>
      <c r="F68" s="18"/>
      <c r="G68" s="18"/>
      <c r="H68" s="18"/>
      <c r="I68" s="18"/>
      <c r="J68" s="18"/>
      <c r="K68" s="18"/>
      <c r="L68" s="18"/>
      <c r="M68" s="18"/>
      <c r="N68" s="18"/>
      <c r="O68" s="18"/>
      <c r="P68" s="18"/>
      <c r="Q68" s="18"/>
      <c r="R68" s="18"/>
      <c r="S68" s="18"/>
      <c r="T68" s="18"/>
      <c r="U68" s="18"/>
      <c r="V68" s="18"/>
      <c r="W68" s="18"/>
      <c r="X68" s="18"/>
      <c r="Y68" s="18"/>
      <c r="Z68" s="18"/>
    </row>
    <row r="69">
      <c r="A69" s="3"/>
      <c r="B69" s="3"/>
      <c r="C69" s="3"/>
      <c r="D69" s="18"/>
      <c r="E69" s="18"/>
      <c r="F69" s="18"/>
      <c r="G69" s="18"/>
      <c r="H69" s="18"/>
      <c r="I69" s="18"/>
      <c r="J69" s="18"/>
      <c r="K69" s="18"/>
      <c r="L69" s="18"/>
      <c r="M69" s="18"/>
      <c r="N69" s="18"/>
      <c r="O69" s="18"/>
      <c r="P69" s="18"/>
      <c r="Q69" s="18"/>
      <c r="R69" s="18"/>
      <c r="S69" s="18"/>
      <c r="T69" s="18"/>
      <c r="U69" s="18"/>
      <c r="V69" s="18"/>
      <c r="W69" s="18"/>
      <c r="X69" s="18"/>
      <c r="Y69" s="18"/>
      <c r="Z69" s="18"/>
    </row>
    <row r="70">
      <c r="A70" s="3"/>
      <c r="B70" s="3"/>
      <c r="C70" s="3"/>
      <c r="D70" s="18"/>
      <c r="E70" s="18"/>
      <c r="F70" s="18"/>
      <c r="G70" s="18"/>
      <c r="H70" s="18"/>
      <c r="I70" s="18"/>
      <c r="J70" s="18"/>
      <c r="K70" s="18"/>
      <c r="L70" s="18"/>
      <c r="M70" s="18"/>
      <c r="N70" s="18"/>
      <c r="O70" s="18"/>
      <c r="P70" s="18"/>
      <c r="Q70" s="18"/>
      <c r="R70" s="18"/>
      <c r="S70" s="18"/>
      <c r="T70" s="18"/>
      <c r="U70" s="18"/>
      <c r="V70" s="18"/>
      <c r="W70" s="18"/>
      <c r="X70" s="18"/>
      <c r="Y70" s="18"/>
      <c r="Z70" s="18"/>
    </row>
    <row r="71">
      <c r="A71" s="3"/>
      <c r="B71" s="3"/>
      <c r="C71" s="3"/>
      <c r="D71" s="18"/>
      <c r="E71" s="18"/>
      <c r="F71" s="18"/>
      <c r="G71" s="18"/>
      <c r="H71" s="18"/>
      <c r="I71" s="18"/>
      <c r="J71" s="18"/>
      <c r="K71" s="18"/>
      <c r="L71" s="18"/>
      <c r="M71" s="18"/>
      <c r="N71" s="18"/>
      <c r="O71" s="18"/>
      <c r="P71" s="18"/>
      <c r="Q71" s="18"/>
      <c r="R71" s="18"/>
      <c r="S71" s="18"/>
      <c r="T71" s="18"/>
      <c r="U71" s="18"/>
      <c r="V71" s="18"/>
      <c r="W71" s="18"/>
      <c r="X71" s="18"/>
      <c r="Y71" s="18"/>
      <c r="Z71" s="18"/>
    </row>
    <row r="72">
      <c r="A72" s="3"/>
      <c r="B72" s="3"/>
      <c r="C72" s="3"/>
      <c r="D72" s="18"/>
      <c r="E72" s="18"/>
      <c r="F72" s="18"/>
      <c r="G72" s="18"/>
      <c r="H72" s="18"/>
      <c r="I72" s="18"/>
      <c r="J72" s="18"/>
      <c r="K72" s="18"/>
      <c r="L72" s="18"/>
      <c r="M72" s="18"/>
      <c r="N72" s="18"/>
      <c r="O72" s="18"/>
      <c r="P72" s="18"/>
      <c r="Q72" s="18"/>
      <c r="R72" s="18"/>
      <c r="S72" s="18"/>
      <c r="T72" s="18"/>
      <c r="U72" s="18"/>
      <c r="V72" s="18"/>
      <c r="W72" s="18"/>
      <c r="X72" s="18"/>
      <c r="Y72" s="18"/>
      <c r="Z72" s="18"/>
    </row>
    <row r="73">
      <c r="A73" s="3"/>
      <c r="B73" s="3"/>
      <c r="C73" s="3"/>
      <c r="D73" s="18"/>
      <c r="E73" s="18"/>
      <c r="F73" s="18"/>
      <c r="G73" s="18"/>
      <c r="H73" s="18"/>
      <c r="I73" s="18"/>
      <c r="J73" s="18"/>
      <c r="K73" s="18"/>
      <c r="L73" s="18"/>
      <c r="M73" s="18"/>
      <c r="N73" s="18"/>
      <c r="O73" s="18"/>
      <c r="P73" s="18"/>
      <c r="Q73" s="18"/>
      <c r="R73" s="18"/>
      <c r="S73" s="18"/>
      <c r="T73" s="18"/>
      <c r="U73" s="18"/>
      <c r="V73" s="18"/>
      <c r="W73" s="18"/>
      <c r="X73" s="18"/>
      <c r="Y73" s="18"/>
      <c r="Z73" s="18"/>
    </row>
    <row r="74">
      <c r="A74" s="3"/>
      <c r="B74" s="3"/>
      <c r="C74" s="3"/>
      <c r="D74" s="18"/>
      <c r="E74" s="18"/>
      <c r="F74" s="18"/>
      <c r="G74" s="18"/>
      <c r="H74" s="18"/>
      <c r="I74" s="18"/>
      <c r="J74" s="18"/>
      <c r="K74" s="18"/>
      <c r="L74" s="18"/>
      <c r="M74" s="18"/>
      <c r="N74" s="18"/>
      <c r="O74" s="18"/>
      <c r="P74" s="18"/>
      <c r="Q74" s="18"/>
      <c r="R74" s="18"/>
      <c r="S74" s="18"/>
      <c r="T74" s="18"/>
      <c r="U74" s="18"/>
      <c r="V74" s="18"/>
      <c r="W74" s="18"/>
      <c r="X74" s="18"/>
      <c r="Y74" s="18"/>
      <c r="Z74" s="18"/>
    </row>
    <row r="75">
      <c r="A75" s="3"/>
      <c r="B75" s="3"/>
      <c r="C75" s="3"/>
      <c r="D75" s="18"/>
      <c r="E75" s="18"/>
      <c r="F75" s="18"/>
      <c r="G75" s="18"/>
      <c r="H75" s="18"/>
      <c r="I75" s="18"/>
      <c r="J75" s="18"/>
      <c r="K75" s="18"/>
      <c r="L75" s="18"/>
      <c r="M75" s="18"/>
      <c r="N75" s="18"/>
      <c r="O75" s="18"/>
      <c r="P75" s="18"/>
      <c r="Q75" s="18"/>
      <c r="R75" s="18"/>
      <c r="S75" s="18"/>
      <c r="T75" s="18"/>
      <c r="U75" s="18"/>
      <c r="V75" s="18"/>
      <c r="W75" s="18"/>
      <c r="X75" s="18"/>
      <c r="Y75" s="18"/>
      <c r="Z75" s="18"/>
    </row>
    <row r="76">
      <c r="A76" s="3"/>
      <c r="B76" s="3"/>
      <c r="C76" s="3"/>
      <c r="D76" s="18"/>
      <c r="E76" s="18"/>
      <c r="F76" s="18"/>
      <c r="G76" s="18"/>
      <c r="H76" s="18"/>
      <c r="I76" s="18"/>
      <c r="J76" s="18"/>
      <c r="K76" s="18"/>
      <c r="L76" s="18"/>
      <c r="M76" s="18"/>
      <c r="N76" s="18"/>
      <c r="O76" s="18"/>
      <c r="P76" s="18"/>
      <c r="Q76" s="18"/>
      <c r="R76" s="18"/>
      <c r="S76" s="18"/>
      <c r="T76" s="18"/>
      <c r="U76" s="18"/>
      <c r="V76" s="18"/>
      <c r="W76" s="18"/>
      <c r="X76" s="18"/>
      <c r="Y76" s="18"/>
      <c r="Z76" s="18"/>
    </row>
    <row r="77">
      <c r="A77" s="3"/>
      <c r="B77" s="3"/>
      <c r="C77" s="3"/>
      <c r="D77" s="18"/>
      <c r="E77" s="18"/>
      <c r="F77" s="18"/>
      <c r="G77" s="18"/>
      <c r="H77" s="18"/>
      <c r="I77" s="18"/>
      <c r="J77" s="18"/>
      <c r="K77" s="18"/>
      <c r="L77" s="18"/>
      <c r="M77" s="18"/>
      <c r="N77" s="18"/>
      <c r="O77" s="18"/>
      <c r="P77" s="18"/>
      <c r="Q77" s="18"/>
      <c r="R77" s="18"/>
      <c r="S77" s="18"/>
      <c r="T77" s="18"/>
      <c r="U77" s="18"/>
      <c r="V77" s="18"/>
      <c r="W77" s="18"/>
      <c r="X77" s="18"/>
      <c r="Y77" s="18"/>
      <c r="Z77" s="18"/>
    </row>
    <row r="78">
      <c r="A78" s="3"/>
      <c r="B78" s="3"/>
      <c r="C78" s="3"/>
      <c r="D78" s="18"/>
      <c r="E78" s="18"/>
      <c r="F78" s="18"/>
      <c r="G78" s="18"/>
      <c r="H78" s="18"/>
      <c r="I78" s="18"/>
      <c r="J78" s="18"/>
      <c r="K78" s="18"/>
      <c r="L78" s="18"/>
      <c r="M78" s="18"/>
      <c r="N78" s="18"/>
      <c r="O78" s="18"/>
      <c r="P78" s="18"/>
      <c r="Q78" s="18"/>
      <c r="R78" s="18"/>
      <c r="S78" s="18"/>
      <c r="T78" s="18"/>
      <c r="U78" s="18"/>
      <c r="V78" s="18"/>
      <c r="W78" s="18"/>
      <c r="X78" s="18"/>
      <c r="Y78" s="18"/>
      <c r="Z78" s="18"/>
    </row>
    <row r="79">
      <c r="A79" s="3"/>
      <c r="B79" s="3"/>
      <c r="C79" s="3"/>
      <c r="D79" s="18"/>
      <c r="E79" s="18"/>
      <c r="F79" s="18"/>
      <c r="G79" s="18"/>
      <c r="H79" s="18"/>
      <c r="I79" s="18"/>
      <c r="J79" s="18"/>
      <c r="K79" s="18"/>
      <c r="L79" s="18"/>
      <c r="M79" s="18"/>
      <c r="N79" s="18"/>
      <c r="O79" s="18"/>
      <c r="P79" s="18"/>
      <c r="Q79" s="18"/>
      <c r="R79" s="18"/>
      <c r="S79" s="18"/>
      <c r="T79" s="18"/>
      <c r="U79" s="18"/>
      <c r="V79" s="18"/>
      <c r="W79" s="18"/>
      <c r="X79" s="18"/>
      <c r="Y79" s="18"/>
      <c r="Z79" s="18"/>
    </row>
    <row r="80">
      <c r="A80" s="3"/>
      <c r="B80" s="3"/>
      <c r="C80" s="3"/>
      <c r="D80" s="18"/>
      <c r="E80" s="18"/>
      <c r="F80" s="18"/>
      <c r="G80" s="18"/>
      <c r="H80" s="18"/>
      <c r="I80" s="18"/>
      <c r="J80" s="18"/>
      <c r="K80" s="18"/>
      <c r="L80" s="18"/>
      <c r="M80" s="18"/>
      <c r="N80" s="18"/>
      <c r="O80" s="18"/>
      <c r="P80" s="18"/>
      <c r="Q80" s="18"/>
      <c r="R80" s="18"/>
      <c r="S80" s="18"/>
      <c r="T80" s="18"/>
      <c r="U80" s="18"/>
      <c r="V80" s="18"/>
      <c r="W80" s="18"/>
      <c r="X80" s="18"/>
      <c r="Y80" s="18"/>
      <c r="Z80" s="18"/>
    </row>
    <row r="81">
      <c r="A81" s="3"/>
      <c r="B81" s="3"/>
      <c r="C81" s="3"/>
      <c r="D81" s="18"/>
      <c r="E81" s="18"/>
      <c r="F81" s="18"/>
      <c r="G81" s="18"/>
      <c r="H81" s="18"/>
      <c r="I81" s="18"/>
      <c r="J81" s="18"/>
      <c r="K81" s="18"/>
      <c r="L81" s="18"/>
      <c r="M81" s="18"/>
      <c r="N81" s="18"/>
      <c r="O81" s="18"/>
      <c r="P81" s="18"/>
      <c r="Q81" s="18"/>
      <c r="R81" s="18"/>
      <c r="S81" s="18"/>
      <c r="T81" s="18"/>
      <c r="U81" s="18"/>
      <c r="V81" s="18"/>
      <c r="W81" s="18"/>
      <c r="X81" s="18"/>
      <c r="Y81" s="18"/>
      <c r="Z81" s="18"/>
    </row>
    <row r="82">
      <c r="A82" s="3"/>
      <c r="B82" s="3"/>
      <c r="C82" s="3"/>
      <c r="D82" s="18"/>
      <c r="E82" s="18"/>
      <c r="F82" s="18"/>
      <c r="G82" s="18"/>
      <c r="H82" s="18"/>
      <c r="I82" s="18"/>
      <c r="J82" s="18"/>
      <c r="K82" s="18"/>
      <c r="L82" s="18"/>
      <c r="M82" s="18"/>
      <c r="N82" s="18"/>
      <c r="O82" s="18"/>
      <c r="P82" s="18"/>
      <c r="Q82" s="18"/>
      <c r="R82" s="18"/>
      <c r="S82" s="18"/>
      <c r="T82" s="18"/>
      <c r="U82" s="18"/>
      <c r="V82" s="18"/>
      <c r="W82" s="18"/>
      <c r="X82" s="18"/>
      <c r="Y82" s="18"/>
      <c r="Z82" s="18"/>
    </row>
    <row r="83">
      <c r="A83" s="3"/>
      <c r="B83" s="3"/>
      <c r="C83" s="3"/>
      <c r="D83" s="18"/>
      <c r="E83" s="18"/>
      <c r="F83" s="18"/>
      <c r="G83" s="18"/>
      <c r="H83" s="18"/>
      <c r="I83" s="18"/>
      <c r="J83" s="18"/>
      <c r="K83" s="18"/>
      <c r="L83" s="18"/>
      <c r="M83" s="18"/>
      <c r="N83" s="18"/>
      <c r="O83" s="18"/>
      <c r="P83" s="18"/>
      <c r="Q83" s="18"/>
      <c r="R83" s="18"/>
      <c r="S83" s="18"/>
      <c r="T83" s="18"/>
      <c r="U83" s="18"/>
      <c r="V83" s="18"/>
      <c r="W83" s="18"/>
      <c r="X83" s="18"/>
      <c r="Y83" s="18"/>
      <c r="Z83" s="18"/>
    </row>
    <row r="84">
      <c r="A84" s="3"/>
      <c r="B84" s="3"/>
      <c r="C84" s="3"/>
      <c r="D84" s="18"/>
      <c r="E84" s="18"/>
      <c r="F84" s="18"/>
      <c r="G84" s="18"/>
      <c r="H84" s="18"/>
      <c r="I84" s="18"/>
      <c r="J84" s="18"/>
      <c r="K84" s="18"/>
      <c r="L84" s="18"/>
      <c r="M84" s="18"/>
      <c r="N84" s="18"/>
      <c r="O84" s="18"/>
      <c r="P84" s="18"/>
      <c r="Q84" s="18"/>
      <c r="R84" s="18"/>
      <c r="S84" s="18"/>
      <c r="T84" s="18"/>
      <c r="U84" s="18"/>
      <c r="V84" s="18"/>
      <c r="W84" s="18"/>
      <c r="X84" s="18"/>
      <c r="Y84" s="18"/>
      <c r="Z84" s="18"/>
    </row>
    <row r="85">
      <c r="A85" s="3"/>
      <c r="B85" s="3"/>
      <c r="C85" s="3"/>
      <c r="D85" s="18"/>
      <c r="E85" s="18"/>
      <c r="F85" s="18"/>
      <c r="G85" s="18"/>
      <c r="H85" s="18"/>
      <c r="I85" s="18"/>
      <c r="J85" s="18"/>
      <c r="K85" s="18"/>
      <c r="L85" s="18"/>
      <c r="M85" s="18"/>
      <c r="N85" s="18"/>
      <c r="O85" s="18"/>
      <c r="P85" s="18"/>
      <c r="Q85" s="18"/>
      <c r="R85" s="18"/>
      <c r="S85" s="18"/>
      <c r="T85" s="18"/>
      <c r="U85" s="18"/>
      <c r="V85" s="18"/>
      <c r="W85" s="18"/>
      <c r="X85" s="18"/>
      <c r="Y85" s="18"/>
      <c r="Z85" s="18"/>
    </row>
    <row r="86">
      <c r="A86" s="3"/>
      <c r="B86" s="3"/>
      <c r="C86" s="3"/>
      <c r="D86" s="18"/>
      <c r="E86" s="18"/>
      <c r="F86" s="18"/>
      <c r="G86" s="18"/>
      <c r="H86" s="18"/>
      <c r="I86" s="18"/>
      <c r="J86" s="18"/>
      <c r="K86" s="18"/>
      <c r="L86" s="18"/>
      <c r="M86" s="18"/>
      <c r="N86" s="18"/>
      <c r="O86" s="18"/>
      <c r="P86" s="18"/>
      <c r="Q86" s="18"/>
      <c r="R86" s="18"/>
      <c r="S86" s="18"/>
      <c r="T86" s="18"/>
      <c r="U86" s="18"/>
      <c r="V86" s="18"/>
      <c r="W86" s="18"/>
      <c r="X86" s="18"/>
      <c r="Y86" s="18"/>
      <c r="Z86" s="18"/>
    </row>
    <row r="87">
      <c r="A87" s="3"/>
      <c r="B87" s="3"/>
      <c r="C87" s="3"/>
      <c r="D87" s="18"/>
      <c r="E87" s="18"/>
      <c r="F87" s="18"/>
      <c r="G87" s="18"/>
      <c r="H87" s="18"/>
      <c r="I87" s="18"/>
      <c r="J87" s="18"/>
      <c r="K87" s="18"/>
      <c r="L87" s="18"/>
      <c r="M87" s="18"/>
      <c r="N87" s="18"/>
      <c r="O87" s="18"/>
      <c r="P87" s="18"/>
      <c r="Q87" s="18"/>
      <c r="R87" s="18"/>
      <c r="S87" s="18"/>
      <c r="T87" s="18"/>
      <c r="U87" s="18"/>
      <c r="V87" s="18"/>
      <c r="W87" s="18"/>
      <c r="X87" s="18"/>
      <c r="Y87" s="18"/>
      <c r="Z87" s="18"/>
    </row>
    <row r="88">
      <c r="A88" s="3"/>
      <c r="B88" s="3"/>
      <c r="C88" s="3"/>
      <c r="D88" s="18"/>
      <c r="E88" s="18"/>
      <c r="F88" s="18"/>
      <c r="G88" s="18"/>
      <c r="H88" s="18"/>
      <c r="I88" s="18"/>
      <c r="J88" s="18"/>
      <c r="K88" s="18"/>
      <c r="L88" s="18"/>
      <c r="M88" s="18"/>
      <c r="N88" s="18"/>
      <c r="O88" s="18"/>
      <c r="P88" s="18"/>
      <c r="Q88" s="18"/>
      <c r="R88" s="18"/>
      <c r="S88" s="18"/>
      <c r="T88" s="18"/>
      <c r="U88" s="18"/>
      <c r="V88" s="18"/>
      <c r="W88" s="18"/>
      <c r="X88" s="18"/>
      <c r="Y88" s="18"/>
      <c r="Z88" s="18"/>
    </row>
    <row r="89">
      <c r="A89" s="3"/>
      <c r="B89" s="3"/>
      <c r="C89" s="3"/>
      <c r="D89" s="18"/>
      <c r="E89" s="18"/>
      <c r="F89" s="18"/>
      <c r="G89" s="18"/>
      <c r="H89" s="18"/>
      <c r="I89" s="18"/>
      <c r="J89" s="18"/>
      <c r="K89" s="18"/>
      <c r="L89" s="18"/>
      <c r="M89" s="18"/>
      <c r="N89" s="18"/>
      <c r="O89" s="18"/>
      <c r="P89" s="18"/>
      <c r="Q89" s="18"/>
      <c r="R89" s="18"/>
      <c r="S89" s="18"/>
      <c r="T89" s="18"/>
      <c r="U89" s="18"/>
      <c r="V89" s="18"/>
      <c r="W89" s="18"/>
      <c r="X89" s="18"/>
      <c r="Y89" s="18"/>
      <c r="Z89" s="18"/>
    </row>
    <row r="90">
      <c r="A90" s="3"/>
      <c r="B90" s="3"/>
      <c r="C90" s="3"/>
      <c r="D90" s="18"/>
      <c r="E90" s="18"/>
      <c r="F90" s="18"/>
      <c r="G90" s="18"/>
      <c r="H90" s="18"/>
      <c r="I90" s="18"/>
      <c r="J90" s="18"/>
      <c r="K90" s="18"/>
      <c r="L90" s="18"/>
      <c r="M90" s="18"/>
      <c r="N90" s="18"/>
      <c r="O90" s="18"/>
      <c r="P90" s="18"/>
      <c r="Q90" s="18"/>
      <c r="R90" s="18"/>
      <c r="S90" s="18"/>
      <c r="T90" s="18"/>
      <c r="U90" s="18"/>
      <c r="V90" s="18"/>
      <c r="W90" s="18"/>
      <c r="X90" s="18"/>
      <c r="Y90" s="18"/>
      <c r="Z90" s="18"/>
    </row>
    <row r="91">
      <c r="A91" s="3"/>
      <c r="B91" s="3"/>
      <c r="C91" s="3"/>
      <c r="D91" s="18"/>
      <c r="E91" s="18"/>
      <c r="F91" s="18"/>
      <c r="G91" s="18"/>
      <c r="H91" s="18"/>
      <c r="I91" s="18"/>
      <c r="J91" s="18"/>
      <c r="K91" s="18"/>
      <c r="L91" s="18"/>
      <c r="M91" s="18"/>
      <c r="N91" s="18"/>
      <c r="O91" s="18"/>
      <c r="P91" s="18"/>
      <c r="Q91" s="18"/>
      <c r="R91" s="18"/>
      <c r="S91" s="18"/>
      <c r="T91" s="18"/>
      <c r="U91" s="18"/>
      <c r="V91" s="18"/>
      <c r="W91" s="18"/>
      <c r="X91" s="18"/>
      <c r="Y91" s="18"/>
      <c r="Z91" s="18"/>
    </row>
    <row r="92">
      <c r="A92" s="3"/>
      <c r="B92" s="3"/>
      <c r="C92" s="3"/>
      <c r="D92" s="18"/>
      <c r="E92" s="18"/>
      <c r="F92" s="18"/>
      <c r="G92" s="18"/>
      <c r="H92" s="18"/>
      <c r="I92" s="18"/>
      <c r="J92" s="18"/>
      <c r="K92" s="18"/>
      <c r="L92" s="18"/>
      <c r="M92" s="18"/>
      <c r="N92" s="18"/>
      <c r="O92" s="18"/>
      <c r="P92" s="18"/>
      <c r="Q92" s="18"/>
      <c r="R92" s="18"/>
      <c r="S92" s="18"/>
      <c r="T92" s="18"/>
      <c r="U92" s="18"/>
      <c r="V92" s="18"/>
      <c r="W92" s="18"/>
      <c r="X92" s="18"/>
      <c r="Y92" s="18"/>
      <c r="Z92" s="18"/>
    </row>
    <row r="93">
      <c r="A93" s="3"/>
      <c r="B93" s="3"/>
      <c r="C93" s="3"/>
      <c r="D93" s="18"/>
      <c r="E93" s="18"/>
      <c r="F93" s="18"/>
      <c r="G93" s="18"/>
      <c r="H93" s="18"/>
      <c r="I93" s="18"/>
      <c r="J93" s="18"/>
      <c r="K93" s="18"/>
      <c r="L93" s="18"/>
      <c r="M93" s="18"/>
      <c r="N93" s="18"/>
      <c r="O93" s="18"/>
      <c r="P93" s="18"/>
      <c r="Q93" s="18"/>
      <c r="R93" s="18"/>
      <c r="S93" s="18"/>
      <c r="T93" s="18"/>
      <c r="U93" s="18"/>
      <c r="V93" s="18"/>
      <c r="W93" s="18"/>
      <c r="X93" s="18"/>
      <c r="Y93" s="18"/>
      <c r="Z93" s="18"/>
    </row>
    <row r="94">
      <c r="A94" s="3"/>
      <c r="B94" s="3"/>
      <c r="C94" s="3"/>
      <c r="D94" s="18"/>
      <c r="E94" s="18"/>
      <c r="F94" s="18"/>
      <c r="G94" s="18"/>
      <c r="H94" s="18"/>
      <c r="I94" s="18"/>
      <c r="J94" s="18"/>
      <c r="K94" s="18"/>
      <c r="L94" s="18"/>
      <c r="M94" s="18"/>
      <c r="N94" s="18"/>
      <c r="O94" s="18"/>
      <c r="P94" s="18"/>
      <c r="Q94" s="18"/>
      <c r="R94" s="18"/>
      <c r="S94" s="18"/>
      <c r="T94" s="18"/>
      <c r="U94" s="18"/>
      <c r="V94" s="18"/>
      <c r="W94" s="18"/>
      <c r="X94" s="18"/>
      <c r="Y94" s="18"/>
      <c r="Z94" s="18"/>
    </row>
    <row r="95">
      <c r="A95" s="3"/>
      <c r="B95" s="3"/>
      <c r="C95" s="3"/>
      <c r="D95" s="18"/>
      <c r="E95" s="18"/>
      <c r="F95" s="18"/>
      <c r="G95" s="18"/>
      <c r="H95" s="18"/>
      <c r="I95" s="18"/>
      <c r="J95" s="18"/>
      <c r="K95" s="18"/>
      <c r="L95" s="18"/>
      <c r="M95" s="18"/>
      <c r="N95" s="18"/>
      <c r="O95" s="18"/>
      <c r="P95" s="18"/>
      <c r="Q95" s="18"/>
      <c r="R95" s="18"/>
      <c r="S95" s="18"/>
      <c r="T95" s="18"/>
      <c r="U95" s="18"/>
      <c r="V95" s="18"/>
      <c r="W95" s="18"/>
      <c r="X95" s="18"/>
      <c r="Y95" s="18"/>
      <c r="Z95" s="18"/>
    </row>
    <row r="96">
      <c r="A96" s="3"/>
      <c r="B96" s="3"/>
      <c r="C96" s="3"/>
      <c r="D96" s="18"/>
      <c r="E96" s="18"/>
      <c r="F96" s="18"/>
      <c r="G96" s="18"/>
      <c r="H96" s="18"/>
      <c r="I96" s="18"/>
      <c r="J96" s="18"/>
      <c r="K96" s="18"/>
      <c r="L96" s="18"/>
      <c r="M96" s="18"/>
      <c r="N96" s="18"/>
      <c r="O96" s="18"/>
      <c r="P96" s="18"/>
      <c r="Q96" s="18"/>
      <c r="R96" s="18"/>
      <c r="S96" s="18"/>
      <c r="T96" s="18"/>
      <c r="U96" s="18"/>
      <c r="V96" s="18"/>
      <c r="W96" s="18"/>
      <c r="X96" s="18"/>
      <c r="Y96" s="18"/>
      <c r="Z96" s="18"/>
    </row>
    <row r="97">
      <c r="A97" s="3"/>
      <c r="B97" s="3"/>
      <c r="C97" s="3"/>
      <c r="D97" s="18"/>
      <c r="E97" s="18"/>
      <c r="F97" s="18"/>
      <c r="G97" s="18"/>
      <c r="H97" s="18"/>
      <c r="I97" s="18"/>
      <c r="J97" s="18"/>
      <c r="K97" s="18"/>
      <c r="L97" s="18"/>
      <c r="M97" s="18"/>
      <c r="N97" s="18"/>
      <c r="O97" s="18"/>
      <c r="P97" s="18"/>
      <c r="Q97" s="18"/>
      <c r="R97" s="18"/>
      <c r="S97" s="18"/>
      <c r="T97" s="18"/>
      <c r="U97" s="18"/>
      <c r="V97" s="18"/>
      <c r="W97" s="18"/>
      <c r="X97" s="18"/>
      <c r="Y97" s="18"/>
      <c r="Z97" s="18"/>
    </row>
    <row r="98">
      <c r="A98" s="3"/>
      <c r="B98" s="3"/>
      <c r="C98" s="3"/>
      <c r="D98" s="18"/>
      <c r="E98" s="18"/>
      <c r="F98" s="18"/>
      <c r="G98" s="18"/>
      <c r="H98" s="18"/>
      <c r="I98" s="18"/>
      <c r="J98" s="18"/>
      <c r="K98" s="18"/>
      <c r="L98" s="18"/>
      <c r="M98" s="18"/>
      <c r="N98" s="18"/>
      <c r="O98" s="18"/>
      <c r="P98" s="18"/>
      <c r="Q98" s="18"/>
      <c r="R98" s="18"/>
      <c r="S98" s="18"/>
      <c r="T98" s="18"/>
      <c r="U98" s="18"/>
      <c r="V98" s="18"/>
      <c r="W98" s="18"/>
      <c r="X98" s="18"/>
      <c r="Y98" s="18"/>
      <c r="Z98" s="18"/>
    </row>
    <row r="99">
      <c r="A99" s="3"/>
      <c r="B99" s="3"/>
      <c r="C99" s="3"/>
      <c r="D99" s="18"/>
      <c r="E99" s="18"/>
      <c r="F99" s="18"/>
      <c r="G99" s="18"/>
      <c r="H99" s="18"/>
      <c r="I99" s="18"/>
      <c r="J99" s="18"/>
      <c r="K99" s="18"/>
      <c r="L99" s="18"/>
      <c r="M99" s="18"/>
      <c r="N99" s="18"/>
      <c r="O99" s="18"/>
      <c r="P99" s="18"/>
      <c r="Q99" s="18"/>
      <c r="R99" s="18"/>
      <c r="S99" s="18"/>
      <c r="T99" s="18"/>
      <c r="U99" s="18"/>
      <c r="V99" s="18"/>
      <c r="W99" s="18"/>
      <c r="X99" s="18"/>
      <c r="Y99" s="18"/>
      <c r="Z99" s="18"/>
    </row>
    <row r="100">
      <c r="A100" s="3"/>
      <c r="B100" s="3"/>
      <c r="C100" s="3"/>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3"/>
      <c r="B101" s="3"/>
      <c r="C101" s="3"/>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3"/>
      <c r="B102" s="3"/>
      <c r="C102" s="3"/>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3"/>
      <c r="B103" s="3"/>
      <c r="C103" s="3"/>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3"/>
      <c r="B104" s="3"/>
      <c r="C104" s="3"/>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3"/>
      <c r="B105" s="3"/>
      <c r="C105" s="3"/>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3"/>
      <c r="B106" s="3"/>
      <c r="C106" s="3"/>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3"/>
      <c r="B107" s="3"/>
      <c r="C107" s="3"/>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3"/>
      <c r="B108" s="3"/>
      <c r="C108" s="3"/>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3"/>
      <c r="B109" s="3"/>
      <c r="C109" s="3"/>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3"/>
      <c r="B110" s="3"/>
      <c r="C110" s="3"/>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3"/>
      <c r="B111" s="3"/>
      <c r="C111" s="3"/>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3"/>
      <c r="B112" s="3"/>
      <c r="C112" s="3"/>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3"/>
      <c r="B113" s="3"/>
      <c r="C113" s="3"/>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3"/>
      <c r="B114" s="3"/>
      <c r="C114" s="3"/>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3"/>
      <c r="B115" s="3"/>
      <c r="C115" s="3"/>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3"/>
      <c r="B116" s="3"/>
      <c r="C116" s="3"/>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3"/>
      <c r="B117" s="3"/>
      <c r="C117" s="3"/>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3"/>
      <c r="B118" s="3"/>
      <c r="C118" s="3"/>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3"/>
      <c r="B119" s="3"/>
      <c r="C119" s="3"/>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3"/>
      <c r="B120" s="3"/>
      <c r="C120" s="3"/>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3"/>
      <c r="B121" s="3"/>
      <c r="C121" s="3"/>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3"/>
      <c r="B122" s="3"/>
      <c r="C122" s="3"/>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3"/>
      <c r="B123" s="3"/>
      <c r="C123" s="3"/>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3"/>
      <c r="B124" s="3"/>
      <c r="C124" s="3"/>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3"/>
      <c r="B125" s="3"/>
      <c r="C125" s="3"/>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3"/>
      <c r="B126" s="3"/>
      <c r="C126" s="3"/>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3"/>
      <c r="B127" s="3"/>
      <c r="C127" s="3"/>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3"/>
      <c r="B128" s="3"/>
      <c r="C128" s="3"/>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3"/>
      <c r="B129" s="3"/>
      <c r="C129" s="3"/>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3"/>
      <c r="B130" s="3"/>
      <c r="C130" s="3"/>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3"/>
      <c r="B131" s="3"/>
      <c r="C131" s="3"/>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3"/>
      <c r="B132" s="3"/>
      <c r="C132" s="3"/>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3"/>
      <c r="B133" s="3"/>
      <c r="C133" s="3"/>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3"/>
      <c r="B134" s="3"/>
      <c r="C134" s="3"/>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3"/>
      <c r="B135" s="3"/>
      <c r="C135" s="3"/>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3"/>
      <c r="B136" s="3"/>
      <c r="C136" s="3"/>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3"/>
      <c r="B137" s="3"/>
      <c r="C137" s="3"/>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3"/>
      <c r="B138" s="3"/>
      <c r="C138" s="3"/>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3"/>
      <c r="B139" s="3"/>
      <c r="C139" s="3"/>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3"/>
      <c r="B140" s="3"/>
      <c r="C140" s="3"/>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3"/>
      <c r="B141" s="3"/>
      <c r="C141" s="3"/>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3"/>
      <c r="B142" s="3"/>
      <c r="C142" s="3"/>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3"/>
      <c r="B143" s="3"/>
      <c r="C143" s="3"/>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3"/>
      <c r="B144" s="3"/>
      <c r="C144" s="3"/>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3"/>
      <c r="B145" s="3"/>
      <c r="C145" s="3"/>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3"/>
      <c r="B146" s="3"/>
      <c r="C146" s="3"/>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3"/>
      <c r="B147" s="3"/>
      <c r="C147" s="3"/>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3"/>
      <c r="B148" s="3"/>
      <c r="C148" s="3"/>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3"/>
      <c r="B149" s="3"/>
      <c r="C149" s="3"/>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3"/>
      <c r="B150" s="3"/>
      <c r="C150" s="3"/>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3"/>
      <c r="B151" s="3"/>
      <c r="C151" s="3"/>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3"/>
      <c r="B152" s="3"/>
      <c r="C152" s="3"/>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3"/>
      <c r="B153" s="3"/>
      <c r="C153" s="3"/>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3"/>
      <c r="B154" s="3"/>
      <c r="C154" s="3"/>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3"/>
      <c r="B155" s="3"/>
      <c r="C155" s="3"/>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3"/>
      <c r="B156" s="3"/>
      <c r="C156" s="3"/>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3"/>
      <c r="B157" s="3"/>
      <c r="C157" s="3"/>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3"/>
      <c r="B158" s="3"/>
      <c r="C158" s="3"/>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3"/>
      <c r="B159" s="3"/>
      <c r="C159" s="3"/>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3"/>
      <c r="B160" s="3"/>
      <c r="C160" s="3"/>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3"/>
      <c r="B161" s="3"/>
      <c r="C161" s="3"/>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3"/>
      <c r="B162" s="3"/>
      <c r="C162" s="3"/>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3"/>
      <c r="B163" s="3"/>
      <c r="C163" s="3"/>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3"/>
      <c r="B164" s="3"/>
      <c r="C164" s="3"/>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3"/>
      <c r="B165" s="3"/>
      <c r="C165" s="3"/>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3"/>
      <c r="B166" s="3"/>
      <c r="C166" s="3"/>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3"/>
      <c r="B167" s="3"/>
      <c r="C167" s="3"/>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3"/>
      <c r="B168" s="3"/>
      <c r="C168" s="3"/>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3"/>
      <c r="B169" s="3"/>
      <c r="C169" s="3"/>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3"/>
      <c r="B170" s="3"/>
      <c r="C170" s="3"/>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3"/>
      <c r="B171" s="3"/>
      <c r="C171" s="3"/>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3"/>
      <c r="B172" s="3"/>
      <c r="C172" s="3"/>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3"/>
      <c r="B173" s="3"/>
      <c r="C173" s="3"/>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3"/>
      <c r="B174" s="3"/>
      <c r="C174" s="3"/>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3"/>
      <c r="B175" s="3"/>
      <c r="C175" s="3"/>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3"/>
      <c r="B176" s="3"/>
      <c r="C176" s="3"/>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3"/>
      <c r="B177" s="3"/>
      <c r="C177" s="3"/>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3"/>
      <c r="B178" s="3"/>
      <c r="C178" s="3"/>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3"/>
      <c r="B179" s="3"/>
      <c r="C179" s="3"/>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3"/>
      <c r="B180" s="3"/>
      <c r="C180" s="3"/>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3"/>
      <c r="B181" s="3"/>
      <c r="C181" s="3"/>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3"/>
      <c r="B182" s="3"/>
      <c r="C182" s="3"/>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3"/>
      <c r="B183" s="3"/>
      <c r="C183" s="3"/>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3"/>
      <c r="B184" s="3"/>
      <c r="C184" s="3"/>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3"/>
      <c r="B185" s="3"/>
      <c r="C185" s="3"/>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3"/>
      <c r="B186" s="3"/>
      <c r="C186" s="3"/>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3"/>
      <c r="B187" s="3"/>
      <c r="C187" s="3"/>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3"/>
      <c r="B188" s="3"/>
      <c r="C188" s="3"/>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3"/>
      <c r="B189" s="3"/>
      <c r="C189" s="3"/>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3"/>
      <c r="B190" s="3"/>
      <c r="C190" s="3"/>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3"/>
      <c r="B191" s="3"/>
      <c r="C191" s="3"/>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3"/>
      <c r="B192" s="3"/>
      <c r="C192" s="3"/>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3"/>
      <c r="B193" s="3"/>
      <c r="C193" s="3"/>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3"/>
      <c r="B194" s="3"/>
      <c r="C194" s="3"/>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3"/>
      <c r="B195" s="3"/>
      <c r="C195" s="3"/>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3"/>
      <c r="B196" s="3"/>
      <c r="C196" s="3"/>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3"/>
      <c r="B197" s="3"/>
      <c r="C197" s="3"/>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3"/>
      <c r="B198" s="3"/>
      <c r="C198" s="3"/>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3"/>
      <c r="B199" s="3"/>
      <c r="C199" s="3"/>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3"/>
      <c r="B200" s="3"/>
      <c r="C200" s="3"/>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3"/>
      <c r="B201" s="3"/>
      <c r="C201" s="3"/>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3"/>
      <c r="B202" s="3"/>
      <c r="C202" s="3"/>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3"/>
      <c r="B203" s="3"/>
      <c r="C203" s="3"/>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3"/>
      <c r="B204" s="3"/>
      <c r="C204" s="3"/>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3"/>
      <c r="B205" s="3"/>
      <c r="C205" s="3"/>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3"/>
      <c r="B206" s="3"/>
      <c r="C206" s="3"/>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3"/>
      <c r="B207" s="3"/>
      <c r="C207" s="3"/>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3"/>
      <c r="B208" s="3"/>
      <c r="C208" s="3"/>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3"/>
      <c r="B209" s="3"/>
      <c r="C209" s="3"/>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3"/>
      <c r="B210" s="3"/>
      <c r="C210" s="3"/>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3"/>
      <c r="B211" s="3"/>
      <c r="C211" s="3"/>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3"/>
      <c r="B212" s="3"/>
      <c r="C212" s="3"/>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3"/>
      <c r="B213" s="3"/>
      <c r="C213" s="3"/>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3"/>
      <c r="B214" s="3"/>
      <c r="C214" s="3"/>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3"/>
      <c r="B215" s="3"/>
      <c r="C215" s="3"/>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3"/>
      <c r="B216" s="3"/>
      <c r="C216" s="3"/>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3"/>
      <c r="B217" s="3"/>
      <c r="C217" s="3"/>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3"/>
      <c r="B218" s="3"/>
      <c r="C218" s="3"/>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3"/>
      <c r="B219" s="3"/>
      <c r="C219" s="3"/>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3"/>
      <c r="B220" s="3"/>
      <c r="C220" s="3"/>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3"/>
      <c r="B221" s="3"/>
      <c r="C221" s="3"/>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3"/>
      <c r="B222" s="3"/>
      <c r="C222" s="3"/>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3"/>
      <c r="B223" s="3"/>
      <c r="C223" s="3"/>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3"/>
      <c r="B224" s="3"/>
      <c r="C224" s="3"/>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3"/>
      <c r="B225" s="3"/>
      <c r="C225" s="3"/>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3"/>
      <c r="B226" s="3"/>
      <c r="C226" s="3"/>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3"/>
      <c r="B227" s="3"/>
      <c r="C227" s="3"/>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3"/>
      <c r="B228" s="3"/>
      <c r="C228" s="3"/>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3"/>
      <c r="B229" s="3"/>
      <c r="C229" s="3"/>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3"/>
      <c r="B230" s="3"/>
      <c r="C230" s="3"/>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3"/>
      <c r="B231" s="3"/>
      <c r="C231" s="3"/>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3"/>
      <c r="B232" s="3"/>
      <c r="C232" s="3"/>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3"/>
      <c r="B233" s="3"/>
      <c r="C233" s="3"/>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3"/>
      <c r="B234" s="3"/>
      <c r="C234" s="3"/>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3"/>
      <c r="B235" s="3"/>
      <c r="C235" s="3"/>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3"/>
      <c r="B236" s="3"/>
      <c r="C236" s="3"/>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3"/>
      <c r="B237" s="3"/>
      <c r="C237" s="3"/>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3"/>
      <c r="B238" s="3"/>
      <c r="C238" s="3"/>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3"/>
      <c r="B239" s="3"/>
      <c r="C239" s="3"/>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3"/>
      <c r="B240" s="3"/>
      <c r="C240" s="3"/>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3"/>
      <c r="B241" s="3"/>
      <c r="C241" s="3"/>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3"/>
      <c r="B242" s="3"/>
      <c r="C242" s="3"/>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3"/>
      <c r="B243" s="3"/>
      <c r="C243" s="3"/>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3"/>
      <c r="B244" s="3"/>
      <c r="C244" s="3"/>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3"/>
      <c r="B245" s="3"/>
      <c r="C245" s="3"/>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3"/>
      <c r="B246" s="3"/>
      <c r="C246" s="3"/>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3"/>
      <c r="B247" s="3"/>
      <c r="C247" s="3"/>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3"/>
      <c r="B248" s="3"/>
      <c r="C248" s="3"/>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3"/>
      <c r="B249" s="3"/>
      <c r="C249" s="3"/>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3"/>
      <c r="B250" s="3"/>
      <c r="C250" s="3"/>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3"/>
      <c r="B251" s="3"/>
      <c r="C251" s="3"/>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3"/>
      <c r="B252" s="3"/>
      <c r="C252" s="3"/>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3"/>
      <c r="B253" s="3"/>
      <c r="C253" s="3"/>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3"/>
      <c r="B254" s="3"/>
      <c r="C254" s="3"/>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3"/>
      <c r="B255" s="3"/>
      <c r="C255" s="3"/>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3"/>
      <c r="B256" s="3"/>
      <c r="C256" s="3"/>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3"/>
      <c r="B257" s="3"/>
      <c r="C257" s="3"/>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3"/>
      <c r="B258" s="3"/>
      <c r="C258" s="3"/>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3"/>
      <c r="B259" s="3"/>
      <c r="C259" s="3"/>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3"/>
      <c r="B260" s="3"/>
      <c r="C260" s="3"/>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3"/>
      <c r="B261" s="3"/>
      <c r="C261" s="3"/>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3"/>
      <c r="B262" s="3"/>
      <c r="C262" s="3"/>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3"/>
      <c r="B263" s="3"/>
      <c r="C263" s="3"/>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3"/>
      <c r="B264" s="3"/>
      <c r="C264" s="3"/>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3"/>
      <c r="B265" s="3"/>
      <c r="C265" s="3"/>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3"/>
      <c r="B266" s="3"/>
      <c r="C266" s="3"/>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3"/>
      <c r="B267" s="3"/>
      <c r="C267" s="3"/>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3"/>
      <c r="B268" s="3"/>
      <c r="C268" s="3"/>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3"/>
      <c r="B269" s="3"/>
      <c r="C269" s="3"/>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3"/>
      <c r="B270" s="3"/>
      <c r="C270" s="3"/>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3"/>
      <c r="B271" s="3"/>
      <c r="C271" s="3"/>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3"/>
      <c r="B272" s="3"/>
      <c r="C272" s="3"/>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3"/>
      <c r="B273" s="3"/>
      <c r="C273" s="3"/>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3"/>
      <c r="B274" s="3"/>
      <c r="C274" s="3"/>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3"/>
      <c r="B275" s="3"/>
      <c r="C275" s="3"/>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3"/>
      <c r="B276" s="3"/>
      <c r="C276" s="3"/>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3"/>
      <c r="B277" s="3"/>
      <c r="C277" s="3"/>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3"/>
      <c r="B278" s="3"/>
      <c r="C278" s="3"/>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3"/>
      <c r="B279" s="3"/>
      <c r="C279" s="3"/>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3"/>
      <c r="B280" s="3"/>
      <c r="C280" s="3"/>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3"/>
      <c r="B281" s="3"/>
      <c r="C281" s="3"/>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3"/>
      <c r="B282" s="3"/>
      <c r="C282" s="3"/>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3"/>
      <c r="B283" s="3"/>
      <c r="C283" s="3"/>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3"/>
      <c r="B284" s="3"/>
      <c r="C284" s="3"/>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3"/>
      <c r="B285" s="3"/>
      <c r="C285" s="3"/>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3"/>
      <c r="B286" s="3"/>
      <c r="C286" s="3"/>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3"/>
      <c r="B287" s="3"/>
      <c r="C287" s="3"/>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3"/>
      <c r="B288" s="3"/>
      <c r="C288" s="3"/>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3"/>
      <c r="B289" s="3"/>
      <c r="C289" s="3"/>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3"/>
      <c r="B290" s="3"/>
      <c r="C290" s="3"/>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3"/>
      <c r="B291" s="3"/>
      <c r="C291" s="3"/>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3"/>
      <c r="B292" s="3"/>
      <c r="C292" s="3"/>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3"/>
      <c r="B293" s="3"/>
      <c r="C293" s="3"/>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3"/>
      <c r="B294" s="3"/>
      <c r="C294" s="3"/>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3"/>
      <c r="B295" s="3"/>
      <c r="C295" s="3"/>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3"/>
      <c r="B296" s="3"/>
      <c r="C296" s="3"/>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3"/>
      <c r="B297" s="3"/>
      <c r="C297" s="3"/>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3"/>
      <c r="B298" s="3"/>
      <c r="C298" s="3"/>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3"/>
      <c r="B299" s="3"/>
      <c r="C299" s="3"/>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3"/>
      <c r="B300" s="3"/>
      <c r="C300" s="3"/>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3"/>
      <c r="B301" s="3"/>
      <c r="C301" s="3"/>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3"/>
      <c r="B302" s="3"/>
      <c r="C302" s="3"/>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3"/>
      <c r="B303" s="3"/>
      <c r="C303" s="3"/>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3"/>
      <c r="B304" s="3"/>
      <c r="C304" s="3"/>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3"/>
      <c r="B305" s="3"/>
      <c r="C305" s="3"/>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3"/>
      <c r="B306" s="3"/>
      <c r="C306" s="3"/>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3"/>
      <c r="B307" s="3"/>
      <c r="C307" s="3"/>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3"/>
      <c r="B308" s="3"/>
      <c r="C308" s="3"/>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3"/>
      <c r="B309" s="3"/>
      <c r="C309" s="3"/>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3"/>
      <c r="B310" s="3"/>
      <c r="C310" s="3"/>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3"/>
      <c r="B311" s="3"/>
      <c r="C311" s="3"/>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3"/>
      <c r="B312" s="3"/>
      <c r="C312" s="3"/>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3"/>
      <c r="B313" s="3"/>
      <c r="C313" s="3"/>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3"/>
      <c r="B314" s="3"/>
      <c r="C314" s="3"/>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3"/>
      <c r="B315" s="3"/>
      <c r="C315" s="3"/>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3"/>
      <c r="B316" s="3"/>
      <c r="C316" s="3"/>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3"/>
      <c r="B317" s="3"/>
      <c r="C317" s="3"/>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3"/>
      <c r="B318" s="3"/>
      <c r="C318" s="3"/>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3"/>
      <c r="B319" s="3"/>
      <c r="C319" s="3"/>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3"/>
      <c r="B320" s="3"/>
      <c r="C320" s="3"/>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3"/>
      <c r="B321" s="3"/>
      <c r="C321" s="3"/>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3"/>
      <c r="B322" s="3"/>
      <c r="C322" s="3"/>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3"/>
      <c r="B323" s="3"/>
      <c r="C323" s="3"/>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3"/>
      <c r="B324" s="3"/>
      <c r="C324" s="3"/>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3"/>
      <c r="B325" s="3"/>
      <c r="C325" s="3"/>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3"/>
      <c r="B326" s="3"/>
      <c r="C326" s="3"/>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3"/>
      <c r="B327" s="3"/>
      <c r="C327" s="3"/>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3"/>
      <c r="B328" s="3"/>
      <c r="C328" s="3"/>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3"/>
      <c r="B329" s="3"/>
      <c r="C329" s="3"/>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3"/>
      <c r="B330" s="3"/>
      <c r="C330" s="3"/>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3"/>
      <c r="B331" s="3"/>
      <c r="C331" s="3"/>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3"/>
      <c r="B332" s="3"/>
      <c r="C332" s="3"/>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3"/>
      <c r="B333" s="3"/>
      <c r="C333" s="3"/>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3"/>
      <c r="B334" s="3"/>
      <c r="C334" s="3"/>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3"/>
      <c r="B335" s="3"/>
      <c r="C335" s="3"/>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3"/>
      <c r="B336" s="3"/>
      <c r="C336" s="3"/>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3"/>
      <c r="B337" s="3"/>
      <c r="C337" s="3"/>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3"/>
      <c r="B338" s="3"/>
      <c r="C338" s="3"/>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3"/>
      <c r="B339" s="3"/>
      <c r="C339" s="3"/>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3"/>
      <c r="B340" s="3"/>
      <c r="C340" s="3"/>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3"/>
      <c r="B341" s="3"/>
      <c r="C341" s="3"/>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3"/>
      <c r="B342" s="3"/>
      <c r="C342" s="3"/>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3"/>
      <c r="B343" s="3"/>
      <c r="C343" s="3"/>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3"/>
      <c r="B344" s="3"/>
      <c r="C344" s="3"/>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3"/>
      <c r="B345" s="3"/>
      <c r="C345" s="3"/>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3"/>
      <c r="B346" s="3"/>
      <c r="C346" s="3"/>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3"/>
      <c r="B347" s="3"/>
      <c r="C347" s="3"/>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3"/>
      <c r="B348" s="3"/>
      <c r="C348" s="3"/>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3"/>
      <c r="B349" s="3"/>
      <c r="C349" s="3"/>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3"/>
      <c r="B350" s="3"/>
      <c r="C350" s="3"/>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3"/>
      <c r="B351" s="3"/>
      <c r="C351" s="3"/>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3"/>
      <c r="B352" s="3"/>
      <c r="C352" s="3"/>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3"/>
      <c r="B353" s="3"/>
      <c r="C353" s="3"/>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3"/>
      <c r="B354" s="3"/>
      <c r="C354" s="3"/>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3"/>
      <c r="B355" s="3"/>
      <c r="C355" s="3"/>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3"/>
      <c r="B356" s="3"/>
      <c r="C356" s="3"/>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3"/>
      <c r="B357" s="3"/>
      <c r="C357" s="3"/>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3"/>
      <c r="B358" s="3"/>
      <c r="C358" s="3"/>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3"/>
      <c r="B359" s="3"/>
      <c r="C359" s="3"/>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3"/>
      <c r="B360" s="3"/>
      <c r="C360" s="3"/>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3"/>
      <c r="B361" s="3"/>
      <c r="C361" s="3"/>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3"/>
      <c r="B362" s="3"/>
      <c r="C362" s="3"/>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3"/>
      <c r="B363" s="3"/>
      <c r="C363" s="3"/>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3"/>
      <c r="B364" s="3"/>
      <c r="C364" s="3"/>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3"/>
      <c r="B365" s="3"/>
      <c r="C365" s="3"/>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3"/>
      <c r="B366" s="3"/>
      <c r="C366" s="3"/>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3"/>
      <c r="B367" s="3"/>
      <c r="C367" s="3"/>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3"/>
      <c r="B368" s="3"/>
      <c r="C368" s="3"/>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3"/>
      <c r="B369" s="3"/>
      <c r="C369" s="3"/>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3"/>
      <c r="B370" s="3"/>
      <c r="C370" s="3"/>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3"/>
      <c r="B371" s="3"/>
      <c r="C371" s="3"/>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3"/>
      <c r="B372" s="3"/>
      <c r="C372" s="3"/>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3"/>
      <c r="B373" s="3"/>
      <c r="C373" s="3"/>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3"/>
      <c r="B374" s="3"/>
      <c r="C374" s="3"/>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3"/>
      <c r="B375" s="3"/>
      <c r="C375" s="3"/>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3"/>
      <c r="B376" s="3"/>
      <c r="C376" s="3"/>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3"/>
      <c r="B377" s="3"/>
      <c r="C377" s="3"/>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3"/>
      <c r="B378" s="3"/>
      <c r="C378" s="3"/>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3"/>
      <c r="B379" s="3"/>
      <c r="C379" s="3"/>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3"/>
      <c r="B380" s="3"/>
      <c r="C380" s="3"/>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3"/>
      <c r="B381" s="3"/>
      <c r="C381" s="3"/>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3"/>
      <c r="B382" s="3"/>
      <c r="C382" s="3"/>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3"/>
      <c r="B383" s="3"/>
      <c r="C383" s="3"/>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3"/>
      <c r="B384" s="3"/>
      <c r="C384" s="3"/>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3"/>
      <c r="B385" s="3"/>
      <c r="C385" s="3"/>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3"/>
      <c r="B386" s="3"/>
      <c r="C386" s="3"/>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3"/>
      <c r="B387" s="3"/>
      <c r="C387" s="3"/>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3"/>
      <c r="B388" s="3"/>
      <c r="C388" s="3"/>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3"/>
      <c r="B389" s="3"/>
      <c r="C389" s="3"/>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3"/>
      <c r="B390" s="3"/>
      <c r="C390" s="3"/>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3"/>
      <c r="B391" s="3"/>
      <c r="C391" s="3"/>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3"/>
      <c r="B392" s="3"/>
      <c r="C392" s="3"/>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3"/>
      <c r="B393" s="3"/>
      <c r="C393" s="3"/>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3"/>
      <c r="B394" s="3"/>
      <c r="C394" s="3"/>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3"/>
      <c r="B395" s="3"/>
      <c r="C395" s="3"/>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3"/>
      <c r="B396" s="3"/>
      <c r="C396" s="3"/>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3"/>
      <c r="B397" s="3"/>
      <c r="C397" s="3"/>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3"/>
      <c r="B398" s="3"/>
      <c r="C398" s="3"/>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3"/>
      <c r="B399" s="3"/>
      <c r="C399" s="3"/>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3"/>
      <c r="B400" s="3"/>
      <c r="C400" s="3"/>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3"/>
      <c r="B401" s="3"/>
      <c r="C401" s="3"/>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3"/>
      <c r="B402" s="3"/>
      <c r="C402" s="3"/>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3"/>
      <c r="B403" s="3"/>
      <c r="C403" s="3"/>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3"/>
      <c r="B404" s="3"/>
      <c r="C404" s="3"/>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3"/>
      <c r="B405" s="3"/>
      <c r="C405" s="3"/>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3"/>
      <c r="B406" s="3"/>
      <c r="C406" s="3"/>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3"/>
      <c r="B407" s="3"/>
      <c r="C407" s="3"/>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3"/>
      <c r="B408" s="3"/>
      <c r="C408" s="3"/>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3"/>
      <c r="B409" s="3"/>
      <c r="C409" s="3"/>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3"/>
      <c r="B410" s="3"/>
      <c r="C410" s="3"/>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3"/>
      <c r="B411" s="3"/>
      <c r="C411" s="3"/>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3"/>
      <c r="B412" s="3"/>
      <c r="C412" s="3"/>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3"/>
      <c r="B413" s="3"/>
      <c r="C413" s="3"/>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3"/>
      <c r="B414" s="3"/>
      <c r="C414" s="3"/>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3"/>
      <c r="B415" s="3"/>
      <c r="C415" s="3"/>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3"/>
      <c r="B416" s="3"/>
      <c r="C416" s="3"/>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3"/>
      <c r="B417" s="3"/>
      <c r="C417" s="3"/>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3"/>
      <c r="B418" s="3"/>
      <c r="C418" s="3"/>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3"/>
      <c r="B419" s="3"/>
      <c r="C419" s="3"/>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3"/>
      <c r="B420" s="3"/>
      <c r="C420" s="3"/>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3"/>
      <c r="B421" s="3"/>
      <c r="C421" s="3"/>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3"/>
      <c r="B422" s="3"/>
      <c r="C422" s="3"/>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3"/>
      <c r="B423" s="3"/>
      <c r="C423" s="3"/>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3"/>
      <c r="B424" s="3"/>
      <c r="C424" s="3"/>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3"/>
      <c r="B425" s="3"/>
      <c r="C425" s="3"/>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3"/>
      <c r="B426" s="3"/>
      <c r="C426" s="3"/>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3"/>
      <c r="B427" s="3"/>
      <c r="C427" s="3"/>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3"/>
      <c r="B428" s="3"/>
      <c r="C428" s="3"/>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3"/>
      <c r="B429" s="3"/>
      <c r="C429" s="3"/>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3"/>
      <c r="B430" s="3"/>
      <c r="C430" s="3"/>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3"/>
      <c r="B431" s="3"/>
      <c r="C431" s="3"/>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3"/>
      <c r="B432" s="3"/>
      <c r="C432" s="3"/>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3"/>
      <c r="B433" s="3"/>
      <c r="C433" s="3"/>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3"/>
      <c r="B434" s="3"/>
      <c r="C434" s="3"/>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3"/>
      <c r="B435" s="3"/>
      <c r="C435" s="3"/>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3"/>
      <c r="B436" s="3"/>
      <c r="C436" s="3"/>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3"/>
      <c r="B437" s="3"/>
      <c r="C437" s="3"/>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3"/>
      <c r="B438" s="3"/>
      <c r="C438" s="3"/>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3"/>
      <c r="B439" s="3"/>
      <c r="C439" s="3"/>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3"/>
      <c r="B440" s="3"/>
      <c r="C440" s="3"/>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3"/>
      <c r="B441" s="3"/>
      <c r="C441" s="3"/>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3"/>
      <c r="B442" s="3"/>
      <c r="C442" s="3"/>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3"/>
      <c r="B443" s="3"/>
      <c r="C443" s="3"/>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3"/>
      <c r="B444" s="3"/>
      <c r="C444" s="3"/>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3"/>
      <c r="B445" s="3"/>
      <c r="C445" s="3"/>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3"/>
      <c r="B446" s="3"/>
      <c r="C446" s="3"/>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3"/>
      <c r="B447" s="3"/>
      <c r="C447" s="3"/>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3"/>
      <c r="B448" s="3"/>
      <c r="C448" s="3"/>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3"/>
      <c r="B449" s="3"/>
      <c r="C449" s="3"/>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3"/>
      <c r="B450" s="3"/>
      <c r="C450" s="3"/>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3"/>
      <c r="B451" s="3"/>
      <c r="C451" s="3"/>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3"/>
      <c r="B452" s="3"/>
      <c r="C452" s="3"/>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3"/>
      <c r="B453" s="3"/>
      <c r="C453" s="3"/>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3"/>
      <c r="B454" s="3"/>
      <c r="C454" s="3"/>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3"/>
      <c r="B455" s="3"/>
      <c r="C455" s="3"/>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3"/>
      <c r="B456" s="3"/>
      <c r="C456" s="3"/>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3"/>
      <c r="B457" s="3"/>
      <c r="C457" s="3"/>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3"/>
      <c r="B458" s="3"/>
      <c r="C458" s="3"/>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3"/>
      <c r="B459" s="3"/>
      <c r="C459" s="3"/>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3"/>
      <c r="B460" s="3"/>
      <c r="C460" s="3"/>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3"/>
      <c r="B461" s="3"/>
      <c r="C461" s="3"/>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3"/>
      <c r="B462" s="3"/>
      <c r="C462" s="3"/>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3"/>
      <c r="B463" s="3"/>
      <c r="C463" s="3"/>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3"/>
      <c r="B464" s="3"/>
      <c r="C464" s="3"/>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3"/>
      <c r="B465" s="3"/>
      <c r="C465" s="3"/>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3"/>
      <c r="B466" s="3"/>
      <c r="C466" s="3"/>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3"/>
      <c r="B467" s="3"/>
      <c r="C467" s="3"/>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3"/>
      <c r="B468" s="3"/>
      <c r="C468" s="3"/>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3"/>
      <c r="B469" s="3"/>
      <c r="C469" s="3"/>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3"/>
      <c r="B470" s="3"/>
      <c r="C470" s="3"/>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3"/>
      <c r="B471" s="3"/>
      <c r="C471" s="3"/>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3"/>
      <c r="B472" s="3"/>
      <c r="C472" s="3"/>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3"/>
      <c r="B473" s="3"/>
      <c r="C473" s="3"/>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3"/>
      <c r="B474" s="3"/>
      <c r="C474" s="3"/>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3"/>
      <c r="B475" s="3"/>
      <c r="C475" s="3"/>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3"/>
      <c r="B476" s="3"/>
      <c r="C476" s="3"/>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3"/>
      <c r="B477" s="3"/>
      <c r="C477" s="3"/>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3"/>
      <c r="B478" s="3"/>
      <c r="C478" s="3"/>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3"/>
      <c r="B479" s="3"/>
      <c r="C479" s="3"/>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3"/>
      <c r="B480" s="3"/>
      <c r="C480" s="3"/>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3"/>
      <c r="B481" s="3"/>
      <c r="C481" s="3"/>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3"/>
      <c r="B482" s="3"/>
      <c r="C482" s="3"/>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3"/>
      <c r="B483" s="3"/>
      <c r="C483" s="3"/>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3"/>
      <c r="B484" s="3"/>
      <c r="C484" s="3"/>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3"/>
      <c r="B485" s="3"/>
      <c r="C485" s="3"/>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3"/>
      <c r="B486" s="3"/>
      <c r="C486" s="3"/>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3"/>
      <c r="B487" s="3"/>
      <c r="C487" s="3"/>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3"/>
      <c r="B488" s="3"/>
      <c r="C488" s="3"/>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3"/>
      <c r="B489" s="3"/>
      <c r="C489" s="3"/>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3"/>
      <c r="B490" s="3"/>
      <c r="C490" s="3"/>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3"/>
      <c r="B491" s="3"/>
      <c r="C491" s="3"/>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3"/>
      <c r="B492" s="3"/>
      <c r="C492" s="3"/>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3"/>
      <c r="B493" s="3"/>
      <c r="C493" s="3"/>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3"/>
      <c r="B494" s="3"/>
      <c r="C494" s="3"/>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3"/>
      <c r="B495" s="3"/>
      <c r="C495" s="3"/>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3"/>
      <c r="B496" s="3"/>
      <c r="C496" s="3"/>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3"/>
      <c r="B497" s="3"/>
      <c r="C497" s="3"/>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3"/>
      <c r="B498" s="3"/>
      <c r="C498" s="3"/>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3"/>
      <c r="B499" s="3"/>
      <c r="C499" s="3"/>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3"/>
      <c r="B500" s="3"/>
      <c r="C500" s="3"/>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3"/>
      <c r="B501" s="3"/>
      <c r="C501" s="3"/>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3"/>
      <c r="B502" s="3"/>
      <c r="C502" s="3"/>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3"/>
      <c r="B503" s="3"/>
      <c r="C503" s="3"/>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3"/>
      <c r="B504" s="3"/>
      <c r="C504" s="3"/>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3"/>
      <c r="B505" s="3"/>
      <c r="C505" s="3"/>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3"/>
      <c r="B506" s="3"/>
      <c r="C506" s="3"/>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3"/>
      <c r="B507" s="3"/>
      <c r="C507" s="3"/>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3"/>
      <c r="B508" s="3"/>
      <c r="C508" s="3"/>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3"/>
      <c r="B509" s="3"/>
      <c r="C509" s="3"/>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3"/>
      <c r="B510" s="3"/>
      <c r="C510" s="3"/>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3"/>
      <c r="B511" s="3"/>
      <c r="C511" s="3"/>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3"/>
      <c r="B512" s="3"/>
      <c r="C512" s="3"/>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3"/>
      <c r="B513" s="3"/>
      <c r="C513" s="3"/>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3"/>
      <c r="B514" s="3"/>
      <c r="C514" s="3"/>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3"/>
      <c r="B515" s="3"/>
      <c r="C515" s="3"/>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3"/>
      <c r="B516" s="3"/>
      <c r="C516" s="3"/>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3"/>
      <c r="B517" s="3"/>
      <c r="C517" s="3"/>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3"/>
      <c r="B518" s="3"/>
      <c r="C518" s="3"/>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3"/>
      <c r="B519" s="3"/>
      <c r="C519" s="3"/>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3"/>
      <c r="B520" s="3"/>
      <c r="C520" s="3"/>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3"/>
      <c r="B521" s="3"/>
      <c r="C521" s="3"/>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3"/>
      <c r="B522" s="3"/>
      <c r="C522" s="3"/>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3"/>
      <c r="B523" s="3"/>
      <c r="C523" s="3"/>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3"/>
      <c r="B524" s="3"/>
      <c r="C524" s="3"/>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3"/>
      <c r="B525" s="3"/>
      <c r="C525" s="3"/>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3"/>
      <c r="B526" s="3"/>
      <c r="C526" s="3"/>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3"/>
      <c r="B527" s="3"/>
      <c r="C527" s="3"/>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3"/>
      <c r="B528" s="3"/>
      <c r="C528" s="3"/>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3"/>
      <c r="B529" s="3"/>
      <c r="C529" s="3"/>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3"/>
      <c r="B530" s="3"/>
      <c r="C530" s="3"/>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3"/>
      <c r="B531" s="3"/>
      <c r="C531" s="3"/>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3"/>
      <c r="B532" s="3"/>
      <c r="C532" s="3"/>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3"/>
      <c r="B533" s="3"/>
      <c r="C533" s="3"/>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3"/>
      <c r="B534" s="3"/>
      <c r="C534" s="3"/>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3"/>
      <c r="B535" s="3"/>
      <c r="C535" s="3"/>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3"/>
      <c r="B536" s="3"/>
      <c r="C536" s="3"/>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3"/>
      <c r="B537" s="3"/>
      <c r="C537" s="3"/>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3"/>
      <c r="B538" s="3"/>
      <c r="C538" s="3"/>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3"/>
      <c r="B539" s="3"/>
      <c r="C539" s="3"/>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3"/>
      <c r="B540" s="3"/>
      <c r="C540" s="3"/>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3"/>
      <c r="B541" s="3"/>
      <c r="C541" s="3"/>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3"/>
      <c r="B542" s="3"/>
      <c r="C542" s="3"/>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3"/>
      <c r="B543" s="3"/>
      <c r="C543" s="3"/>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3"/>
      <c r="B544" s="3"/>
      <c r="C544" s="3"/>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3"/>
      <c r="B545" s="3"/>
      <c r="C545" s="3"/>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3"/>
      <c r="B546" s="3"/>
      <c r="C546" s="3"/>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3"/>
      <c r="B547" s="3"/>
      <c r="C547" s="3"/>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3"/>
      <c r="B548" s="3"/>
      <c r="C548" s="3"/>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3"/>
      <c r="B549" s="3"/>
      <c r="C549" s="3"/>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3"/>
      <c r="B550" s="3"/>
      <c r="C550" s="3"/>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3"/>
      <c r="B551" s="3"/>
      <c r="C551" s="3"/>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3"/>
      <c r="B552" s="3"/>
      <c r="C552" s="3"/>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3"/>
      <c r="B553" s="3"/>
      <c r="C553" s="3"/>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3"/>
      <c r="B554" s="3"/>
      <c r="C554" s="3"/>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3"/>
      <c r="B555" s="3"/>
      <c r="C555" s="3"/>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3"/>
      <c r="B556" s="3"/>
      <c r="C556" s="3"/>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3"/>
      <c r="B557" s="3"/>
      <c r="C557" s="3"/>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3"/>
      <c r="B558" s="3"/>
      <c r="C558" s="3"/>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3"/>
      <c r="B559" s="3"/>
      <c r="C559" s="3"/>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3"/>
      <c r="B560" s="3"/>
      <c r="C560" s="3"/>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3"/>
      <c r="B561" s="3"/>
      <c r="C561" s="3"/>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3"/>
      <c r="B562" s="3"/>
      <c r="C562" s="3"/>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3"/>
      <c r="B563" s="3"/>
      <c r="C563" s="3"/>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3"/>
      <c r="B564" s="3"/>
      <c r="C564" s="3"/>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3"/>
      <c r="B565" s="3"/>
      <c r="C565" s="3"/>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3"/>
      <c r="B566" s="3"/>
      <c r="C566" s="3"/>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3"/>
      <c r="B567" s="3"/>
      <c r="C567" s="3"/>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3"/>
      <c r="B568" s="3"/>
      <c r="C568" s="3"/>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3"/>
      <c r="B569" s="3"/>
      <c r="C569" s="3"/>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3"/>
      <c r="B570" s="3"/>
      <c r="C570" s="3"/>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3"/>
      <c r="B571" s="3"/>
      <c r="C571" s="3"/>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3"/>
      <c r="B572" s="3"/>
      <c r="C572" s="3"/>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3"/>
      <c r="B573" s="3"/>
      <c r="C573" s="3"/>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3"/>
      <c r="B574" s="3"/>
      <c r="C574" s="3"/>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3"/>
      <c r="B575" s="3"/>
      <c r="C575" s="3"/>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3"/>
      <c r="B576" s="3"/>
      <c r="C576" s="3"/>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3"/>
      <c r="B577" s="3"/>
      <c r="C577" s="3"/>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3"/>
      <c r="B578" s="3"/>
      <c r="C578" s="3"/>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3"/>
      <c r="B579" s="3"/>
      <c r="C579" s="3"/>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3"/>
      <c r="B580" s="3"/>
      <c r="C580" s="3"/>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3"/>
      <c r="B581" s="3"/>
      <c r="C581" s="3"/>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3"/>
      <c r="B582" s="3"/>
      <c r="C582" s="3"/>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3"/>
      <c r="B583" s="3"/>
      <c r="C583" s="3"/>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3"/>
      <c r="B584" s="3"/>
      <c r="C584" s="3"/>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3"/>
      <c r="B585" s="3"/>
      <c r="C585" s="3"/>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3"/>
      <c r="B586" s="3"/>
      <c r="C586" s="3"/>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3"/>
      <c r="B587" s="3"/>
      <c r="C587" s="3"/>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3"/>
      <c r="B588" s="3"/>
      <c r="C588" s="3"/>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3"/>
      <c r="B589" s="3"/>
      <c r="C589" s="3"/>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3"/>
      <c r="B590" s="3"/>
      <c r="C590" s="3"/>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3"/>
      <c r="B591" s="3"/>
      <c r="C591" s="3"/>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3"/>
      <c r="B592" s="3"/>
      <c r="C592" s="3"/>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3"/>
      <c r="B593" s="3"/>
      <c r="C593" s="3"/>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3"/>
      <c r="B594" s="3"/>
      <c r="C594" s="3"/>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3"/>
      <c r="B595" s="3"/>
      <c r="C595" s="3"/>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3"/>
      <c r="B596" s="3"/>
      <c r="C596" s="3"/>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3"/>
      <c r="B597" s="3"/>
      <c r="C597" s="3"/>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3"/>
      <c r="B598" s="3"/>
      <c r="C598" s="3"/>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3"/>
      <c r="B599" s="3"/>
      <c r="C599" s="3"/>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3"/>
      <c r="B600" s="3"/>
      <c r="C600" s="3"/>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3"/>
      <c r="B601" s="3"/>
      <c r="C601" s="3"/>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3"/>
      <c r="B602" s="3"/>
      <c r="C602" s="3"/>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3"/>
      <c r="B603" s="3"/>
      <c r="C603" s="3"/>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3"/>
      <c r="B604" s="3"/>
      <c r="C604" s="3"/>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3"/>
      <c r="B605" s="3"/>
      <c r="C605" s="3"/>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3"/>
      <c r="B606" s="3"/>
      <c r="C606" s="3"/>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3"/>
      <c r="B607" s="3"/>
      <c r="C607" s="3"/>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3"/>
      <c r="B608" s="3"/>
      <c r="C608" s="3"/>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3"/>
      <c r="B609" s="3"/>
      <c r="C609" s="3"/>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3"/>
      <c r="B610" s="3"/>
      <c r="C610" s="3"/>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3"/>
      <c r="B611" s="3"/>
      <c r="C611" s="3"/>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3"/>
      <c r="B612" s="3"/>
      <c r="C612" s="3"/>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3"/>
      <c r="B613" s="3"/>
      <c r="C613" s="3"/>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3"/>
      <c r="B614" s="3"/>
      <c r="C614" s="3"/>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3"/>
      <c r="B615" s="3"/>
      <c r="C615" s="3"/>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3"/>
      <c r="B616" s="3"/>
      <c r="C616" s="3"/>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3"/>
      <c r="B617" s="3"/>
      <c r="C617" s="3"/>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3"/>
      <c r="B618" s="3"/>
      <c r="C618" s="3"/>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3"/>
      <c r="B619" s="3"/>
      <c r="C619" s="3"/>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3"/>
      <c r="B620" s="3"/>
      <c r="C620" s="3"/>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3"/>
      <c r="B621" s="3"/>
      <c r="C621" s="3"/>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3"/>
      <c r="B622" s="3"/>
      <c r="C622" s="3"/>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3"/>
      <c r="B623" s="3"/>
      <c r="C623" s="3"/>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3"/>
      <c r="B624" s="3"/>
      <c r="C624" s="3"/>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3"/>
      <c r="B625" s="3"/>
      <c r="C625" s="3"/>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3"/>
      <c r="B626" s="3"/>
      <c r="C626" s="3"/>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3"/>
      <c r="B627" s="3"/>
      <c r="C627" s="3"/>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3"/>
      <c r="B628" s="3"/>
      <c r="C628" s="3"/>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3"/>
      <c r="B629" s="3"/>
      <c r="C629" s="3"/>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3"/>
      <c r="B630" s="3"/>
      <c r="C630" s="3"/>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3"/>
      <c r="B631" s="3"/>
      <c r="C631" s="3"/>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3"/>
      <c r="B632" s="3"/>
      <c r="C632" s="3"/>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3"/>
      <c r="B633" s="3"/>
      <c r="C633" s="3"/>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3"/>
      <c r="B634" s="3"/>
      <c r="C634" s="3"/>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3"/>
      <c r="B635" s="3"/>
      <c r="C635" s="3"/>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3"/>
      <c r="B636" s="3"/>
      <c r="C636" s="3"/>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3"/>
      <c r="B637" s="3"/>
      <c r="C637" s="3"/>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3"/>
      <c r="B638" s="3"/>
      <c r="C638" s="3"/>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3"/>
      <c r="B639" s="3"/>
      <c r="C639" s="3"/>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3"/>
      <c r="B640" s="3"/>
      <c r="C640" s="3"/>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3"/>
      <c r="B641" s="3"/>
      <c r="C641" s="3"/>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3"/>
      <c r="B642" s="3"/>
      <c r="C642" s="3"/>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3"/>
      <c r="B643" s="3"/>
      <c r="C643" s="3"/>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3"/>
      <c r="B644" s="3"/>
      <c r="C644" s="3"/>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3"/>
      <c r="B645" s="3"/>
      <c r="C645" s="3"/>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3"/>
      <c r="B646" s="3"/>
      <c r="C646" s="3"/>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3"/>
      <c r="B647" s="3"/>
      <c r="C647" s="3"/>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3"/>
      <c r="B648" s="3"/>
      <c r="C648" s="3"/>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3"/>
      <c r="B649" s="3"/>
      <c r="C649" s="3"/>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3"/>
      <c r="B650" s="3"/>
      <c r="C650" s="3"/>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3"/>
      <c r="B651" s="3"/>
      <c r="C651" s="3"/>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3"/>
      <c r="B652" s="3"/>
      <c r="C652" s="3"/>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3"/>
      <c r="B653" s="3"/>
      <c r="C653" s="3"/>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3"/>
      <c r="B654" s="3"/>
      <c r="C654" s="3"/>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3"/>
      <c r="B655" s="3"/>
      <c r="C655" s="3"/>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3"/>
      <c r="B656" s="3"/>
      <c r="C656" s="3"/>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3"/>
      <c r="B657" s="3"/>
      <c r="C657" s="3"/>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3"/>
      <c r="B658" s="3"/>
      <c r="C658" s="3"/>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3"/>
      <c r="B659" s="3"/>
      <c r="C659" s="3"/>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3"/>
      <c r="B660" s="3"/>
      <c r="C660" s="3"/>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3"/>
      <c r="B661" s="3"/>
      <c r="C661" s="3"/>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3"/>
      <c r="B662" s="3"/>
      <c r="C662" s="3"/>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3"/>
      <c r="B663" s="3"/>
      <c r="C663" s="3"/>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3"/>
      <c r="B664" s="3"/>
      <c r="C664" s="3"/>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3"/>
      <c r="B665" s="3"/>
      <c r="C665" s="3"/>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3"/>
      <c r="B666" s="3"/>
      <c r="C666" s="3"/>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3"/>
      <c r="B667" s="3"/>
      <c r="C667" s="3"/>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3"/>
      <c r="B668" s="3"/>
      <c r="C668" s="3"/>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3"/>
      <c r="B669" s="3"/>
      <c r="C669" s="3"/>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3"/>
      <c r="B670" s="3"/>
      <c r="C670" s="3"/>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3"/>
      <c r="B671" s="3"/>
      <c r="C671" s="3"/>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3"/>
      <c r="B672" s="3"/>
      <c r="C672" s="3"/>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3"/>
      <c r="B673" s="3"/>
      <c r="C673" s="3"/>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3"/>
      <c r="B674" s="3"/>
      <c r="C674" s="3"/>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3"/>
      <c r="B675" s="3"/>
      <c r="C675" s="3"/>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3"/>
      <c r="B676" s="3"/>
      <c r="C676" s="3"/>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3"/>
      <c r="B677" s="3"/>
      <c r="C677" s="3"/>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3"/>
      <c r="B678" s="3"/>
      <c r="C678" s="3"/>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3"/>
      <c r="B679" s="3"/>
      <c r="C679" s="3"/>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3"/>
      <c r="B680" s="3"/>
      <c r="C680" s="3"/>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3"/>
      <c r="B681" s="3"/>
      <c r="C681" s="3"/>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3"/>
      <c r="B682" s="3"/>
      <c r="C682" s="3"/>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3"/>
      <c r="B683" s="3"/>
      <c r="C683" s="3"/>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3"/>
      <c r="B684" s="3"/>
      <c r="C684" s="3"/>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3"/>
      <c r="B685" s="3"/>
      <c r="C685" s="3"/>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3"/>
      <c r="B686" s="3"/>
      <c r="C686" s="3"/>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3"/>
      <c r="B687" s="3"/>
      <c r="C687" s="3"/>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3"/>
      <c r="B688" s="3"/>
      <c r="C688" s="3"/>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3"/>
      <c r="B689" s="3"/>
      <c r="C689" s="3"/>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3"/>
      <c r="B690" s="3"/>
      <c r="C690" s="3"/>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3"/>
      <c r="B691" s="3"/>
      <c r="C691" s="3"/>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3"/>
      <c r="B692" s="3"/>
      <c r="C692" s="3"/>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3"/>
      <c r="B693" s="3"/>
      <c r="C693" s="3"/>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3"/>
      <c r="B694" s="3"/>
      <c r="C694" s="3"/>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3"/>
      <c r="B695" s="3"/>
      <c r="C695" s="3"/>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3"/>
      <c r="B696" s="3"/>
      <c r="C696" s="3"/>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3"/>
      <c r="B697" s="3"/>
      <c r="C697" s="3"/>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3"/>
      <c r="B698" s="3"/>
      <c r="C698" s="3"/>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3"/>
      <c r="B699" s="3"/>
      <c r="C699" s="3"/>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3"/>
      <c r="B700" s="3"/>
      <c r="C700" s="3"/>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3"/>
      <c r="B701" s="3"/>
      <c r="C701" s="3"/>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3"/>
      <c r="B702" s="3"/>
      <c r="C702" s="3"/>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3"/>
      <c r="B703" s="3"/>
      <c r="C703" s="3"/>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3"/>
      <c r="B704" s="3"/>
      <c r="C704" s="3"/>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3"/>
      <c r="B705" s="3"/>
      <c r="C705" s="3"/>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3"/>
      <c r="B706" s="3"/>
      <c r="C706" s="3"/>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3"/>
      <c r="B707" s="3"/>
      <c r="C707" s="3"/>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3"/>
      <c r="B708" s="3"/>
      <c r="C708" s="3"/>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3"/>
      <c r="B709" s="3"/>
      <c r="C709" s="3"/>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3"/>
      <c r="B710" s="3"/>
      <c r="C710" s="3"/>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3"/>
      <c r="B711" s="3"/>
      <c r="C711" s="3"/>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3"/>
      <c r="B712" s="3"/>
      <c r="C712" s="3"/>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3"/>
      <c r="B713" s="3"/>
      <c r="C713" s="3"/>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3"/>
      <c r="B714" s="3"/>
      <c r="C714" s="3"/>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3"/>
      <c r="B715" s="3"/>
      <c r="C715" s="3"/>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3"/>
      <c r="B716" s="3"/>
      <c r="C716" s="3"/>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3"/>
      <c r="B717" s="3"/>
      <c r="C717" s="3"/>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3"/>
      <c r="B718" s="3"/>
      <c r="C718" s="3"/>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3"/>
      <c r="B719" s="3"/>
      <c r="C719" s="3"/>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3"/>
      <c r="B720" s="3"/>
      <c r="C720" s="3"/>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3"/>
      <c r="B721" s="3"/>
      <c r="C721" s="3"/>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3"/>
      <c r="B722" s="3"/>
      <c r="C722" s="3"/>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3"/>
      <c r="B723" s="3"/>
      <c r="C723" s="3"/>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3"/>
      <c r="B724" s="3"/>
      <c r="C724" s="3"/>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3"/>
      <c r="B725" s="3"/>
      <c r="C725" s="3"/>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3"/>
      <c r="B726" s="3"/>
      <c r="C726" s="3"/>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3"/>
      <c r="B727" s="3"/>
      <c r="C727" s="3"/>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3"/>
      <c r="B728" s="3"/>
      <c r="C728" s="3"/>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3"/>
      <c r="B729" s="3"/>
      <c r="C729" s="3"/>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3"/>
      <c r="B730" s="3"/>
      <c r="C730" s="3"/>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3"/>
      <c r="B731" s="3"/>
      <c r="C731" s="3"/>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3"/>
      <c r="B732" s="3"/>
      <c r="C732" s="3"/>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3"/>
      <c r="B733" s="3"/>
      <c r="C733" s="3"/>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3"/>
      <c r="B734" s="3"/>
      <c r="C734" s="3"/>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3"/>
      <c r="B735" s="3"/>
      <c r="C735" s="3"/>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3"/>
      <c r="B736" s="3"/>
      <c r="C736" s="3"/>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3"/>
      <c r="B737" s="3"/>
      <c r="C737" s="3"/>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3"/>
      <c r="B738" s="3"/>
      <c r="C738" s="3"/>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3"/>
      <c r="B739" s="3"/>
      <c r="C739" s="3"/>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3"/>
      <c r="B740" s="3"/>
      <c r="C740" s="3"/>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3"/>
      <c r="B741" s="3"/>
      <c r="C741" s="3"/>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3"/>
      <c r="B742" s="3"/>
      <c r="C742" s="3"/>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3"/>
      <c r="B743" s="3"/>
      <c r="C743" s="3"/>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3"/>
      <c r="B744" s="3"/>
      <c r="C744" s="3"/>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3"/>
      <c r="B745" s="3"/>
      <c r="C745" s="3"/>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3"/>
      <c r="B746" s="3"/>
      <c r="C746" s="3"/>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3"/>
      <c r="B747" s="3"/>
      <c r="C747" s="3"/>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3"/>
      <c r="B748" s="3"/>
      <c r="C748" s="3"/>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3"/>
      <c r="B749" s="3"/>
      <c r="C749" s="3"/>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3"/>
      <c r="B750" s="3"/>
      <c r="C750" s="3"/>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3"/>
      <c r="B751" s="3"/>
      <c r="C751" s="3"/>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3"/>
      <c r="B752" s="3"/>
      <c r="C752" s="3"/>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3"/>
      <c r="B753" s="3"/>
      <c r="C753" s="3"/>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3"/>
      <c r="B754" s="3"/>
      <c r="C754" s="3"/>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3"/>
      <c r="B755" s="3"/>
      <c r="C755" s="3"/>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3"/>
      <c r="B756" s="3"/>
      <c r="C756" s="3"/>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3"/>
      <c r="B757" s="3"/>
      <c r="C757" s="3"/>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3"/>
      <c r="B758" s="3"/>
      <c r="C758" s="3"/>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3"/>
      <c r="B759" s="3"/>
      <c r="C759" s="3"/>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3"/>
      <c r="B760" s="3"/>
      <c r="C760" s="3"/>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3"/>
      <c r="B761" s="3"/>
      <c r="C761" s="3"/>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3"/>
      <c r="B762" s="3"/>
      <c r="C762" s="3"/>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3"/>
      <c r="B763" s="3"/>
      <c r="C763" s="3"/>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3"/>
      <c r="B764" s="3"/>
      <c r="C764" s="3"/>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3"/>
      <c r="B765" s="3"/>
      <c r="C765" s="3"/>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3"/>
      <c r="B766" s="3"/>
      <c r="C766" s="3"/>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3"/>
      <c r="B767" s="3"/>
      <c r="C767" s="3"/>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3"/>
      <c r="B768" s="3"/>
      <c r="C768" s="3"/>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3"/>
      <c r="B769" s="3"/>
      <c r="C769" s="3"/>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3"/>
      <c r="B770" s="3"/>
      <c r="C770" s="3"/>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3"/>
      <c r="B771" s="3"/>
      <c r="C771" s="3"/>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3"/>
      <c r="B772" s="3"/>
      <c r="C772" s="3"/>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3"/>
      <c r="B773" s="3"/>
      <c r="C773" s="3"/>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3"/>
      <c r="B774" s="3"/>
      <c r="C774" s="3"/>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3"/>
      <c r="B775" s="3"/>
      <c r="C775" s="3"/>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3"/>
      <c r="B776" s="3"/>
      <c r="C776" s="3"/>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3"/>
      <c r="B777" s="3"/>
      <c r="C777" s="3"/>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3"/>
      <c r="B778" s="3"/>
      <c r="C778" s="3"/>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3"/>
      <c r="B779" s="3"/>
      <c r="C779" s="3"/>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3"/>
      <c r="B780" s="3"/>
      <c r="C780" s="3"/>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3"/>
      <c r="B781" s="3"/>
      <c r="C781" s="3"/>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3"/>
      <c r="B782" s="3"/>
      <c r="C782" s="3"/>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3"/>
      <c r="B783" s="3"/>
      <c r="C783" s="3"/>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3"/>
      <c r="B784" s="3"/>
      <c r="C784" s="3"/>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3"/>
      <c r="B785" s="3"/>
      <c r="C785" s="3"/>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3"/>
      <c r="B786" s="3"/>
      <c r="C786" s="3"/>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3"/>
      <c r="B787" s="3"/>
      <c r="C787" s="3"/>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3"/>
      <c r="B788" s="3"/>
      <c r="C788" s="3"/>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3"/>
      <c r="B789" s="3"/>
      <c r="C789" s="3"/>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3"/>
      <c r="B790" s="3"/>
      <c r="C790" s="3"/>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3"/>
      <c r="B791" s="3"/>
      <c r="C791" s="3"/>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3"/>
      <c r="B792" s="3"/>
      <c r="C792" s="3"/>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3"/>
      <c r="B793" s="3"/>
      <c r="C793" s="3"/>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3"/>
      <c r="B794" s="3"/>
      <c r="C794" s="3"/>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3"/>
      <c r="B795" s="3"/>
      <c r="C795" s="3"/>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3"/>
      <c r="B796" s="3"/>
      <c r="C796" s="3"/>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3"/>
      <c r="B797" s="3"/>
      <c r="C797" s="3"/>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3"/>
      <c r="B798" s="3"/>
      <c r="C798" s="3"/>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3"/>
      <c r="B799" s="3"/>
      <c r="C799" s="3"/>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3"/>
      <c r="B800" s="3"/>
      <c r="C800" s="3"/>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3"/>
      <c r="B801" s="3"/>
      <c r="C801" s="3"/>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3"/>
      <c r="B802" s="3"/>
      <c r="C802" s="3"/>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3"/>
      <c r="B803" s="3"/>
      <c r="C803" s="3"/>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3"/>
      <c r="B804" s="3"/>
      <c r="C804" s="3"/>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3"/>
      <c r="B805" s="3"/>
      <c r="C805" s="3"/>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3"/>
      <c r="B806" s="3"/>
      <c r="C806" s="3"/>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3"/>
      <c r="B807" s="3"/>
      <c r="C807" s="3"/>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3"/>
      <c r="B808" s="3"/>
      <c r="C808" s="3"/>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3"/>
      <c r="B809" s="3"/>
      <c r="C809" s="3"/>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3"/>
      <c r="B810" s="3"/>
      <c r="C810" s="3"/>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3"/>
      <c r="B811" s="3"/>
      <c r="C811" s="3"/>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3"/>
      <c r="B812" s="3"/>
      <c r="C812" s="3"/>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3"/>
      <c r="B813" s="3"/>
      <c r="C813" s="3"/>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3"/>
      <c r="B814" s="3"/>
      <c r="C814" s="3"/>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3"/>
      <c r="B815" s="3"/>
      <c r="C815" s="3"/>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3"/>
      <c r="B816" s="3"/>
      <c r="C816" s="3"/>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3"/>
      <c r="B817" s="3"/>
      <c r="C817" s="3"/>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3"/>
      <c r="B818" s="3"/>
      <c r="C818" s="3"/>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3"/>
      <c r="B819" s="3"/>
      <c r="C819" s="3"/>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3"/>
      <c r="B820" s="3"/>
      <c r="C820" s="3"/>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3"/>
      <c r="B821" s="3"/>
      <c r="C821" s="3"/>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3"/>
      <c r="B822" s="3"/>
      <c r="C822" s="3"/>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3"/>
      <c r="B823" s="3"/>
      <c r="C823" s="3"/>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3"/>
      <c r="B824" s="3"/>
      <c r="C824" s="3"/>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3"/>
      <c r="B825" s="3"/>
      <c r="C825" s="3"/>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3"/>
      <c r="B826" s="3"/>
      <c r="C826" s="3"/>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3"/>
      <c r="B827" s="3"/>
      <c r="C827" s="3"/>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3"/>
      <c r="B828" s="3"/>
      <c r="C828" s="3"/>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3"/>
      <c r="B829" s="3"/>
      <c r="C829" s="3"/>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3"/>
      <c r="B830" s="3"/>
      <c r="C830" s="3"/>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3"/>
      <c r="B831" s="3"/>
      <c r="C831" s="3"/>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3"/>
      <c r="B832" s="3"/>
      <c r="C832" s="3"/>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3"/>
      <c r="B833" s="3"/>
      <c r="C833" s="3"/>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3"/>
      <c r="B834" s="3"/>
      <c r="C834" s="3"/>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3"/>
      <c r="B835" s="3"/>
      <c r="C835" s="3"/>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3"/>
      <c r="B836" s="3"/>
      <c r="C836" s="3"/>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3"/>
      <c r="B837" s="3"/>
      <c r="C837" s="3"/>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3"/>
      <c r="B838" s="3"/>
      <c r="C838" s="3"/>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3"/>
      <c r="B839" s="3"/>
      <c r="C839" s="3"/>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3"/>
      <c r="B840" s="3"/>
      <c r="C840" s="3"/>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3"/>
      <c r="B841" s="3"/>
      <c r="C841" s="3"/>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3"/>
      <c r="B842" s="3"/>
      <c r="C842" s="3"/>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3"/>
      <c r="B843" s="3"/>
      <c r="C843" s="3"/>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3"/>
      <c r="B844" s="3"/>
      <c r="C844" s="3"/>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3"/>
      <c r="B845" s="3"/>
      <c r="C845" s="3"/>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3"/>
      <c r="B846" s="3"/>
      <c r="C846" s="3"/>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3"/>
      <c r="B847" s="3"/>
      <c r="C847" s="3"/>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3"/>
      <c r="B848" s="3"/>
      <c r="C848" s="3"/>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3"/>
      <c r="B849" s="3"/>
      <c r="C849" s="3"/>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3"/>
      <c r="B850" s="3"/>
      <c r="C850" s="3"/>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3"/>
      <c r="B851" s="3"/>
      <c r="C851" s="3"/>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3"/>
      <c r="B852" s="3"/>
      <c r="C852" s="3"/>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3"/>
      <c r="B853" s="3"/>
      <c r="C853" s="3"/>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3"/>
      <c r="B854" s="3"/>
      <c r="C854" s="3"/>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3"/>
      <c r="B855" s="3"/>
      <c r="C855" s="3"/>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3"/>
      <c r="B856" s="3"/>
      <c r="C856" s="3"/>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3"/>
      <c r="B857" s="3"/>
      <c r="C857" s="3"/>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3"/>
      <c r="B858" s="3"/>
      <c r="C858" s="3"/>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3"/>
      <c r="B859" s="3"/>
      <c r="C859" s="3"/>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3"/>
      <c r="B860" s="3"/>
      <c r="C860" s="3"/>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3"/>
      <c r="B861" s="3"/>
      <c r="C861" s="3"/>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3"/>
      <c r="B862" s="3"/>
      <c r="C862" s="3"/>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3"/>
      <c r="B863" s="3"/>
      <c r="C863" s="3"/>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3"/>
      <c r="B864" s="3"/>
      <c r="C864" s="3"/>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3"/>
      <c r="B865" s="3"/>
      <c r="C865" s="3"/>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3"/>
      <c r="B866" s="3"/>
      <c r="C866" s="3"/>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3"/>
      <c r="B867" s="3"/>
      <c r="C867" s="3"/>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3"/>
      <c r="B868" s="3"/>
      <c r="C868" s="3"/>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3"/>
      <c r="B869" s="3"/>
      <c r="C869" s="3"/>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3"/>
      <c r="B870" s="3"/>
      <c r="C870" s="3"/>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3"/>
      <c r="B871" s="3"/>
      <c r="C871" s="3"/>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3"/>
      <c r="B872" s="3"/>
      <c r="C872" s="3"/>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3"/>
      <c r="B873" s="3"/>
      <c r="C873" s="3"/>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3"/>
      <c r="B874" s="3"/>
      <c r="C874" s="3"/>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3"/>
      <c r="B875" s="3"/>
      <c r="C875" s="3"/>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3"/>
      <c r="B876" s="3"/>
      <c r="C876" s="3"/>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3"/>
      <c r="B877" s="3"/>
      <c r="C877" s="3"/>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3"/>
      <c r="B878" s="3"/>
      <c r="C878" s="3"/>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3"/>
      <c r="B879" s="3"/>
      <c r="C879" s="3"/>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3"/>
      <c r="B880" s="3"/>
      <c r="C880" s="3"/>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3"/>
      <c r="B881" s="3"/>
      <c r="C881" s="3"/>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3"/>
      <c r="B882" s="3"/>
      <c r="C882" s="3"/>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3"/>
      <c r="B883" s="3"/>
      <c r="C883" s="3"/>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3"/>
      <c r="B884" s="3"/>
      <c r="C884" s="3"/>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3"/>
      <c r="B885" s="3"/>
      <c r="C885" s="3"/>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3"/>
      <c r="B886" s="3"/>
      <c r="C886" s="3"/>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3"/>
      <c r="B887" s="3"/>
      <c r="C887" s="3"/>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3"/>
      <c r="B888" s="3"/>
      <c r="C888" s="3"/>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3"/>
      <c r="B889" s="3"/>
      <c r="C889" s="3"/>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3"/>
      <c r="B890" s="3"/>
      <c r="C890" s="3"/>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3"/>
      <c r="B891" s="3"/>
      <c r="C891" s="3"/>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3"/>
      <c r="B892" s="3"/>
      <c r="C892" s="3"/>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3"/>
      <c r="B893" s="3"/>
      <c r="C893" s="3"/>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3"/>
      <c r="B894" s="3"/>
      <c r="C894" s="3"/>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3"/>
      <c r="B895" s="3"/>
      <c r="C895" s="3"/>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3"/>
      <c r="B896" s="3"/>
      <c r="C896" s="3"/>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3"/>
      <c r="B897" s="3"/>
      <c r="C897" s="3"/>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3"/>
      <c r="B898" s="3"/>
      <c r="C898" s="3"/>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3"/>
      <c r="B899" s="3"/>
      <c r="C899" s="3"/>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3"/>
      <c r="B900" s="3"/>
      <c r="C900" s="3"/>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3"/>
      <c r="B901" s="3"/>
      <c r="C901" s="3"/>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3"/>
      <c r="B902" s="3"/>
      <c r="C902" s="3"/>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3"/>
      <c r="B903" s="3"/>
      <c r="C903" s="3"/>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3"/>
      <c r="B904" s="3"/>
      <c r="C904" s="3"/>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3"/>
      <c r="B905" s="3"/>
      <c r="C905" s="3"/>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3"/>
      <c r="B906" s="3"/>
      <c r="C906" s="3"/>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3"/>
      <c r="B907" s="3"/>
      <c r="C907" s="3"/>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3"/>
      <c r="B908" s="3"/>
      <c r="C908" s="3"/>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3"/>
      <c r="B909" s="3"/>
      <c r="C909" s="3"/>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3"/>
      <c r="B910" s="3"/>
      <c r="C910" s="3"/>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3"/>
      <c r="B911" s="3"/>
      <c r="C911" s="3"/>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3"/>
      <c r="B912" s="3"/>
      <c r="C912" s="3"/>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3"/>
      <c r="B913" s="3"/>
      <c r="C913" s="3"/>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3"/>
      <c r="B914" s="3"/>
      <c r="C914" s="3"/>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3"/>
      <c r="B915" s="3"/>
      <c r="C915" s="3"/>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3"/>
      <c r="B916" s="3"/>
      <c r="C916" s="3"/>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3"/>
      <c r="B917" s="3"/>
      <c r="C917" s="3"/>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3"/>
      <c r="B918" s="3"/>
      <c r="C918" s="3"/>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3"/>
      <c r="B919" s="3"/>
      <c r="C919" s="3"/>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3"/>
      <c r="B920" s="3"/>
      <c r="C920" s="3"/>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3"/>
      <c r="B921" s="3"/>
      <c r="C921" s="3"/>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3"/>
      <c r="B922" s="3"/>
      <c r="C922" s="3"/>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3"/>
      <c r="B923" s="3"/>
      <c r="C923" s="3"/>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3"/>
      <c r="B924" s="3"/>
      <c r="C924" s="3"/>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3"/>
      <c r="B925" s="3"/>
      <c r="C925" s="3"/>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3"/>
      <c r="B926" s="3"/>
      <c r="C926" s="3"/>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3"/>
      <c r="B927" s="3"/>
      <c r="C927" s="3"/>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3"/>
      <c r="B928" s="3"/>
      <c r="C928" s="3"/>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3"/>
      <c r="B929" s="3"/>
      <c r="C929" s="3"/>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3"/>
      <c r="B930" s="3"/>
      <c r="C930" s="3"/>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3"/>
      <c r="B931" s="3"/>
      <c r="C931" s="3"/>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3"/>
      <c r="B932" s="3"/>
      <c r="C932" s="3"/>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3"/>
      <c r="B933" s="3"/>
      <c r="C933" s="3"/>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3"/>
      <c r="B934" s="3"/>
      <c r="C934" s="3"/>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3"/>
      <c r="B935" s="3"/>
      <c r="C935" s="3"/>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3"/>
      <c r="B936" s="3"/>
      <c r="C936" s="3"/>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3"/>
      <c r="B937" s="3"/>
      <c r="C937" s="3"/>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3"/>
      <c r="B938" s="3"/>
      <c r="C938" s="3"/>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3"/>
      <c r="B939" s="3"/>
      <c r="C939" s="3"/>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3"/>
      <c r="B940" s="3"/>
      <c r="C940" s="3"/>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3"/>
      <c r="B941" s="3"/>
      <c r="C941" s="3"/>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3"/>
      <c r="B942" s="3"/>
      <c r="C942" s="3"/>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3"/>
      <c r="B943" s="3"/>
      <c r="C943" s="3"/>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3"/>
      <c r="B944" s="3"/>
      <c r="C944" s="3"/>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3"/>
      <c r="B945" s="3"/>
      <c r="C945" s="3"/>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3"/>
      <c r="B946" s="3"/>
      <c r="C946" s="3"/>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3"/>
      <c r="B947" s="3"/>
      <c r="C947" s="3"/>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3"/>
      <c r="B948" s="3"/>
      <c r="C948" s="3"/>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3"/>
      <c r="B949" s="3"/>
      <c r="C949" s="3"/>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3"/>
      <c r="B950" s="3"/>
      <c r="C950" s="3"/>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3"/>
      <c r="B951" s="3"/>
      <c r="C951" s="3"/>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3"/>
      <c r="B952" s="3"/>
      <c r="C952" s="3"/>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3"/>
      <c r="B953" s="3"/>
      <c r="C953" s="3"/>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3"/>
      <c r="B954" s="3"/>
      <c r="C954" s="3"/>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3"/>
      <c r="B955" s="3"/>
      <c r="C955" s="3"/>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3"/>
      <c r="B956" s="3"/>
      <c r="C956" s="3"/>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3"/>
      <c r="B957" s="3"/>
      <c r="C957" s="3"/>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3"/>
      <c r="B958" s="3"/>
      <c r="C958" s="3"/>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3"/>
      <c r="B959" s="3"/>
      <c r="C959" s="3"/>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3"/>
      <c r="B960" s="3"/>
      <c r="C960" s="3"/>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3"/>
      <c r="B961" s="3"/>
      <c r="C961" s="3"/>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3"/>
      <c r="B962" s="3"/>
      <c r="C962" s="3"/>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3"/>
      <c r="B963" s="3"/>
      <c r="C963" s="3"/>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3"/>
      <c r="B964" s="3"/>
      <c r="C964" s="3"/>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3"/>
      <c r="B965" s="3"/>
      <c r="C965" s="3"/>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3"/>
      <c r="B966" s="3"/>
      <c r="C966" s="3"/>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3"/>
      <c r="B967" s="3"/>
      <c r="C967" s="3"/>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3"/>
      <c r="B968" s="3"/>
      <c r="C968" s="3"/>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3"/>
      <c r="B969" s="3"/>
      <c r="C969" s="3"/>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3"/>
      <c r="B970" s="3"/>
      <c r="C970" s="3"/>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3"/>
      <c r="B971" s="3"/>
      <c r="C971" s="3"/>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3"/>
      <c r="B972" s="3"/>
      <c r="C972" s="3"/>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3"/>
      <c r="B973" s="3"/>
      <c r="C973" s="3"/>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3"/>
      <c r="B974" s="3"/>
      <c r="C974" s="3"/>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3"/>
      <c r="B975" s="3"/>
      <c r="C975" s="3"/>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3"/>
      <c r="B976" s="3"/>
      <c r="C976" s="3"/>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3"/>
      <c r="B977" s="3"/>
      <c r="C977" s="3"/>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3"/>
      <c r="B978" s="3"/>
      <c r="C978" s="3"/>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3"/>
      <c r="B979" s="3"/>
      <c r="C979" s="3"/>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3"/>
      <c r="B980" s="3"/>
      <c r="C980" s="3"/>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3"/>
      <c r="B981" s="3"/>
      <c r="C981" s="3"/>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3"/>
      <c r="B982" s="3"/>
      <c r="C982" s="3"/>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3"/>
      <c r="B983" s="3"/>
      <c r="C983" s="3"/>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3"/>
      <c r="B984" s="3"/>
      <c r="C984" s="3"/>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3"/>
      <c r="B985" s="3"/>
      <c r="C985" s="3"/>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3"/>
      <c r="B986" s="3"/>
      <c r="C986" s="3"/>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3"/>
      <c r="B987" s="3"/>
      <c r="C987" s="3"/>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3"/>
      <c r="B988" s="3"/>
      <c r="C988" s="3"/>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3"/>
      <c r="B989" s="3"/>
      <c r="C989" s="3"/>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3"/>
      <c r="B990" s="3"/>
      <c r="C990" s="3"/>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3"/>
      <c r="B991" s="3"/>
      <c r="C991" s="3"/>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3"/>
      <c r="B992" s="3"/>
      <c r="C992" s="3"/>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3"/>
      <c r="B993" s="3"/>
      <c r="C993" s="3"/>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3"/>
      <c r="B994" s="3"/>
      <c r="C994" s="3"/>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3"/>
      <c r="B995" s="3"/>
      <c r="C995" s="3"/>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3"/>
      <c r="B996" s="3"/>
      <c r="C996" s="3"/>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3"/>
      <c r="B997" s="3"/>
      <c r="C997" s="3"/>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3"/>
      <c r="B998" s="3"/>
      <c r="C998" s="3"/>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3"/>
      <c r="B999" s="3"/>
      <c r="C999" s="3"/>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3"/>
      <c r="B1000" s="3"/>
      <c r="C1000" s="3"/>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