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nálisis de sistemas de infraestructura\Taller 3\"/>
    </mc:Choice>
  </mc:AlternateContent>
  <xr:revisionPtr revIDLastSave="0" documentId="13_ncr:1_{5D6A3DC5-20BA-487F-8913-75877E94F3F1}" xr6:coauthVersionLast="47" xr6:coauthVersionMax="47" xr10:uidLastSave="{00000000-0000-0000-0000-000000000000}"/>
  <bookViews>
    <workbookView xWindow="-120" yWindow="-120" windowWidth="20730" windowHeight="11160" activeTab="3" xr2:uid="{0F1EEDB4-88F2-42AD-A4A6-84A0B355FC01}"/>
  </bookViews>
  <sheets>
    <sheet name="Indicador" sheetId="1" r:id="rId1"/>
    <sheet name="Indicador pesado" sheetId="3" r:id="rId2"/>
    <sheet name="Mantenimiento" sheetId="5" r:id="rId3"/>
    <sheet name="Combinación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6" l="1"/>
  <c r="B13" i="6"/>
  <c r="C12" i="6"/>
  <c r="D12" i="6" s="1"/>
  <c r="B12" i="6"/>
  <c r="B11" i="6"/>
  <c r="C11" i="6" s="1"/>
  <c r="D11" i="6" s="1"/>
  <c r="B10" i="6"/>
  <c r="C10" i="6" s="1"/>
  <c r="D10" i="6" s="1"/>
  <c r="B9" i="6"/>
  <c r="C9" i="6" s="1"/>
  <c r="D9" i="6" s="1"/>
  <c r="C8" i="6"/>
  <c r="D8" i="6" s="1"/>
  <c r="B8" i="6"/>
  <c r="D7" i="6"/>
  <c r="E7" i="6" s="1"/>
  <c r="C7" i="6"/>
  <c r="B7" i="6"/>
  <c r="B6" i="6"/>
  <c r="C6" i="6" s="1"/>
  <c r="D6" i="6" s="1"/>
  <c r="B5" i="6"/>
  <c r="C5" i="6" s="1"/>
  <c r="D5" i="6" s="1"/>
  <c r="C4" i="6"/>
  <c r="D4" i="6" s="1"/>
  <c r="B4" i="6"/>
  <c r="B3" i="6"/>
  <c r="C3" i="6" s="1"/>
  <c r="D3" i="6" s="1"/>
  <c r="B2" i="6"/>
  <c r="C2" i="6" s="1"/>
  <c r="D2" i="6" s="1"/>
  <c r="B5" i="5"/>
  <c r="B4" i="5"/>
  <c r="B3" i="5"/>
  <c r="C3" i="5"/>
  <c r="F3" i="3"/>
  <c r="F4" i="3"/>
  <c r="F5" i="3"/>
  <c r="F6" i="3"/>
  <c r="F7" i="3"/>
  <c r="F8" i="3"/>
  <c r="F9" i="3"/>
  <c r="F10" i="3"/>
  <c r="F11" i="3"/>
  <c r="F12" i="3"/>
  <c r="F13" i="3"/>
  <c r="F2" i="3"/>
  <c r="D3" i="3"/>
  <c r="D11" i="3"/>
  <c r="C15" i="3"/>
  <c r="D6" i="3" s="1"/>
  <c r="C3" i="1"/>
  <c r="C4" i="1"/>
  <c r="C5" i="1"/>
  <c r="C6" i="1"/>
  <c r="C7" i="1"/>
  <c r="C8" i="1"/>
  <c r="C9" i="1"/>
  <c r="C10" i="1"/>
  <c r="C11" i="1"/>
  <c r="C12" i="1"/>
  <c r="C13" i="1"/>
  <c r="C2" i="1"/>
  <c r="F3" i="6" l="1"/>
  <c r="E3" i="6"/>
  <c r="F8" i="6"/>
  <c r="E8" i="6"/>
  <c r="F4" i="6"/>
  <c r="E4" i="6"/>
  <c r="F9" i="6"/>
  <c r="E9" i="6"/>
  <c r="F2" i="6"/>
  <c r="E2" i="6"/>
  <c r="F5" i="6"/>
  <c r="E5" i="6"/>
  <c r="F10" i="6"/>
  <c r="E10" i="6"/>
  <c r="F6" i="6"/>
  <c r="E6" i="6"/>
  <c r="F11" i="6"/>
  <c r="E11" i="6"/>
  <c r="F12" i="6"/>
  <c r="E12" i="6"/>
  <c r="F7" i="6"/>
  <c r="C13" i="6"/>
  <c r="D13" i="6" s="1"/>
  <c r="A8" i="5"/>
  <c r="A12" i="5" s="1"/>
  <c r="A13" i="5" s="1"/>
  <c r="D13" i="3"/>
  <c r="E13" i="3" s="1"/>
  <c r="D5" i="3"/>
  <c r="D12" i="3"/>
  <c r="D4" i="3"/>
  <c r="D10" i="3"/>
  <c r="E10" i="3" s="1"/>
  <c r="D9" i="3"/>
  <c r="D8" i="3"/>
  <c r="D7" i="3"/>
  <c r="D2" i="3"/>
  <c r="E11" i="3" s="1"/>
  <c r="C15" i="1"/>
  <c r="D7" i="1" s="1"/>
  <c r="F13" i="6" l="1"/>
  <c r="E13" i="6"/>
  <c r="A16" i="5"/>
  <c r="D4" i="1"/>
  <c r="D12" i="1"/>
  <c r="D5" i="1"/>
  <c r="D13" i="1"/>
  <c r="D6" i="1"/>
  <c r="D2" i="1"/>
  <c r="D8" i="1"/>
  <c r="D3" i="1"/>
  <c r="D11" i="1"/>
  <c r="D9" i="1"/>
  <c r="D10" i="1"/>
  <c r="E5" i="3"/>
  <c r="E3" i="3"/>
  <c r="E12" i="3"/>
  <c r="E7" i="3"/>
  <c r="E4" i="3"/>
  <c r="E2" i="3"/>
  <c r="E8" i="3"/>
  <c r="E9" i="3"/>
  <c r="E6" i="3"/>
  <c r="E15" i="3" l="1"/>
</calcChain>
</file>

<file path=xl/sharedStrings.xml><?xml version="1.0" encoding="utf-8"?>
<sst xmlns="http://schemas.openxmlformats.org/spreadsheetml/2006/main" count="66" uniqueCount="38">
  <si>
    <t>Link</t>
  </si>
  <si>
    <t>(Bucaramanga, Cúcuta)</t>
  </si>
  <si>
    <t>(Barranquilla, Cartagena)</t>
  </si>
  <si>
    <t>(Aguachica, Bosconia)</t>
  </si>
  <si>
    <t>(Aguachica, Barrancabermeja)</t>
  </si>
  <si>
    <t>(Aguachica, Bucaramanga)</t>
  </si>
  <si>
    <t>(Barrancabermeja, Bucaramanga)</t>
  </si>
  <si>
    <t>(Bucaramanga, Duitama)</t>
  </si>
  <si>
    <t>(Cúcuta, Duitama)</t>
  </si>
  <si>
    <t>(Barranquilla, Ciénaga)</t>
  </si>
  <si>
    <t>(Bosconia, Cartagena)</t>
  </si>
  <si>
    <t>(Aguachica, Cúcuta)</t>
  </si>
  <si>
    <t>(Bosconia, Ciénaga)</t>
  </si>
  <si>
    <t>Indicador</t>
  </si>
  <si>
    <t>Indicador_Norm</t>
  </si>
  <si>
    <t xml:space="preserve">Longitud </t>
  </si>
  <si>
    <t>Ind_pes_norm</t>
  </si>
  <si>
    <t>Asignación recursos</t>
  </si>
  <si>
    <t>Asignación</t>
  </si>
  <si>
    <t>Ind_pesado</t>
  </si>
  <si>
    <t>Asignación def</t>
  </si>
  <si>
    <t>Presupuesto</t>
  </si>
  <si>
    <t>Recursos</t>
  </si>
  <si>
    <t>km reparados</t>
  </si>
  <si>
    <t xml:space="preserve">Mantenimiento </t>
  </si>
  <si>
    <t>Rehabilitación</t>
  </si>
  <si>
    <t>Asfalto</t>
  </si>
  <si>
    <t>Concreto</t>
  </si>
  <si>
    <t>Material</t>
  </si>
  <si>
    <t>Costo (km/carril)</t>
  </si>
  <si>
    <t>Porcentaje</t>
  </si>
  <si>
    <t>Vías 2 carriles: uno ida y uno vuelta</t>
  </si>
  <si>
    <t>costo/km</t>
  </si>
  <si>
    <t>costo/(km/carril)</t>
  </si>
  <si>
    <t>Longitud</t>
  </si>
  <si>
    <t>otros costo/km</t>
  </si>
  <si>
    <t>km reparados + otros</t>
  </si>
  <si>
    <t>costo/km con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</si>
</sst>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9" formatCode="0.0%"/>
    <numFmt numFmtId="172" formatCode="0.000%"/>
    <numFmt numFmtId="17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9" fontId="0" fillId="0" borderId="1" xfId="2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69" fontId="0" fillId="0" borderId="1" xfId="2" applyNumberFormat="1" applyFont="1" applyFill="1" applyBorder="1" applyAlignment="1">
      <alignment horizontal="center" vertical="center"/>
    </xf>
    <xf numFmtId="172" fontId="0" fillId="0" borderId="0" xfId="2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Longitud de reparación vs longitud tramo</a:t>
            </a:r>
            <a:endParaRPr lang="es-CO"/>
          </a:p>
        </c:rich>
      </c:tx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3930555555555557"/>
          <c:w val="0.81940419947506549"/>
          <c:h val="0.71993839311752694"/>
        </c:manualLayout>
      </c:layout>
      <c:scatterChart>
        <c:scatterStyle val="lineMarker"/>
        <c:varyColors val="0"/>
        <c:ser>
          <c:idx val="0"/>
          <c:order val="0"/>
          <c:tx>
            <c:v>Km reparados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Combinación!$A$2:$A$13</c:f>
              <c:strCache>
                <c:ptCount val="12"/>
                <c:pt idx="0">
                  <c:v>(Bucaramanga, Cúcuta)</c:v>
                </c:pt>
                <c:pt idx="1">
                  <c:v>(Barranquilla, Cartagena)</c:v>
                </c:pt>
                <c:pt idx="2">
                  <c:v>(Aguachica, Bosconia)</c:v>
                </c:pt>
                <c:pt idx="3">
                  <c:v>(Aguachica, Barrancabermeja)</c:v>
                </c:pt>
                <c:pt idx="4">
                  <c:v>(Aguachica, Bucaramanga)</c:v>
                </c:pt>
                <c:pt idx="5">
                  <c:v>(Barrancabermeja, Bucaramanga)</c:v>
                </c:pt>
                <c:pt idx="6">
                  <c:v>(Bucaramanga, Duitama)</c:v>
                </c:pt>
                <c:pt idx="7">
                  <c:v>(Cúcuta, Duitama)</c:v>
                </c:pt>
                <c:pt idx="8">
                  <c:v>(Barranquilla, Ciénaga)</c:v>
                </c:pt>
                <c:pt idx="9">
                  <c:v>(Bosconia, Cartagena)</c:v>
                </c:pt>
                <c:pt idx="10">
                  <c:v>(Aguachica, Cúcuta)</c:v>
                </c:pt>
                <c:pt idx="11">
                  <c:v>(Bosconia, Ciénaga)</c:v>
                </c:pt>
              </c:strCache>
            </c:strRef>
          </c:xVal>
          <c:yVal>
            <c:numRef>
              <c:f>Combinación!$E$2:$E$14</c:f>
              <c:numCache>
                <c:formatCode>0</c:formatCode>
                <c:ptCount val="13"/>
                <c:pt idx="0">
                  <c:v>134.34018126590115</c:v>
                </c:pt>
                <c:pt idx="1">
                  <c:v>90.193460828115306</c:v>
                </c:pt>
                <c:pt idx="2">
                  <c:v>88.623687723878348</c:v>
                </c:pt>
                <c:pt idx="3">
                  <c:v>83.006588602263946</c:v>
                </c:pt>
                <c:pt idx="4">
                  <c:v>65.395562026877798</c:v>
                </c:pt>
                <c:pt idx="5">
                  <c:v>58.738985346833999</c:v>
                </c:pt>
                <c:pt idx="6">
                  <c:v>56.413289963323635</c:v>
                </c:pt>
                <c:pt idx="7">
                  <c:v>37.984420218036234</c:v>
                </c:pt>
                <c:pt idx="8">
                  <c:v>46.420889338316186</c:v>
                </c:pt>
                <c:pt idx="9">
                  <c:v>35.374019371071405</c:v>
                </c:pt>
                <c:pt idx="10">
                  <c:v>8.8533290762785946</c:v>
                </c:pt>
                <c:pt idx="11">
                  <c:v>7.1246910480898711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D-44D7-A2E2-60568608E684}"/>
            </c:ext>
          </c:extLst>
        </c:ser>
        <c:ser>
          <c:idx val="1"/>
          <c:order val="1"/>
          <c:tx>
            <c:v>Km reparados + otros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Combinación!$A$2:$A$13</c:f>
              <c:strCache>
                <c:ptCount val="12"/>
                <c:pt idx="0">
                  <c:v>(Bucaramanga, Cúcuta)</c:v>
                </c:pt>
                <c:pt idx="1">
                  <c:v>(Barranquilla, Cartagena)</c:v>
                </c:pt>
                <c:pt idx="2">
                  <c:v>(Aguachica, Bosconia)</c:v>
                </c:pt>
                <c:pt idx="3">
                  <c:v>(Aguachica, Barrancabermeja)</c:v>
                </c:pt>
                <c:pt idx="4">
                  <c:v>(Aguachica, Bucaramanga)</c:v>
                </c:pt>
                <c:pt idx="5">
                  <c:v>(Barrancabermeja, Bucaramanga)</c:v>
                </c:pt>
                <c:pt idx="6">
                  <c:v>(Bucaramanga, Duitama)</c:v>
                </c:pt>
                <c:pt idx="7">
                  <c:v>(Cúcuta, Duitama)</c:v>
                </c:pt>
                <c:pt idx="8">
                  <c:v>(Barranquilla, Ciénaga)</c:v>
                </c:pt>
                <c:pt idx="9">
                  <c:v>(Bosconia, Cartagena)</c:v>
                </c:pt>
                <c:pt idx="10">
                  <c:v>(Aguachica, Cúcuta)</c:v>
                </c:pt>
                <c:pt idx="11">
                  <c:v>(Bosconia, Ciénaga)</c:v>
                </c:pt>
              </c:strCache>
            </c:strRef>
          </c:xVal>
          <c:yVal>
            <c:numRef>
              <c:f>Combinación!$F$2:$F$14</c:f>
              <c:numCache>
                <c:formatCode>0</c:formatCode>
                <c:ptCount val="13"/>
                <c:pt idx="0">
                  <c:v>125.55157127654313</c:v>
                </c:pt>
                <c:pt idx="1">
                  <c:v>84.292954044967559</c:v>
                </c:pt>
                <c:pt idx="2">
                  <c:v>82.825876377456396</c:v>
                </c:pt>
                <c:pt idx="3">
                  <c:v>77.576251030153216</c:v>
                </c:pt>
                <c:pt idx="4">
                  <c:v>61.117347688670833</c:v>
                </c:pt>
                <c:pt idx="5">
                  <c:v>54.896247987695318</c:v>
                </c:pt>
                <c:pt idx="6">
                  <c:v>52.722700900302456</c:v>
                </c:pt>
                <c:pt idx="7">
                  <c:v>35.499458147697418</c:v>
                </c:pt>
                <c:pt idx="8">
                  <c:v>43.384008727398303</c:v>
                </c:pt>
                <c:pt idx="9">
                  <c:v>33.059831187917197</c:v>
                </c:pt>
                <c:pt idx="10">
                  <c:v>8.2741393236248548</c:v>
                </c:pt>
                <c:pt idx="11">
                  <c:v>6.6585897645699728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D-44D7-A2E2-60568608E684}"/>
            </c:ext>
          </c:extLst>
        </c:ser>
        <c:ser>
          <c:idx val="2"/>
          <c:order val="2"/>
          <c:tx>
            <c:v>Km Longitud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Combinación!$A$2:$A$13</c:f>
              <c:strCache>
                <c:ptCount val="12"/>
                <c:pt idx="0">
                  <c:v>(Bucaramanga, Cúcuta)</c:v>
                </c:pt>
                <c:pt idx="1">
                  <c:v>(Barranquilla, Cartagena)</c:v>
                </c:pt>
                <c:pt idx="2">
                  <c:v>(Aguachica, Bosconia)</c:v>
                </c:pt>
                <c:pt idx="3">
                  <c:v>(Aguachica, Barrancabermeja)</c:v>
                </c:pt>
                <c:pt idx="4">
                  <c:v>(Aguachica, Bucaramanga)</c:v>
                </c:pt>
                <c:pt idx="5">
                  <c:v>(Barrancabermeja, Bucaramanga)</c:v>
                </c:pt>
                <c:pt idx="6">
                  <c:v>(Bucaramanga, Duitama)</c:v>
                </c:pt>
                <c:pt idx="7">
                  <c:v>(Cúcuta, Duitama)</c:v>
                </c:pt>
                <c:pt idx="8">
                  <c:v>(Barranquilla, Ciénaga)</c:v>
                </c:pt>
                <c:pt idx="9">
                  <c:v>(Bosconia, Cartagena)</c:v>
                </c:pt>
                <c:pt idx="10">
                  <c:v>(Aguachica, Cúcuta)</c:v>
                </c:pt>
                <c:pt idx="11">
                  <c:v>(Bosconia, Ciénaga)</c:v>
                </c:pt>
              </c:strCache>
            </c:strRef>
          </c:xVal>
          <c:yVal>
            <c:numRef>
              <c:f>Combinación!$G$2:$G$14</c:f>
              <c:numCache>
                <c:formatCode>0</c:formatCode>
                <c:ptCount val="13"/>
                <c:pt idx="0">
                  <c:v>109.64264137343</c:v>
                </c:pt>
                <c:pt idx="1">
                  <c:v>100.050112509084</c:v>
                </c:pt>
                <c:pt idx="2">
                  <c:v>186.62485117630101</c:v>
                </c:pt>
                <c:pt idx="3">
                  <c:v>140.13296008612801</c:v>
                </c:pt>
                <c:pt idx="4">
                  <c:v>141.88054632342801</c:v>
                </c:pt>
                <c:pt idx="5">
                  <c:v>80.808225523530396</c:v>
                </c:pt>
                <c:pt idx="6">
                  <c:v>143.27529464856201</c:v>
                </c:pt>
                <c:pt idx="7">
                  <c:v>235.634368658494</c:v>
                </c:pt>
                <c:pt idx="8">
                  <c:v>60.9887562604181</c:v>
                </c:pt>
                <c:pt idx="9">
                  <c:v>180.21844558234901</c:v>
                </c:pt>
                <c:pt idx="10">
                  <c:v>131.251069864161</c:v>
                </c:pt>
                <c:pt idx="11">
                  <c:v>121.29300631890101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D-44D7-A2E2-60568608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65983"/>
        <c:axId val="393155615"/>
      </c:scatterChart>
      <c:valAx>
        <c:axId val="9115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Link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155615"/>
        <c:crosses val="autoZero"/>
        <c:crossBetween val="midCat"/>
      </c:valAx>
      <c:valAx>
        <c:axId val="393155615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</a:t>
                </a:r>
                <a:r>
                  <a:rPr lang="es-CO" baseline="0"/>
                  <a:t> (km)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5659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3245844269461"/>
          <c:y val="0.1422790901137358"/>
          <c:w val="0.3020008748906386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B2A82C-8065-4B0C-810F-9AE5C6526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Libro1.xlsx" TargetMode="External"/><Relationship Id="rId1" Type="http://schemas.openxmlformats.org/officeDocument/2006/relationships/externalLinkPath" Target="/Users/Admin/Downloads/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ación"/>
    </sheetNames>
    <sheetDataSet>
      <sheetData sheetId="0">
        <row r="2">
          <cell r="A2" t="str">
            <v>(Bucaramanga, Cúcuta)</v>
          </cell>
          <cell r="E2">
            <v>134.34018126590115</v>
          </cell>
          <cell r="F2">
            <v>125.55157127654313</v>
          </cell>
        </row>
        <row r="3">
          <cell r="A3" t="str">
            <v>(Barranquilla, Cartagena)</v>
          </cell>
          <cell r="E3">
            <v>90.193460828115306</v>
          </cell>
          <cell r="F3">
            <v>84.292954044967559</v>
          </cell>
        </row>
        <row r="4">
          <cell r="A4" t="str">
            <v>(Aguachica, Bosconia)</v>
          </cell>
          <cell r="E4">
            <v>88.623687723878348</v>
          </cell>
          <cell r="F4">
            <v>82.825876377456396</v>
          </cell>
        </row>
        <row r="5">
          <cell r="A5" t="str">
            <v>(Aguachica, Barrancabermeja)</v>
          </cell>
          <cell r="E5">
            <v>83.006588602263946</v>
          </cell>
          <cell r="F5">
            <v>77.576251030153216</v>
          </cell>
        </row>
        <row r="6">
          <cell r="A6" t="str">
            <v>(Aguachica, Bucaramanga)</v>
          </cell>
          <cell r="E6">
            <v>65.395562026877798</v>
          </cell>
          <cell r="F6">
            <v>61.117347688670833</v>
          </cell>
        </row>
        <row r="7">
          <cell r="A7" t="str">
            <v>(Barrancabermeja, Bucaramanga)</v>
          </cell>
          <cell r="E7">
            <v>58.738985346833999</v>
          </cell>
          <cell r="F7">
            <v>54.896247987695318</v>
          </cell>
        </row>
        <row r="8">
          <cell r="A8" t="str">
            <v>(Bucaramanga, Duitama)</v>
          </cell>
          <cell r="E8">
            <v>56.413289963323635</v>
          </cell>
          <cell r="F8">
            <v>52.722700900302456</v>
          </cell>
        </row>
        <row r="9">
          <cell r="A9" t="str">
            <v>(Cúcuta, Duitama)</v>
          </cell>
          <cell r="E9">
            <v>37.984420218036234</v>
          </cell>
          <cell r="F9">
            <v>35.499458147697418</v>
          </cell>
        </row>
        <row r="10">
          <cell r="A10" t="str">
            <v>(Barranquilla, Ciénaga)</v>
          </cell>
          <cell r="E10">
            <v>46.420889338316186</v>
          </cell>
          <cell r="F10">
            <v>43.384008727398303</v>
          </cell>
        </row>
        <row r="11">
          <cell r="A11" t="str">
            <v>(Bosconia, Cartagena)</v>
          </cell>
          <cell r="E11">
            <v>35.374019371071405</v>
          </cell>
          <cell r="F11">
            <v>33.059831187917197</v>
          </cell>
        </row>
        <row r="12">
          <cell r="A12" t="str">
            <v>(Aguachica, Cúcuta)</v>
          </cell>
          <cell r="E12">
            <v>8.8533290762785946</v>
          </cell>
          <cell r="F12">
            <v>8.2741393236248548</v>
          </cell>
        </row>
        <row r="13">
          <cell r="A13" t="str">
            <v>(Bosconia, Ciénaga)</v>
          </cell>
          <cell r="E13">
            <v>7.1246910480898711</v>
          </cell>
          <cell r="F13">
            <v>6.6585897645699728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C02C-4628-42B1-BD76-E867D09BDAC6}">
  <dimension ref="A1:J29"/>
  <sheetViews>
    <sheetView workbookViewId="0">
      <selection activeCell="C18" sqref="C18"/>
    </sheetView>
  </sheetViews>
  <sheetFormatPr baseColWidth="10" defaultRowHeight="15" x14ac:dyDescent="0.25"/>
  <cols>
    <col min="1" max="1" width="28.5703125" style="22" customWidth="1"/>
    <col min="2" max="2" width="14" style="22" bestFit="1" customWidth="1"/>
    <col min="3" max="3" width="16.140625" style="22" customWidth="1"/>
    <col min="4" max="4" width="18.85546875" style="22" customWidth="1"/>
    <col min="5" max="8" width="11.42578125" style="22"/>
    <col min="9" max="16384" width="11.42578125" style="23"/>
  </cols>
  <sheetData>
    <row r="1" spans="1:10" x14ac:dyDescent="0.25">
      <c r="A1" s="4" t="s">
        <v>0</v>
      </c>
      <c r="B1" s="21" t="s">
        <v>13</v>
      </c>
      <c r="C1" s="21" t="s">
        <v>14</v>
      </c>
      <c r="D1" s="21" t="s">
        <v>17</v>
      </c>
    </row>
    <row r="2" spans="1:10" x14ac:dyDescent="0.25">
      <c r="A2" s="4" t="s">
        <v>1</v>
      </c>
      <c r="B2" s="4">
        <v>2.587669</v>
      </c>
      <c r="C2" s="21">
        <f>(B2-MIN($B$2:$B$13))/(MAX($B$2:$B$13)-MIN($B$2:$B$13))</f>
        <v>1</v>
      </c>
      <c r="D2" s="27">
        <f>C2/$C$15</f>
        <v>0.20201511478266507</v>
      </c>
      <c r="H2" s="1"/>
    </row>
    <row r="3" spans="1:10" x14ac:dyDescent="0.25">
      <c r="A3" s="4" t="s">
        <v>2</v>
      </c>
      <c r="B3" s="4">
        <v>0.99969799999999998</v>
      </c>
      <c r="C3" s="21">
        <f t="shared" ref="C3:C13" si="0">(B3-MIN($B$2:$B$13))/(MAX($B$2:$B$13)-MIN($B$2:$B$13))</f>
        <v>0.63947613199864417</v>
      </c>
      <c r="D3" s="27">
        <f t="shared" ref="D3:D13" si="1">C3/$C$15</f>
        <v>0.1291838442064808</v>
      </c>
      <c r="H3" s="1"/>
      <c r="J3" s="25"/>
    </row>
    <row r="4" spans="1:10" x14ac:dyDescent="0.25">
      <c r="A4" s="4" t="s">
        <v>3</v>
      </c>
      <c r="B4" s="4">
        <v>0.67874000000000001</v>
      </c>
      <c r="C4" s="21">
        <f t="shared" si="0"/>
        <v>0.5666076604547815</v>
      </c>
      <c r="D4" s="27">
        <f t="shared" si="1"/>
        <v>0.11446331156351</v>
      </c>
      <c r="H4" s="1"/>
      <c r="J4" s="25"/>
    </row>
    <row r="5" spans="1:10" x14ac:dyDescent="0.25">
      <c r="A5" s="4" t="s">
        <v>4</v>
      </c>
      <c r="B5" s="4">
        <v>0.64322199999999996</v>
      </c>
      <c r="C5" s="21">
        <f t="shared" si="0"/>
        <v>0.55854385655428695</v>
      </c>
      <c r="D5" s="27">
        <f t="shared" si="1"/>
        <v>0.11283430129296669</v>
      </c>
      <c r="H5" s="1"/>
      <c r="J5" s="25"/>
    </row>
    <row r="6" spans="1:10" x14ac:dyDescent="0.25">
      <c r="A6" s="4" t="s">
        <v>5</v>
      </c>
      <c r="B6" s="4">
        <v>0.148339</v>
      </c>
      <c r="C6" s="21">
        <f t="shared" si="0"/>
        <v>0.44618844617959186</v>
      </c>
      <c r="D6" s="27">
        <f t="shared" si="1"/>
        <v>9.0136810169669235E-2</v>
      </c>
      <c r="H6" s="1"/>
      <c r="J6" s="25"/>
    </row>
    <row r="7" spans="1:10" x14ac:dyDescent="0.25">
      <c r="A7" s="4" t="s">
        <v>6</v>
      </c>
      <c r="B7" s="4">
        <v>-4.8446999999999997E-2</v>
      </c>
      <c r="C7" s="21">
        <f t="shared" si="0"/>
        <v>0.40151127645261647</v>
      </c>
      <c r="D7" s="27">
        <f t="shared" si="1"/>
        <v>8.1111346599109679E-2</v>
      </c>
      <c r="H7" s="1"/>
      <c r="J7" s="25"/>
    </row>
    <row r="8" spans="1:10" x14ac:dyDescent="0.25">
      <c r="A8" s="4" t="s">
        <v>7</v>
      </c>
      <c r="B8" s="4">
        <v>-0.101325</v>
      </c>
      <c r="C8" s="21">
        <f t="shared" si="0"/>
        <v>0.389506157283453</v>
      </c>
      <c r="D8" s="27">
        <f t="shared" si="1"/>
        <v>7.8686131072171553E-2</v>
      </c>
      <c r="H8" s="1"/>
      <c r="J8" s="25"/>
    </row>
    <row r="9" spans="1:10" x14ac:dyDescent="0.25">
      <c r="A9" s="4" t="s">
        <v>8</v>
      </c>
      <c r="B9" s="4">
        <v>-0.45234600000000003</v>
      </c>
      <c r="C9" s="21">
        <f t="shared" si="0"/>
        <v>0.30981235388924494</v>
      </c>
      <c r="D9" s="27">
        <f t="shared" si="1"/>
        <v>6.2586778232023466E-2</v>
      </c>
      <c r="H9" s="1"/>
      <c r="J9" s="25"/>
    </row>
    <row r="10" spans="1:10" x14ac:dyDescent="0.25">
      <c r="A10" s="4" t="s">
        <v>9</v>
      </c>
      <c r="B10" s="4">
        <v>-0.55155900000000002</v>
      </c>
      <c r="C10" s="21">
        <f t="shared" si="0"/>
        <v>0.28728760090822797</v>
      </c>
      <c r="D10" s="27">
        <f t="shared" si="1"/>
        <v>5.8036437673112146E-2</v>
      </c>
      <c r="H10" s="1"/>
      <c r="J10" s="25"/>
    </row>
    <row r="11" spans="1:10" x14ac:dyDescent="0.25">
      <c r="A11" s="4" t="s">
        <v>10</v>
      </c>
      <c r="B11" s="4">
        <v>-0.59964200000000001</v>
      </c>
      <c r="C11" s="21">
        <f t="shared" si="0"/>
        <v>0.27637111115803153</v>
      </c>
      <c r="D11" s="27">
        <f t="shared" si="1"/>
        <v>5.5831141743202431E-2</v>
      </c>
      <c r="H11" s="1"/>
      <c r="J11" s="25"/>
    </row>
    <row r="12" spans="1:10" x14ac:dyDescent="0.25">
      <c r="A12" s="4" t="s">
        <v>11</v>
      </c>
      <c r="B12" s="4">
        <v>-1.487398</v>
      </c>
      <c r="C12" s="21">
        <f t="shared" si="0"/>
        <v>7.482005829786488E-2</v>
      </c>
      <c r="D12" s="27">
        <f t="shared" si="1"/>
        <v>1.5114782665088866E-2</v>
      </c>
      <c r="H12" s="1"/>
      <c r="J12" s="25"/>
    </row>
    <row r="13" spans="1:10" x14ac:dyDescent="0.25">
      <c r="A13" s="4" t="s">
        <v>12</v>
      </c>
      <c r="B13" s="4">
        <v>-1.8169519999999999</v>
      </c>
      <c r="C13" s="21">
        <f t="shared" si="0"/>
        <v>0</v>
      </c>
      <c r="D13" s="27">
        <f t="shared" si="1"/>
        <v>0</v>
      </c>
      <c r="H13" s="1"/>
      <c r="J13" s="25"/>
    </row>
    <row r="15" spans="1:10" x14ac:dyDescent="0.25">
      <c r="B15" s="26"/>
      <c r="C15" s="22">
        <f>SUM(C2:C13)</f>
        <v>4.9501246531767435</v>
      </c>
    </row>
    <row r="17" spans="1:4" x14ac:dyDescent="0.25">
      <c r="A17" s="1"/>
    </row>
    <row r="18" spans="1:4" x14ac:dyDescent="0.25">
      <c r="A18" s="1"/>
      <c r="B18" s="1"/>
      <c r="C18" s="28"/>
      <c r="D18" s="28"/>
    </row>
    <row r="19" spans="1:4" x14ac:dyDescent="0.25">
      <c r="A19" s="1"/>
      <c r="B19" s="1"/>
      <c r="C19" s="28"/>
      <c r="D19" s="28"/>
    </row>
    <row r="20" spans="1:4" x14ac:dyDescent="0.25">
      <c r="A20" s="1"/>
      <c r="B20" s="1"/>
      <c r="C20" s="28"/>
      <c r="D20" s="28"/>
    </row>
    <row r="21" spans="1:4" x14ac:dyDescent="0.25">
      <c r="A21" s="1"/>
      <c r="B21" s="1"/>
      <c r="C21" s="28"/>
      <c r="D21" s="28"/>
    </row>
    <row r="22" spans="1:4" x14ac:dyDescent="0.25">
      <c r="A22" s="1"/>
      <c r="B22" s="1"/>
      <c r="C22" s="28"/>
      <c r="D22" s="28"/>
    </row>
    <row r="23" spans="1:4" x14ac:dyDescent="0.25">
      <c r="A23" s="1"/>
      <c r="B23" s="1"/>
      <c r="C23" s="28"/>
      <c r="D23" s="28"/>
    </row>
    <row r="24" spans="1:4" x14ac:dyDescent="0.25">
      <c r="A24" s="1"/>
      <c r="B24" s="1"/>
      <c r="C24" s="28"/>
      <c r="D24" s="28"/>
    </row>
    <row r="25" spans="1:4" x14ac:dyDescent="0.25">
      <c r="A25" s="1"/>
      <c r="B25" s="1"/>
      <c r="C25" s="28"/>
      <c r="D25" s="28"/>
    </row>
    <row r="26" spans="1:4" x14ac:dyDescent="0.25">
      <c r="A26" s="1"/>
      <c r="B26" s="1"/>
      <c r="C26" s="28"/>
      <c r="D26" s="28"/>
    </row>
    <row r="27" spans="1:4" x14ac:dyDescent="0.25">
      <c r="A27" s="1"/>
      <c r="B27" s="1"/>
      <c r="C27" s="28"/>
      <c r="D27" s="28"/>
    </row>
    <row r="28" spans="1:4" x14ac:dyDescent="0.25">
      <c r="A28" s="1"/>
      <c r="B28" s="1"/>
      <c r="C28" s="28"/>
      <c r="D28" s="28"/>
    </row>
    <row r="29" spans="1:4" x14ac:dyDescent="0.25">
      <c r="A29" s="1"/>
      <c r="B29" s="1"/>
      <c r="C29" s="28"/>
      <c r="D29" s="28"/>
    </row>
  </sheetData>
  <sortState xmlns:xlrd2="http://schemas.microsoft.com/office/spreadsheetml/2017/richdata2" ref="I2:I13">
    <sortCondition descending="1" ref="I2:I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8A3B-1BDA-4BAF-A004-517A2D9292DC}">
  <dimension ref="A1:I29"/>
  <sheetViews>
    <sheetView workbookViewId="0">
      <selection activeCell="A23" sqref="A23"/>
    </sheetView>
  </sheetViews>
  <sheetFormatPr baseColWidth="10" defaultRowHeight="15" x14ac:dyDescent="0.25"/>
  <cols>
    <col min="1" max="1" width="28.5703125" style="22" customWidth="1"/>
    <col min="2" max="2" width="14" style="22" bestFit="1" customWidth="1"/>
    <col min="3" max="7" width="11.42578125" style="22"/>
    <col min="8" max="16384" width="11.42578125" style="23"/>
  </cols>
  <sheetData>
    <row r="1" spans="1:9" x14ac:dyDescent="0.25">
      <c r="A1" s="4" t="s">
        <v>0</v>
      </c>
      <c r="B1" s="21" t="s">
        <v>13</v>
      </c>
      <c r="C1" s="21" t="s">
        <v>15</v>
      </c>
      <c r="D1" s="21" t="s">
        <v>19</v>
      </c>
      <c r="E1" s="21" t="s">
        <v>16</v>
      </c>
      <c r="F1" s="21" t="s">
        <v>18</v>
      </c>
    </row>
    <row r="2" spans="1:9" x14ac:dyDescent="0.25">
      <c r="A2" s="4" t="s">
        <v>1</v>
      </c>
      <c r="B2" s="4">
        <v>2.587669</v>
      </c>
      <c r="C2" s="4">
        <v>109.64264137343</v>
      </c>
      <c r="D2" s="21">
        <f>B2*C2/$C$15</f>
        <v>0.1738686210124987</v>
      </c>
      <c r="E2" s="21">
        <f>(D2-MIN($D$2:$D$13))/(MAX($D$2:$D$13)-MIN($D$2:$D$13))</f>
        <v>1</v>
      </c>
      <c r="F2" s="24">
        <f>E2/$E$15</f>
        <v>0.19509648306526647</v>
      </c>
      <c r="G2" s="1"/>
    </row>
    <row r="3" spans="1:9" x14ac:dyDescent="0.25">
      <c r="A3" s="4" t="s">
        <v>2</v>
      </c>
      <c r="B3" s="4">
        <v>0.99969799999999998</v>
      </c>
      <c r="C3" s="4">
        <v>100.050112509084</v>
      </c>
      <c r="D3" s="21">
        <f t="shared" ref="D3:D13" si="0">B3*C3/$C$15</f>
        <v>6.129420291421149E-2</v>
      </c>
      <c r="E3" s="21">
        <f t="shared" ref="E3:E13" si="1">(D3-MIN($D$2:$D$13))/(MAX($D$2:$D$13)-MIN($D$2:$D$13))</f>
        <v>0.63559198649957382</v>
      </c>
      <c r="F3" s="24">
        <f t="shared" ref="F3:F13" si="2">E3/$E$15</f>
        <v>0.12400176123053318</v>
      </c>
      <c r="G3" s="1"/>
      <c r="I3" s="25"/>
    </row>
    <row r="4" spans="1:9" x14ac:dyDescent="0.25">
      <c r="A4" s="4" t="s">
        <v>3</v>
      </c>
      <c r="B4" s="4">
        <v>0.67874000000000001</v>
      </c>
      <c r="C4" s="4">
        <v>186.62485117630101</v>
      </c>
      <c r="D4" s="21">
        <f t="shared" si="0"/>
        <v>7.7625769017175481E-2</v>
      </c>
      <c r="E4" s="21">
        <f t="shared" si="1"/>
        <v>0.68845793652150467</v>
      </c>
      <c r="F4" s="24">
        <f t="shared" si="2"/>
        <v>0.13431572215371604</v>
      </c>
      <c r="G4" s="1"/>
      <c r="I4" s="25"/>
    </row>
    <row r="5" spans="1:9" x14ac:dyDescent="0.25">
      <c r="A5" s="4" t="s">
        <v>4</v>
      </c>
      <c r="B5" s="4">
        <v>0.64322199999999996</v>
      </c>
      <c r="C5" s="4">
        <v>140.13296008612801</v>
      </c>
      <c r="D5" s="21">
        <f t="shared" si="0"/>
        <v>5.5237521435560773E-2</v>
      </c>
      <c r="E5" s="21">
        <f t="shared" si="1"/>
        <v>0.6159862598760264</v>
      </c>
      <c r="F5" s="24">
        <f t="shared" si="2"/>
        <v>0.12017675291834001</v>
      </c>
      <c r="G5" s="1"/>
      <c r="I5" s="25"/>
    </row>
    <row r="6" spans="1:9" x14ac:dyDescent="0.25">
      <c r="A6" s="4" t="s">
        <v>5</v>
      </c>
      <c r="B6" s="4">
        <v>0.148339</v>
      </c>
      <c r="C6" s="4">
        <v>141.88054632342801</v>
      </c>
      <c r="D6" s="21">
        <f t="shared" si="0"/>
        <v>1.2897668079011075E-2</v>
      </c>
      <c r="E6" s="21">
        <f t="shared" si="1"/>
        <v>0.47893041615770676</v>
      </c>
      <c r="F6" s="24">
        <f t="shared" si="2"/>
        <v>9.3437639825353067E-2</v>
      </c>
      <c r="G6" s="1"/>
      <c r="I6" s="25"/>
    </row>
    <row r="7" spans="1:9" x14ac:dyDescent="0.25">
      <c r="A7" s="4" t="s">
        <v>6</v>
      </c>
      <c r="B7" s="4">
        <v>-4.8446999999999997E-2</v>
      </c>
      <c r="C7" s="4">
        <v>80.808225523530396</v>
      </c>
      <c r="D7" s="21">
        <f t="shared" si="0"/>
        <v>-2.3991392537066774E-3</v>
      </c>
      <c r="E7" s="21">
        <f t="shared" si="1"/>
        <v>0.42941402276051766</v>
      </c>
      <c r="F7" s="24">
        <f t="shared" si="2"/>
        <v>8.3777165619485283E-2</v>
      </c>
      <c r="G7" s="1"/>
      <c r="I7" s="25"/>
    </row>
    <row r="8" spans="1:9" x14ac:dyDescent="0.25">
      <c r="A8" s="4" t="s">
        <v>7</v>
      </c>
      <c r="B8" s="4">
        <v>-0.101325</v>
      </c>
      <c r="C8" s="4">
        <v>143.27529464856201</v>
      </c>
      <c r="D8" s="21">
        <f t="shared" si="0"/>
        <v>-8.8965355767490987E-3</v>
      </c>
      <c r="E8" s="21">
        <f t="shared" si="1"/>
        <v>0.40838168409066417</v>
      </c>
      <c r="F8" s="24">
        <f t="shared" si="2"/>
        <v>7.9673830314359262E-2</v>
      </c>
      <c r="G8" s="1"/>
      <c r="I8" s="25"/>
    </row>
    <row r="9" spans="1:9" x14ac:dyDescent="0.25">
      <c r="A9" s="4" t="s">
        <v>8</v>
      </c>
      <c r="B9" s="4">
        <v>-0.45234600000000003</v>
      </c>
      <c r="C9" s="4">
        <v>235.634368658494</v>
      </c>
      <c r="D9" s="21">
        <f t="shared" si="0"/>
        <v>-6.5319430043619744E-2</v>
      </c>
      <c r="E9" s="21">
        <f t="shared" si="1"/>
        <v>0.22573845807225351</v>
      </c>
      <c r="F9" s="24">
        <f t="shared" si="2"/>
        <v>4.4040779262472775E-2</v>
      </c>
      <c r="G9" s="1"/>
      <c r="I9" s="25"/>
    </row>
    <row r="10" spans="1:9" x14ac:dyDescent="0.25">
      <c r="A10" s="4" t="s">
        <v>9</v>
      </c>
      <c r="B10" s="4">
        <v>-0.55155900000000002</v>
      </c>
      <c r="C10" s="4">
        <v>60.9887562604181</v>
      </c>
      <c r="D10" s="21">
        <f t="shared" si="0"/>
        <v>-2.0614592276435809E-2</v>
      </c>
      <c r="E10" s="21">
        <f t="shared" si="1"/>
        <v>0.37044985343007852</v>
      </c>
      <c r="F10" s="24">
        <f t="shared" si="2"/>
        <v>7.2273463556251763E-2</v>
      </c>
      <c r="G10" s="1"/>
      <c r="I10" s="25"/>
    </row>
    <row r="11" spans="1:9" x14ac:dyDescent="0.25">
      <c r="A11" s="4" t="s">
        <v>10</v>
      </c>
      <c r="B11" s="4">
        <v>-0.59964200000000001</v>
      </c>
      <c r="C11" s="4">
        <v>180.21844558234901</v>
      </c>
      <c r="D11" s="21">
        <f t="shared" si="0"/>
        <v>-6.6225352809004615E-2</v>
      </c>
      <c r="E11" s="21">
        <f t="shared" si="1"/>
        <v>0.2228059488850376</v>
      </c>
      <c r="F11" s="24">
        <f t="shared" si="2"/>
        <v>4.3468657033490364E-2</v>
      </c>
      <c r="G11" s="1"/>
      <c r="I11" s="25"/>
    </row>
    <row r="12" spans="1:9" x14ac:dyDescent="0.25">
      <c r="A12" s="4" t="s">
        <v>11</v>
      </c>
      <c r="B12" s="4">
        <v>-1.487398</v>
      </c>
      <c r="C12" s="4">
        <v>131.251069864161</v>
      </c>
      <c r="D12" s="21">
        <f t="shared" si="0"/>
        <v>-0.11963631910531949</v>
      </c>
      <c r="E12" s="21">
        <f t="shared" si="1"/>
        <v>4.9912458019420944E-2</v>
      </c>
      <c r="F12" s="24">
        <f t="shared" si="2"/>
        <v>9.7377450207317817E-3</v>
      </c>
      <c r="G12" s="1"/>
      <c r="I12" s="25"/>
    </row>
    <row r="13" spans="1:9" x14ac:dyDescent="0.25">
      <c r="A13" s="4" t="s">
        <v>12</v>
      </c>
      <c r="B13" s="4">
        <v>-1.8169519999999999</v>
      </c>
      <c r="C13" s="4">
        <v>121.29300631890101</v>
      </c>
      <c r="D13" s="21">
        <f t="shared" si="0"/>
        <v>-0.13505548034553994</v>
      </c>
      <c r="E13" s="21">
        <f t="shared" si="1"/>
        <v>0</v>
      </c>
      <c r="F13" s="24">
        <f t="shared" si="2"/>
        <v>0</v>
      </c>
      <c r="G13" s="1"/>
      <c r="I13" s="25"/>
    </row>
    <row r="15" spans="1:9" x14ac:dyDescent="0.25">
      <c r="B15" s="26"/>
      <c r="C15" s="22">
        <f>SUM(C2:C13)</f>
        <v>1631.8002783247866</v>
      </c>
      <c r="E15" s="22">
        <f>SUM(E2:E13)</f>
        <v>5.125669024312784</v>
      </c>
    </row>
    <row r="17" spans="1:2" x14ac:dyDescent="0.25">
      <c r="A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6A34-046F-4817-8FC9-1D01E9E81A4C}">
  <dimension ref="A1:E16"/>
  <sheetViews>
    <sheetView workbookViewId="0">
      <selection activeCell="A16" sqref="A16"/>
    </sheetView>
  </sheetViews>
  <sheetFormatPr baseColWidth="10" defaultRowHeight="15" x14ac:dyDescent="0.25"/>
  <cols>
    <col min="1" max="1" width="26.7109375" style="8" bestFit="1" customWidth="1"/>
    <col min="2" max="2" width="18.28515625" style="8" bestFit="1" customWidth="1"/>
    <col min="3" max="16384" width="11.42578125" style="8"/>
  </cols>
  <sheetData>
    <row r="1" spans="1:5" x14ac:dyDescent="0.25">
      <c r="A1" s="6" t="s">
        <v>24</v>
      </c>
      <c r="B1" s="6"/>
      <c r="C1" s="6"/>
      <c r="D1" s="6"/>
    </row>
    <row r="2" spans="1:5" x14ac:dyDescent="0.25">
      <c r="A2" s="7" t="s">
        <v>28</v>
      </c>
      <c r="B2" s="7" t="s">
        <v>29</v>
      </c>
      <c r="C2" s="6" t="s">
        <v>30</v>
      </c>
      <c r="D2" s="6"/>
    </row>
    <row r="3" spans="1:5" x14ac:dyDescent="0.25">
      <c r="A3" s="7" t="s">
        <v>26</v>
      </c>
      <c r="B3" s="14">
        <f>(561*10^6)*(1+0.05)^10</f>
        <v>913809885.6221447</v>
      </c>
      <c r="C3" s="5">
        <f>1-C5</f>
        <v>0.85</v>
      </c>
      <c r="D3" s="15">
        <v>0.85</v>
      </c>
      <c r="E3" s="16"/>
    </row>
    <row r="4" spans="1:5" x14ac:dyDescent="0.25">
      <c r="A4" s="7" t="s">
        <v>27</v>
      </c>
      <c r="B4" s="14">
        <f>(632*10^6)*(1+0.05)^10</f>
        <v>1029461404.1233431</v>
      </c>
      <c r="C4" s="6"/>
      <c r="D4" s="15">
        <v>0.15</v>
      </c>
      <c r="E4" s="17"/>
    </row>
    <row r="5" spans="1:5" x14ac:dyDescent="0.25">
      <c r="A5" s="7" t="s">
        <v>25</v>
      </c>
      <c r="B5" s="14">
        <f>(AVERAGE(1020,1118)*10^6)*(1+0.05)^10</f>
        <v>1741288356.025085</v>
      </c>
      <c r="C5" s="5">
        <v>0.15</v>
      </c>
      <c r="D5" s="5"/>
      <c r="E5" s="18"/>
    </row>
    <row r="6" spans="1:5" x14ac:dyDescent="0.25">
      <c r="B6" s="19"/>
      <c r="C6" s="3"/>
      <c r="D6" s="3"/>
      <c r="E6" s="18"/>
    </row>
    <row r="8" spans="1:5" x14ac:dyDescent="0.25">
      <c r="A8" s="11">
        <f>B3*C3*D3+B4*C3*D4+B5*C5</f>
        <v>1052677224.7914884</v>
      </c>
      <c r="B8" s="7" t="s">
        <v>33</v>
      </c>
    </row>
    <row r="10" spans="1:5" x14ac:dyDescent="0.25">
      <c r="A10" s="2" t="s">
        <v>31</v>
      </c>
      <c r="B10" s="2"/>
      <c r="C10" s="2"/>
    </row>
    <row r="12" spans="1:5" x14ac:dyDescent="0.25">
      <c r="A12" s="11">
        <f>A8*2</f>
        <v>2105354449.5829768</v>
      </c>
      <c r="B12" s="7" t="s">
        <v>32</v>
      </c>
    </row>
    <row r="13" spans="1:5" x14ac:dyDescent="0.25">
      <c r="A13" s="11">
        <f>A12*7%</f>
        <v>147374811.47080839</v>
      </c>
      <c r="B13" s="7" t="s">
        <v>35</v>
      </c>
    </row>
    <row r="14" spans="1:5" x14ac:dyDescent="0.25">
      <c r="A14" s="20"/>
    </row>
    <row r="16" spans="1:5" x14ac:dyDescent="0.25">
      <c r="A16" s="11">
        <f>SUM(A12+A13)</f>
        <v>2252729261.0537853</v>
      </c>
      <c r="B16" s="7" t="s">
        <v>37</v>
      </c>
    </row>
  </sheetData>
  <mergeCells count="5">
    <mergeCell ref="C3:C4"/>
    <mergeCell ref="C2:D2"/>
    <mergeCell ref="C5:D5"/>
    <mergeCell ref="A1:D1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5A85-C7F0-4696-AC00-6475BC503145}">
  <dimension ref="A1:G15"/>
  <sheetViews>
    <sheetView tabSelected="1" topLeftCell="E1" workbookViewId="0">
      <selection activeCell="A7" sqref="A7"/>
    </sheetView>
  </sheetViews>
  <sheetFormatPr baseColWidth="10" defaultRowHeight="15" x14ac:dyDescent="0.25"/>
  <cols>
    <col min="1" max="1" width="30.5703125" style="8" bestFit="1" customWidth="1"/>
    <col min="2" max="2" width="11.85546875" style="8" customWidth="1"/>
    <col min="3" max="3" width="14.85546875" style="8" customWidth="1"/>
    <col min="4" max="4" width="20.28515625" style="8" bestFit="1" customWidth="1"/>
    <col min="5" max="5" width="14.140625" style="8" customWidth="1"/>
    <col min="6" max="6" width="20.42578125" style="8" customWidth="1"/>
    <col min="7" max="16384" width="11.42578125" style="8"/>
  </cols>
  <sheetData>
    <row r="1" spans="1:7" x14ac:dyDescent="0.25">
      <c r="A1" s="29" t="s">
        <v>0</v>
      </c>
      <c r="B1" s="7" t="s">
        <v>18</v>
      </c>
      <c r="C1" s="7" t="s">
        <v>20</v>
      </c>
      <c r="D1" s="7" t="s">
        <v>22</v>
      </c>
      <c r="E1" s="7" t="s">
        <v>23</v>
      </c>
      <c r="F1" s="7" t="s">
        <v>36</v>
      </c>
      <c r="G1" s="7" t="s">
        <v>34</v>
      </c>
    </row>
    <row r="2" spans="1:7" x14ac:dyDescent="0.25">
      <c r="A2" s="29" t="s">
        <v>1</v>
      </c>
      <c r="B2" s="9">
        <f>0.5*Indicador!D2+0.5*'Indicador pesado'!F2</f>
        <v>0.19855579892396577</v>
      </c>
      <c r="C2" s="10">
        <f>B2-1%</f>
        <v>0.18855579892396576</v>
      </c>
      <c r="D2" s="11">
        <f>C2*$A$15</f>
        <v>282833698385.94867</v>
      </c>
      <c r="E2" s="12">
        <f>D2/Mantenimiento!$A$12</f>
        <v>134.34018126590115</v>
      </c>
      <c r="F2" s="12">
        <f>D2/Mantenimiento!$A$16</f>
        <v>125.55157127654313</v>
      </c>
      <c r="G2" s="30">
        <v>109.64264137343</v>
      </c>
    </row>
    <row r="3" spans="1:7" x14ac:dyDescent="0.25">
      <c r="A3" s="29" t="s">
        <v>2</v>
      </c>
      <c r="B3" s="9">
        <f>0.5*Indicador!D3+0.5*'Indicador pesado'!F3</f>
        <v>0.12659280271850698</v>
      </c>
      <c r="C3" s="10">
        <f>B3</f>
        <v>0.12659280271850698</v>
      </c>
      <c r="D3" s="11">
        <f>C3*$A$15</f>
        <v>189889204077.76047</v>
      </c>
      <c r="E3" s="12">
        <f>D3/Mantenimiento!$A$12</f>
        <v>90.193460828115306</v>
      </c>
      <c r="F3" s="12">
        <f>D3/Mantenimiento!$A$16</f>
        <v>84.292954044967559</v>
      </c>
      <c r="G3" s="30">
        <v>100.050112509084</v>
      </c>
    </row>
    <row r="4" spans="1:7" x14ac:dyDescent="0.25">
      <c r="A4" s="29" t="s">
        <v>3</v>
      </c>
      <c r="B4" s="9">
        <f>0.5*Indicador!D4+0.5*'Indicador pesado'!F4</f>
        <v>0.12438951685861302</v>
      </c>
      <c r="C4" s="10">
        <f>B4</f>
        <v>0.12438951685861302</v>
      </c>
      <c r="D4" s="11">
        <f>C4*$A$15</f>
        <v>186584275287.91953</v>
      </c>
      <c r="E4" s="12">
        <f>D4/Mantenimiento!$A$12</f>
        <v>88.623687723878348</v>
      </c>
      <c r="F4" s="12">
        <f>D4/Mantenimiento!$A$16</f>
        <v>82.825876377456396</v>
      </c>
      <c r="G4" s="30">
        <v>186.62485117630101</v>
      </c>
    </row>
    <row r="5" spans="1:7" x14ac:dyDescent="0.25">
      <c r="A5" s="29" t="s">
        <v>4</v>
      </c>
      <c r="B5" s="9">
        <f>0.5*Indicador!D5+0.5*'Indicador pesado'!F5</f>
        <v>0.11650552710565334</v>
      </c>
      <c r="C5" s="10">
        <f>B5</f>
        <v>0.11650552710565334</v>
      </c>
      <c r="D5" s="11">
        <f>C5*$A$15</f>
        <v>174758290658.48001</v>
      </c>
      <c r="E5" s="12">
        <f>D5/Mantenimiento!$A$12</f>
        <v>83.006588602263946</v>
      </c>
      <c r="F5" s="12">
        <f>D5/Mantenimiento!$A$16</f>
        <v>77.576251030153216</v>
      </c>
      <c r="G5" s="30">
        <v>140.13296008612801</v>
      </c>
    </row>
    <row r="6" spans="1:7" x14ac:dyDescent="0.25">
      <c r="A6" s="29" t="s">
        <v>5</v>
      </c>
      <c r="B6" s="9">
        <f>0.5*Indicador!D6+0.5*'Indicador pesado'!F6</f>
        <v>9.1787224997511158E-2</v>
      </c>
      <c r="C6" s="10">
        <f>B6</f>
        <v>9.1787224997511158E-2</v>
      </c>
      <c r="D6" s="11">
        <f>C6*$A$15</f>
        <v>137680837496.26672</v>
      </c>
      <c r="E6" s="12">
        <f>D6/Mantenimiento!$A$12</f>
        <v>65.395562026877798</v>
      </c>
      <c r="F6" s="12">
        <f>D6/Mantenimiento!$A$16</f>
        <v>61.117347688670833</v>
      </c>
      <c r="G6" s="30">
        <v>141.88054632342801</v>
      </c>
    </row>
    <row r="7" spans="1:7" x14ac:dyDescent="0.25">
      <c r="A7" s="29" t="s">
        <v>6</v>
      </c>
      <c r="B7" s="9">
        <f>0.5*Indicador!D7+0.5*'Indicador pesado'!F7</f>
        <v>8.2444256109297481E-2</v>
      </c>
      <c r="C7" s="10">
        <f>B7</f>
        <v>8.2444256109297481E-2</v>
      </c>
      <c r="D7" s="11">
        <f>C7*$A$15</f>
        <v>123666384163.94623</v>
      </c>
      <c r="E7" s="12">
        <f>D7/Mantenimiento!$A$12</f>
        <v>58.738985346833999</v>
      </c>
      <c r="F7" s="12">
        <f>D7/Mantenimiento!$A$16</f>
        <v>54.896247987695318</v>
      </c>
      <c r="G7" s="30">
        <v>80.808225523530396</v>
      </c>
    </row>
    <row r="8" spans="1:7" x14ac:dyDescent="0.25">
      <c r="A8" s="29" t="s">
        <v>7</v>
      </c>
      <c r="B8" s="9">
        <f>0.5*Indicador!D8+0.5*'Indicador pesado'!F8</f>
        <v>7.91799806932654E-2</v>
      </c>
      <c r="C8" s="10">
        <f>B8</f>
        <v>7.91799806932654E-2</v>
      </c>
      <c r="D8" s="11">
        <f>C8*$A$15</f>
        <v>118769971039.8981</v>
      </c>
      <c r="E8" s="12">
        <f>D8/Mantenimiento!$A$12</f>
        <v>56.413289963323635</v>
      </c>
      <c r="F8" s="12">
        <f>D8/Mantenimiento!$A$16</f>
        <v>52.722700900302456</v>
      </c>
      <c r="G8" s="30">
        <v>143.27529464856201</v>
      </c>
    </row>
    <row r="9" spans="1:7" x14ac:dyDescent="0.25">
      <c r="A9" s="29" t="s">
        <v>8</v>
      </c>
      <c r="B9" s="9">
        <f>0.5*Indicador!D9+0.5*'Indicador pesado'!F9</f>
        <v>5.3313778747248117E-2</v>
      </c>
      <c r="C9" s="10">
        <f>B9</f>
        <v>5.3313778747248117E-2</v>
      </c>
      <c r="D9" s="11">
        <f>C9*$A$15</f>
        <v>79970668120.872177</v>
      </c>
      <c r="E9" s="12">
        <f>D9/Mantenimiento!$A$12</f>
        <v>37.984420218036234</v>
      </c>
      <c r="F9" s="12">
        <f>D9/Mantenimiento!$A$16</f>
        <v>35.499458147697418</v>
      </c>
      <c r="G9" s="30">
        <v>235.634368658494</v>
      </c>
    </row>
    <row r="10" spans="1:7" x14ac:dyDescent="0.25">
      <c r="A10" s="29" t="s">
        <v>9</v>
      </c>
      <c r="B10" s="9">
        <f>0.5*Indicador!D10+0.5*'Indicador pesado'!F10</f>
        <v>6.5154950614681961E-2</v>
      </c>
      <c r="C10" s="10">
        <f>B10</f>
        <v>6.5154950614681961E-2</v>
      </c>
      <c r="D10" s="11">
        <f>C10*$A$15</f>
        <v>97732425922.022949</v>
      </c>
      <c r="E10" s="12">
        <f>D10/Mantenimiento!$A$12</f>
        <v>46.420889338316186</v>
      </c>
      <c r="F10" s="12">
        <f>D10/Mantenimiento!$A$16</f>
        <v>43.384008727398303</v>
      </c>
      <c r="G10" s="30">
        <v>60.9887562604181</v>
      </c>
    </row>
    <row r="11" spans="1:7" x14ac:dyDescent="0.25">
      <c r="A11" s="29" t="s">
        <v>10</v>
      </c>
      <c r="B11" s="9">
        <f>0.5*Indicador!D11+0.5*'Indicador pesado'!F11</f>
        <v>4.9649899388346394E-2</v>
      </c>
      <c r="C11" s="10">
        <f>B11</f>
        <v>4.9649899388346394E-2</v>
      </c>
      <c r="D11" s="11">
        <f>C11*$A$15</f>
        <v>74474849082.519592</v>
      </c>
      <c r="E11" s="12">
        <f>D11/Mantenimiento!$A$12</f>
        <v>35.374019371071405</v>
      </c>
      <c r="F11" s="12">
        <f>D11/Mantenimiento!$A$16</f>
        <v>33.059831187917197</v>
      </c>
      <c r="G11" s="30">
        <v>180.21844558234901</v>
      </c>
    </row>
    <row r="12" spans="1:7" x14ac:dyDescent="0.25">
      <c r="A12" s="29" t="s">
        <v>11</v>
      </c>
      <c r="B12" s="9">
        <f>0.5*Indicador!D12+0.5*'Indicador pesado'!F12</f>
        <v>1.2426263842910325E-2</v>
      </c>
      <c r="C12" s="10">
        <f>B12</f>
        <v>1.2426263842910325E-2</v>
      </c>
      <c r="D12" s="11">
        <f>C12*$A$15</f>
        <v>18639395764.365486</v>
      </c>
      <c r="E12" s="12">
        <f>D12/Mantenimiento!$A$12</f>
        <v>8.8533290762785946</v>
      </c>
      <c r="F12" s="12">
        <f>D12/Mantenimiento!$A$16</f>
        <v>8.2741393236248548</v>
      </c>
      <c r="G12" s="30">
        <v>131.251069864161</v>
      </c>
    </row>
    <row r="13" spans="1:7" x14ac:dyDescent="0.25">
      <c r="A13" s="29" t="s">
        <v>12</v>
      </c>
      <c r="B13" s="13">
        <f>0.5*Indicador!D13+0.5*'Indicador pesado'!F13</f>
        <v>0</v>
      </c>
      <c r="C13" s="10">
        <f>B2-C2</f>
        <v>1.0000000000000009E-2</v>
      </c>
      <c r="D13" s="11">
        <f>C13*$A$15</f>
        <v>15000000000.000013</v>
      </c>
      <c r="E13" s="12">
        <f>D13/Mantenimiento!$A$12</f>
        <v>7.1246910480898711</v>
      </c>
      <c r="F13" s="12">
        <f>D13/Mantenimiento!$A$16</f>
        <v>6.6585897645699728</v>
      </c>
      <c r="G13" s="30">
        <v>121.29300631890101</v>
      </c>
    </row>
    <row r="15" spans="1:7" x14ac:dyDescent="0.25">
      <c r="A15" s="14">
        <f>1.5*10^(12)</f>
        <v>1500000000000</v>
      </c>
      <c r="B15" s="29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Indicador</vt:lpstr>
      <vt:lpstr>Indicador pesado</vt:lpstr>
      <vt:lpstr>Mantenimiento</vt:lpstr>
      <vt:lpstr>Combinación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Yessenia Rivera Rengifo</dc:creator>
  <cp:lastModifiedBy>Karol Yessenia Rivera Rengifo</cp:lastModifiedBy>
  <dcterms:created xsi:type="dcterms:W3CDTF">2023-10-25T03:50:53Z</dcterms:created>
  <dcterms:modified xsi:type="dcterms:W3CDTF">2023-10-26T05:53:12Z</dcterms:modified>
</cp:coreProperties>
</file>