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5.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imelines/timeline2.xml" ContentType="application/vnd.ms-excel.timelin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https://d.docs.live.net/ee24de5bf14dc496/DAILY DATA/"/>
    </mc:Choice>
  </mc:AlternateContent>
  <xr:revisionPtr revIDLastSave="176" documentId="13_ncr:1_{880AF68E-D0C0-4AC6-AEAC-284E5A75FCEC}" xr6:coauthVersionLast="47" xr6:coauthVersionMax="47" xr10:uidLastSave="{515004B9-7E78-4A8B-8FCF-F64F3F014534}"/>
  <bookViews>
    <workbookView xWindow="-108" yWindow="-108" windowWidth="23256" windowHeight="12456" xr2:uid="{C0582DE0-242D-4751-87F6-4CF35E68A779}"/>
  </bookViews>
  <sheets>
    <sheet name="ALL-DATA" sheetId="1" r:id="rId1"/>
    <sheet name="DAILY DATA" sheetId="3" r:id="rId2"/>
    <sheet name="PIVOT-TABLE" sheetId="4" r:id="rId3"/>
    <sheet name="RTGS" sheetId="5" r:id="rId4"/>
    <sheet name="RTGS PIVOT-TABLE" sheetId="6" r:id="rId5"/>
    <sheet name="SEP-OCT" sheetId="8" r:id="rId6"/>
  </sheets>
  <definedNames>
    <definedName name="_xlnm._FilterDatabase" localSheetId="0" hidden="1">'ALL-DATA'!$A$1:$F$1</definedName>
    <definedName name="NativeTimeline_DATE">#N/A</definedName>
    <definedName name="NativeTimeline_DATE1">#N/A</definedName>
    <definedName name="Slicer_DATE">#N/A</definedName>
    <definedName name="Slicer_ITEMS_CODE">#N/A</definedName>
  </definedNames>
  <calcPr calcId="191028"/>
  <pivotCaches>
    <pivotCache cacheId="0" r:id="rId7"/>
    <pivotCache cacheId="6"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3" l="1"/>
  <c r="U2" i="3"/>
  <c r="B181" i="3"/>
  <c r="E181" i="3" s="1"/>
  <c r="B180" i="3"/>
  <c r="E180" i="3" s="1"/>
  <c r="B179" i="3"/>
  <c r="E179" i="3" s="1"/>
  <c r="F175" i="3"/>
  <c r="E175" i="3"/>
  <c r="H175" i="3"/>
  <c r="E178" i="3"/>
  <c r="F178" i="3"/>
  <c r="G178" i="3"/>
  <c r="H178" i="3"/>
  <c r="I178" i="3"/>
  <c r="L178" i="3" s="1"/>
  <c r="F902" i="1"/>
  <c r="P176" i="3"/>
  <c r="R176" i="3" s="1"/>
  <c r="P177" i="3"/>
  <c r="R177" i="3" s="1"/>
  <c r="B177" i="3"/>
  <c r="E177" i="3" s="1"/>
  <c r="B176" i="3"/>
  <c r="B142" i="1"/>
  <c r="F142" i="1" s="1"/>
  <c r="B141" i="1"/>
  <c r="P174" i="3"/>
  <c r="R174" i="3" s="1"/>
  <c r="B174" i="3"/>
  <c r="E174" i="3" s="1"/>
  <c r="P173" i="3"/>
  <c r="R173" i="3" s="1"/>
  <c r="L173" i="3" s="1"/>
  <c r="B173" i="3"/>
  <c r="P170" i="3"/>
  <c r="R170" i="3" s="1"/>
  <c r="P171" i="3"/>
  <c r="R171" i="3" s="1"/>
  <c r="P172" i="3"/>
  <c r="R172" i="3" s="1"/>
  <c r="F901" i="1"/>
  <c r="E172" i="3"/>
  <c r="F172" i="3"/>
  <c r="G172" i="3"/>
  <c r="I172" i="3"/>
  <c r="E171" i="3"/>
  <c r="F171" i="3"/>
  <c r="G171" i="3"/>
  <c r="H171" i="3"/>
  <c r="I171" i="3"/>
  <c r="E170" i="3"/>
  <c r="F170" i="3"/>
  <c r="G170" i="3"/>
  <c r="H170" i="3"/>
  <c r="P166" i="3"/>
  <c r="R166" i="3" s="1"/>
  <c r="P167" i="3"/>
  <c r="R167" i="3" s="1"/>
  <c r="P168" i="3"/>
  <c r="R168" i="3" s="1"/>
  <c r="P169" i="3"/>
  <c r="R169" i="3" s="1"/>
  <c r="B169" i="3"/>
  <c r="E169" i="3" s="1"/>
  <c r="B168" i="3"/>
  <c r="E168" i="3" s="1"/>
  <c r="B856" i="1"/>
  <c r="F856" i="1" s="1"/>
  <c r="B855" i="1"/>
  <c r="B167" i="3"/>
  <c r="B166" i="3"/>
  <c r="E166" i="3" s="1"/>
  <c r="P159" i="3"/>
  <c r="R159" i="3" s="1"/>
  <c r="P160" i="3"/>
  <c r="R160" i="3" s="1"/>
  <c r="P161" i="3"/>
  <c r="R161" i="3" s="1"/>
  <c r="P162" i="3"/>
  <c r="R162" i="3" s="1"/>
  <c r="P163" i="3"/>
  <c r="R163" i="3" s="1"/>
  <c r="P164" i="3"/>
  <c r="R164" i="3" s="1"/>
  <c r="P165" i="3"/>
  <c r="R165" i="3" s="1"/>
  <c r="B163" i="3"/>
  <c r="B164" i="3"/>
  <c r="E164" i="3" s="1"/>
  <c r="B165" i="3"/>
  <c r="E165" i="3" s="1"/>
  <c r="B162" i="3"/>
  <c r="E162" i="3" s="1"/>
  <c r="E161" i="3"/>
  <c r="F161" i="3"/>
  <c r="G161" i="3"/>
  <c r="H161" i="3"/>
  <c r="B160" i="3"/>
  <c r="E160" i="3" s="1"/>
  <c r="D280" i="1"/>
  <c r="D281" i="1"/>
  <c r="D282" i="1"/>
  <c r="D283" i="1"/>
  <c r="D284" i="1"/>
  <c r="D285" i="1"/>
  <c r="D286" i="1"/>
  <c r="D287" i="1"/>
  <c r="D288" i="1"/>
  <c r="D289" i="1"/>
  <c r="D279" i="1"/>
  <c r="D271" i="1"/>
  <c r="D270" i="1"/>
  <c r="D269" i="1"/>
  <c r="F279" i="1"/>
  <c r="F280" i="1"/>
  <c r="F281" i="1"/>
  <c r="F282" i="1"/>
  <c r="F283" i="1"/>
  <c r="F284" i="1"/>
  <c r="F285" i="1"/>
  <c r="F286" i="1"/>
  <c r="F287" i="1"/>
  <c r="F288" i="1"/>
  <c r="F289" i="1"/>
  <c r="F353" i="1"/>
  <c r="D356" i="1"/>
  <c r="D357" i="1"/>
  <c r="D358" i="1"/>
  <c r="D359" i="1"/>
  <c r="D360" i="1"/>
  <c r="D361" i="1"/>
  <c r="D362" i="1"/>
  <c r="D363" i="1"/>
  <c r="D364" i="1"/>
  <c r="D365" i="1"/>
  <c r="D366" i="1"/>
  <c r="D367" i="1"/>
  <c r="D368" i="1"/>
  <c r="D369" i="1"/>
  <c r="D370" i="1"/>
  <c r="D354" i="1"/>
  <c r="D355" i="1"/>
  <c r="D353" i="1"/>
  <c r="D352" i="1"/>
  <c r="E159" i="3"/>
  <c r="F159" i="3"/>
  <c r="G159" i="3"/>
  <c r="H159" i="3"/>
  <c r="I159" i="3"/>
  <c r="P155" i="3"/>
  <c r="R155" i="3" s="1"/>
  <c r="P156" i="3"/>
  <c r="R156" i="3" s="1"/>
  <c r="P157" i="3"/>
  <c r="R157" i="3" s="1"/>
  <c r="P158" i="3"/>
  <c r="R158" i="3" s="1"/>
  <c r="B158" i="3"/>
  <c r="E158" i="3" s="1"/>
  <c r="B157" i="3"/>
  <c r="H157" i="3" s="1"/>
  <c r="B156" i="3"/>
  <c r="E156" i="3" s="1"/>
  <c r="F890" i="1"/>
  <c r="I170" i="3" s="1"/>
  <c r="F889" i="1"/>
  <c r="I161" i="3" s="1"/>
  <c r="E152" i="3"/>
  <c r="E155" i="3"/>
  <c r="F155" i="3"/>
  <c r="G155" i="3"/>
  <c r="H155" i="3"/>
  <c r="I155" i="3"/>
  <c r="F352" i="1"/>
  <c r="F354" i="1"/>
  <c r="F355" i="1"/>
  <c r="F356" i="1"/>
  <c r="F357" i="1"/>
  <c r="F358" i="1"/>
  <c r="F359" i="1"/>
  <c r="F360" i="1"/>
  <c r="F361" i="1"/>
  <c r="F362" i="1"/>
  <c r="F363" i="1"/>
  <c r="F364" i="1"/>
  <c r="F365" i="1"/>
  <c r="F366" i="1"/>
  <c r="F367" i="1"/>
  <c r="F368" i="1"/>
  <c r="F369" i="1"/>
  <c r="F370" i="1"/>
  <c r="P151" i="3"/>
  <c r="R151" i="3" s="1"/>
  <c r="P153" i="3"/>
  <c r="R153" i="3" s="1"/>
  <c r="P154" i="3"/>
  <c r="R154" i="3" s="1"/>
  <c r="P150" i="3"/>
  <c r="R150" i="3" s="1"/>
  <c r="B154" i="3"/>
  <c r="E154" i="3" s="1"/>
  <c r="B153" i="3"/>
  <c r="E153" i="3" s="1"/>
  <c r="B151" i="3"/>
  <c r="E151" i="3" s="1"/>
  <c r="P149" i="3"/>
  <c r="R149" i="3" s="1"/>
  <c r="B150" i="3"/>
  <c r="E150" i="3" s="1"/>
  <c r="B149" i="3"/>
  <c r="E149" i="3" s="1"/>
  <c r="W8" i="3"/>
  <c r="W7" i="3"/>
  <c r="W6" i="3"/>
  <c r="P148" i="3"/>
  <c r="R148" i="3" s="1"/>
  <c r="B148" i="3"/>
  <c r="E148" i="3" s="1"/>
  <c r="P146" i="3"/>
  <c r="R146" i="3" s="1"/>
  <c r="P147" i="3"/>
  <c r="R147" i="3" s="1"/>
  <c r="B147" i="3"/>
  <c r="E147" i="3" s="1"/>
  <c r="B146" i="3"/>
  <c r="E146" i="3" s="1"/>
  <c r="J2" i="5"/>
  <c r="I2" i="5"/>
  <c r="H9" i="5"/>
  <c r="J3" i="6"/>
  <c r="I3" i="6"/>
  <c r="H181" i="3" l="1"/>
  <c r="I181" i="3"/>
  <c r="L181" i="3" s="1"/>
  <c r="G181" i="3"/>
  <c r="F181" i="3"/>
  <c r="G180" i="3"/>
  <c r="F180" i="3"/>
  <c r="I180" i="3"/>
  <c r="L180" i="3" s="1"/>
  <c r="H180" i="3"/>
  <c r="I179" i="3"/>
  <c r="L179" i="3" s="1"/>
  <c r="H179" i="3"/>
  <c r="G179" i="3"/>
  <c r="F179" i="3"/>
  <c r="I175" i="3"/>
  <c r="G175" i="3"/>
  <c r="E176" i="3"/>
  <c r="H177" i="3"/>
  <c r="F177" i="3"/>
  <c r="G176" i="3"/>
  <c r="F176" i="3"/>
  <c r="H176" i="3"/>
  <c r="G174" i="3"/>
  <c r="I174" i="3"/>
  <c r="L174" i="3" s="1"/>
  <c r="F174" i="3"/>
  <c r="H174" i="3"/>
  <c r="L172" i="3"/>
  <c r="L171" i="3"/>
  <c r="E167" i="3"/>
  <c r="H172" i="3"/>
  <c r="G169" i="3"/>
  <c r="I169" i="3"/>
  <c r="L169" i="3" s="1"/>
  <c r="F169" i="3"/>
  <c r="H169" i="3"/>
  <c r="H168" i="3"/>
  <c r="G168" i="3"/>
  <c r="F168" i="3"/>
  <c r="G167" i="3"/>
  <c r="H167" i="3"/>
  <c r="F167" i="3"/>
  <c r="H166" i="3"/>
  <c r="G166" i="3"/>
  <c r="F166" i="3"/>
  <c r="H163" i="3"/>
  <c r="F163" i="3"/>
  <c r="E163" i="3"/>
  <c r="H164" i="3"/>
  <c r="F164" i="3"/>
  <c r="H165" i="3"/>
  <c r="F165" i="3"/>
  <c r="H162" i="3"/>
  <c r="F162" i="3"/>
  <c r="G160" i="3"/>
  <c r="H160" i="3"/>
  <c r="F160" i="3"/>
  <c r="H158" i="3"/>
  <c r="F158" i="3"/>
  <c r="F157" i="3"/>
  <c r="E157" i="3"/>
  <c r="I6" i="6"/>
  <c r="J6" i="6"/>
  <c r="F156" i="3"/>
  <c r="H156" i="3"/>
  <c r="I152" i="3"/>
  <c r="H152" i="3"/>
  <c r="G152" i="3"/>
  <c r="F152" i="3"/>
  <c r="H154" i="3"/>
  <c r="F154" i="3"/>
  <c r="H153" i="3"/>
  <c r="F153" i="3"/>
  <c r="I151" i="3"/>
  <c r="H151" i="3"/>
  <c r="G151" i="3"/>
  <c r="F151" i="3"/>
  <c r="H150" i="3"/>
  <c r="G150" i="3"/>
  <c r="F150" i="3"/>
  <c r="H149" i="3"/>
  <c r="F149" i="3"/>
  <c r="H148" i="3"/>
  <c r="F148" i="3"/>
  <c r="H147" i="3"/>
  <c r="F147" i="3"/>
  <c r="G146" i="3"/>
  <c r="H146" i="3"/>
  <c r="F146" i="3"/>
  <c r="B161" i="1"/>
  <c r="P141" i="3"/>
  <c r="R141" i="3" s="1"/>
  <c r="P142" i="3"/>
  <c r="R142" i="3" s="1"/>
  <c r="P143" i="3"/>
  <c r="R143" i="3" s="1"/>
  <c r="P144" i="3"/>
  <c r="R144" i="3" s="1"/>
  <c r="P145" i="3"/>
  <c r="R145" i="3" s="1"/>
  <c r="P140" i="3"/>
  <c r="F645" i="1"/>
  <c r="F643" i="1"/>
  <c r="F676" i="1"/>
  <c r="F572" i="1"/>
  <c r="F881" i="1"/>
  <c r="F675" i="1"/>
  <c r="F670" i="1"/>
  <c r="F689" i="1"/>
  <c r="F683" i="1"/>
  <c r="F707" i="1"/>
  <c r="F633" i="1"/>
  <c r="F634" i="1"/>
  <c r="F635" i="1"/>
  <c r="F636" i="1"/>
  <c r="F637" i="1"/>
  <c r="F638" i="1"/>
  <c r="F639" i="1"/>
  <c r="F640" i="1"/>
  <c r="F641" i="1"/>
  <c r="F642" i="1"/>
  <c r="F644" i="1"/>
  <c r="F646" i="1"/>
  <c r="F647" i="1"/>
  <c r="F648" i="1"/>
  <c r="F649" i="1"/>
  <c r="F650" i="1"/>
  <c r="F651" i="1"/>
  <c r="F652" i="1"/>
  <c r="F653" i="1"/>
  <c r="F654" i="1"/>
  <c r="F655" i="1"/>
  <c r="F656" i="1"/>
  <c r="F657" i="1"/>
  <c r="F658" i="1"/>
  <c r="F659" i="1"/>
  <c r="F660" i="1"/>
  <c r="F661" i="1"/>
  <c r="F662" i="1"/>
  <c r="F663" i="1"/>
  <c r="F664" i="1"/>
  <c r="F665" i="1"/>
  <c r="F666" i="1"/>
  <c r="F667" i="1"/>
  <c r="F668" i="1"/>
  <c r="F669" i="1"/>
  <c r="F671" i="1"/>
  <c r="F672" i="1"/>
  <c r="F673" i="1"/>
  <c r="F674" i="1"/>
  <c r="F677" i="1"/>
  <c r="F678" i="1"/>
  <c r="F679" i="1"/>
  <c r="F680" i="1"/>
  <c r="F681" i="1"/>
  <c r="F682" i="1"/>
  <c r="F684" i="1"/>
  <c r="F685" i="1"/>
  <c r="F686" i="1"/>
  <c r="F687" i="1"/>
  <c r="F688" i="1"/>
  <c r="F690" i="1"/>
  <c r="F691" i="1"/>
  <c r="F692" i="1"/>
  <c r="F693" i="1"/>
  <c r="F694" i="1"/>
  <c r="F695" i="1"/>
  <c r="F696" i="1"/>
  <c r="F697" i="1"/>
  <c r="F698" i="1"/>
  <c r="F699" i="1"/>
  <c r="F700" i="1"/>
  <c r="F701" i="1"/>
  <c r="F702" i="1"/>
  <c r="F703" i="1"/>
  <c r="F704" i="1"/>
  <c r="F705" i="1"/>
  <c r="F706" i="1"/>
  <c r="F632" i="1"/>
  <c r="B145" i="3"/>
  <c r="E145" i="3" s="1"/>
  <c r="B144" i="3"/>
  <c r="E144" i="3" s="1"/>
  <c r="B25" i="8"/>
  <c r="D8" i="8"/>
  <c r="W2" i="3"/>
  <c r="E143" i="3"/>
  <c r="E142" i="3"/>
  <c r="F142" i="3"/>
  <c r="G142" i="3"/>
  <c r="H142" i="3"/>
  <c r="I142" i="3"/>
  <c r="B14" i="8"/>
  <c r="L151" i="3" l="1"/>
  <c r="L142" i="3"/>
  <c r="H145" i="3"/>
  <c r="I145" i="3"/>
  <c r="L145" i="3" s="1"/>
  <c r="G145" i="3"/>
  <c r="F145" i="3"/>
  <c r="H144" i="3"/>
  <c r="G144" i="3"/>
  <c r="F144" i="3"/>
  <c r="I143" i="3"/>
  <c r="L143" i="3" s="1"/>
  <c r="H143" i="3"/>
  <c r="G143" i="3"/>
  <c r="F143" i="3"/>
  <c r="B141" i="3" l="1"/>
  <c r="E141" i="3" s="1"/>
  <c r="R140" i="3"/>
  <c r="E140" i="3"/>
  <c r="F140" i="3"/>
  <c r="G140" i="3"/>
  <c r="H140" i="3"/>
  <c r="F903" i="1"/>
  <c r="P139" i="3"/>
  <c r="R139" i="3" s="1"/>
  <c r="B139" i="3"/>
  <c r="E139" i="3" s="1"/>
  <c r="P138" i="3"/>
  <c r="R138" i="3" s="1"/>
  <c r="P136" i="3"/>
  <c r="R136" i="3" s="1"/>
  <c r="P137" i="3"/>
  <c r="R137" i="3" s="1"/>
  <c r="P135" i="3"/>
  <c r="R135" i="3" s="1"/>
  <c r="R132" i="3"/>
  <c r="B138" i="3"/>
  <c r="E138" i="3" s="1"/>
  <c r="F941" i="1"/>
  <c r="I137" i="3" s="1"/>
  <c r="E137" i="3"/>
  <c r="F137" i="3"/>
  <c r="G137" i="3"/>
  <c r="H137" i="3"/>
  <c r="E136" i="3"/>
  <c r="F136" i="3"/>
  <c r="G136" i="3"/>
  <c r="H136" i="3"/>
  <c r="J88" i="3"/>
  <c r="B135" i="3"/>
  <c r="E135" i="3" s="1"/>
  <c r="P120" i="3"/>
  <c r="R120" i="3" s="1"/>
  <c r="P113" i="3"/>
  <c r="R113" i="3" s="1"/>
  <c r="P97" i="3"/>
  <c r="R97" i="3" s="1"/>
  <c r="F344" i="1"/>
  <c r="F343" i="1"/>
  <c r="P87" i="3"/>
  <c r="R87" i="3" s="1"/>
  <c r="P86" i="3"/>
  <c r="R86" i="3" s="1"/>
  <c r="P121" i="3"/>
  <c r="P89" i="3"/>
  <c r="R89" i="3" s="1"/>
  <c r="P90" i="3"/>
  <c r="R90" i="3" s="1"/>
  <c r="P91" i="3"/>
  <c r="R91" i="3" s="1"/>
  <c r="P92" i="3"/>
  <c r="R92" i="3" s="1"/>
  <c r="P93" i="3"/>
  <c r="R93" i="3" s="1"/>
  <c r="P94" i="3"/>
  <c r="R94" i="3" s="1"/>
  <c r="P95" i="3"/>
  <c r="R95" i="3" s="1"/>
  <c r="P96" i="3"/>
  <c r="R96" i="3" s="1"/>
  <c r="P88" i="3"/>
  <c r="R88" i="3" s="1"/>
  <c r="P85" i="3"/>
  <c r="R85" i="3" s="1"/>
  <c r="P122" i="3"/>
  <c r="P123" i="3"/>
  <c r="P124" i="3"/>
  <c r="P125" i="3"/>
  <c r="P126" i="3"/>
  <c r="P127" i="3"/>
  <c r="P128" i="3"/>
  <c r="P129" i="3"/>
  <c r="P130" i="3"/>
  <c r="P134" i="3"/>
  <c r="R134" i="3" s="1"/>
  <c r="P133" i="3"/>
  <c r="R133" i="3" s="1"/>
  <c r="P131" i="3"/>
  <c r="R131" i="3" s="1"/>
  <c r="H131" i="3"/>
  <c r="P105" i="3"/>
  <c r="R105" i="3" s="1"/>
  <c r="P98" i="3"/>
  <c r="R98" i="3" s="1"/>
  <c r="P99" i="3"/>
  <c r="R99" i="3" s="1"/>
  <c r="P100" i="3"/>
  <c r="R100" i="3" s="1"/>
  <c r="P101" i="3"/>
  <c r="R101" i="3" s="1"/>
  <c r="P102" i="3"/>
  <c r="R102" i="3" s="1"/>
  <c r="P103" i="3"/>
  <c r="R103" i="3" s="1"/>
  <c r="P104" i="3"/>
  <c r="R104" i="3" s="1"/>
  <c r="P106" i="3"/>
  <c r="R106" i="3" s="1"/>
  <c r="P107" i="3"/>
  <c r="R107" i="3" s="1"/>
  <c r="P108" i="3"/>
  <c r="R108" i="3" s="1"/>
  <c r="P109" i="3"/>
  <c r="R109" i="3" s="1"/>
  <c r="P110" i="3"/>
  <c r="R110" i="3" s="1"/>
  <c r="P111" i="3"/>
  <c r="R111" i="3" s="1"/>
  <c r="P115" i="3"/>
  <c r="R115" i="3" s="1"/>
  <c r="P116" i="3"/>
  <c r="R116" i="3" s="1"/>
  <c r="P117" i="3"/>
  <c r="R117" i="3" s="1"/>
  <c r="P118" i="3"/>
  <c r="R118" i="3" s="1"/>
  <c r="P119" i="3"/>
  <c r="R119" i="3" s="1"/>
  <c r="B114" i="3"/>
  <c r="E114" i="3" s="1"/>
  <c r="B134" i="3"/>
  <c r="E134" i="3" s="1"/>
  <c r="B133" i="3"/>
  <c r="E133" i="3" s="1"/>
  <c r="B132" i="3"/>
  <c r="E132" i="3" s="1"/>
  <c r="F900" i="1"/>
  <c r="I140" i="3" s="1"/>
  <c r="E129" i="3"/>
  <c r="I129" i="3"/>
  <c r="B130" i="3"/>
  <c r="E130" i="3" s="1"/>
  <c r="F939" i="1"/>
  <c r="E121" i="3"/>
  <c r="H121" i="3"/>
  <c r="I121" i="3"/>
  <c r="L121" i="3" s="1"/>
  <c r="B122" i="3"/>
  <c r="F122" i="3" s="1"/>
  <c r="E123" i="3"/>
  <c r="I124" i="3"/>
  <c r="E125" i="3"/>
  <c r="B126" i="3"/>
  <c r="E126" i="3" s="1"/>
  <c r="B127" i="3"/>
  <c r="E127" i="3" s="1"/>
  <c r="B128" i="3"/>
  <c r="E128" i="3" s="1"/>
  <c r="D135" i="1"/>
  <c r="D136" i="1"/>
  <c r="D134" i="1"/>
  <c r="F135" i="1"/>
  <c r="F136" i="1"/>
  <c r="F127" i="1"/>
  <c r="F128" i="1"/>
  <c r="D105" i="1"/>
  <c r="D106" i="1"/>
  <c r="D107" i="1"/>
  <c r="D108" i="1"/>
  <c r="D109" i="1"/>
  <c r="D110" i="1"/>
  <c r="G165" i="3" s="1"/>
  <c r="D111" i="1"/>
  <c r="D112" i="1"/>
  <c r="D113" i="1"/>
  <c r="D104" i="1"/>
  <c r="F104" i="1"/>
  <c r="F105" i="1"/>
  <c r="F106" i="1"/>
  <c r="F107" i="1"/>
  <c r="F108" i="1"/>
  <c r="F109" i="1"/>
  <c r="F110" i="1"/>
  <c r="I165" i="3" s="1"/>
  <c r="L165" i="3" s="1"/>
  <c r="F111" i="1"/>
  <c r="F112" i="1"/>
  <c r="F113" i="1"/>
  <c r="F62" i="1"/>
  <c r="F899" i="1"/>
  <c r="I131" i="3" s="1"/>
  <c r="E131" i="3"/>
  <c r="F131" i="3"/>
  <c r="G131" i="3"/>
  <c r="F877" i="1"/>
  <c r="F878" i="1"/>
  <c r="F879" i="1"/>
  <c r="F876" i="1"/>
  <c r="F873" i="1"/>
  <c r="F872" i="1"/>
  <c r="F871" i="1"/>
  <c r="F870" i="1"/>
  <c r="F869" i="1"/>
  <c r="F868" i="1"/>
  <c r="F867" i="1"/>
  <c r="F874" i="1"/>
  <c r="D880" i="1"/>
  <c r="D881" i="1"/>
  <c r="D882" i="1"/>
  <c r="D883" i="1"/>
  <c r="D877" i="1"/>
  <c r="D878" i="1"/>
  <c r="D879" i="1"/>
  <c r="D876" i="1"/>
  <c r="F880" i="1"/>
  <c r="F882" i="1"/>
  <c r="F883" i="1"/>
  <c r="D836" i="1"/>
  <c r="D837" i="1"/>
  <c r="D838" i="1"/>
  <c r="D839" i="1"/>
  <c r="D835" i="1"/>
  <c r="F836" i="1"/>
  <c r="F837" i="1"/>
  <c r="F838" i="1"/>
  <c r="F839" i="1"/>
  <c r="F835" i="1"/>
  <c r="D866" i="1"/>
  <c r="D865" i="1"/>
  <c r="F865" i="1"/>
  <c r="F866" i="1"/>
  <c r="D772" i="1"/>
  <c r="D773" i="1"/>
  <c r="D774" i="1"/>
  <c r="D775" i="1"/>
  <c r="D776" i="1"/>
  <c r="D777" i="1"/>
  <c r="D778" i="1"/>
  <c r="D779" i="1"/>
  <c r="D780" i="1"/>
  <c r="D771" i="1"/>
  <c r="F771" i="1"/>
  <c r="F772" i="1"/>
  <c r="F773" i="1"/>
  <c r="F774" i="1"/>
  <c r="F775" i="1"/>
  <c r="F776" i="1"/>
  <c r="F777" i="1"/>
  <c r="F778" i="1"/>
  <c r="F779" i="1"/>
  <c r="F780" i="1"/>
  <c r="D805" i="1"/>
  <c r="D806" i="1"/>
  <c r="D807" i="1"/>
  <c r="D808" i="1"/>
  <c r="D804" i="1"/>
  <c r="F804" i="1"/>
  <c r="F805" i="1"/>
  <c r="F806" i="1"/>
  <c r="F807" i="1"/>
  <c r="F808" i="1"/>
  <c r="H14" i="5"/>
  <c r="H13" i="5"/>
  <c r="H12" i="5"/>
  <c r="B120" i="3"/>
  <c r="E120" i="3" s="1"/>
  <c r="B119" i="3"/>
  <c r="E119" i="3" s="1"/>
  <c r="B118" i="3"/>
  <c r="E118" i="3" s="1"/>
  <c r="B117" i="3"/>
  <c r="E117" i="3" s="1"/>
  <c r="B113" i="3"/>
  <c r="B115" i="3"/>
  <c r="E115" i="3" s="1"/>
  <c r="E116" i="3"/>
  <c r="F169" i="1"/>
  <c r="R112" i="3"/>
  <c r="B112" i="3"/>
  <c r="E112" i="3" s="1"/>
  <c r="B111" i="3"/>
  <c r="E111" i="3" s="1"/>
  <c r="B110" i="3"/>
  <c r="F110" i="3" s="1"/>
  <c r="B109" i="3"/>
  <c r="E109" i="3" s="1"/>
  <c r="AC22" i="3"/>
  <c r="E108" i="3"/>
  <c r="F108" i="3"/>
  <c r="G108" i="3"/>
  <c r="H108" i="3"/>
  <c r="F937" i="1"/>
  <c r="I108" i="3" s="1"/>
  <c r="B107" i="3"/>
  <c r="E107" i="3" s="1"/>
  <c r="B106" i="3"/>
  <c r="E106" i="3" s="1"/>
  <c r="E105" i="3"/>
  <c r="F105" i="3"/>
  <c r="G105" i="3"/>
  <c r="H105" i="3"/>
  <c r="I105" i="3"/>
  <c r="B104" i="3"/>
  <c r="E104" i="3" s="1"/>
  <c r="E103" i="3"/>
  <c r="F103" i="3"/>
  <c r="G103" i="3"/>
  <c r="H103" i="3"/>
  <c r="I103" i="3"/>
  <c r="B102" i="3"/>
  <c r="E102" i="3" s="1"/>
  <c r="B100" i="3"/>
  <c r="G100" i="3" s="1"/>
  <c r="F99" i="3"/>
  <c r="E99" i="3"/>
  <c r="G99" i="3"/>
  <c r="H99" i="3"/>
  <c r="F904" i="1"/>
  <c r="B98" i="3"/>
  <c r="H98" i="3" s="1"/>
  <c r="B97" i="3"/>
  <c r="E97" i="3" s="1"/>
  <c r="B96" i="3"/>
  <c r="E96" i="3" s="1"/>
  <c r="B95" i="3"/>
  <c r="E95" i="3" s="1"/>
  <c r="B94" i="3"/>
  <c r="E94" i="3" s="1"/>
  <c r="F897" i="1"/>
  <c r="F898" i="1"/>
  <c r="F896" i="1"/>
  <c r="B93" i="3"/>
  <c r="B92" i="3"/>
  <c r="E92" i="3" s="1"/>
  <c r="B91" i="3"/>
  <c r="E91" i="3" s="1"/>
  <c r="F864" i="1"/>
  <c r="D896" i="1"/>
  <c r="D344" i="1"/>
  <c r="D345" i="1"/>
  <c r="D346" i="1"/>
  <c r="G177" i="3" s="1"/>
  <c r="D347" i="1"/>
  <c r="D348" i="1"/>
  <c r="D349" i="1"/>
  <c r="D350" i="1"/>
  <c r="D351" i="1"/>
  <c r="D343" i="1"/>
  <c r="F345" i="1"/>
  <c r="F346" i="1"/>
  <c r="I177" i="3" s="1"/>
  <c r="L177" i="3" s="1"/>
  <c r="F347" i="1"/>
  <c r="F348" i="1"/>
  <c r="F349" i="1"/>
  <c r="F350" i="1"/>
  <c r="F351" i="1"/>
  <c r="D277" i="1"/>
  <c r="D278" i="1"/>
  <c r="D276" i="1"/>
  <c r="F276" i="1"/>
  <c r="F277" i="1"/>
  <c r="F278" i="1"/>
  <c r="B33" i="3"/>
  <c r="I33" i="3" s="1"/>
  <c r="P33" i="3"/>
  <c r="R33" i="3" s="1"/>
  <c r="B2" i="3"/>
  <c r="E2" i="3" s="1"/>
  <c r="P2" i="3"/>
  <c r="R2" i="3" s="1"/>
  <c r="B3" i="3"/>
  <c r="F3" i="3" s="1"/>
  <c r="P3" i="3"/>
  <c r="R3" i="3" s="1"/>
  <c r="B4" i="3"/>
  <c r="F4" i="3" s="1"/>
  <c r="P4" i="3"/>
  <c r="R4" i="3" s="1"/>
  <c r="B5" i="3"/>
  <c r="E5" i="3" s="1"/>
  <c r="P5" i="3"/>
  <c r="R5" i="3" s="1"/>
  <c r="B6" i="3"/>
  <c r="F6" i="3" s="1"/>
  <c r="P6" i="3"/>
  <c r="R6" i="3" s="1"/>
  <c r="B7" i="3"/>
  <c r="H7" i="3" s="1"/>
  <c r="P7" i="3"/>
  <c r="R7" i="3" s="1"/>
  <c r="E8" i="3"/>
  <c r="F8" i="3"/>
  <c r="G8" i="3"/>
  <c r="H8" i="3"/>
  <c r="P8" i="3"/>
  <c r="R8" i="3" s="1"/>
  <c r="B9" i="3"/>
  <c r="H9" i="3" s="1"/>
  <c r="P9" i="3"/>
  <c r="R9" i="3" s="1"/>
  <c r="B10" i="3"/>
  <c r="E10" i="3" s="1"/>
  <c r="P10" i="3"/>
  <c r="R10" i="3" s="1"/>
  <c r="B11" i="3"/>
  <c r="H11" i="3" s="1"/>
  <c r="P11" i="3"/>
  <c r="R11" i="3" s="1"/>
  <c r="B12" i="3"/>
  <c r="P12" i="3"/>
  <c r="R12" i="3" s="1"/>
  <c r="B13" i="3"/>
  <c r="F13" i="3" s="1"/>
  <c r="P13" i="3"/>
  <c r="R13" i="3" s="1"/>
  <c r="B14" i="3"/>
  <c r="F14" i="3" s="1"/>
  <c r="P14" i="3"/>
  <c r="R14" i="3" s="1"/>
  <c r="B15" i="3"/>
  <c r="H15" i="3" s="1"/>
  <c r="P15" i="3"/>
  <c r="R15" i="3" s="1"/>
  <c r="B16" i="3"/>
  <c r="F16" i="3" s="1"/>
  <c r="P16" i="3"/>
  <c r="R16" i="3" s="1"/>
  <c r="B17" i="3"/>
  <c r="P17" i="3"/>
  <c r="R17" i="3" s="1"/>
  <c r="B18" i="3"/>
  <c r="G18" i="3" s="1"/>
  <c r="P18" i="3"/>
  <c r="R18" i="3" s="1"/>
  <c r="B19" i="3"/>
  <c r="G19" i="3" s="1"/>
  <c r="P19" i="3"/>
  <c r="R19" i="3" s="1"/>
  <c r="B20" i="3"/>
  <c r="F20" i="3" s="1"/>
  <c r="P20" i="3"/>
  <c r="R20" i="3" s="1"/>
  <c r="B21" i="3"/>
  <c r="H21" i="3" s="1"/>
  <c r="P21" i="3"/>
  <c r="R21" i="3" s="1"/>
  <c r="B22" i="3"/>
  <c r="H22" i="3" s="1"/>
  <c r="P22" i="3"/>
  <c r="R22" i="3" s="1"/>
  <c r="B23" i="3"/>
  <c r="F23" i="3" s="1"/>
  <c r="P23" i="3"/>
  <c r="R23" i="3" s="1"/>
  <c r="B24" i="3"/>
  <c r="E24" i="3" s="1"/>
  <c r="P24" i="3"/>
  <c r="R24" i="3" s="1"/>
  <c r="B25" i="3"/>
  <c r="F25" i="3" s="1"/>
  <c r="P25" i="3"/>
  <c r="R25" i="3" s="1"/>
  <c r="B26" i="3"/>
  <c r="E26" i="3" s="1"/>
  <c r="P26" i="3"/>
  <c r="R26" i="3" s="1"/>
  <c r="B27" i="3"/>
  <c r="E27" i="3" s="1"/>
  <c r="P27" i="3"/>
  <c r="R27" i="3" s="1"/>
  <c r="B28" i="3"/>
  <c r="F28" i="3" s="1"/>
  <c r="P28" i="3"/>
  <c r="R28" i="3" s="1"/>
  <c r="B29" i="3"/>
  <c r="H29" i="3" s="1"/>
  <c r="P29" i="3"/>
  <c r="R29" i="3" s="1"/>
  <c r="B30" i="3"/>
  <c r="P30" i="3"/>
  <c r="R30" i="3" s="1"/>
  <c r="B31" i="3"/>
  <c r="H31" i="3" s="1"/>
  <c r="P31" i="3"/>
  <c r="R31" i="3" s="1"/>
  <c r="B32" i="3"/>
  <c r="F32" i="3" s="1"/>
  <c r="P32" i="3"/>
  <c r="R32" i="3" s="1"/>
  <c r="E34" i="3"/>
  <c r="F34" i="3"/>
  <c r="G34" i="3"/>
  <c r="H34" i="3"/>
  <c r="I34" i="3"/>
  <c r="L34" i="3" s="1"/>
  <c r="B35" i="3"/>
  <c r="E35" i="3" s="1"/>
  <c r="P35" i="3"/>
  <c r="R35" i="3" s="1"/>
  <c r="B36" i="3"/>
  <c r="H36" i="3" s="1"/>
  <c r="P36" i="3"/>
  <c r="R36" i="3" s="1"/>
  <c r="B37" i="3"/>
  <c r="E37" i="3" s="1"/>
  <c r="P37" i="3"/>
  <c r="R37" i="3" s="1"/>
  <c r="B38" i="3"/>
  <c r="F38" i="3" s="1"/>
  <c r="P38" i="3"/>
  <c r="R38" i="3" s="1"/>
  <c r="E39" i="3"/>
  <c r="F39" i="3"/>
  <c r="G39" i="3"/>
  <c r="H39" i="3"/>
  <c r="P39" i="3"/>
  <c r="R39" i="3" s="1"/>
  <c r="E40" i="3"/>
  <c r="F40" i="3"/>
  <c r="G40" i="3"/>
  <c r="H40" i="3"/>
  <c r="P40" i="3"/>
  <c r="R40" i="3" s="1"/>
  <c r="B41" i="3"/>
  <c r="E41" i="3" s="1"/>
  <c r="P41" i="3"/>
  <c r="R41" i="3" s="1"/>
  <c r="B42" i="3"/>
  <c r="E42" i="3" s="1"/>
  <c r="P42" i="3"/>
  <c r="R42" i="3" s="1"/>
  <c r="E43" i="3"/>
  <c r="F43" i="3"/>
  <c r="G43" i="3"/>
  <c r="H43" i="3"/>
  <c r="I43" i="3"/>
  <c r="P43" i="3"/>
  <c r="R43" i="3" s="1"/>
  <c r="B44" i="3"/>
  <c r="E44" i="3" s="1"/>
  <c r="P44" i="3"/>
  <c r="R44" i="3" s="1"/>
  <c r="B45" i="3"/>
  <c r="E45" i="3" s="1"/>
  <c r="P45" i="3"/>
  <c r="R45" i="3" s="1"/>
  <c r="B46" i="3"/>
  <c r="F46" i="3" s="1"/>
  <c r="P46" i="3"/>
  <c r="R46" i="3" s="1"/>
  <c r="B47" i="3"/>
  <c r="I47" i="3" s="1"/>
  <c r="P47" i="3"/>
  <c r="R47" i="3" s="1"/>
  <c r="B48" i="3"/>
  <c r="G48" i="3" s="1"/>
  <c r="P48" i="3"/>
  <c r="R48" i="3" s="1"/>
  <c r="B49" i="3"/>
  <c r="G49" i="3" s="1"/>
  <c r="P49" i="3"/>
  <c r="R49" i="3" s="1"/>
  <c r="E50" i="3"/>
  <c r="F50" i="3"/>
  <c r="G50" i="3"/>
  <c r="H50" i="3"/>
  <c r="P50" i="3"/>
  <c r="R50" i="3" s="1"/>
  <c r="B51" i="3"/>
  <c r="G51" i="3" s="1"/>
  <c r="P51" i="3"/>
  <c r="R51" i="3" s="1"/>
  <c r="B52" i="3"/>
  <c r="E52" i="3" s="1"/>
  <c r="P52" i="3"/>
  <c r="R52" i="3" s="1"/>
  <c r="B53" i="3"/>
  <c r="G53" i="3" s="1"/>
  <c r="P53" i="3"/>
  <c r="R53" i="3" s="1"/>
  <c r="B54" i="3"/>
  <c r="F54" i="3" s="1"/>
  <c r="P54" i="3"/>
  <c r="R54" i="3" s="1"/>
  <c r="B55" i="3"/>
  <c r="H55" i="3" s="1"/>
  <c r="P55" i="3"/>
  <c r="R55" i="3" s="1"/>
  <c r="E56" i="3"/>
  <c r="F56" i="3"/>
  <c r="G56" i="3"/>
  <c r="H56" i="3"/>
  <c r="I56" i="3"/>
  <c r="P56" i="3"/>
  <c r="R56" i="3" s="1"/>
  <c r="B57" i="3"/>
  <c r="G57" i="3" s="1"/>
  <c r="P57" i="3"/>
  <c r="R57" i="3" s="1"/>
  <c r="E58" i="3"/>
  <c r="F58" i="3"/>
  <c r="G58" i="3"/>
  <c r="H58" i="3"/>
  <c r="I58" i="3"/>
  <c r="P58" i="3"/>
  <c r="R58" i="3" s="1"/>
  <c r="B59" i="3"/>
  <c r="E59" i="3" s="1"/>
  <c r="P59" i="3"/>
  <c r="R59" i="3" s="1"/>
  <c r="B60" i="3"/>
  <c r="F60" i="3" s="1"/>
  <c r="P60" i="3"/>
  <c r="R60" i="3" s="1"/>
  <c r="B61" i="3"/>
  <c r="H61" i="3" s="1"/>
  <c r="P61" i="3"/>
  <c r="R61" i="3" s="1"/>
  <c r="B62" i="3"/>
  <c r="E62" i="3" s="1"/>
  <c r="P62" i="3"/>
  <c r="R62" i="3" s="1"/>
  <c r="B63" i="3"/>
  <c r="G63" i="3" s="1"/>
  <c r="P63" i="3"/>
  <c r="R63" i="3" s="1"/>
  <c r="B64" i="3"/>
  <c r="E64" i="3" s="1"/>
  <c r="P64" i="3"/>
  <c r="R64" i="3" s="1"/>
  <c r="L64" i="3" s="1"/>
  <c r="B65" i="3"/>
  <c r="E65" i="3" s="1"/>
  <c r="P65" i="3"/>
  <c r="R65" i="3" s="1"/>
  <c r="B66" i="3"/>
  <c r="E66" i="3" s="1"/>
  <c r="P66" i="3"/>
  <c r="R66" i="3" s="1"/>
  <c r="B67" i="3"/>
  <c r="G67" i="3" s="1"/>
  <c r="P67" i="3"/>
  <c r="R67" i="3" s="1"/>
  <c r="B68" i="3"/>
  <c r="E68" i="3" s="1"/>
  <c r="P68" i="3"/>
  <c r="R68" i="3" s="1"/>
  <c r="E69" i="3"/>
  <c r="F69" i="3"/>
  <c r="G69" i="3"/>
  <c r="H69" i="3"/>
  <c r="I69" i="3"/>
  <c r="P69" i="3"/>
  <c r="R69" i="3" s="1"/>
  <c r="B70" i="3"/>
  <c r="E70" i="3" s="1"/>
  <c r="P70" i="3"/>
  <c r="R70" i="3" s="1"/>
  <c r="B71" i="3"/>
  <c r="H71" i="3" s="1"/>
  <c r="P71" i="3"/>
  <c r="R71" i="3" s="1"/>
  <c r="B72" i="3"/>
  <c r="F72" i="3" s="1"/>
  <c r="P72" i="3"/>
  <c r="R72" i="3" s="1"/>
  <c r="E73" i="3"/>
  <c r="F73" i="3"/>
  <c r="G73" i="3"/>
  <c r="H73" i="3"/>
  <c r="P73" i="3"/>
  <c r="R73" i="3" s="1"/>
  <c r="B74" i="3"/>
  <c r="F74" i="3" s="1"/>
  <c r="P74" i="3"/>
  <c r="R74" i="3" s="1"/>
  <c r="E75" i="3"/>
  <c r="F75" i="3"/>
  <c r="G75" i="3"/>
  <c r="H75" i="3"/>
  <c r="I75" i="3"/>
  <c r="P75" i="3"/>
  <c r="R75" i="3" s="1"/>
  <c r="E76" i="3"/>
  <c r="F76" i="3"/>
  <c r="G76" i="3"/>
  <c r="H76" i="3"/>
  <c r="I76" i="3"/>
  <c r="P76" i="3"/>
  <c r="R76" i="3" s="1"/>
  <c r="E77" i="3"/>
  <c r="F77" i="3"/>
  <c r="G77" i="3"/>
  <c r="H77" i="3"/>
  <c r="I77" i="3"/>
  <c r="P77" i="3"/>
  <c r="R77" i="3" s="1"/>
  <c r="E78" i="3"/>
  <c r="F78" i="3"/>
  <c r="G78" i="3"/>
  <c r="H78" i="3"/>
  <c r="P78" i="3"/>
  <c r="R78" i="3" s="1"/>
  <c r="B79" i="3"/>
  <c r="H79" i="3" s="1"/>
  <c r="P79" i="3"/>
  <c r="R79" i="3" s="1"/>
  <c r="B80" i="3"/>
  <c r="F80" i="3" s="1"/>
  <c r="P80" i="3"/>
  <c r="R80" i="3" s="1"/>
  <c r="B81" i="3"/>
  <c r="E81" i="3" s="1"/>
  <c r="P81" i="3"/>
  <c r="R81" i="3" s="1"/>
  <c r="E82" i="3"/>
  <c r="F82" i="3"/>
  <c r="G82" i="3"/>
  <c r="H82" i="3"/>
  <c r="P82" i="3"/>
  <c r="R82" i="3" s="1"/>
  <c r="B83" i="3"/>
  <c r="F83" i="3" s="1"/>
  <c r="P83" i="3"/>
  <c r="R83" i="3" s="1"/>
  <c r="B84" i="3"/>
  <c r="E84" i="3" s="1"/>
  <c r="P84" i="3"/>
  <c r="R84" i="3" s="1"/>
  <c r="H11" i="5"/>
  <c r="B90" i="3"/>
  <c r="H90" i="3" s="1"/>
  <c r="E89" i="3"/>
  <c r="F89" i="3"/>
  <c r="G89" i="3"/>
  <c r="H89" i="3"/>
  <c r="B88" i="3"/>
  <c r="E88" i="3" s="1"/>
  <c r="B87" i="3"/>
  <c r="E87" i="3" s="1"/>
  <c r="B86" i="3"/>
  <c r="F86" i="3" s="1"/>
  <c r="B85" i="3"/>
  <c r="H85" i="3" s="1"/>
  <c r="F916" i="1"/>
  <c r="I82" i="3" s="1"/>
  <c r="H4" i="5"/>
  <c r="H5" i="5"/>
  <c r="H2" i="5"/>
  <c r="H6" i="5"/>
  <c r="H10" i="5"/>
  <c r="H7" i="5"/>
  <c r="H8" i="5"/>
  <c r="H3" i="5"/>
  <c r="T25" i="3"/>
  <c r="U25" i="3" s="1"/>
  <c r="F421" i="1"/>
  <c r="F422" i="1"/>
  <c r="F423" i="1"/>
  <c r="F424" i="1"/>
  <c r="F425" i="1"/>
  <c r="F426" i="1"/>
  <c r="F427" i="1"/>
  <c r="F428" i="1"/>
  <c r="F420" i="1"/>
  <c r="D342" i="1"/>
  <c r="F342" i="1"/>
  <c r="F917" i="1"/>
  <c r="I73" i="3" s="1"/>
  <c r="F915" i="1"/>
  <c r="D770" i="1"/>
  <c r="F770" i="1"/>
  <c r="D875" i="1"/>
  <c r="D874" i="1"/>
  <c r="F875" i="1"/>
  <c r="D339" i="1"/>
  <c r="D340" i="1"/>
  <c r="D341" i="1"/>
  <c r="D338" i="1"/>
  <c r="F338" i="1"/>
  <c r="F339" i="1"/>
  <c r="F340" i="1"/>
  <c r="F341" i="1"/>
  <c r="F274" i="1"/>
  <c r="F275" i="1"/>
  <c r="F886" i="1"/>
  <c r="I99" i="3" s="1"/>
  <c r="F884" i="1"/>
  <c r="I50" i="3" s="1"/>
  <c r="F418" i="1"/>
  <c r="F419" i="1"/>
  <c r="F417" i="1"/>
  <c r="F173" i="1"/>
  <c r="F912" i="1"/>
  <c r="F922" i="1"/>
  <c r="I40" i="3" s="1"/>
  <c r="F920" i="1"/>
  <c r="I39" i="3" s="1"/>
  <c r="F913" i="1"/>
  <c r="F380" i="1"/>
  <c r="F910" i="1"/>
  <c r="F911" i="1"/>
  <c r="F918" i="1"/>
  <c r="F909" i="1"/>
  <c r="F908" i="1"/>
  <c r="I8" i="3" s="1"/>
  <c r="F907" i="1"/>
  <c r="F841" i="1"/>
  <c r="F863" i="1"/>
  <c r="F862" i="1"/>
  <c r="F861" i="1"/>
  <c r="F860" i="1"/>
  <c r="F859" i="1"/>
  <c r="F858" i="1"/>
  <c r="F857" i="1"/>
  <c r="F855" i="1"/>
  <c r="I167" i="3" s="1"/>
  <c r="L167" i="3" s="1"/>
  <c r="F854" i="1"/>
  <c r="F853" i="1"/>
  <c r="F852" i="1"/>
  <c r="F851" i="1"/>
  <c r="F850" i="1"/>
  <c r="D850" i="1"/>
  <c r="F849" i="1"/>
  <c r="D849" i="1"/>
  <c r="F848" i="1"/>
  <c r="D848" i="1"/>
  <c r="F847" i="1"/>
  <c r="D847" i="1"/>
  <c r="F846" i="1"/>
  <c r="D846" i="1"/>
  <c r="F845" i="1"/>
  <c r="D845" i="1"/>
  <c r="F844" i="1"/>
  <c r="D844" i="1"/>
  <c r="F843" i="1"/>
  <c r="D843" i="1"/>
  <c r="F842" i="1"/>
  <c r="D842" i="1"/>
  <c r="D841" i="1"/>
  <c r="F840" i="1"/>
  <c r="D840" i="1"/>
  <c r="F834" i="1"/>
  <c r="F833" i="1"/>
  <c r="F832" i="1"/>
  <c r="F831" i="1"/>
  <c r="F830" i="1"/>
  <c r="D830" i="1"/>
  <c r="F829" i="1"/>
  <c r="D829" i="1"/>
  <c r="F828" i="1"/>
  <c r="D828" i="1"/>
  <c r="F827" i="1"/>
  <c r="D827" i="1"/>
  <c r="F826" i="1"/>
  <c r="D826" i="1"/>
  <c r="F825" i="1"/>
  <c r="D825" i="1"/>
  <c r="F824" i="1"/>
  <c r="I147" i="3" s="1"/>
  <c r="L147" i="3" s="1"/>
  <c r="D824" i="1"/>
  <c r="G147" i="3" s="1"/>
  <c r="F823" i="1"/>
  <c r="D823" i="1"/>
  <c r="F822" i="1"/>
  <c r="D822" i="1"/>
  <c r="F821" i="1"/>
  <c r="D821" i="1"/>
  <c r="F820" i="1"/>
  <c r="D820" i="1"/>
  <c r="F819" i="1"/>
  <c r="D819" i="1"/>
  <c r="F818" i="1"/>
  <c r="D818" i="1"/>
  <c r="F817" i="1"/>
  <c r="D817" i="1"/>
  <c r="F816" i="1"/>
  <c r="D816" i="1"/>
  <c r="F815" i="1"/>
  <c r="I154" i="3" s="1"/>
  <c r="L154" i="3" s="1"/>
  <c r="D815" i="1"/>
  <c r="G154" i="3" s="1"/>
  <c r="F814" i="1"/>
  <c r="D814" i="1"/>
  <c r="F813" i="1"/>
  <c r="D813" i="1"/>
  <c r="F812" i="1"/>
  <c r="D812" i="1"/>
  <c r="F811" i="1"/>
  <c r="D811" i="1"/>
  <c r="F810" i="1"/>
  <c r="D810" i="1"/>
  <c r="F809" i="1"/>
  <c r="D809" i="1"/>
  <c r="F802" i="1"/>
  <c r="F801" i="1"/>
  <c r="D801" i="1"/>
  <c r="F800" i="1"/>
  <c r="D800" i="1"/>
  <c r="F799" i="1"/>
  <c r="D799" i="1"/>
  <c r="F798" i="1"/>
  <c r="D798" i="1"/>
  <c r="F797" i="1"/>
  <c r="D797" i="1"/>
  <c r="F796" i="1"/>
  <c r="D796" i="1"/>
  <c r="F795" i="1"/>
  <c r="D795" i="1"/>
  <c r="F794" i="1"/>
  <c r="D794" i="1"/>
  <c r="F793" i="1"/>
  <c r="D793" i="1"/>
  <c r="F792" i="1"/>
  <c r="D792" i="1"/>
  <c r="F791" i="1"/>
  <c r="D791" i="1"/>
  <c r="F790" i="1"/>
  <c r="I153" i="3" s="1"/>
  <c r="L153" i="3" s="1"/>
  <c r="D790" i="1"/>
  <c r="G153" i="3" s="1"/>
  <c r="F789" i="1"/>
  <c r="D789" i="1"/>
  <c r="F788" i="1"/>
  <c r="D788" i="1"/>
  <c r="F787" i="1"/>
  <c r="D787" i="1"/>
  <c r="F786" i="1"/>
  <c r="D786" i="1"/>
  <c r="F785" i="1"/>
  <c r="D785" i="1"/>
  <c r="F784" i="1"/>
  <c r="D784" i="1"/>
  <c r="F783" i="1"/>
  <c r="D783" i="1"/>
  <c r="F782" i="1"/>
  <c r="D782" i="1"/>
  <c r="F781" i="1"/>
  <c r="D781" i="1"/>
  <c r="F769" i="1"/>
  <c r="F768" i="1"/>
  <c r="F767" i="1"/>
  <c r="F766" i="1"/>
  <c r="F765" i="1"/>
  <c r="F764" i="1"/>
  <c r="D764" i="1"/>
  <c r="F763" i="1"/>
  <c r="D763" i="1"/>
  <c r="F762" i="1"/>
  <c r="D762" i="1"/>
  <c r="F761" i="1"/>
  <c r="D761" i="1"/>
  <c r="F760" i="1"/>
  <c r="D760" i="1"/>
  <c r="F759" i="1"/>
  <c r="D759" i="1"/>
  <c r="F758" i="1"/>
  <c r="D758" i="1"/>
  <c r="F757" i="1"/>
  <c r="D757" i="1"/>
  <c r="F756" i="1"/>
  <c r="I158" i="3" s="1"/>
  <c r="L158" i="3" s="1"/>
  <c r="D756" i="1"/>
  <c r="G158" i="3" s="1"/>
  <c r="F755" i="1"/>
  <c r="D755" i="1"/>
  <c r="F754" i="1"/>
  <c r="D754" i="1"/>
  <c r="F753" i="1"/>
  <c r="D753" i="1"/>
  <c r="F752" i="1"/>
  <c r="I148" i="3" s="1"/>
  <c r="L148" i="3" s="1"/>
  <c r="D752" i="1"/>
  <c r="G148" i="3" s="1"/>
  <c r="F751" i="1"/>
  <c r="D751" i="1"/>
  <c r="F750" i="1"/>
  <c r="D750" i="1"/>
  <c r="F749" i="1"/>
  <c r="D749" i="1"/>
  <c r="F748" i="1"/>
  <c r="D748" i="1"/>
  <c r="F747" i="1"/>
  <c r="D747" i="1"/>
  <c r="F746" i="1"/>
  <c r="D746" i="1"/>
  <c r="F745" i="1"/>
  <c r="D745" i="1"/>
  <c r="F744" i="1"/>
  <c r="D744" i="1"/>
  <c r="F743" i="1"/>
  <c r="D743" i="1"/>
  <c r="F742" i="1"/>
  <c r="D742" i="1"/>
  <c r="F741" i="1"/>
  <c r="F740" i="1"/>
  <c r="D740" i="1"/>
  <c r="F739" i="1"/>
  <c r="D739" i="1"/>
  <c r="F738" i="1"/>
  <c r="D738" i="1"/>
  <c r="F737" i="1"/>
  <c r="D737" i="1"/>
  <c r="F736" i="1"/>
  <c r="D736" i="1"/>
  <c r="F735" i="1"/>
  <c r="D735" i="1"/>
  <c r="F734" i="1"/>
  <c r="D734" i="1"/>
  <c r="F733" i="1"/>
  <c r="D733" i="1"/>
  <c r="F732" i="1"/>
  <c r="D732" i="1"/>
  <c r="F731" i="1"/>
  <c r="D731" i="1"/>
  <c r="F730" i="1"/>
  <c r="D730" i="1"/>
  <c r="F729" i="1"/>
  <c r="D729" i="1"/>
  <c r="F728" i="1"/>
  <c r="D728" i="1"/>
  <c r="F727" i="1"/>
  <c r="D727" i="1"/>
  <c r="F726" i="1"/>
  <c r="D726" i="1"/>
  <c r="F725" i="1"/>
  <c r="D725" i="1"/>
  <c r="F724" i="1"/>
  <c r="D724" i="1"/>
  <c r="F723" i="1"/>
  <c r="D723" i="1"/>
  <c r="F722" i="1"/>
  <c r="D722" i="1"/>
  <c r="F721" i="1"/>
  <c r="I149" i="3" s="1"/>
  <c r="L149" i="3" s="1"/>
  <c r="D721" i="1"/>
  <c r="G149" i="3" s="1"/>
  <c r="F720" i="1"/>
  <c r="D720" i="1"/>
  <c r="F719" i="1"/>
  <c r="D719" i="1"/>
  <c r="F718" i="1"/>
  <c r="D718" i="1"/>
  <c r="F717" i="1"/>
  <c r="D717" i="1"/>
  <c r="F716" i="1"/>
  <c r="D716" i="1"/>
  <c r="F715" i="1"/>
  <c r="D715" i="1"/>
  <c r="F714" i="1"/>
  <c r="D714" i="1"/>
  <c r="F713" i="1"/>
  <c r="D713" i="1"/>
  <c r="F712" i="1"/>
  <c r="D712" i="1"/>
  <c r="F711" i="1"/>
  <c r="D711" i="1"/>
  <c r="F710" i="1"/>
  <c r="D710" i="1"/>
  <c r="F709" i="1"/>
  <c r="I157" i="3" s="1"/>
  <c r="L157" i="3" s="1"/>
  <c r="D709" i="1"/>
  <c r="G157" i="3" s="1"/>
  <c r="F708" i="1"/>
  <c r="D708" i="1"/>
  <c r="I144" i="3"/>
  <c r="L144" i="3" s="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1" i="1"/>
  <c r="F570" i="1"/>
  <c r="F569" i="1"/>
  <c r="I146" i="3" s="1"/>
  <c r="L146" i="3" s="1"/>
  <c r="F568" i="1"/>
  <c r="F567" i="1"/>
  <c r="F566" i="1"/>
  <c r="F565" i="1"/>
  <c r="F564" i="1"/>
  <c r="F563" i="1"/>
  <c r="F562" i="1"/>
  <c r="F561" i="1"/>
  <c r="F560" i="1"/>
  <c r="F559" i="1"/>
  <c r="F558" i="1"/>
  <c r="F557" i="1"/>
  <c r="F556" i="1"/>
  <c r="I150" i="3" s="1"/>
  <c r="L150" i="3" s="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I166" i="3" s="1"/>
  <c r="L166" i="3" s="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I51" i="3" s="1"/>
  <c r="F480" i="1"/>
  <c r="I168" i="3" s="1"/>
  <c r="L168" i="3" s="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16" i="1"/>
  <c r="F415" i="1"/>
  <c r="F414" i="1"/>
  <c r="F413" i="1"/>
  <c r="I132" i="3" s="1"/>
  <c r="L132" i="3" s="1"/>
  <c r="F412" i="1"/>
  <c r="F411" i="1"/>
  <c r="F410" i="1"/>
  <c r="F409" i="1"/>
  <c r="F408" i="1"/>
  <c r="F407" i="1"/>
  <c r="F406" i="1"/>
  <c r="F405" i="1"/>
  <c r="F404" i="1"/>
  <c r="F403" i="1"/>
  <c r="F402" i="1"/>
  <c r="F401" i="1"/>
  <c r="F400" i="1"/>
  <c r="F399" i="1"/>
  <c r="F398" i="1"/>
  <c r="F397" i="1"/>
  <c r="F396" i="1"/>
  <c r="F395" i="1"/>
  <c r="F394" i="1"/>
  <c r="F393" i="1"/>
  <c r="F392" i="1"/>
  <c r="D392" i="1"/>
  <c r="F391" i="1"/>
  <c r="D391" i="1"/>
  <c r="F390" i="1"/>
  <c r="D390" i="1"/>
  <c r="F389" i="1"/>
  <c r="D389" i="1"/>
  <c r="F388" i="1"/>
  <c r="D388" i="1"/>
  <c r="F387" i="1"/>
  <c r="D387" i="1"/>
  <c r="F386" i="1"/>
  <c r="D386" i="1"/>
  <c r="F385" i="1"/>
  <c r="D385" i="1"/>
  <c r="F384" i="1"/>
  <c r="D384" i="1"/>
  <c r="F383" i="1"/>
  <c r="D383" i="1"/>
  <c r="F382" i="1"/>
  <c r="D382" i="1"/>
  <c r="F381" i="1"/>
  <c r="D381" i="1"/>
  <c r="D380" i="1"/>
  <c r="F379" i="1"/>
  <c r="D379" i="1"/>
  <c r="F378" i="1"/>
  <c r="D378" i="1"/>
  <c r="F377" i="1"/>
  <c r="D377" i="1"/>
  <c r="F376" i="1"/>
  <c r="D376" i="1"/>
  <c r="F375" i="1"/>
  <c r="D375" i="1"/>
  <c r="F374" i="1"/>
  <c r="D374" i="1"/>
  <c r="F373" i="1"/>
  <c r="D373" i="1"/>
  <c r="F372" i="1"/>
  <c r="D372" i="1"/>
  <c r="F371" i="1"/>
  <c r="D371" i="1"/>
  <c r="F337" i="1"/>
  <c r="I160" i="3" s="1"/>
  <c r="L160" i="3" s="1"/>
  <c r="F336" i="1"/>
  <c r="F334" i="1"/>
  <c r="D334" i="1"/>
  <c r="F333" i="1"/>
  <c r="D333" i="1"/>
  <c r="F332" i="1"/>
  <c r="D332" i="1"/>
  <c r="F331" i="1"/>
  <c r="D331" i="1"/>
  <c r="F330" i="1"/>
  <c r="D330" i="1"/>
  <c r="F329" i="1"/>
  <c r="D329" i="1"/>
  <c r="F328" i="1"/>
  <c r="D328" i="1"/>
  <c r="F327" i="1"/>
  <c r="D327" i="1"/>
  <c r="F326" i="1"/>
  <c r="D326" i="1"/>
  <c r="F325" i="1"/>
  <c r="D325" i="1"/>
  <c r="F324" i="1"/>
  <c r="D324" i="1"/>
  <c r="F323" i="1"/>
  <c r="I162" i="3" s="1"/>
  <c r="L162" i="3" s="1"/>
  <c r="D323" i="1"/>
  <c r="G162" i="3" s="1"/>
  <c r="F322" i="1"/>
  <c r="D322" i="1"/>
  <c r="F321" i="1"/>
  <c r="D321" i="1"/>
  <c r="F320" i="1"/>
  <c r="D320" i="1"/>
  <c r="F319" i="1"/>
  <c r="D319" i="1"/>
  <c r="F318" i="1"/>
  <c r="D318" i="1"/>
  <c r="F317" i="1"/>
  <c r="D317" i="1"/>
  <c r="F316" i="1"/>
  <c r="D316" i="1"/>
  <c r="F315" i="1"/>
  <c r="D315" i="1"/>
  <c r="F314" i="1"/>
  <c r="D314" i="1"/>
  <c r="F313" i="1"/>
  <c r="D313" i="1"/>
  <c r="F312" i="1"/>
  <c r="D312" i="1"/>
  <c r="F311" i="1"/>
  <c r="D311" i="1"/>
  <c r="F310" i="1"/>
  <c r="D310" i="1"/>
  <c r="F309" i="1"/>
  <c r="D309" i="1"/>
  <c r="F308" i="1"/>
  <c r="D308" i="1"/>
  <c r="F307" i="1"/>
  <c r="D307" i="1"/>
  <c r="F306" i="1"/>
  <c r="D306" i="1"/>
  <c r="F305" i="1"/>
  <c r="D305" i="1"/>
  <c r="F304" i="1"/>
  <c r="D304" i="1"/>
  <c r="F303" i="1"/>
  <c r="D303" i="1"/>
  <c r="F302" i="1"/>
  <c r="D302" i="1"/>
  <c r="F301" i="1"/>
  <c r="D301" i="1"/>
  <c r="F300" i="1"/>
  <c r="D300" i="1"/>
  <c r="F299" i="1"/>
  <c r="D299" i="1"/>
  <c r="F298" i="1"/>
  <c r="D298" i="1"/>
  <c r="F297" i="1"/>
  <c r="D297" i="1"/>
  <c r="F296" i="1"/>
  <c r="I163" i="3" s="1"/>
  <c r="L163" i="3" s="1"/>
  <c r="D296" i="1"/>
  <c r="G163" i="3" s="1"/>
  <c r="F295" i="1"/>
  <c r="D295" i="1"/>
  <c r="F294" i="1"/>
  <c r="D294" i="1"/>
  <c r="F293" i="1"/>
  <c r="D293" i="1"/>
  <c r="F292" i="1"/>
  <c r="D292" i="1"/>
  <c r="F291" i="1"/>
  <c r="D291" i="1"/>
  <c r="F290" i="1"/>
  <c r="D290" i="1"/>
  <c r="F273" i="1"/>
  <c r="F272" i="1"/>
  <c r="F271" i="1"/>
  <c r="F270" i="1"/>
  <c r="F269" i="1"/>
  <c r="F268" i="1"/>
  <c r="D268" i="1"/>
  <c r="F267" i="1"/>
  <c r="D267" i="1"/>
  <c r="F266" i="1"/>
  <c r="D266" i="1"/>
  <c r="F265" i="1"/>
  <c r="D265" i="1"/>
  <c r="F264" i="1"/>
  <c r="D264" i="1"/>
  <c r="F263" i="1"/>
  <c r="D263" i="1"/>
  <c r="F262" i="1"/>
  <c r="D262" i="1"/>
  <c r="F261" i="1"/>
  <c r="D261" i="1"/>
  <c r="F260" i="1"/>
  <c r="D260" i="1"/>
  <c r="F259" i="1"/>
  <c r="D259" i="1"/>
  <c r="F258" i="1"/>
  <c r="D258" i="1"/>
  <c r="F257" i="1"/>
  <c r="D257" i="1"/>
  <c r="F256" i="1"/>
  <c r="D256" i="1"/>
  <c r="F255" i="1"/>
  <c r="D255" i="1"/>
  <c r="F254" i="1"/>
  <c r="D254" i="1"/>
  <c r="F253" i="1"/>
  <c r="D253" i="1"/>
  <c r="F252" i="1"/>
  <c r="D252" i="1"/>
  <c r="F251" i="1"/>
  <c r="D251" i="1"/>
  <c r="F250" i="1"/>
  <c r="D250" i="1"/>
  <c r="F249" i="1"/>
  <c r="D249" i="1"/>
  <c r="F248" i="1"/>
  <c r="D248" i="1"/>
  <c r="F247" i="1"/>
  <c r="D247" i="1"/>
  <c r="F246" i="1"/>
  <c r="D246" i="1"/>
  <c r="F245" i="1"/>
  <c r="D245" i="1"/>
  <c r="F244" i="1"/>
  <c r="D244" i="1"/>
  <c r="F243" i="1"/>
  <c r="D243" i="1"/>
  <c r="F242" i="1"/>
  <c r="D242" i="1"/>
  <c r="F241" i="1"/>
  <c r="D241" i="1"/>
  <c r="F240" i="1"/>
  <c r="D240" i="1"/>
  <c r="F239" i="1"/>
  <c r="D239" i="1"/>
  <c r="F238" i="1"/>
  <c r="D238" i="1"/>
  <c r="F237" i="1"/>
  <c r="D237" i="1"/>
  <c r="F236" i="1"/>
  <c r="D236" i="1"/>
  <c r="F235" i="1"/>
  <c r="D235" i="1"/>
  <c r="F234" i="1"/>
  <c r="D234" i="1"/>
  <c r="F233" i="1"/>
  <c r="D233" i="1"/>
  <c r="F232" i="1"/>
  <c r="D232" i="1"/>
  <c r="F231" i="1"/>
  <c r="D231" i="1"/>
  <c r="F230" i="1"/>
  <c r="D230" i="1"/>
  <c r="F229" i="1"/>
  <c r="D229" i="1"/>
  <c r="F228" i="1"/>
  <c r="D228" i="1"/>
  <c r="F227" i="1"/>
  <c r="D227" i="1"/>
  <c r="F226" i="1"/>
  <c r="D226" i="1"/>
  <c r="F225" i="1"/>
  <c r="D225" i="1"/>
  <c r="F224" i="1"/>
  <c r="D224" i="1"/>
  <c r="F223" i="1"/>
  <c r="D223" i="1"/>
  <c r="F222" i="1"/>
  <c r="D222" i="1"/>
  <c r="F221" i="1"/>
  <c r="D221" i="1"/>
  <c r="F220" i="1"/>
  <c r="D220" i="1"/>
  <c r="F219" i="1"/>
  <c r="D219" i="1"/>
  <c r="F218" i="1"/>
  <c r="D218" i="1"/>
  <c r="F217" i="1"/>
  <c r="D217" i="1"/>
  <c r="F216" i="1"/>
  <c r="D216" i="1"/>
  <c r="F215" i="1"/>
  <c r="D215" i="1"/>
  <c r="F214" i="1"/>
  <c r="D214" i="1"/>
  <c r="F213" i="1"/>
  <c r="D213" i="1"/>
  <c r="F212" i="1"/>
  <c r="D212" i="1"/>
  <c r="F211" i="1"/>
  <c r="D211" i="1"/>
  <c r="F210" i="1"/>
  <c r="I164" i="3" s="1"/>
  <c r="L164" i="3" s="1"/>
  <c r="D210" i="1"/>
  <c r="G164" i="3" s="1"/>
  <c r="F209" i="1"/>
  <c r="D209" i="1"/>
  <c r="F208" i="1"/>
  <c r="D208" i="1"/>
  <c r="F207" i="1"/>
  <c r="D207" i="1"/>
  <c r="F206" i="1"/>
  <c r="D206" i="1"/>
  <c r="F205" i="1"/>
  <c r="D205" i="1"/>
  <c r="F204" i="1"/>
  <c r="D204" i="1"/>
  <c r="F203" i="1"/>
  <c r="D203" i="1"/>
  <c r="F202" i="1"/>
  <c r="D202" i="1"/>
  <c r="F201" i="1"/>
  <c r="D201" i="1"/>
  <c r="F200" i="1"/>
  <c r="D200" i="1"/>
  <c r="F199" i="1"/>
  <c r="D199" i="1"/>
  <c r="F198" i="1"/>
  <c r="D198" i="1"/>
  <c r="F197" i="1"/>
  <c r="D197" i="1"/>
  <c r="F196" i="1"/>
  <c r="D196" i="1"/>
  <c r="F195" i="1"/>
  <c r="D195" i="1"/>
  <c r="F194" i="1"/>
  <c r="D194" i="1"/>
  <c r="F193" i="1"/>
  <c r="D193" i="1"/>
  <c r="F192" i="1"/>
  <c r="F191" i="1"/>
  <c r="F190" i="1"/>
  <c r="F189" i="1"/>
  <c r="F188" i="1"/>
  <c r="F187" i="1"/>
  <c r="F186" i="1"/>
  <c r="F185" i="1"/>
  <c r="F184" i="1"/>
  <c r="F183" i="1"/>
  <c r="F182" i="1"/>
  <c r="F179" i="1"/>
  <c r="F181" i="1"/>
  <c r="F180" i="1"/>
  <c r="F178" i="1"/>
  <c r="F177" i="1"/>
  <c r="F176" i="1"/>
  <c r="F175" i="1"/>
  <c r="F174" i="1"/>
  <c r="F172" i="1"/>
  <c r="F171" i="1"/>
  <c r="F170" i="1"/>
  <c r="F161" i="1"/>
  <c r="F168" i="1"/>
  <c r="F167" i="1"/>
  <c r="F166" i="1"/>
  <c r="F165" i="1"/>
  <c r="F164" i="1"/>
  <c r="F163" i="1"/>
  <c r="F162" i="1"/>
  <c r="F160" i="1"/>
  <c r="F159" i="1"/>
  <c r="F158" i="1"/>
  <c r="F157" i="1"/>
  <c r="F156" i="1"/>
  <c r="F155" i="1"/>
  <c r="F154" i="1"/>
  <c r="F153" i="1"/>
  <c r="F152" i="1"/>
  <c r="F151" i="1"/>
  <c r="F150" i="1"/>
  <c r="F149" i="1"/>
  <c r="F148" i="1"/>
  <c r="F147" i="1"/>
  <c r="F146" i="1"/>
  <c r="F145" i="1"/>
  <c r="F144" i="1"/>
  <c r="F143" i="1"/>
  <c r="F141" i="1"/>
  <c r="I176" i="3" s="1"/>
  <c r="L176" i="3" s="1"/>
  <c r="F140" i="1"/>
  <c r="F139" i="1"/>
  <c r="F138" i="1"/>
  <c r="F137" i="1"/>
  <c r="F134" i="1"/>
  <c r="F133" i="1"/>
  <c r="D133" i="1"/>
  <c r="F132" i="1"/>
  <c r="D132" i="1"/>
  <c r="F131" i="1"/>
  <c r="D131" i="1"/>
  <c r="F130" i="1"/>
  <c r="D130" i="1"/>
  <c r="F129" i="1"/>
  <c r="D129" i="1"/>
  <c r="F126" i="1"/>
  <c r="D126" i="1"/>
  <c r="F125" i="1"/>
  <c r="D125" i="1"/>
  <c r="F124" i="1"/>
  <c r="D124" i="1"/>
  <c r="F123" i="1"/>
  <c r="D123" i="1"/>
  <c r="F122" i="1"/>
  <c r="D122" i="1"/>
  <c r="F121" i="1"/>
  <c r="D121" i="1"/>
  <c r="F120" i="1"/>
  <c r="D120" i="1"/>
  <c r="F119" i="1"/>
  <c r="D119" i="1"/>
  <c r="F118" i="1"/>
  <c r="D118" i="1"/>
  <c r="F117" i="1"/>
  <c r="D117" i="1"/>
  <c r="F115" i="1"/>
  <c r="D115" i="1"/>
  <c r="F114" i="1"/>
  <c r="D114" i="1"/>
  <c r="F102" i="1"/>
  <c r="F101" i="1"/>
  <c r="F100" i="1"/>
  <c r="D100" i="1"/>
  <c r="F99" i="1"/>
  <c r="D99" i="1"/>
  <c r="F98" i="1"/>
  <c r="D98" i="1"/>
  <c r="F97" i="1"/>
  <c r="D97" i="1"/>
  <c r="F96" i="1"/>
  <c r="D96" i="1"/>
  <c r="F95" i="1"/>
  <c r="D95" i="1"/>
  <c r="F94" i="1"/>
  <c r="D94" i="1"/>
  <c r="F93" i="1"/>
  <c r="D93" i="1"/>
  <c r="F92" i="1"/>
  <c r="D92" i="1"/>
  <c r="F91" i="1"/>
  <c r="D91" i="1"/>
  <c r="F90" i="1"/>
  <c r="D90" i="1"/>
  <c r="F89" i="1"/>
  <c r="D89" i="1"/>
  <c r="F88" i="1"/>
  <c r="D88" i="1"/>
  <c r="F87" i="1"/>
  <c r="D87" i="1"/>
  <c r="F86" i="1"/>
  <c r="D86" i="1"/>
  <c r="F85" i="1"/>
  <c r="D85" i="1"/>
  <c r="F84" i="1"/>
  <c r="D84" i="1"/>
  <c r="F83" i="1"/>
  <c r="D83" i="1"/>
  <c r="F82" i="1"/>
  <c r="D82" i="1"/>
  <c r="F81" i="1"/>
  <c r="D81" i="1"/>
  <c r="F80" i="1"/>
  <c r="D80" i="1"/>
  <c r="F79" i="1"/>
  <c r="D79" i="1"/>
  <c r="F78" i="1"/>
  <c r="D78" i="1"/>
  <c r="F77" i="1"/>
  <c r="D77" i="1"/>
  <c r="F76" i="1"/>
  <c r="D76" i="1"/>
  <c r="F75" i="1"/>
  <c r="D75" i="1"/>
  <c r="F74" i="1"/>
  <c r="D74" i="1"/>
  <c r="F73" i="1"/>
  <c r="D73" i="1"/>
  <c r="F72" i="1"/>
  <c r="D72" i="1"/>
  <c r="F71" i="1"/>
  <c r="D71" i="1"/>
  <c r="F70" i="1"/>
  <c r="D70" i="1"/>
  <c r="F69" i="1"/>
  <c r="D69" i="1"/>
  <c r="F68" i="1"/>
  <c r="D68" i="1"/>
  <c r="F67" i="1"/>
  <c r="D67" i="1"/>
  <c r="F66" i="1"/>
  <c r="D66" i="1"/>
  <c r="F65" i="1"/>
  <c r="D65" i="1"/>
  <c r="F64" i="1"/>
  <c r="D64" i="1"/>
  <c r="F63" i="1"/>
  <c r="D63" i="1"/>
  <c r="F60" i="1"/>
  <c r="I78" i="3" s="1"/>
  <c r="F59" i="1"/>
  <c r="F58" i="1"/>
  <c r="D58" i="1"/>
  <c r="F57" i="1"/>
  <c r="I156" i="3" s="1"/>
  <c r="L156" i="3" s="1"/>
  <c r="D57" i="1"/>
  <c r="G156" i="3" s="1"/>
  <c r="F56" i="1"/>
  <c r="D56" i="1"/>
  <c r="F55" i="1"/>
  <c r="D55" i="1"/>
  <c r="F54" i="1"/>
  <c r="D54" i="1"/>
  <c r="F53" i="1"/>
  <c r="D53" i="1"/>
  <c r="F52" i="1"/>
  <c r="D52" i="1"/>
  <c r="F51" i="1"/>
  <c r="D51" i="1"/>
  <c r="F50" i="1"/>
  <c r="D50" i="1"/>
  <c r="F49" i="1"/>
  <c r="D49" i="1"/>
  <c r="F48" i="1"/>
  <c r="D48" i="1"/>
  <c r="F47" i="1"/>
  <c r="D47" i="1"/>
  <c r="F46" i="1"/>
  <c r="D46" i="1"/>
  <c r="F45" i="1"/>
  <c r="D45" i="1"/>
  <c r="F44" i="1"/>
  <c r="D44" i="1"/>
  <c r="F43" i="1"/>
  <c r="D43" i="1"/>
  <c r="F42" i="1"/>
  <c r="D42" i="1"/>
  <c r="F41" i="1"/>
  <c r="D41" i="1"/>
  <c r="F40" i="1"/>
  <c r="D40" i="1"/>
  <c r="F39" i="1"/>
  <c r="D39" i="1"/>
  <c r="F38" i="1"/>
  <c r="D38" i="1"/>
  <c r="F37" i="1"/>
  <c r="D37" i="1"/>
  <c r="F36" i="1"/>
  <c r="D36" i="1"/>
  <c r="F35" i="1"/>
  <c r="D35" i="1"/>
  <c r="F34" i="1"/>
  <c r="D34" i="1"/>
  <c r="F33" i="1"/>
  <c r="D33" i="1"/>
  <c r="F32" i="1"/>
  <c r="D32" i="1"/>
  <c r="F31" i="1"/>
  <c r="D31" i="1"/>
  <c r="F30" i="1"/>
  <c r="D30" i="1"/>
  <c r="F29" i="1"/>
  <c r="D29" i="1"/>
  <c r="F28" i="1"/>
  <c r="D28" i="1"/>
  <c r="F27" i="1"/>
  <c r="D27" i="1"/>
  <c r="F26" i="1"/>
  <c r="D26" i="1"/>
  <c r="F25" i="1"/>
  <c r="D25" i="1"/>
  <c r="F24" i="1"/>
  <c r="D24" i="1"/>
  <c r="F23" i="1"/>
  <c r="D23" i="1"/>
  <c r="F22" i="1"/>
  <c r="D22" i="1"/>
  <c r="F21" i="1"/>
  <c r="D21" i="1"/>
  <c r="F20" i="1"/>
  <c r="D20" i="1"/>
  <c r="F19" i="1"/>
  <c r="D19" i="1"/>
  <c r="F18" i="1"/>
  <c r="D18" i="1"/>
  <c r="F17" i="1"/>
  <c r="D17" i="1"/>
  <c r="F16" i="1"/>
  <c r="D16" i="1"/>
  <c r="F15" i="1"/>
  <c r="D15" i="1"/>
  <c r="F14" i="1"/>
  <c r="D14" i="1"/>
  <c r="F13" i="1"/>
  <c r="D13" i="1"/>
  <c r="F12" i="1"/>
  <c r="D12" i="1"/>
  <c r="F11" i="1"/>
  <c r="D11" i="1"/>
  <c r="F10" i="1"/>
  <c r="D10" i="1"/>
  <c r="F9" i="1"/>
  <c r="D9" i="1"/>
  <c r="F8" i="1"/>
  <c r="D8" i="1"/>
  <c r="F7" i="1"/>
  <c r="D7" i="1"/>
  <c r="F6" i="1"/>
  <c r="D6" i="1"/>
  <c r="F5" i="1"/>
  <c r="D5" i="1"/>
  <c r="F4" i="1"/>
  <c r="D4" i="1"/>
  <c r="F3" i="1"/>
  <c r="D3" i="1"/>
  <c r="F2" i="1"/>
  <c r="D2" i="1"/>
  <c r="F55" i="3"/>
  <c r="E15" i="3"/>
  <c r="G5" i="3"/>
  <c r="F10" i="3"/>
  <c r="X2" i="3" l="1"/>
  <c r="I70" i="3"/>
  <c r="L75" i="3"/>
  <c r="H276" i="1"/>
  <c r="I136" i="3"/>
  <c r="I141" i="3"/>
  <c r="L141" i="3" s="1"/>
  <c r="H141" i="3"/>
  <c r="G141" i="3"/>
  <c r="F141" i="3"/>
  <c r="L140" i="3"/>
  <c r="I139" i="3"/>
  <c r="L139" i="3" s="1"/>
  <c r="H139" i="3"/>
  <c r="G139" i="3"/>
  <c r="F139" i="3"/>
  <c r="L137" i="3"/>
  <c r="H138" i="3"/>
  <c r="I138" i="3"/>
  <c r="L138" i="3" s="1"/>
  <c r="G138" i="3"/>
  <c r="F138" i="3"/>
  <c r="I135" i="3"/>
  <c r="H135" i="3"/>
  <c r="G135" i="3"/>
  <c r="F135" i="3"/>
  <c r="G2" i="3"/>
  <c r="H133" i="3"/>
  <c r="F133" i="3"/>
  <c r="I130" i="3"/>
  <c r="L130" i="3" s="1"/>
  <c r="F48" i="3"/>
  <c r="G133" i="3"/>
  <c r="F134" i="3"/>
  <c r="I114" i="3"/>
  <c r="L114" i="3" s="1"/>
  <c r="H114" i="3"/>
  <c r="G114" i="3"/>
  <c r="I134" i="3"/>
  <c r="L134" i="3" s="1"/>
  <c r="F114" i="3"/>
  <c r="H134" i="3"/>
  <c r="G134" i="3"/>
  <c r="I133" i="3"/>
  <c r="L133" i="3" s="1"/>
  <c r="H132" i="3"/>
  <c r="G132" i="3"/>
  <c r="F132" i="3"/>
  <c r="H129" i="3"/>
  <c r="G129" i="3"/>
  <c r="G27" i="3"/>
  <c r="I27" i="3"/>
  <c r="L27" i="3" s="1"/>
  <c r="F129" i="3"/>
  <c r="H130" i="3"/>
  <c r="G130" i="3"/>
  <c r="F2" i="3"/>
  <c r="I122" i="3"/>
  <c r="L122" i="3" s="1"/>
  <c r="F130" i="3"/>
  <c r="H122" i="3"/>
  <c r="G55" i="3"/>
  <c r="E122" i="3"/>
  <c r="H18" i="3"/>
  <c r="H51" i="3"/>
  <c r="I2" i="3"/>
  <c r="L2" i="3" s="1"/>
  <c r="G121" i="3"/>
  <c r="F121" i="3"/>
  <c r="G35" i="3"/>
  <c r="G52" i="3"/>
  <c r="H48" i="3"/>
  <c r="E124" i="3"/>
  <c r="H2" i="3"/>
  <c r="E3" i="3"/>
  <c r="I71" i="3"/>
  <c r="L71" i="3" s="1"/>
  <c r="F37" i="3"/>
  <c r="F124" i="3"/>
  <c r="I123" i="3"/>
  <c r="L123" i="3" s="1"/>
  <c r="G122" i="3"/>
  <c r="H124" i="3"/>
  <c r="F31" i="3"/>
  <c r="I31" i="3"/>
  <c r="L31" i="3" s="1"/>
  <c r="G124" i="3"/>
  <c r="F26" i="3"/>
  <c r="F68" i="3"/>
  <c r="G26" i="3"/>
  <c r="G54" i="3"/>
  <c r="I14" i="3"/>
  <c r="L14" i="3" s="1"/>
  <c r="H68" i="3"/>
  <c r="G20" i="3"/>
  <c r="I26" i="3"/>
  <c r="L26" i="3" s="1"/>
  <c r="I54" i="3"/>
  <c r="L54" i="3" s="1"/>
  <c r="I128" i="3"/>
  <c r="L128" i="3" s="1"/>
  <c r="H123" i="3"/>
  <c r="G123" i="3"/>
  <c r="F123" i="3"/>
  <c r="H62" i="3"/>
  <c r="E31" i="3"/>
  <c r="H4" i="3"/>
  <c r="H3" i="3"/>
  <c r="G6" i="3"/>
  <c r="H54" i="3"/>
  <c r="H33" i="3"/>
  <c r="H10" i="3"/>
  <c r="G71" i="3"/>
  <c r="I125" i="3"/>
  <c r="L124" i="3" s="1"/>
  <c r="H125" i="3"/>
  <c r="H6" i="3"/>
  <c r="H28" i="3"/>
  <c r="G125" i="3"/>
  <c r="F125" i="3"/>
  <c r="I55" i="3"/>
  <c r="L55" i="3" s="1"/>
  <c r="E4" i="3"/>
  <c r="H119" i="3"/>
  <c r="H26" i="3"/>
  <c r="G87" i="3"/>
  <c r="I37" i="3"/>
  <c r="L37" i="3" s="1"/>
  <c r="H88" i="3"/>
  <c r="I20" i="3"/>
  <c r="L20" i="3" s="1"/>
  <c r="H23" i="3"/>
  <c r="I126" i="3"/>
  <c r="L126" i="3" s="1"/>
  <c r="I95" i="3"/>
  <c r="L95" i="3" s="1"/>
  <c r="G37" i="3"/>
  <c r="H126" i="3"/>
  <c r="H87" i="3"/>
  <c r="H14" i="3"/>
  <c r="G31" i="3"/>
  <c r="F88" i="3"/>
  <c r="G106" i="3"/>
  <c r="F18" i="3"/>
  <c r="F5" i="3"/>
  <c r="G33" i="3"/>
  <c r="G126" i="3"/>
  <c r="G41" i="3"/>
  <c r="F126" i="3"/>
  <c r="F64" i="3"/>
  <c r="H5" i="3"/>
  <c r="I52" i="3"/>
  <c r="L52" i="3" s="1"/>
  <c r="I5" i="3"/>
  <c r="L5" i="3" s="1"/>
  <c r="I62" i="3"/>
  <c r="L62" i="3" s="1"/>
  <c r="F57" i="3"/>
  <c r="E60" i="3"/>
  <c r="F71" i="3"/>
  <c r="L131" i="3"/>
  <c r="F87" i="3"/>
  <c r="H81" i="3"/>
  <c r="E54" i="3"/>
  <c r="F84" i="3"/>
  <c r="I45" i="3"/>
  <c r="L45" i="3" s="1"/>
  <c r="I18" i="3"/>
  <c r="L18" i="3" s="1"/>
  <c r="I127" i="3"/>
  <c r="L127" i="3" s="1"/>
  <c r="H127" i="3"/>
  <c r="F51" i="3"/>
  <c r="E20" i="3"/>
  <c r="G127" i="3"/>
  <c r="G83" i="3"/>
  <c r="G28" i="3"/>
  <c r="E90" i="3"/>
  <c r="F127" i="3"/>
  <c r="G84" i="3"/>
  <c r="G23" i="3"/>
  <c r="I23" i="3"/>
  <c r="L23" i="3" s="1"/>
  <c r="H24" i="3"/>
  <c r="E23" i="3"/>
  <c r="I79" i="3"/>
  <c r="L79" i="3" s="1"/>
  <c r="G46" i="3"/>
  <c r="H25" i="3"/>
  <c r="H60" i="3"/>
  <c r="E46" i="3"/>
  <c r="H65" i="3"/>
  <c r="H20" i="3"/>
  <c r="E9" i="3"/>
  <c r="E6" i="3"/>
  <c r="H109" i="3"/>
  <c r="H128" i="3"/>
  <c r="I41" i="3"/>
  <c r="L41" i="3" s="1"/>
  <c r="I15" i="3"/>
  <c r="L15" i="3" s="1"/>
  <c r="E86" i="3"/>
  <c r="H84" i="3"/>
  <c r="F62" i="3"/>
  <c r="E51" i="3"/>
  <c r="F9" i="3"/>
  <c r="G109" i="3"/>
  <c r="G128" i="3"/>
  <c r="E36" i="3"/>
  <c r="F109" i="3"/>
  <c r="F128" i="3"/>
  <c r="H66" i="3"/>
  <c r="H41" i="3"/>
  <c r="I25" i="3"/>
  <c r="L25" i="3" s="1"/>
  <c r="F41" i="3"/>
  <c r="F11" i="3"/>
  <c r="I66" i="3"/>
  <c r="G24" i="3"/>
  <c r="I16" i="3"/>
  <c r="L16" i="3" s="1"/>
  <c r="G10" i="3"/>
  <c r="I28" i="3"/>
  <c r="L28" i="3" s="1"/>
  <c r="H53" i="3"/>
  <c r="G25" i="3"/>
  <c r="F15" i="3"/>
  <c r="G3" i="3"/>
  <c r="H52" i="3"/>
  <c r="I24" i="3"/>
  <c r="L24" i="3" s="1"/>
  <c r="I57" i="3"/>
  <c r="L57" i="3" s="1"/>
  <c r="I10" i="3"/>
  <c r="L10" i="3" s="1"/>
  <c r="H42" i="3"/>
  <c r="F81" i="3"/>
  <c r="G29" i="3"/>
  <c r="L51" i="3"/>
  <c r="F45" i="3"/>
  <c r="E25" i="3"/>
  <c r="H63" i="3"/>
  <c r="G60" i="3"/>
  <c r="H57" i="3"/>
  <c r="H45" i="3"/>
  <c r="G65" i="3"/>
  <c r="I60" i="3"/>
  <c r="L60" i="3" s="1"/>
  <c r="I35" i="3"/>
  <c r="L35" i="3" s="1"/>
  <c r="E11" i="3"/>
  <c r="G45" i="3"/>
  <c r="F66" i="3"/>
  <c r="I93" i="3"/>
  <c r="L93" i="3" s="1"/>
  <c r="G120" i="3"/>
  <c r="I120" i="3"/>
  <c r="L120" i="3" s="1"/>
  <c r="H120" i="3"/>
  <c r="F120" i="3"/>
  <c r="I119" i="3"/>
  <c r="L119" i="3" s="1"/>
  <c r="G119" i="3"/>
  <c r="F119" i="3"/>
  <c r="I118" i="3"/>
  <c r="L118" i="3" s="1"/>
  <c r="H118" i="3"/>
  <c r="G118" i="3"/>
  <c r="F118" i="3"/>
  <c r="I117" i="3"/>
  <c r="L117" i="3" s="1"/>
  <c r="F117" i="3"/>
  <c r="H117" i="3"/>
  <c r="G117" i="3"/>
  <c r="I116" i="3"/>
  <c r="H116" i="3"/>
  <c r="G116" i="3"/>
  <c r="F116" i="3"/>
  <c r="I115" i="3"/>
  <c r="L115" i="3" s="1"/>
  <c r="H115" i="3"/>
  <c r="G115" i="3"/>
  <c r="F115" i="3"/>
  <c r="E55" i="3"/>
  <c r="H35" i="3"/>
  <c r="E57" i="3"/>
  <c r="E29" i="3"/>
  <c r="F29" i="3"/>
  <c r="E110" i="3"/>
  <c r="E79" i="3"/>
  <c r="E71" i="3"/>
  <c r="I59" i="3"/>
  <c r="L59" i="3" s="1"/>
  <c r="H16" i="3"/>
  <c r="H111" i="3"/>
  <c r="E74" i="3"/>
  <c r="E16" i="3"/>
  <c r="E33" i="3"/>
  <c r="G111" i="3"/>
  <c r="G62" i="3"/>
  <c r="F52" i="3"/>
  <c r="H46" i="3"/>
  <c r="E28" i="3"/>
  <c r="G16" i="3"/>
  <c r="F33" i="3"/>
  <c r="E85" i="3"/>
  <c r="G42" i="3"/>
  <c r="H27" i="3"/>
  <c r="H95" i="3"/>
  <c r="E13" i="3"/>
  <c r="I19" i="3"/>
  <c r="L19" i="3" s="1"/>
  <c r="I83" i="3"/>
  <c r="L83" i="3" s="1"/>
  <c r="F22" i="3"/>
  <c r="G38" i="3"/>
  <c r="H13" i="3"/>
  <c r="L39" i="3"/>
  <c r="H70" i="3"/>
  <c r="G13" i="3"/>
  <c r="H83" i="3"/>
  <c r="G80" i="3"/>
  <c r="I65" i="3"/>
  <c r="L65" i="3" s="1"/>
  <c r="G70" i="3"/>
  <c r="E53" i="3"/>
  <c r="I102" i="3"/>
  <c r="L102" i="3" s="1"/>
  <c r="F70" i="3"/>
  <c r="F53" i="3"/>
  <c r="E14" i="3"/>
  <c r="H102" i="3"/>
  <c r="E48" i="3"/>
  <c r="F36" i="3"/>
  <c r="I111" i="3"/>
  <c r="L111" i="3" s="1"/>
  <c r="E83" i="3"/>
  <c r="E80" i="3"/>
  <c r="I13" i="3"/>
  <c r="L13" i="3" s="1"/>
  <c r="H80" i="3"/>
  <c r="E72" i="3"/>
  <c r="E63" i="3"/>
  <c r="E32" i="3"/>
  <c r="I87" i="3"/>
  <c r="L87" i="3" s="1"/>
  <c r="I106" i="3"/>
  <c r="L106" i="3" s="1"/>
  <c r="H72" i="3"/>
  <c r="F63" i="3"/>
  <c r="E38" i="3"/>
  <c r="G32" i="3"/>
  <c r="H19" i="3"/>
  <c r="H106" i="3"/>
  <c r="H59" i="3"/>
  <c r="L47" i="3"/>
  <c r="H44" i="3"/>
  <c r="G59" i="3"/>
  <c r="G44" i="3"/>
  <c r="G98" i="3"/>
  <c r="I104" i="3"/>
  <c r="L104" i="3" s="1"/>
  <c r="I110" i="3"/>
  <c r="L110" i="3" s="1"/>
  <c r="F59" i="3"/>
  <c r="F44" i="3"/>
  <c r="F42" i="3"/>
  <c r="H37" i="3"/>
  <c r="F24" i="3"/>
  <c r="E21" i="3"/>
  <c r="E18" i="3"/>
  <c r="F98" i="3"/>
  <c r="H104" i="3"/>
  <c r="H110" i="3"/>
  <c r="G85" i="3"/>
  <c r="I84" i="3"/>
  <c r="L84" i="3" s="1"/>
  <c r="I32" i="3"/>
  <c r="L32" i="3" s="1"/>
  <c r="I80" i="3"/>
  <c r="L80" i="3" s="1"/>
  <c r="F65" i="3"/>
  <c r="E49" i="3"/>
  <c r="F21" i="3"/>
  <c r="E98" i="3"/>
  <c r="G110" i="3"/>
  <c r="L103" i="3"/>
  <c r="L108" i="3"/>
  <c r="L105" i="3"/>
  <c r="I112" i="3"/>
  <c r="H112" i="3"/>
  <c r="G112" i="3"/>
  <c r="F112" i="3"/>
  <c r="F111" i="3"/>
  <c r="I109" i="3"/>
  <c r="L109" i="3" s="1"/>
  <c r="I107" i="3"/>
  <c r="L107" i="3" s="1"/>
  <c r="H107" i="3"/>
  <c r="G107" i="3"/>
  <c r="F107" i="3"/>
  <c r="F106" i="3"/>
  <c r="G104" i="3"/>
  <c r="F104" i="3"/>
  <c r="G102" i="3"/>
  <c r="F102" i="3"/>
  <c r="I100" i="3"/>
  <c r="L100" i="3" s="1"/>
  <c r="F100" i="3"/>
  <c r="E100" i="3"/>
  <c r="H100" i="3"/>
  <c r="H49" i="3"/>
  <c r="E30" i="3"/>
  <c r="G30" i="3"/>
  <c r="H30" i="3"/>
  <c r="F17" i="3"/>
  <c r="E17" i="3"/>
  <c r="H17" i="3"/>
  <c r="H64" i="3"/>
  <c r="G64" i="3"/>
  <c r="F30" i="3"/>
  <c r="L33" i="3"/>
  <c r="E12" i="3"/>
  <c r="H12" i="3"/>
  <c r="I12" i="3"/>
  <c r="L12" i="3" s="1"/>
  <c r="E22" i="3"/>
  <c r="G22" i="3"/>
  <c r="I49" i="3"/>
  <c r="L49" i="3" s="1"/>
  <c r="F49" i="3"/>
  <c r="F61" i="3"/>
  <c r="E61" i="3"/>
  <c r="G61" i="3"/>
  <c r="E67" i="3"/>
  <c r="F67" i="3"/>
  <c r="H67" i="3"/>
  <c r="F12" i="3"/>
  <c r="I17" i="3"/>
  <c r="L17" i="3" s="1"/>
  <c r="F7" i="3"/>
  <c r="G7" i="3"/>
  <c r="I22" i="3"/>
  <c r="L22" i="3" s="1"/>
  <c r="E7" i="3"/>
  <c r="E47" i="3"/>
  <c r="H47" i="3"/>
  <c r="F47" i="3"/>
  <c r="G47" i="3"/>
  <c r="I85" i="3"/>
  <c r="L85" i="3" s="1"/>
  <c r="G4" i="3"/>
  <c r="I38" i="3"/>
  <c r="L38" i="3" s="1"/>
  <c r="F90" i="3"/>
  <c r="G11" i="3"/>
  <c r="L40" i="3"/>
  <c r="I46" i="3"/>
  <c r="L46" i="3" s="1"/>
  <c r="H38" i="3"/>
  <c r="I11" i="3"/>
  <c r="L11" i="3" s="1"/>
  <c r="I61" i="3"/>
  <c r="L61" i="3" s="1"/>
  <c r="F19" i="3"/>
  <c r="I4" i="3"/>
  <c r="L4" i="3" s="1"/>
  <c r="G90" i="3"/>
  <c r="E19" i="3"/>
  <c r="H74" i="3"/>
  <c r="I72" i="3"/>
  <c r="L72" i="3" s="1"/>
  <c r="F27" i="3"/>
  <c r="G72" i="3"/>
  <c r="F79" i="3"/>
  <c r="I30" i="3"/>
  <c r="L30" i="3" s="1"/>
  <c r="G74" i="3"/>
  <c r="L50" i="3"/>
  <c r="F85" i="3"/>
  <c r="H86" i="3"/>
  <c r="G14" i="3"/>
  <c r="I9" i="3"/>
  <c r="L9" i="3" s="1"/>
  <c r="I74" i="3"/>
  <c r="L74" i="3" s="1"/>
  <c r="I48" i="3"/>
  <c r="L48" i="3" s="1"/>
  <c r="I67" i="3"/>
  <c r="L43" i="3"/>
  <c r="F35" i="3"/>
  <c r="G79" i="3"/>
  <c r="I3" i="3"/>
  <c r="L3" i="3" s="1"/>
  <c r="G9" i="3"/>
  <c r="H32" i="3"/>
  <c r="G21" i="3"/>
  <c r="G68" i="3"/>
  <c r="I6" i="3"/>
  <c r="L6" i="3" s="1"/>
  <c r="G36" i="3"/>
  <c r="I7" i="3"/>
  <c r="L7" i="3" s="1"/>
  <c r="L8" i="3"/>
  <c r="G15" i="3"/>
  <c r="I97" i="3"/>
  <c r="L97" i="3" s="1"/>
  <c r="H97" i="3"/>
  <c r="G81" i="3"/>
  <c r="I21" i="3"/>
  <c r="L21" i="3" s="1"/>
  <c r="I68" i="3"/>
  <c r="L68" i="3" s="1"/>
  <c r="I42" i="3"/>
  <c r="L42" i="3" s="1"/>
  <c r="I63" i="3"/>
  <c r="L63" i="3" s="1"/>
  <c r="I36" i="3"/>
  <c r="L36" i="3" s="1"/>
  <c r="I29" i="3"/>
  <c r="L29" i="3" s="1"/>
  <c r="G97" i="3"/>
  <c r="I98" i="3"/>
  <c r="L98" i="3" s="1"/>
  <c r="I81" i="3"/>
  <c r="L81" i="3" s="1"/>
  <c r="G12" i="3"/>
  <c r="G66" i="3"/>
  <c r="G88" i="3"/>
  <c r="G17" i="3"/>
  <c r="I53" i="3"/>
  <c r="L53" i="3" s="1"/>
  <c r="I44" i="3"/>
  <c r="L44" i="3" s="1"/>
  <c r="I89" i="3"/>
  <c r="I88" i="3"/>
  <c r="I90" i="3"/>
  <c r="L90" i="3" s="1"/>
  <c r="F97" i="3"/>
  <c r="I96" i="3"/>
  <c r="L96" i="3" s="1"/>
  <c r="H96" i="3"/>
  <c r="G96" i="3"/>
  <c r="F96" i="3"/>
  <c r="G95" i="3"/>
  <c r="F95" i="3"/>
  <c r="I94" i="3"/>
  <c r="L94" i="3" s="1"/>
  <c r="H94" i="3"/>
  <c r="G94" i="3"/>
  <c r="F94" i="3"/>
  <c r="L69" i="3"/>
  <c r="L56" i="3"/>
  <c r="I86" i="3"/>
  <c r="L86" i="3" s="1"/>
  <c r="G86" i="3"/>
  <c r="L82" i="3"/>
  <c r="L58" i="3"/>
  <c r="L76" i="3"/>
  <c r="L78" i="3"/>
  <c r="L77" i="3"/>
  <c r="L73" i="3"/>
  <c r="L70" i="3"/>
  <c r="H93" i="3"/>
  <c r="G93" i="3"/>
  <c r="F93" i="3"/>
  <c r="I92" i="3"/>
  <c r="L92" i="3" s="1"/>
  <c r="H92" i="3"/>
  <c r="G92" i="3"/>
  <c r="F92" i="3"/>
  <c r="F91" i="3"/>
  <c r="I91" i="3"/>
  <c r="L91" i="3" s="1"/>
  <c r="H91" i="3"/>
  <c r="G91" i="3"/>
  <c r="V2" i="3" l="1"/>
  <c r="L88" i="3"/>
  <c r="L135" i="3"/>
  <c r="L112" i="3"/>
  <c r="L66" i="3"/>
</calcChain>
</file>

<file path=xl/sharedStrings.xml><?xml version="1.0" encoding="utf-8"?>
<sst xmlns="http://schemas.openxmlformats.org/spreadsheetml/2006/main" count="1571" uniqueCount="1225">
  <si>
    <t>CODE</t>
  </si>
  <si>
    <t>WEIGHT</t>
  </si>
  <si>
    <t>MELTING</t>
  </si>
  <si>
    <t>WASTAGE</t>
  </si>
  <si>
    <t>PURE-RATE</t>
  </si>
  <si>
    <t>AMOUNT</t>
  </si>
  <si>
    <t>G-D-1</t>
  </si>
  <si>
    <t>G-RING-G1</t>
  </si>
  <si>
    <t>G-RING-G2</t>
  </si>
  <si>
    <t>G-RING-G3</t>
  </si>
  <si>
    <t>G-RING-G4</t>
  </si>
  <si>
    <t>G-RING-G5</t>
  </si>
  <si>
    <t>G-RING-G6</t>
  </si>
  <si>
    <t>G-RING-G7</t>
  </si>
  <si>
    <t>G-RING-G8</t>
  </si>
  <si>
    <t>G-RING-G9</t>
  </si>
  <si>
    <t>G-RING-G10</t>
  </si>
  <si>
    <t>G-RING-G11</t>
  </si>
  <si>
    <t>G-RING-G12</t>
  </si>
  <si>
    <t>G-RING-G13</t>
  </si>
  <si>
    <t>G-RING-G14</t>
  </si>
  <si>
    <t>G-RING-G15</t>
  </si>
  <si>
    <t>G-RING-G16</t>
  </si>
  <si>
    <t>G-RING-G17</t>
  </si>
  <si>
    <t>G-RING-G18</t>
  </si>
  <si>
    <t>G-RING-G19</t>
  </si>
  <si>
    <t>G-RING-G20</t>
  </si>
  <si>
    <t>G-RING-G21</t>
  </si>
  <si>
    <t>G-RING-G22</t>
  </si>
  <si>
    <t>G-RING-G23</t>
  </si>
  <si>
    <t>G-RING-G24</t>
  </si>
  <si>
    <t>G-RING-G25</t>
  </si>
  <si>
    <t>G-RING-G26</t>
  </si>
  <si>
    <t>G-RING-G27</t>
  </si>
  <si>
    <t>G-RING-G28</t>
  </si>
  <si>
    <t>G-RING-G29</t>
  </si>
  <si>
    <t>G-RING-G30</t>
  </si>
  <si>
    <t>G-RING-G31</t>
  </si>
  <si>
    <t>G-RING-G32</t>
  </si>
  <si>
    <t>G-RING-G33</t>
  </si>
  <si>
    <t>G-RING-G34</t>
  </si>
  <si>
    <t>G-RING-G35</t>
  </si>
  <si>
    <t>G-RING-G36</t>
  </si>
  <si>
    <t>G-RING-57</t>
  </si>
  <si>
    <t>G-STUD-1</t>
  </si>
  <si>
    <t>G-STUD-2</t>
  </si>
  <si>
    <t>G-STUD-3</t>
  </si>
  <si>
    <t>G-STUD-4</t>
  </si>
  <si>
    <t>G-STUD-5</t>
  </si>
  <si>
    <t>G-STUD-6</t>
  </si>
  <si>
    <t>G-STUD-7</t>
  </si>
  <si>
    <t>G-STUD-8</t>
  </si>
  <si>
    <t>G-STUD-9</t>
  </si>
  <si>
    <t>G-STUD-10</t>
  </si>
  <si>
    <t>G-STUD-11</t>
  </si>
  <si>
    <t>G-STUD-12</t>
  </si>
  <si>
    <t>G-STUD-13</t>
  </si>
  <si>
    <t>G-STUD-14</t>
  </si>
  <si>
    <t>G-STUD-15</t>
  </si>
  <si>
    <t>G-STUD-16</t>
  </si>
  <si>
    <t>G-STUD-17</t>
  </si>
  <si>
    <t>G-STUD-18</t>
  </si>
  <si>
    <t>G-STUD-19</t>
  </si>
  <si>
    <t>G-STUD-20</t>
  </si>
  <si>
    <t>G-STUD-21</t>
  </si>
  <si>
    <t>G-STUD-22</t>
  </si>
  <si>
    <t>G-STUD-23</t>
  </si>
  <si>
    <t>G-STUD-24</t>
  </si>
  <si>
    <t>G-STUD-25</t>
  </si>
  <si>
    <t>G-STUD-26</t>
  </si>
  <si>
    <t>G-STUD-27</t>
  </si>
  <si>
    <t>G-STUD-PC-28</t>
  </si>
  <si>
    <t>G-STUD-PC-29</t>
  </si>
  <si>
    <t>G-STUD-PC-30</t>
  </si>
  <si>
    <t>G-STUD-31</t>
  </si>
  <si>
    <t>G-STUD-32</t>
  </si>
  <si>
    <t>G-STUD-33</t>
  </si>
  <si>
    <t>G-STUD-34</t>
  </si>
  <si>
    <t>G-STUD-35</t>
  </si>
  <si>
    <t>G-STUD-36</t>
  </si>
  <si>
    <t>G-STUD-37</t>
  </si>
  <si>
    <t>G-STUD-38</t>
  </si>
  <si>
    <t>G-STUD-39</t>
  </si>
  <si>
    <t>G-STUD-40</t>
  </si>
  <si>
    <t>G-MATTAL-1</t>
  </si>
  <si>
    <t>G-MATTAL-2</t>
  </si>
  <si>
    <t>G-TLI-MNI-THAYTH-1</t>
  </si>
  <si>
    <t>G-TLI-MNI-THAYTH-2</t>
  </si>
  <si>
    <t>G-TLI-MNI-THAYTH-3</t>
  </si>
  <si>
    <t>G-TLI-MNI-THAYTH-4</t>
  </si>
  <si>
    <t>G-TLI-MNI-THAYTH-5</t>
  </si>
  <si>
    <t>G-TLI-MNI-THAYTH-6</t>
  </si>
  <si>
    <t>G-TLI-MNI-THAYTH-7</t>
  </si>
  <si>
    <t>G-TLI-MNI-THAYTH-8</t>
  </si>
  <si>
    <t>G-TLI-MNI-THAYTH-9</t>
  </si>
  <si>
    <t>G-TLI-MNI-THAYTH-10</t>
  </si>
  <si>
    <t>G-CHAIN-1</t>
  </si>
  <si>
    <t>G-CHAIN-2</t>
  </si>
  <si>
    <t>G-CHAIN-3</t>
  </si>
  <si>
    <t>G-CHAIN-4</t>
  </si>
  <si>
    <t>G-CHAIN-5</t>
  </si>
  <si>
    <t>G-CHAIN-6</t>
  </si>
  <si>
    <t>G-PESERI-1</t>
  </si>
  <si>
    <t>G-PESERI-2</t>
  </si>
  <si>
    <t>G-PESERI-3</t>
  </si>
  <si>
    <t>G-PESERI-4</t>
  </si>
  <si>
    <t>G-PESERI-6</t>
  </si>
  <si>
    <t>G-PESERI-7</t>
  </si>
  <si>
    <t>G-PESERI-8</t>
  </si>
  <si>
    <t>G-PESERI-9</t>
  </si>
  <si>
    <t>G-PESERI-10</t>
  </si>
  <si>
    <t>G-PESERI-11</t>
  </si>
  <si>
    <t>G-PESERI-12</t>
  </si>
  <si>
    <t>G-PESERI-13</t>
  </si>
  <si>
    <t>G-PESERI-14</t>
  </si>
  <si>
    <t>G-PESERI-15</t>
  </si>
  <si>
    <t>G-PESERI-16</t>
  </si>
  <si>
    <t>G-PESERI-17</t>
  </si>
  <si>
    <t>G-PESERI-18</t>
  </si>
  <si>
    <t>G-PESERI-19</t>
  </si>
  <si>
    <t>G-PESERI-20</t>
  </si>
  <si>
    <t>G-PESERI-21</t>
  </si>
  <si>
    <t>G-PESERI-22</t>
  </si>
  <si>
    <t>G-PESERI-23</t>
  </si>
  <si>
    <t>G-PESERI-24</t>
  </si>
  <si>
    <t>G-PESERI-25</t>
  </si>
  <si>
    <t>G-PESERI-26</t>
  </si>
  <si>
    <t>G-PESERI-27</t>
  </si>
  <si>
    <t>G-PESERI-28</t>
  </si>
  <si>
    <t>G-PESERI-29</t>
  </si>
  <si>
    <t>G-PESERI-30</t>
  </si>
  <si>
    <t>G-PESERI-23-1</t>
  </si>
  <si>
    <t>G-PESERI-31</t>
  </si>
  <si>
    <t>G-PESERI-31-1</t>
  </si>
  <si>
    <t>G-PESERI-32</t>
  </si>
  <si>
    <t>G-PESERI-33</t>
  </si>
  <si>
    <t>G-PESERI-34</t>
  </si>
  <si>
    <t>G-PESERI-34-1</t>
  </si>
  <si>
    <t>G-PESERI-35</t>
  </si>
  <si>
    <t>G-PESERI-36</t>
  </si>
  <si>
    <t>G-PESERI-37</t>
  </si>
  <si>
    <t>G-PESERI-38</t>
  </si>
  <si>
    <t>G-PESERI-36-1</t>
  </si>
  <si>
    <t>G-PESERI-39</t>
  </si>
  <si>
    <t>G-PESERI-40</t>
  </si>
  <si>
    <t>G-PESERI-41</t>
  </si>
  <si>
    <t>G-PESERI-42</t>
  </si>
  <si>
    <t>G-PESERI-43</t>
  </si>
  <si>
    <t>G-PESERI-44</t>
  </si>
  <si>
    <t>G-PESERI-45</t>
  </si>
  <si>
    <t>G-PESERI-46</t>
  </si>
  <si>
    <t>G-PESERI-46-2</t>
  </si>
  <si>
    <t>G-PESERI-47</t>
  </si>
  <si>
    <t>G-PESERI-48</t>
  </si>
  <si>
    <t>S-S-KOLUSU-1</t>
  </si>
  <si>
    <t>S-S-KOLUSU-2</t>
  </si>
  <si>
    <t>S-S-KOLUSU-3</t>
  </si>
  <si>
    <t>S-S-KOLUSU-4</t>
  </si>
  <si>
    <t>S-S-KOLUSU-5</t>
  </si>
  <si>
    <t>S-S-KOLUSU-6</t>
  </si>
  <si>
    <t>S-S-KOLUSU-7</t>
  </si>
  <si>
    <t>S-S-KOLUSU-8</t>
  </si>
  <si>
    <t>S-S-KOLUSU-9</t>
  </si>
  <si>
    <t>S-S-KOLUSU-10</t>
  </si>
  <si>
    <t>S-S-KOLUSU-11</t>
  </si>
  <si>
    <t>S-S-KOLUSU-12</t>
  </si>
  <si>
    <t>S-S-KOLUSU-13</t>
  </si>
  <si>
    <t>S-S-KOLUSU-14</t>
  </si>
  <si>
    <t>S-S-KOLUSU-15</t>
  </si>
  <si>
    <t>S-S-KOLUSU-16</t>
  </si>
  <si>
    <t>S-S-KOLUSU-17</t>
  </si>
  <si>
    <t>S-S-KOLUSU-18</t>
  </si>
  <si>
    <t>S-S-KOLUSU-19</t>
  </si>
  <si>
    <t>S-S-KOLUSU-20</t>
  </si>
  <si>
    <t>S-S-KOLUSU-21</t>
  </si>
  <si>
    <t>S-S-KOLUSU-22</t>
  </si>
  <si>
    <t>S-S-KOLUSU-23</t>
  </si>
  <si>
    <t>S-S-KOLUSU-24</t>
  </si>
  <si>
    <t>S-S-KOLUSU-25</t>
  </si>
  <si>
    <t>S-S-KOLUSU-26</t>
  </si>
  <si>
    <t>S-S-KOLUSU-27</t>
  </si>
  <si>
    <t>S-S-KOLUSU-28</t>
  </si>
  <si>
    <t>S-S-KOLUSU-29</t>
  </si>
  <si>
    <t>S-S-KOLUSU-30</t>
  </si>
  <si>
    <t>S-S-KOLUSU-31</t>
  </si>
  <si>
    <t>S-S-KOLUSU-32</t>
  </si>
  <si>
    <t>S-S-KOLUSU-33</t>
  </si>
  <si>
    <t>S-S-KOLUSU-34</t>
  </si>
  <si>
    <t>S-S-KOLUSU-35</t>
  </si>
  <si>
    <t>S-S-KOLUSU-36</t>
  </si>
  <si>
    <t>S-S-KOLUSU-37</t>
  </si>
  <si>
    <t>S-S-KOLUSU-38</t>
  </si>
  <si>
    <t>S-S-KOLUSU-39</t>
  </si>
  <si>
    <t>S-S-KOLUSU-40</t>
  </si>
  <si>
    <t>S-S-KOLUSU-41</t>
  </si>
  <si>
    <t>S-S-KOLUSU-42</t>
  </si>
  <si>
    <t>S-S-KOLUSU-43</t>
  </si>
  <si>
    <t>S-S-KOLUSU-44</t>
  </si>
  <si>
    <t>S-S-KOLUSU-45</t>
  </si>
  <si>
    <t>S-S-KOLUSU-46</t>
  </si>
  <si>
    <t>S-S-KOLUSU-47</t>
  </si>
  <si>
    <t>S-S-KOLUSU-48</t>
  </si>
  <si>
    <t>S-S-KOLUSU-49</t>
  </si>
  <si>
    <t>S-S-KOLUSU-50</t>
  </si>
  <si>
    <t>S-S-KOLUSU-51</t>
  </si>
  <si>
    <t>S-S-KOLUSU-52</t>
  </si>
  <si>
    <t>S-S-KOLUSU-53</t>
  </si>
  <si>
    <t>S-S-KOLUSU-54</t>
  </si>
  <si>
    <t>S-S-KOLUSU-55</t>
  </si>
  <si>
    <t>S-S-KOLUSU-56</t>
  </si>
  <si>
    <t>S-S-KOLUSU-57</t>
  </si>
  <si>
    <t>S-S-KOLUSU-58</t>
  </si>
  <si>
    <t>S-S-KOLUSU-59</t>
  </si>
  <si>
    <t>S-S-KOLUSU-60</t>
  </si>
  <si>
    <t>S-S-KOLUSU-61</t>
  </si>
  <si>
    <t>S-S-KOLUSU-62</t>
  </si>
  <si>
    <t>S-S-KOLUSU-63</t>
  </si>
  <si>
    <t>S-S-KOLUSU-64</t>
  </si>
  <si>
    <t>S-S-KOLUSU-65</t>
  </si>
  <si>
    <t>S-S-KOLUSU-66</t>
  </si>
  <si>
    <t>S-S-KOLUSU-67</t>
  </si>
  <si>
    <t>S-S-KOLUSU-68</t>
  </si>
  <si>
    <t>S-S-KOLUSU-69</t>
  </si>
  <si>
    <t>S-S-KOLUSU-70</t>
  </si>
  <si>
    <t>S-S-KOLUSU-71</t>
  </si>
  <si>
    <t>S-S-KOLUSU-72</t>
  </si>
  <si>
    <t>S-S-KOLUSU-73</t>
  </si>
  <si>
    <t>S-S-KOLUSU-74</t>
  </si>
  <si>
    <t>S-S-KOLUSU-75</t>
  </si>
  <si>
    <t>S-S-KOLUSU-76</t>
  </si>
  <si>
    <t>S-S-KOLUSU-77</t>
  </si>
  <si>
    <t>S-S-KOLUSU-78</t>
  </si>
  <si>
    <t>S-S-KOLUSU-79</t>
  </si>
  <si>
    <t>S-S-KOLUSU-80</t>
  </si>
  <si>
    <t>S-S-KOLUSU-81</t>
  </si>
  <si>
    <t>S-B-KOLUSU--1</t>
  </si>
  <si>
    <t>S-B-KOLUSU--2</t>
  </si>
  <si>
    <t>S-B-KOLUSU--3</t>
  </si>
  <si>
    <t>S-B-KOLUSU--4</t>
  </si>
  <si>
    <t>S-B-KOLUSU--5</t>
  </si>
  <si>
    <t>S-B-KOLUSU--6</t>
  </si>
  <si>
    <t>S-B-KOLUSU--7</t>
  </si>
  <si>
    <t>S-B-KOLUSU--8</t>
  </si>
  <si>
    <t>S-B-KOLUSU--9</t>
  </si>
  <si>
    <t>S-B-KOLUSU--10</t>
  </si>
  <si>
    <t>S-B-KOLUSU--11</t>
  </si>
  <si>
    <t>S-B-KOLUSU--12</t>
  </si>
  <si>
    <t>S-B-KOLUSU--13</t>
  </si>
  <si>
    <t>S-B-KOLUSU--14</t>
  </si>
  <si>
    <t>S-B-KOLUSU--15</t>
  </si>
  <si>
    <t>S-B-KOLUSU--16</t>
  </si>
  <si>
    <t>S-B-KOLUSU--17</t>
  </si>
  <si>
    <t>S-B-KOLUSU--18</t>
  </si>
  <si>
    <t>S-B-KOLUSU--19</t>
  </si>
  <si>
    <t>S-B-KOLUSU--20</t>
  </si>
  <si>
    <t>S-B-KOLUSU--21</t>
  </si>
  <si>
    <t>S-B-KOLUSU--22</t>
  </si>
  <si>
    <t>S-B-KOLUSU--23</t>
  </si>
  <si>
    <t>S-B-KOLUSU--24</t>
  </si>
  <si>
    <t>S-B-KOLUSU--25</t>
  </si>
  <si>
    <t>S-B-KOLUSU--26</t>
  </si>
  <si>
    <t>S-B-KOLUSU--27</t>
  </si>
  <si>
    <t>S-B-KOLUSU--28</t>
  </si>
  <si>
    <t>S-B-KOLUSU--29</t>
  </si>
  <si>
    <t>S-B-KOLUSU--30</t>
  </si>
  <si>
    <t>S-B-KOLUSU--31</t>
  </si>
  <si>
    <t>S-B-KOLUSU--32</t>
  </si>
  <si>
    <t>S-B-KOLUSU--33</t>
  </si>
  <si>
    <t>S-B-KOLUSU--34</t>
  </si>
  <si>
    <t>S-B-KOLUSU--35</t>
  </si>
  <si>
    <t>S-B-KOLUSU--36</t>
  </si>
  <si>
    <t>S-B-KOLUSU--37</t>
  </si>
  <si>
    <t>S-B-KOLUSU--38</t>
  </si>
  <si>
    <t>S-B-KOLUSU--39</t>
  </si>
  <si>
    <t>S-B-KOLUSU--40</t>
  </si>
  <si>
    <t>S-B-KOLUSU--41</t>
  </si>
  <si>
    <t>S-B-KOLUSU--42</t>
  </si>
  <si>
    <t>S-B-KOLUSU--43</t>
  </si>
  <si>
    <t>S-B-KOLUSU--44</t>
  </si>
  <si>
    <t>S-B-KOLUSU--45</t>
  </si>
  <si>
    <t>S-B-KOLUSU--46</t>
  </si>
  <si>
    <t>S-B-KOLUSU--47</t>
  </si>
  <si>
    <t>S-B-KOLUSU--48</t>
  </si>
  <si>
    <t>S-THANDA-K1</t>
  </si>
  <si>
    <t>S-THANDA-K2</t>
  </si>
  <si>
    <t>S-THANDA-K3</t>
  </si>
  <si>
    <t>S-THANDA-K4</t>
  </si>
  <si>
    <t>S-THANDA-K5</t>
  </si>
  <si>
    <t>S-THANDA-K6</t>
  </si>
  <si>
    <t>S-THANDA-K7</t>
  </si>
  <si>
    <t>S-THANDA-K8</t>
  </si>
  <si>
    <t>S-AARUNA-1</t>
  </si>
  <si>
    <t>S-AARUNA-2</t>
  </si>
  <si>
    <t>S-AARUNA-3</t>
  </si>
  <si>
    <t>S-AARUNA-4</t>
  </si>
  <si>
    <t>S-AARUNA-5</t>
  </si>
  <si>
    <t>S-AARUNA-6</t>
  </si>
  <si>
    <t>S-AARUNA-7</t>
  </si>
  <si>
    <t>S-AARUNA-8</t>
  </si>
  <si>
    <t>S-AARUNA-9</t>
  </si>
  <si>
    <t>S-AARUNA-10</t>
  </si>
  <si>
    <t>S-AARUNA-11</t>
  </si>
  <si>
    <t>S-AARUNA-12</t>
  </si>
  <si>
    <t>S-AARUNA-13</t>
  </si>
  <si>
    <t>S-AARUNA-14</t>
  </si>
  <si>
    <t>S-AARUNA-15</t>
  </si>
  <si>
    <t>S-DOLLER-1</t>
  </si>
  <si>
    <t>S-DOLLER-2</t>
  </si>
  <si>
    <t>S-DOLLER-3</t>
  </si>
  <si>
    <t>S-DOLLER-4</t>
  </si>
  <si>
    <t>S-DOLLER-5</t>
  </si>
  <si>
    <t>S-DOLLER-6</t>
  </si>
  <si>
    <t>S-DOLLER-7</t>
  </si>
  <si>
    <t>S-DOLLER-8</t>
  </si>
  <si>
    <t>S-DOLLER-9</t>
  </si>
  <si>
    <t>S-DOLLER-10</t>
  </si>
  <si>
    <t>S-DOLLER-11</t>
  </si>
  <si>
    <t>S-DOLLER-12</t>
  </si>
  <si>
    <t>S-DOLLER-13</t>
  </si>
  <si>
    <t>S-DOLLER-14</t>
  </si>
  <si>
    <t>S-DOLLER-15</t>
  </si>
  <si>
    <t>S-DOLLER-16</t>
  </si>
  <si>
    <t>S-DOLLER-17</t>
  </si>
  <si>
    <t>S-DOLLER-18</t>
  </si>
  <si>
    <t>S-DOLLER-19</t>
  </si>
  <si>
    <t>S-DOLLER-20</t>
  </si>
  <si>
    <t>S-DOLLER-21</t>
  </si>
  <si>
    <t>S-DOLLER-22</t>
  </si>
  <si>
    <t>S-DOLLER-23</t>
  </si>
  <si>
    <t>S-DOLLER-24</t>
  </si>
  <si>
    <t>S-RING-1</t>
  </si>
  <si>
    <t>S-RING-2</t>
  </si>
  <si>
    <t>S-RING-3</t>
  </si>
  <si>
    <t>S-RING-4</t>
  </si>
  <si>
    <t>S-RING-5</t>
  </si>
  <si>
    <t>S-RING-6</t>
  </si>
  <si>
    <t>S-RING-7</t>
  </si>
  <si>
    <t>S-RING-8</t>
  </si>
  <si>
    <t>S-RING-9</t>
  </si>
  <si>
    <t>S-RING-10</t>
  </si>
  <si>
    <t>S-RING-11</t>
  </si>
  <si>
    <t>S-RING-12</t>
  </si>
  <si>
    <t>S-RING-13</t>
  </si>
  <si>
    <t>S-RING-14</t>
  </si>
  <si>
    <t>S-RING-15</t>
  </si>
  <si>
    <t>S-RING-16</t>
  </si>
  <si>
    <t>S-RING-17</t>
  </si>
  <si>
    <t>S-RING-18</t>
  </si>
  <si>
    <t>S-RING-19</t>
  </si>
  <si>
    <t>S-RING-20</t>
  </si>
  <si>
    <t>S-RING-21</t>
  </si>
  <si>
    <t>S-RING-22</t>
  </si>
  <si>
    <t>S-RING-23</t>
  </si>
  <si>
    <t>S-RING-24</t>
  </si>
  <si>
    <t>S-RING-25</t>
  </si>
  <si>
    <t>S-RING-26</t>
  </si>
  <si>
    <t>S-RING-27</t>
  </si>
  <si>
    <t>S-RING-28</t>
  </si>
  <si>
    <t>S-RING-29</t>
  </si>
  <si>
    <t>S-RING-30</t>
  </si>
  <si>
    <t>S-RING-31</t>
  </si>
  <si>
    <t>S-RING-32</t>
  </si>
  <si>
    <t>S-RING-33</t>
  </si>
  <si>
    <t>S-RING-34</t>
  </si>
  <si>
    <t>S-RING-35</t>
  </si>
  <si>
    <t>S-RING-36</t>
  </si>
  <si>
    <t>S-RING-37</t>
  </si>
  <si>
    <t>S-RING-38</t>
  </si>
  <si>
    <t>S-RING-39</t>
  </si>
  <si>
    <t>S-RING-40</t>
  </si>
  <si>
    <t>S-RING-41</t>
  </si>
  <si>
    <t>S-RING-42</t>
  </si>
  <si>
    <t>S-RING-43</t>
  </si>
  <si>
    <t>S-RING-44</t>
  </si>
  <si>
    <t>S-RING-45</t>
  </si>
  <si>
    <t>S-RING-46</t>
  </si>
  <si>
    <t>S-RING-47</t>
  </si>
  <si>
    <t>S-RING-48</t>
  </si>
  <si>
    <t>S-RING-49</t>
  </si>
  <si>
    <t>S-RING-50</t>
  </si>
  <si>
    <t>S-RING-51</t>
  </si>
  <si>
    <t>S-RING-52</t>
  </si>
  <si>
    <t>S-RING-53</t>
  </si>
  <si>
    <t>S-RING-54</t>
  </si>
  <si>
    <t>S-RING-55</t>
  </si>
  <si>
    <t>S-RING-56</t>
  </si>
  <si>
    <t>S-RING-57</t>
  </si>
  <si>
    <t>S-RING-58</t>
  </si>
  <si>
    <t>S-RING-59</t>
  </si>
  <si>
    <t>S-RING-60</t>
  </si>
  <si>
    <t>S-RING-61</t>
  </si>
  <si>
    <t>S-RING-62</t>
  </si>
  <si>
    <t>S-RING-63</t>
  </si>
  <si>
    <t>S-RING-64</t>
  </si>
  <si>
    <t>S-RING-65</t>
  </si>
  <si>
    <t>S-RING-66</t>
  </si>
  <si>
    <t>S-RING-67</t>
  </si>
  <si>
    <t>S-RING-68</t>
  </si>
  <si>
    <t>S-RING-69</t>
  </si>
  <si>
    <t>S-RING-70</t>
  </si>
  <si>
    <t>S-RING-71</t>
  </si>
  <si>
    <t>S-RING-72</t>
  </si>
  <si>
    <t>S-RING-73</t>
  </si>
  <si>
    <t>S-RING-74</t>
  </si>
  <si>
    <t>S-RING-75</t>
  </si>
  <si>
    <t>S-RING-76</t>
  </si>
  <si>
    <t>S-RING-77</t>
  </si>
  <si>
    <t>S-RING-78</t>
  </si>
  <si>
    <t>S-RING-79</t>
  </si>
  <si>
    <t>S-RING-80</t>
  </si>
  <si>
    <t>S-RING-81</t>
  </si>
  <si>
    <t>S-RING-82</t>
  </si>
  <si>
    <t>S-RING-83</t>
  </si>
  <si>
    <t>S-RING-84</t>
  </si>
  <si>
    <t>S-RING-85</t>
  </si>
  <si>
    <t>S-RING-86</t>
  </si>
  <si>
    <t>S-RING-87</t>
  </si>
  <si>
    <t>S-RING-88</t>
  </si>
  <si>
    <t>S-RING-89</t>
  </si>
  <si>
    <t>S-RING-90</t>
  </si>
  <si>
    <t>S-RING-91</t>
  </si>
  <si>
    <t>S-RING-92</t>
  </si>
  <si>
    <t>S-RING-93</t>
  </si>
  <si>
    <t>S-RING-94</t>
  </si>
  <si>
    <t>S-RING-95</t>
  </si>
  <si>
    <t>S-RING-96</t>
  </si>
  <si>
    <t>S-RING-97</t>
  </si>
  <si>
    <t>S-RING-98</t>
  </si>
  <si>
    <t>S-RING-99</t>
  </si>
  <si>
    <t>S-RING-100</t>
  </si>
  <si>
    <t>S-RING-101</t>
  </si>
  <si>
    <t>S-RING-102</t>
  </si>
  <si>
    <t>S-RING-103</t>
  </si>
  <si>
    <t>S-RING-104</t>
  </si>
  <si>
    <t>S-RING-105</t>
  </si>
  <si>
    <t>S-RING-106</t>
  </si>
  <si>
    <t>S-RING-107</t>
  </si>
  <si>
    <t>S-RING-108</t>
  </si>
  <si>
    <t>S-RING-109</t>
  </si>
  <si>
    <t>S-RING-110</t>
  </si>
  <si>
    <t>S-RING-111</t>
  </si>
  <si>
    <t>S-RING-112</t>
  </si>
  <si>
    <t>S-RING-113</t>
  </si>
  <si>
    <t>S-RING-114</t>
  </si>
  <si>
    <t>S-RING-115</t>
  </si>
  <si>
    <t>S-RING-116</t>
  </si>
  <si>
    <t>S-RING-117</t>
  </si>
  <si>
    <t>S-RING-118</t>
  </si>
  <si>
    <t>S-RING-119</t>
  </si>
  <si>
    <t>S-RING-120</t>
  </si>
  <si>
    <t>S-RING-121</t>
  </si>
  <si>
    <t>S-RING-122</t>
  </si>
  <si>
    <t>S-RING-123</t>
  </si>
  <si>
    <t>S-RING-124</t>
  </si>
  <si>
    <t>S-RING-125</t>
  </si>
  <si>
    <t>S-RING-126</t>
  </si>
  <si>
    <t>S-RING-127</t>
  </si>
  <si>
    <t>S-RING-128</t>
  </si>
  <si>
    <t>S-RING-129</t>
  </si>
  <si>
    <t>S-RING-130</t>
  </si>
  <si>
    <t>S-RING-131</t>
  </si>
  <si>
    <t>S-RING-132</t>
  </si>
  <si>
    <t>S-RING-133</t>
  </si>
  <si>
    <t>S-RING-134</t>
  </si>
  <si>
    <t>S-RING-135</t>
  </si>
  <si>
    <t>S-RING-136</t>
  </si>
  <si>
    <t>S-RING-137</t>
  </si>
  <si>
    <t>S-RING-138</t>
  </si>
  <si>
    <t>S-RING-139</t>
  </si>
  <si>
    <t>S-RING-140</t>
  </si>
  <si>
    <t>S-RING-141</t>
  </si>
  <si>
    <t>S-RING-142</t>
  </si>
  <si>
    <t>S-RING-143</t>
  </si>
  <si>
    <t>S-RING-144</t>
  </si>
  <si>
    <t>S-RING-145</t>
  </si>
  <si>
    <t>S-RING-146</t>
  </si>
  <si>
    <t>S-RING-147</t>
  </si>
  <si>
    <t>S-RING-148</t>
  </si>
  <si>
    <t>S-RING-149</t>
  </si>
  <si>
    <t>S-RING-150</t>
  </si>
  <si>
    <t>S-RING-151</t>
  </si>
  <si>
    <t>S-RING-152</t>
  </si>
  <si>
    <t>S-RING-153</t>
  </si>
  <si>
    <t>S-RING-154</t>
  </si>
  <si>
    <t>S-RING-155</t>
  </si>
  <si>
    <t>S-RING-156</t>
  </si>
  <si>
    <t>S-RING-157</t>
  </si>
  <si>
    <t>S-RING-158</t>
  </si>
  <si>
    <t>S-RING-159</t>
  </si>
  <si>
    <t>S-RING-160</t>
  </si>
  <si>
    <t>S-RING-161</t>
  </si>
  <si>
    <t>S-RING-162</t>
  </si>
  <si>
    <t>S-RING-163</t>
  </si>
  <si>
    <t>S-RING-164</t>
  </si>
  <si>
    <t>S-RING-165</t>
  </si>
  <si>
    <t>S-RING-166</t>
  </si>
  <si>
    <t>S-RING-167</t>
  </si>
  <si>
    <t>S-RING-168</t>
  </si>
  <si>
    <t>S-RING-169</t>
  </si>
  <si>
    <t>S-RING-170</t>
  </si>
  <si>
    <t>S-RING-171</t>
  </si>
  <si>
    <t>S-RING-172</t>
  </si>
  <si>
    <t>S-RING-173</t>
  </si>
  <si>
    <t>S-RING-174</t>
  </si>
  <si>
    <t>S-RING-175</t>
  </si>
  <si>
    <t>S-RING-176</t>
  </si>
  <si>
    <t>S-RING-177</t>
  </si>
  <si>
    <t>S-RING-178</t>
  </si>
  <si>
    <t>S-RING-179</t>
  </si>
  <si>
    <t>S-RING-180</t>
  </si>
  <si>
    <t>S-RING-181</t>
  </si>
  <si>
    <t>S-RING-182</t>
  </si>
  <si>
    <t>S-RING-183</t>
  </si>
  <si>
    <t>S-RING-184</t>
  </si>
  <si>
    <t>S-RING-185</t>
  </si>
  <si>
    <t>S-RING-186</t>
  </si>
  <si>
    <t>S-RING-187</t>
  </si>
  <si>
    <t>S-RING-188</t>
  </si>
  <si>
    <t>S-RING-189</t>
  </si>
  <si>
    <t>S-RING-190</t>
  </si>
  <si>
    <t>S-RING-191</t>
  </si>
  <si>
    <t>S-RING-192</t>
  </si>
  <si>
    <t>S-RING-193</t>
  </si>
  <si>
    <t>S-RING-194</t>
  </si>
  <si>
    <t>S-RING-195</t>
  </si>
  <si>
    <t>S-RING-196</t>
  </si>
  <si>
    <t>S-RING-197</t>
  </si>
  <si>
    <t>S-RING-198</t>
  </si>
  <si>
    <t>S-RING-199</t>
  </si>
  <si>
    <t>S-RING-200</t>
  </si>
  <si>
    <t>S-RING-201</t>
  </si>
  <si>
    <t>S-RING-202</t>
  </si>
  <si>
    <t>S-RING-203</t>
  </si>
  <si>
    <t>S-RING-204</t>
  </si>
  <si>
    <t>S-RING-205</t>
  </si>
  <si>
    <t>S-RING-206</t>
  </si>
  <si>
    <t>S-RING-207</t>
  </si>
  <si>
    <t>S-RING-208</t>
  </si>
  <si>
    <t>S-RING-209</t>
  </si>
  <si>
    <t>S-RING-210</t>
  </si>
  <si>
    <t>S-RING-211</t>
  </si>
  <si>
    <t>S-RING-212</t>
  </si>
  <si>
    <t>S-RING-213</t>
  </si>
  <si>
    <t>S-RING-214</t>
  </si>
  <si>
    <t>S-RING-215</t>
  </si>
  <si>
    <t>S-RING-216</t>
  </si>
  <si>
    <t>S-RING-217</t>
  </si>
  <si>
    <t>S-RING-218</t>
  </si>
  <si>
    <t>S-RING-219</t>
  </si>
  <si>
    <t>S-RING-220</t>
  </si>
  <si>
    <t>S-RING-221</t>
  </si>
  <si>
    <t>S-RING-222</t>
  </si>
  <si>
    <t>S-RING-223</t>
  </si>
  <si>
    <t>S-RING-224</t>
  </si>
  <si>
    <t>S-RING-225</t>
  </si>
  <si>
    <t>S-RING-226</t>
  </si>
  <si>
    <t>S-RING-227</t>
  </si>
  <si>
    <t>S-RING-228</t>
  </si>
  <si>
    <t>S-RING-229</t>
  </si>
  <si>
    <t>S-RING-230</t>
  </si>
  <si>
    <t>S-RING-231</t>
  </si>
  <si>
    <t>S-RING-232</t>
  </si>
  <si>
    <t>S-RING-233</t>
  </si>
  <si>
    <t>S-CHAIN-N-1</t>
  </si>
  <si>
    <t>S-CHAIN-N-2</t>
  </si>
  <si>
    <t>S-CHAIN-N-3</t>
  </si>
  <si>
    <t>S-CHAIN-N-4</t>
  </si>
  <si>
    <t>S-CHAIN-N-5</t>
  </si>
  <si>
    <t>S-CHAIN-N-6</t>
  </si>
  <si>
    <t>S-CHAIN-N-7</t>
  </si>
  <si>
    <t>S-CHAIN-N-8</t>
  </si>
  <si>
    <t>S-CHAIN-N-9</t>
  </si>
  <si>
    <t>S-CHAIN-N-10</t>
  </si>
  <si>
    <t>S-CHAIN-N-11</t>
  </si>
  <si>
    <t>S-CHAIN-N-12</t>
  </si>
  <si>
    <t>S-CHAIN-N-13</t>
  </si>
  <si>
    <t>S-CHAIN-N-14</t>
  </si>
  <si>
    <t>S-CHAIN-N-15</t>
  </si>
  <si>
    <t>S-CHAIN-N-16</t>
  </si>
  <si>
    <t>S-CHAIN-92.5-L-1</t>
  </si>
  <si>
    <t>S-CHAIN-92.5-L-2</t>
  </si>
  <si>
    <t>S-CHAIN-92.5-L-3</t>
  </si>
  <si>
    <t>S-CHAIN-92.5-L-4</t>
  </si>
  <si>
    <t>S-CHAIN-92.5-L-5</t>
  </si>
  <si>
    <t>S-CHAIN-92.5-L-6</t>
  </si>
  <si>
    <t>S-CHAIN-92.5-L-7</t>
  </si>
  <si>
    <t>S-CHAIN-92.5-L-8</t>
  </si>
  <si>
    <t>S-CHAIN-92.5-L-9</t>
  </si>
  <si>
    <t>S-CHAIN-92.5-L-10</t>
  </si>
  <si>
    <t>S-CHAIN-NN-11</t>
  </si>
  <si>
    <t>S-CHAIN-NN-12</t>
  </si>
  <si>
    <t>S-CHAIN-NN-13</t>
  </si>
  <si>
    <t>S-CHAIN-NN-14</t>
  </si>
  <si>
    <t>S-CHAIN-NN-15</t>
  </si>
  <si>
    <t>S-CHAIN-NN-16</t>
  </si>
  <si>
    <t>S-CHAIN-NN-17</t>
  </si>
  <si>
    <t>S-CHAIN-NN-18</t>
  </si>
  <si>
    <t>S-CHAIN-92.5-B-1</t>
  </si>
  <si>
    <t>S-CHAIN-92.5-B-2</t>
  </si>
  <si>
    <t>S-CHAIN-92.5-B-3</t>
  </si>
  <si>
    <t>S-CHAIN-92.5-B-4</t>
  </si>
  <si>
    <t>S-CHAIN-92.5-B-5</t>
  </si>
  <si>
    <t>S-CHAIN-92.5-B-6</t>
  </si>
  <si>
    <t>S-CHAIN-92.5-B-7</t>
  </si>
  <si>
    <t>S-CHAIN-92.5-B-8</t>
  </si>
  <si>
    <t>S-CHAIN-92.5-42</t>
  </si>
  <si>
    <t>S-CHAIN-N-43</t>
  </si>
  <si>
    <t>S-CHAIN-N-44</t>
  </si>
  <si>
    <t>S-CHAIN-N-45</t>
  </si>
  <si>
    <t>S-CHAIN-N-46</t>
  </si>
  <si>
    <t>S-CHAIN-N-47</t>
  </si>
  <si>
    <t>S-CHAIN-N-48</t>
  </si>
  <si>
    <t>S-CHAIN-N-49</t>
  </si>
  <si>
    <t>S-CHAIN-N-50</t>
  </si>
  <si>
    <t>S-CHAIN-N-51</t>
  </si>
  <si>
    <t>S-CHAIN-N-52</t>
  </si>
  <si>
    <t>S-CHAIN-N-53</t>
  </si>
  <si>
    <t>S-CHAIN-N-54</t>
  </si>
  <si>
    <t>S-CHAIN-N-55</t>
  </si>
  <si>
    <t>S-CHAIN-N-56</t>
  </si>
  <si>
    <t>S-CHAIN-92.5-57</t>
  </si>
  <si>
    <t>S-CHAIN-92.5-58</t>
  </si>
  <si>
    <t>S-CHAIN-92.5-59</t>
  </si>
  <si>
    <t>S-CHAIN-N-60</t>
  </si>
  <si>
    <t>S-CHAIN-N-61</t>
  </si>
  <si>
    <t>S-BARACELET-B-1</t>
  </si>
  <si>
    <t>S-BARACELET-B-2</t>
  </si>
  <si>
    <t>S-BARACELET-B-3</t>
  </si>
  <si>
    <t>S-BARACELET-B-4</t>
  </si>
  <si>
    <t>S-BARACELET-B-5</t>
  </si>
  <si>
    <t>S-BARACELET-B-6</t>
  </si>
  <si>
    <t>S-BARACELET-B-7</t>
  </si>
  <si>
    <t>S-BARACELET-B-8</t>
  </si>
  <si>
    <t>S-BARACELET-B-9</t>
  </si>
  <si>
    <t>S-BARACELET-B-10</t>
  </si>
  <si>
    <t>S-BARACELET-B-11</t>
  </si>
  <si>
    <t>S-BARACELET-B-12</t>
  </si>
  <si>
    <t>S-BARACELET-B-13</t>
  </si>
  <si>
    <t>S-BARACELET-B-14</t>
  </si>
  <si>
    <t>S-BARACELET-B-15</t>
  </si>
  <si>
    <t>S-BARACELET-B-16</t>
  </si>
  <si>
    <t>S-BARACELET-B-17</t>
  </si>
  <si>
    <t>S-BARACELET-B-18</t>
  </si>
  <si>
    <t>S-BARACELET-B-19</t>
  </si>
  <si>
    <t>S-BARACELET-B-20</t>
  </si>
  <si>
    <t>S-BARACELET-B-21</t>
  </si>
  <si>
    <t>S-BARACELET-B-22</t>
  </si>
  <si>
    <t>S-BARACELET-B-23</t>
  </si>
  <si>
    <t>S-BARACELET-G-92.5-1</t>
  </si>
  <si>
    <t>S-BARACELET-G-92.5-2</t>
  </si>
  <si>
    <t>S-BARACELET-G-92.5-3</t>
  </si>
  <si>
    <t>S-BARACELET-G-92.5-4</t>
  </si>
  <si>
    <t>S-BARACELET-G-92.5-5</t>
  </si>
  <si>
    <t>S-BARACELET-G-92.5-6</t>
  </si>
  <si>
    <t>S-BARACELET-G-92.5-7</t>
  </si>
  <si>
    <t>S-BARACELET-G-92.5-8</t>
  </si>
  <si>
    <t>S-BARACELET-G-92.5-9</t>
  </si>
  <si>
    <t>S-BARACELET-G-92.5-10</t>
  </si>
  <si>
    <t>S-BARACELET-G-92.5-11</t>
  </si>
  <si>
    <t>S-BARACELET-G-92.5-12</t>
  </si>
  <si>
    <t>S-BARACELET-G-92.5-13</t>
  </si>
  <si>
    <t>S-BARACELET-G-92.5-14</t>
  </si>
  <si>
    <t>S-BARACELET-G-92.5-15</t>
  </si>
  <si>
    <t>S-BARACELET-G-92.5-16</t>
  </si>
  <si>
    <t>S-BARACELET-G-92.5-17</t>
  </si>
  <si>
    <t>S-BARACELET-G-92.5-18</t>
  </si>
  <si>
    <t>S-BARACELET-G-92.5-19</t>
  </si>
  <si>
    <t>S-BARACELET-G-92.5-20</t>
  </si>
  <si>
    <t>S-BARACELET-G-92.5-21</t>
  </si>
  <si>
    <t>S-BARACELET-G-92.5-22</t>
  </si>
  <si>
    <t>S-BARACELET-G-92.5-23</t>
  </si>
  <si>
    <t>S-BARACELET-G-92.5-24</t>
  </si>
  <si>
    <t>S-BARACELET-G-92.5-25</t>
  </si>
  <si>
    <t>S-BARACELET-G-92.5-26</t>
  </si>
  <si>
    <t>S-KAPPU-92.5-1</t>
  </si>
  <si>
    <t>S-KAPPU-92.5-2</t>
  </si>
  <si>
    <t>S-KAPPU-92.5-3</t>
  </si>
  <si>
    <t>S-KAPPU-N-4</t>
  </si>
  <si>
    <t>S-KAPPU-N-5</t>
  </si>
  <si>
    <t>S-KAPPU-N-6</t>
  </si>
  <si>
    <t>S-KAPPU-N-7</t>
  </si>
  <si>
    <t>S-KAPPU-N-8</t>
  </si>
  <si>
    <t>S-KAPPU-N-9</t>
  </si>
  <si>
    <t>S-KAPPU-N-10</t>
  </si>
  <si>
    <t>S-KAPPU-N-11</t>
  </si>
  <si>
    <t>S-KAPPU-N-12</t>
  </si>
  <si>
    <t>S-KAPPU-N-13</t>
  </si>
  <si>
    <t>S-KAPPU-N-14</t>
  </si>
  <si>
    <t>S-KAPPU-N-15</t>
  </si>
  <si>
    <t>S-KAPPU-N-17</t>
  </si>
  <si>
    <t>S-KAPPU-N-18</t>
  </si>
  <si>
    <t>S-KAPPU-N-19</t>
  </si>
  <si>
    <t>S-KAPPU-N-20</t>
  </si>
  <si>
    <t>S-KAPPU-N-21</t>
  </si>
  <si>
    <t>S-KAPPU-N-22</t>
  </si>
  <si>
    <t>S-KAPPU-N-23</t>
  </si>
  <si>
    <t>DATE</t>
  </si>
  <si>
    <t>ITEMS-CODE</t>
  </si>
  <si>
    <t>Column2</t>
  </si>
  <si>
    <t>Column1</t>
  </si>
  <si>
    <t>P-RATE</t>
  </si>
  <si>
    <t>ORIGINAL PRICE</t>
  </si>
  <si>
    <t>CASH-CUST</t>
  </si>
  <si>
    <t>BALANCE</t>
  </si>
  <si>
    <t>PROFIT</t>
  </si>
  <si>
    <t>OLD-WT</t>
  </si>
  <si>
    <t>MELTING2</t>
  </si>
  <si>
    <t>P-RATE3</t>
  </si>
  <si>
    <t>OLD-AMT</t>
  </si>
  <si>
    <t>CASH-FR-ITM</t>
  </si>
  <si>
    <t>PROFIT-LOSS</t>
  </si>
  <si>
    <t>ORIGINAL COST</t>
  </si>
  <si>
    <t>CUST TO GIVE</t>
  </si>
  <si>
    <t>TOTAL PROFIT</t>
  </si>
  <si>
    <t xml:space="preserve">SELAVU </t>
  </si>
  <si>
    <t>ORIGINAL PRF</t>
  </si>
  <si>
    <t>NAME AND DATE</t>
  </si>
  <si>
    <t>INVENSMENT</t>
  </si>
  <si>
    <t>G-D-</t>
  </si>
  <si>
    <t>G-RING-G</t>
  </si>
  <si>
    <t>G-RING-B</t>
  </si>
  <si>
    <t>G-STUD-</t>
  </si>
  <si>
    <t>G-STUD-PC-</t>
  </si>
  <si>
    <t>G-MATTAL-</t>
  </si>
  <si>
    <t>G-TLI-MNI-THAYTH-</t>
  </si>
  <si>
    <t>G-CHAIN-</t>
  </si>
  <si>
    <t>G-PESERI-</t>
  </si>
  <si>
    <t>S-S-KOLUSU-</t>
  </si>
  <si>
    <t>S-B-KOLUSU--</t>
  </si>
  <si>
    <t>S-THANDA-K</t>
  </si>
  <si>
    <t>S-AARUNA-</t>
  </si>
  <si>
    <t>S-DOLLER-</t>
  </si>
  <si>
    <t>S-RING-</t>
  </si>
  <si>
    <t>S-CHAIN-N-</t>
  </si>
  <si>
    <t>S-CHAIN-92.5-L-</t>
  </si>
  <si>
    <t>S-CHAIN-92.5-</t>
  </si>
  <si>
    <t>S-CHAIN-92.5-B-</t>
  </si>
  <si>
    <t>S-CHAIN-NN-</t>
  </si>
  <si>
    <t>S-BARACELET-B-</t>
  </si>
  <si>
    <t>S-BARACELET-G-92.5-</t>
  </si>
  <si>
    <t>S-KAPPU-N-</t>
  </si>
  <si>
    <t>S-METTI-</t>
  </si>
  <si>
    <t>G-ORDER-</t>
  </si>
  <si>
    <t>S-ORDER-</t>
  </si>
  <si>
    <t>G-CHAIN-ORDER-</t>
  </si>
  <si>
    <t>S-CHAIN-ORDER-</t>
  </si>
  <si>
    <t>S-KOKKI</t>
  </si>
  <si>
    <t>S-NAGASU-</t>
  </si>
  <si>
    <t>S-STUD-KRJ-</t>
  </si>
  <si>
    <t>S-STUD-PRI-</t>
  </si>
  <si>
    <t>S-STUD-MAS-</t>
  </si>
  <si>
    <t>LIST-ITEMS</t>
  </si>
  <si>
    <t>G-RING-B1</t>
  </si>
  <si>
    <t>G-RING-B2</t>
  </si>
  <si>
    <t>G-RING-B3</t>
  </si>
  <si>
    <t>G-RING-B4</t>
  </si>
  <si>
    <t>G-RING-B5</t>
  </si>
  <si>
    <t>G-RING-B6</t>
  </si>
  <si>
    <t>G-RING-B7</t>
  </si>
  <si>
    <t>G-RING-B8</t>
  </si>
  <si>
    <t>G-RING-B9</t>
  </si>
  <si>
    <t>G-RING-B10</t>
  </si>
  <si>
    <t>G-RING-B11</t>
  </si>
  <si>
    <t>G-RING-B12</t>
  </si>
  <si>
    <t>G-RING-B13</t>
  </si>
  <si>
    <t>G-RING-B14</t>
  </si>
  <si>
    <t>G-RING-B15</t>
  </si>
  <si>
    <t>G-RING-B16</t>
  </si>
  <si>
    <t>G-RING-B17</t>
  </si>
  <si>
    <t>G-RING-B18</t>
  </si>
  <si>
    <t>G-RING-B19</t>
  </si>
  <si>
    <t>G-RING-B20</t>
  </si>
  <si>
    <t>G-CHAIN-ORDER-03-08</t>
  </si>
  <si>
    <t>03-08</t>
  </si>
  <si>
    <t>4</t>
  </si>
  <si>
    <t>15</t>
  </si>
  <si>
    <t>203</t>
  </si>
  <si>
    <t>50</t>
  </si>
  <si>
    <t>20</t>
  </si>
  <si>
    <t>53</t>
  </si>
  <si>
    <t>74</t>
  </si>
  <si>
    <t>11</t>
  </si>
  <si>
    <t>117</t>
  </si>
  <si>
    <t>86</t>
  </si>
  <si>
    <t>113</t>
  </si>
  <si>
    <t>171</t>
  </si>
  <si>
    <t>33</t>
  </si>
  <si>
    <t>81</t>
  </si>
  <si>
    <t>1</t>
  </si>
  <si>
    <t>26-07</t>
  </si>
  <si>
    <t>52</t>
  </si>
  <si>
    <t>135</t>
  </si>
  <si>
    <t>51</t>
  </si>
  <si>
    <t>10</t>
  </si>
  <si>
    <t>13-08</t>
  </si>
  <si>
    <t>54</t>
  </si>
  <si>
    <t>66</t>
  </si>
  <si>
    <t>2</t>
  </si>
  <si>
    <t>44</t>
  </si>
  <si>
    <t>77</t>
  </si>
  <si>
    <t>184</t>
  </si>
  <si>
    <t>23</t>
  </si>
  <si>
    <t>16-08</t>
  </si>
  <si>
    <t>G-SIDE-N-MADURA</t>
  </si>
  <si>
    <t>S-STUD-KRJ-1</t>
  </si>
  <si>
    <t>S-STUD-PRI-2</t>
  </si>
  <si>
    <t>S-STUD-PRI-3</t>
  </si>
  <si>
    <t>S-STUD-MAS-4</t>
  </si>
  <si>
    <t>S-STUD-MAS-5</t>
  </si>
  <si>
    <t>G-STUD-26-07</t>
  </si>
  <si>
    <t>S-NAGASU-13-08</t>
  </si>
  <si>
    <t>S-METTI-16-08</t>
  </si>
  <si>
    <t>S-AARUNA-16-08</t>
  </si>
  <si>
    <t>G-CHAIN-ORDER-16-08</t>
  </si>
  <si>
    <t>SILVER OLD</t>
  </si>
  <si>
    <t>KADAN</t>
  </si>
  <si>
    <t>AMT</t>
  </si>
  <si>
    <t>MERUGU 13-08</t>
  </si>
  <si>
    <t>DAILY</t>
  </si>
  <si>
    <t>SEATE</t>
  </si>
  <si>
    <t>IC GOLD 02-08</t>
  </si>
  <si>
    <t>PRINKA SILVER 04-08</t>
  </si>
  <si>
    <t xml:space="preserve">MADURA </t>
  </si>
  <si>
    <t>SKANDHAA SILVER 06-08</t>
  </si>
  <si>
    <t>COIMBATORE STUD 07-08</t>
  </si>
  <si>
    <t>MASS 14-08</t>
  </si>
  <si>
    <t>NAGARKOVIL 16-08</t>
  </si>
  <si>
    <t>AARUNA 16-08</t>
  </si>
  <si>
    <t>OLD BUYING</t>
  </si>
  <si>
    <t>151</t>
  </si>
  <si>
    <t>45</t>
  </si>
  <si>
    <t>17</t>
  </si>
  <si>
    <t>S-METTI-21-08</t>
  </si>
  <si>
    <t>21-08</t>
  </si>
  <si>
    <t>G-POTTU-MURUGAN</t>
  </si>
  <si>
    <t>Grand Total</t>
  </si>
  <si>
    <t xml:space="preserve"> WEIGHT</t>
  </si>
  <si>
    <t xml:space="preserve"> ORIGINAL PRICE</t>
  </si>
  <si>
    <t xml:space="preserve"> CASH-CUST</t>
  </si>
  <si>
    <t xml:space="preserve"> PROFIT</t>
  </si>
  <si>
    <t xml:space="preserve"> OLD-WT</t>
  </si>
  <si>
    <t xml:space="preserve"> OLD-AMT</t>
  </si>
  <si>
    <t xml:space="preserve"> CASH-FR-ITM</t>
  </si>
  <si>
    <t xml:space="preserve"> PROFIT-LOSS</t>
  </si>
  <si>
    <t>89</t>
  </si>
  <si>
    <t>132</t>
  </si>
  <si>
    <t>S-MERUGU-22-07</t>
  </si>
  <si>
    <t>229</t>
  </si>
  <si>
    <t>OLD GOLD SALE</t>
  </si>
  <si>
    <t>S-PP-MERUGU-21-08</t>
  </si>
  <si>
    <t>MURUGN POTTU 23-08</t>
  </si>
  <si>
    <t xml:space="preserve">13-08 OLG GOLD </t>
  </si>
  <si>
    <t>24-08 OLD GOLD</t>
  </si>
  <si>
    <t>24-08 SILVER KOLUSU</t>
  </si>
  <si>
    <t>S-METTI-26-08</t>
  </si>
  <si>
    <t>26-08</t>
  </si>
  <si>
    <t>S-BANGLE-1</t>
  </si>
  <si>
    <t>S-BANGLE-2</t>
  </si>
  <si>
    <t>S-BANGLE-3</t>
  </si>
  <si>
    <t>S-BANGLE-4</t>
  </si>
  <si>
    <t>S-BANGLE-5</t>
  </si>
  <si>
    <t>S-BANGLE-6</t>
  </si>
  <si>
    <t>S-BANGLE-7</t>
  </si>
  <si>
    <t>MC</t>
  </si>
  <si>
    <t>S-KAMACHI-LAMP</t>
  </si>
  <si>
    <t>SKANDHAA DGL 24-08</t>
  </si>
  <si>
    <t>26-08 OLD KOLUSU</t>
  </si>
  <si>
    <t>G-PESERI-32-1</t>
  </si>
  <si>
    <t>24</t>
  </si>
  <si>
    <t>109</t>
  </si>
  <si>
    <t>187</t>
  </si>
  <si>
    <t>29-08 GOLD STUD</t>
  </si>
  <si>
    <t>31-08 GOLD RING</t>
  </si>
  <si>
    <t>196</t>
  </si>
  <si>
    <t>PMC SON'S  2-09</t>
  </si>
  <si>
    <t>MADURA 05-09</t>
  </si>
  <si>
    <t>5</t>
  </si>
  <si>
    <t>7</t>
  </si>
  <si>
    <t>05-08 SILVER ALL</t>
  </si>
  <si>
    <t>03-07 VASU</t>
  </si>
  <si>
    <t>01-08 MURUGAN</t>
  </si>
  <si>
    <t>05-08 RAJESHWARAI</t>
  </si>
  <si>
    <t xml:space="preserve">05-08 DEEPA </t>
  </si>
  <si>
    <t>185</t>
  </si>
  <si>
    <t>195</t>
  </si>
  <si>
    <t>192</t>
  </si>
  <si>
    <t>SILVER BULLION</t>
  </si>
  <si>
    <t>SILVER COIN</t>
  </si>
  <si>
    <t>S-DOLLER-25</t>
  </si>
  <si>
    <t>S-DOLLER-26</t>
  </si>
  <si>
    <t>S-DOLLER-27</t>
  </si>
  <si>
    <t>S-METTI-09-09</t>
  </si>
  <si>
    <t>09-09</t>
  </si>
  <si>
    <t>MADURA 09-09</t>
  </si>
  <si>
    <t>25</t>
  </si>
  <si>
    <t>S-METTI-FREE</t>
  </si>
  <si>
    <t>38</t>
  </si>
  <si>
    <t>29-08 OLD-GOLD STUD</t>
  </si>
  <si>
    <t>S-S-KOLUSU-82</t>
  </si>
  <si>
    <t>S-S-KOLUSU-83</t>
  </si>
  <si>
    <t>S-B-KOLUSU--49</t>
  </si>
  <si>
    <t>S-B-KOLUSU--50</t>
  </si>
  <si>
    <t>S-B-KOLUSU--51</t>
  </si>
  <si>
    <t>S-B-KOLUSU--52</t>
  </si>
  <si>
    <t>S-BANGLE-8</t>
  </si>
  <si>
    <t>S-BANGLE-9</t>
  </si>
  <si>
    <t>S-CHAIN-N-62</t>
  </si>
  <si>
    <t>S-RING-234</t>
  </si>
  <si>
    <t>S-RING-235</t>
  </si>
  <si>
    <t>S-RING-236</t>
  </si>
  <si>
    <t>S-RING-237</t>
  </si>
  <si>
    <t>S-RING-238</t>
  </si>
  <si>
    <t>S-RING-239</t>
  </si>
  <si>
    <t>S-RING-240</t>
  </si>
  <si>
    <t>S-RING-241</t>
  </si>
  <si>
    <t>S-RING-242</t>
  </si>
  <si>
    <t>S-RING-243</t>
  </si>
  <si>
    <t>S-METTI-10-09</t>
  </si>
  <si>
    <t>10-09</t>
  </si>
  <si>
    <t>16</t>
  </si>
  <si>
    <t>163</t>
  </si>
  <si>
    <t>MUGUNTHA 10-09</t>
  </si>
  <si>
    <t xml:space="preserve">OLD MUTHTHU </t>
  </si>
  <si>
    <t>55</t>
  </si>
  <si>
    <t>KARUNGALI CHAIN 1</t>
  </si>
  <si>
    <t>KARUNGALI BRACELET 2</t>
  </si>
  <si>
    <t>G-STUD-41-N</t>
  </si>
  <si>
    <t>G-MATTAL-3-916</t>
  </si>
  <si>
    <t>S-B-KOLUSU--53</t>
  </si>
  <si>
    <t>S-DOLLER-28</t>
  </si>
  <si>
    <t>S-DOLLER-29</t>
  </si>
  <si>
    <t>S-DOLLER-30</t>
  </si>
  <si>
    <t>S-DOLLER-31</t>
  </si>
  <si>
    <t>S-DOLLER-32</t>
  </si>
  <si>
    <t>S-DOLLER-33</t>
  </si>
  <si>
    <t>S-DOLLER-34</t>
  </si>
  <si>
    <t>S-DOLLER-35</t>
  </si>
  <si>
    <t>1kg SILVER 21*85</t>
  </si>
  <si>
    <t>KOLUSU 11 inch</t>
  </si>
  <si>
    <t>MASS12-09</t>
  </si>
  <si>
    <t>CHAIN 23 GM BANK 03-09</t>
  </si>
  <si>
    <t>GOLD 999 OFFICE</t>
  </si>
  <si>
    <t>AMMA</t>
  </si>
  <si>
    <t>MURUGAN</t>
  </si>
  <si>
    <t>TOTAL</t>
  </si>
  <si>
    <t>OVER ALL</t>
  </si>
  <si>
    <t>G-RING-59-O</t>
  </si>
  <si>
    <t>G-RING-58-O</t>
  </si>
  <si>
    <t>S-KAPPU-N-24</t>
  </si>
  <si>
    <t>122</t>
  </si>
  <si>
    <t>240</t>
  </si>
  <si>
    <t xml:space="preserve">DATE </t>
  </si>
  <si>
    <t>PLACE</t>
  </si>
  <si>
    <t>NAME</t>
  </si>
  <si>
    <t>ITEMS</t>
  </si>
  <si>
    <t>MDU</t>
  </si>
  <si>
    <t>SANGEETHA(MASS)</t>
  </si>
  <si>
    <t>SILVER</t>
  </si>
  <si>
    <t>RATE</t>
  </si>
  <si>
    <t>GST</t>
  </si>
  <si>
    <t>SAPTHAGIRI</t>
  </si>
  <si>
    <t>GOLD</t>
  </si>
  <si>
    <t>PRIYA SILVERS</t>
  </si>
  <si>
    <t>DGL</t>
  </si>
  <si>
    <t>SKANDHA SILVERS</t>
  </si>
  <si>
    <t>PRINKA BULLION</t>
  </si>
  <si>
    <t xml:space="preserve">IYANGRAN </t>
  </si>
  <si>
    <t>SALEM</t>
  </si>
  <si>
    <t>PMC SON'S</t>
  </si>
  <si>
    <t>Row Labels</t>
  </si>
  <si>
    <t>Sum of AMOUNT</t>
  </si>
  <si>
    <t>Total Sum of AMOUNT</t>
  </si>
  <si>
    <t>Sum of WEIGHT</t>
  </si>
  <si>
    <t>Total Sum of WEIGHT</t>
  </si>
  <si>
    <t>S-METTI-16-09</t>
  </si>
  <si>
    <t>27</t>
  </si>
  <si>
    <t>41</t>
  </si>
  <si>
    <t>17-09- DAILY SELAVU</t>
  </si>
  <si>
    <t xml:space="preserve">அடக்கம் </t>
  </si>
  <si>
    <t xml:space="preserve">லாபம் </t>
  </si>
  <si>
    <t xml:space="preserve">செலவு </t>
  </si>
  <si>
    <t xml:space="preserve">பாக்கி </t>
  </si>
  <si>
    <t xml:space="preserve">சீட்டு </t>
  </si>
  <si>
    <t xml:space="preserve">முதலீடு </t>
  </si>
  <si>
    <t xml:space="preserve">வாடிக்கையாளர் 
தொகை </t>
  </si>
  <si>
    <t>இருப்பு மொத்தம்</t>
  </si>
  <si>
    <t xml:space="preserve">முன் இருப்பு மொத்தம் </t>
  </si>
  <si>
    <t>6</t>
  </si>
  <si>
    <t>12</t>
  </si>
  <si>
    <t>S-BANGLE-</t>
  </si>
  <si>
    <t>S-S-KOLUSU-84</t>
  </si>
  <si>
    <t>S-S-KOLUSU-85</t>
  </si>
  <si>
    <t>S-S-KOLUSU-86</t>
  </si>
  <si>
    <t>S-B-KOLUSU--54</t>
  </si>
  <si>
    <t>S-B-KOLUSU--55</t>
  </si>
  <si>
    <t>S-B-KOLUSU--56</t>
  </si>
  <si>
    <t>S-B-KOLUSU--57</t>
  </si>
  <si>
    <t>S-B-KOLUSU--58</t>
  </si>
  <si>
    <t>S-B-KOLUSU--59</t>
  </si>
  <si>
    <t>S-B-KOLUSU--60</t>
  </si>
  <si>
    <t>S-B-KOLUSU--61</t>
  </si>
  <si>
    <t>S-B-KOLUSU--62</t>
  </si>
  <si>
    <t>19</t>
  </si>
  <si>
    <t>3</t>
  </si>
  <si>
    <t>S-METTI-KRJ</t>
  </si>
  <si>
    <t>S-METTI-24-09</t>
  </si>
  <si>
    <t>24-09</t>
  </si>
  <si>
    <t>26-09</t>
  </si>
  <si>
    <t>S-METTI-26-09</t>
  </si>
  <si>
    <t>214</t>
  </si>
  <si>
    <t>S-THAYATH</t>
  </si>
  <si>
    <t>MADURA-G-KASU</t>
  </si>
  <si>
    <t>MADURA-S-BRACELET</t>
  </si>
  <si>
    <t>ORDER-BRACELET</t>
  </si>
  <si>
    <t>34</t>
  </si>
  <si>
    <t>35</t>
  </si>
  <si>
    <t>32</t>
  </si>
  <si>
    <t>182</t>
  </si>
  <si>
    <t>G-PESERI-30-1</t>
  </si>
  <si>
    <t>30-1</t>
  </si>
  <si>
    <t>80</t>
  </si>
  <si>
    <t>43</t>
  </si>
  <si>
    <t>05-10-MAHALAKSHMI</t>
  </si>
  <si>
    <t>30-09-SKANDHA SILVERS
 ORDER BRACELET</t>
  </si>
  <si>
    <t>27-09-PRIYA SILVERS</t>
  </si>
  <si>
    <t>24-09-KRS SILVER MDU</t>
  </si>
  <si>
    <t>ORDER-G-CHAIN-05-10</t>
  </si>
  <si>
    <t>05-10 MURUGESAN</t>
  </si>
  <si>
    <t>MASS</t>
  </si>
  <si>
    <t>12-09-MASS</t>
  </si>
  <si>
    <t>02-10-SAMYAK</t>
  </si>
  <si>
    <t>CHI</t>
  </si>
  <si>
    <t>SAMYAK</t>
  </si>
  <si>
    <t>S-BARACELET-B-24</t>
  </si>
  <si>
    <t>S-BARACELET-B-25</t>
  </si>
  <si>
    <t>S-BARACELET-B-26</t>
  </si>
  <si>
    <t>S-BARACELET-B-27</t>
  </si>
  <si>
    <t>S-BARACELET-B-28</t>
  </si>
  <si>
    <t>S-CHAIN-N-63</t>
  </si>
  <si>
    <t>S-CHAIN-N-64</t>
  </si>
  <si>
    <t>S-CHAIN-N-65</t>
  </si>
  <si>
    <t>S-CHAIN-N-66</t>
  </si>
  <si>
    <t>S-CHAIN-N-67</t>
  </si>
  <si>
    <t>S-CHAIN-N-68</t>
  </si>
  <si>
    <t>S-CHAIN-N-69</t>
  </si>
  <si>
    <t>S-CHAIN-N-70</t>
  </si>
  <si>
    <t>S-CHAIN-N-71</t>
  </si>
  <si>
    <t>S-CHAIN-N-72</t>
  </si>
  <si>
    <t>S-KAPPU-N-25</t>
  </si>
  <si>
    <t>S-KAPPU-N-26</t>
  </si>
  <si>
    <t>S-BARACELET-G-nrml27</t>
  </si>
  <si>
    <t>S-BARACELET-G-nrml28</t>
  </si>
  <si>
    <t>S-BARACELET-G-nrml29</t>
  </si>
  <si>
    <t>S-BARACELET-G-nrml30</t>
  </si>
  <si>
    <t>S-BARACELET-G-nrml31</t>
  </si>
  <si>
    <t>S-BANGLE-10</t>
  </si>
  <si>
    <t>S-BANGLE-11</t>
  </si>
  <si>
    <t>S-BANGLE-12</t>
  </si>
  <si>
    <t>S-BANGLE-13</t>
  </si>
  <si>
    <t>S-BANGLE-14</t>
  </si>
  <si>
    <t>S-BANGLE-15</t>
  </si>
  <si>
    <t>S-BANGLE-16</t>
  </si>
  <si>
    <t>S-BANGLE-17</t>
  </si>
  <si>
    <t>S-METTI-10-10</t>
  </si>
  <si>
    <t>G-RING-60</t>
  </si>
  <si>
    <t>G-STUD-42</t>
  </si>
  <si>
    <t>G-STUD-43</t>
  </si>
  <si>
    <t>G-STUD-44</t>
  </si>
  <si>
    <t>G-STUD-45</t>
  </si>
  <si>
    <t>G-STUD-46</t>
  </si>
  <si>
    <t>G-STUD-47</t>
  </si>
  <si>
    <t>G-STUD-48</t>
  </si>
  <si>
    <t>G-STUD-49</t>
  </si>
  <si>
    <t>G-STUD-50</t>
  </si>
  <si>
    <t>G-STUD-51</t>
  </si>
  <si>
    <t>G-TLI-MNI-THAYTH-11</t>
  </si>
  <si>
    <t>G-TLI-MNI-THAYTH-12</t>
  </si>
  <si>
    <t>G-CHAIN-7</t>
  </si>
  <si>
    <t>G-CHAIN-8</t>
  </si>
  <si>
    <t>224</t>
  </si>
  <si>
    <t>NEW SIVER RING</t>
  </si>
  <si>
    <t>GOLD COATIND CHAIN</t>
  </si>
  <si>
    <t>S-FREE-COIN</t>
  </si>
  <si>
    <t>FREE THAMBALAM</t>
  </si>
  <si>
    <t>63</t>
  </si>
  <si>
    <t>26</t>
  </si>
  <si>
    <t>25-09 G-RING (N)</t>
  </si>
  <si>
    <t>28-09 MADURA</t>
  </si>
  <si>
    <t>07-10 SKANDHA COIN</t>
  </si>
  <si>
    <t>10-10-G-THAYATH (916)</t>
  </si>
  <si>
    <t>11-10 COM STUD</t>
  </si>
  <si>
    <t>07-10 MUMTHAJ</t>
  </si>
  <si>
    <t>GOLD THIRUGANI</t>
  </si>
  <si>
    <t>S-METTI-15-10</t>
  </si>
  <si>
    <t>40</t>
  </si>
  <si>
    <t xml:space="preserve"> NAME AND DATE </t>
  </si>
  <si>
    <t xml:space="preserve"> INVENSMENT </t>
  </si>
  <si>
    <t xml:space="preserve">999 GOLD </t>
  </si>
  <si>
    <t>0</t>
  </si>
  <si>
    <t>TOT</t>
  </si>
  <si>
    <t>அடக்கம்</t>
  </si>
  <si>
    <t>லாபம்</t>
  </si>
  <si>
    <t>செலவு</t>
  </si>
  <si>
    <t>பாக்கி</t>
  </si>
  <si>
    <t>சீட்டு</t>
  </si>
  <si>
    <t>முதலீடு</t>
  </si>
  <si>
    <t>வாடிக்கையாளர்
தொகை</t>
  </si>
  <si>
    <t xml:space="preserve"> OLD BUYING </t>
  </si>
  <si>
    <t>25-09 G-RING (N) 3GM</t>
  </si>
  <si>
    <t>10-10-G-THAYATH (916) 1.04</t>
  </si>
  <si>
    <t>ORDER G-THAYATH</t>
  </si>
  <si>
    <t>MADURA S-THAYATH</t>
  </si>
  <si>
    <t>அசல் லாபம்</t>
  </si>
  <si>
    <t>230</t>
  </si>
  <si>
    <t>S-RING-244</t>
  </si>
  <si>
    <t>S-RING-245</t>
  </si>
  <si>
    <t>S-RING-246</t>
  </si>
  <si>
    <t>S-RING-247</t>
  </si>
  <si>
    <t>S-RING-248</t>
  </si>
  <si>
    <t>S-RING-249</t>
  </si>
  <si>
    <t>S-RING-250</t>
  </si>
  <si>
    <t>S-RING-251</t>
  </si>
  <si>
    <t>S-RING-252</t>
  </si>
  <si>
    <t>S-RING-253</t>
  </si>
  <si>
    <t>S-RING-254</t>
  </si>
  <si>
    <t>S-RING-255</t>
  </si>
  <si>
    <t>S-RING-256</t>
  </si>
  <si>
    <t>S-RING-257</t>
  </si>
  <si>
    <t>S-RING-258</t>
  </si>
  <si>
    <t>S-RING-259</t>
  </si>
  <si>
    <t>S-RING-260</t>
  </si>
  <si>
    <t>S-RING-261</t>
  </si>
  <si>
    <t>S-RING-262</t>
  </si>
  <si>
    <t>S-RING-263</t>
  </si>
  <si>
    <t>S-RING-264</t>
  </si>
  <si>
    <t>S-RING-265</t>
  </si>
  <si>
    <t>S-RING-266</t>
  </si>
  <si>
    <t>S-RING-267</t>
  </si>
  <si>
    <t>S-RING-268</t>
  </si>
  <si>
    <t>S-RING-269</t>
  </si>
  <si>
    <t>S-RING-270</t>
  </si>
  <si>
    <t>S-RING-271</t>
  </si>
  <si>
    <t>S-RING-272</t>
  </si>
  <si>
    <t>S-RING-273</t>
  </si>
  <si>
    <t>S-RING-274</t>
  </si>
  <si>
    <t>S-RING-275</t>
  </si>
  <si>
    <t>S-RING-276</t>
  </si>
  <si>
    <t>S-RING-277</t>
  </si>
  <si>
    <t>S-RING-278</t>
  </si>
  <si>
    <t>S-RING-279</t>
  </si>
  <si>
    <t>17-10-2024 Total</t>
  </si>
  <si>
    <t xml:space="preserve">TOT GOLD </t>
  </si>
  <si>
    <t>TOT SILVER</t>
  </si>
  <si>
    <t>TOTAL GOLD</t>
  </si>
  <si>
    <t>TOTAL SIVER</t>
  </si>
  <si>
    <t>GOLD &amp; SILVER</t>
  </si>
  <si>
    <t xml:space="preserve">GOLD </t>
  </si>
  <si>
    <t>SEP</t>
  </si>
  <si>
    <t>MONTH</t>
  </si>
  <si>
    <t>16-10- DAILY SELAVU</t>
  </si>
  <si>
    <t>263</t>
  </si>
  <si>
    <t>141</t>
  </si>
  <si>
    <t>19-10-2024 Total</t>
  </si>
  <si>
    <t>22-10-2024 Total</t>
  </si>
  <si>
    <t>`</t>
  </si>
  <si>
    <t>22-10 SATHIYA</t>
  </si>
  <si>
    <t>24-10 RAJATHI</t>
  </si>
  <si>
    <t>25-10 SABARE</t>
  </si>
  <si>
    <t>24-10-2024 Total</t>
  </si>
  <si>
    <t>14</t>
  </si>
  <si>
    <t>128</t>
  </si>
  <si>
    <t>S-B-KOLUSU--63</t>
  </si>
  <si>
    <t>S-B-KOLUSU--64</t>
  </si>
  <si>
    <t>S-B-KOLUSU--65</t>
  </si>
  <si>
    <t>S-B-KOLUSU--66</t>
  </si>
  <si>
    <t>S-B-KOLUSU--67</t>
  </si>
  <si>
    <t>S-B-KOLUSU--68</t>
  </si>
  <si>
    <t>S-B-KOLUSU--69</t>
  </si>
  <si>
    <t>S-B-KOLUSU--70</t>
  </si>
  <si>
    <t>S-B-KOLUSU--71</t>
  </si>
  <si>
    <t>S-B-KOLUSU--72</t>
  </si>
  <si>
    <t>S-B-KOLUSU--73</t>
  </si>
  <si>
    <t>S-B-KOLUSU--74</t>
  </si>
  <si>
    <t>S-B-KOLUSU--75</t>
  </si>
  <si>
    <t>S-B-KOLUSU--76</t>
  </si>
  <si>
    <t>S-B-KOLUSU--77</t>
  </si>
  <si>
    <t>S-B-KOLUSU--78</t>
  </si>
  <si>
    <t>S-B-KOLUSU--79</t>
  </si>
  <si>
    <t>S-B-KOLUSU--80</t>
  </si>
  <si>
    <t>S-B-KOLUSU--81</t>
  </si>
  <si>
    <t>S-5-MUTHTHU</t>
  </si>
  <si>
    <t>S-3-MUTHTHU</t>
  </si>
  <si>
    <t>26-10-2024 Total</t>
  </si>
  <si>
    <t>27-10-2024 Total</t>
  </si>
  <si>
    <t>48</t>
  </si>
  <si>
    <t>28-10-2024 Total</t>
  </si>
  <si>
    <t>S-S-KOLUSU-87</t>
  </si>
  <si>
    <t>S-S-KOLUSU-88</t>
  </si>
  <si>
    <t>S-S-KOLUSU-89</t>
  </si>
  <si>
    <t>S-S-KOLUSU-90</t>
  </si>
  <si>
    <t>S-S-KOLUSU-91</t>
  </si>
  <si>
    <t>S-S-KOLUSU-92</t>
  </si>
  <si>
    <t>S-S-KOLUSU-93</t>
  </si>
  <si>
    <t>S-S-KOLUSU-94</t>
  </si>
  <si>
    <t>S-S-KOLUSU-95</t>
  </si>
  <si>
    <t>S-S-KOLUSU-96</t>
  </si>
  <si>
    <t>S-S-KOLUSU-97</t>
  </si>
  <si>
    <t>18</t>
  </si>
  <si>
    <t>30-10-2024 Total</t>
  </si>
  <si>
    <t>82</t>
  </si>
  <si>
    <t>S-KAPPU-N-16-1</t>
  </si>
  <si>
    <t>S-KAPPU-N-16-2</t>
  </si>
  <si>
    <t>16-1</t>
  </si>
  <si>
    <t>72</t>
  </si>
  <si>
    <t>S-METTI-31-10</t>
  </si>
  <si>
    <t>96</t>
  </si>
  <si>
    <t>G-PESERI-5-1</t>
  </si>
  <si>
    <t>G-PESERI-5-2</t>
  </si>
  <si>
    <t>5-1</t>
  </si>
  <si>
    <t>31-10-2024 Total</t>
  </si>
  <si>
    <t>01-11-2024 Total</t>
  </si>
  <si>
    <t>57</t>
  </si>
  <si>
    <t>S-METTI-1-11</t>
  </si>
  <si>
    <t>148</t>
  </si>
  <si>
    <t>244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</si>
</sst>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quot;\ #,##0.00;&quot;₹&quot;\ \-#,##0.00"/>
    <numFmt numFmtId="44" formatCode="_ &quot;₹&quot;\ * #,##0.00_ ;_ &quot;₹&quot;\ * \-#,##0.00_ ;_ &quot;₹&quot;\ * &quot;-&quot;??_ ;_ @_ "/>
    <numFmt numFmtId="43" formatCode="_ * #,##0.00_ ;_ * \-#,##0.00_ ;_ * &quot;-&quot;??_ ;_ @_ "/>
    <numFmt numFmtId="164" formatCode="0.000"/>
    <numFmt numFmtId="165" formatCode="&quot;₹&quot;\ #,##0.00"/>
    <numFmt numFmtId="166" formatCode="#,##0.000"/>
    <numFmt numFmtId="167" formatCode="&quot;₹&quot;\ #,##0"/>
    <numFmt numFmtId="168" formatCode="_ * #,##0_ ;_ * \-#,##0_ ;_ * &quot;-&quot;??_ ;_ @_ "/>
    <numFmt numFmtId="169" formatCode="_ &quot;₹&quot;\ * #,##0_ ;_ &quot;₹&quot;\ * \-#,##0_ ;_ &quot;₹&quot;\ * &quot;-&quot;??_ ;_ @_ "/>
    <numFmt numFmtId="170" formatCode="[$-14009]dd/mm/yy;@"/>
    <numFmt numFmtId="171" formatCode="_ [$₹-4009]\ * #,##0.00_ ;_ [$₹-4009]\ * \-#,##0.00_ ;_ [$₹-4009]\ * &quot;-&quot;??_ ;_ @_ "/>
  </numFmts>
  <fonts count="22" x14ac:knownFonts="1">
    <font>
      <sz val="11"/>
      <color theme="1"/>
      <name val="Aptos Narrow"/>
      <family val="2"/>
      <scheme val="minor"/>
    </font>
    <font>
      <sz val="11"/>
      <color theme="1"/>
      <name val="Aptos Narrow"/>
      <family val="2"/>
      <scheme val="minor"/>
    </font>
    <font>
      <sz val="18"/>
      <color theme="1"/>
      <name val="Aptos Narrow"/>
      <family val="2"/>
      <scheme val="minor"/>
    </font>
    <font>
      <sz val="18"/>
      <color rgb="FFFF0000"/>
      <name val="Aptos Narrow"/>
      <family val="2"/>
      <scheme val="minor"/>
    </font>
    <font>
      <sz val="18"/>
      <color rgb="FF000000"/>
      <name val="Aptos Narrow"/>
      <family val="2"/>
      <scheme val="minor"/>
    </font>
    <font>
      <b/>
      <sz val="18"/>
      <color rgb="FFFF0000"/>
      <name val="Aptos Narrow"/>
      <family val="2"/>
      <scheme val="minor"/>
    </font>
    <font>
      <b/>
      <sz val="18"/>
      <color theme="0"/>
      <name val="Aptos Narrow"/>
      <family val="2"/>
      <scheme val="minor"/>
    </font>
    <font>
      <sz val="8"/>
      <name val="Aptos Narrow"/>
      <family val="2"/>
      <scheme val="minor"/>
    </font>
    <font>
      <sz val="18"/>
      <name val="Aptos Narrow"/>
      <family val="2"/>
      <scheme val="minor"/>
    </font>
    <font>
      <sz val="14"/>
      <color theme="1"/>
      <name val="Aptos Narrow"/>
      <family val="2"/>
      <scheme val="minor"/>
    </font>
    <font>
      <b/>
      <sz val="18"/>
      <color theme="1"/>
      <name val="Aptos Narrow"/>
      <family val="2"/>
      <scheme val="minor"/>
    </font>
    <font>
      <sz val="18"/>
      <color theme="3"/>
      <name val="Aptos Narrow"/>
      <family val="2"/>
      <scheme val="minor"/>
    </font>
    <font>
      <sz val="18"/>
      <color theme="2"/>
      <name val="Aptos Narrow"/>
      <family val="2"/>
      <scheme val="minor"/>
    </font>
    <font>
      <b/>
      <sz val="18"/>
      <color rgb="FF000000"/>
      <name val="Aptos Narrow"/>
      <family val="2"/>
    </font>
    <font>
      <b/>
      <sz val="18"/>
      <color theme="3"/>
      <name val="Aptos Narrow"/>
      <family val="2"/>
      <scheme val="minor"/>
    </font>
    <font>
      <b/>
      <sz val="18"/>
      <color rgb="FF000000"/>
      <name val="Times New Roman"/>
      <family val="1"/>
    </font>
    <font>
      <b/>
      <sz val="18"/>
      <color theme="1"/>
      <name val="Times New Roman"/>
      <family val="1"/>
    </font>
    <font>
      <b/>
      <sz val="18"/>
      <color rgb="FF0E2841"/>
      <name val="Aptos Narrow"/>
      <family val="2"/>
      <scheme val="minor"/>
    </font>
    <font>
      <sz val="16"/>
      <color theme="1"/>
      <name val="Aptos Narrow"/>
      <family val="2"/>
      <scheme val="minor"/>
    </font>
    <font>
      <sz val="16"/>
      <color rgb="FFFF0000"/>
      <name val="Aptos Narrow"/>
      <family val="2"/>
      <scheme val="minor"/>
    </font>
    <font>
      <b/>
      <sz val="16"/>
      <color theme="1"/>
      <name val="Aptos Narrow"/>
      <family val="2"/>
      <scheme val="minor"/>
    </font>
    <font>
      <sz val="14"/>
      <color rgb="FFFF0000"/>
      <name val="Aptos Narrow"/>
      <family val="2"/>
      <scheme val="minor"/>
    </font>
  </fonts>
  <fills count="16">
    <fill>
      <patternFill patternType="none"/>
    </fill>
    <fill>
      <patternFill patternType="gray125"/>
    </fill>
    <fill>
      <patternFill patternType="solid">
        <fgColor theme="5" tint="0.79998168889431442"/>
        <bgColor theme="5" tint="0.79998168889431442"/>
      </patternFill>
    </fill>
    <fill>
      <patternFill patternType="solid">
        <fgColor rgb="FFFFFF00"/>
        <bgColor indexed="64"/>
      </patternFill>
    </fill>
    <fill>
      <patternFill patternType="solid">
        <fgColor theme="7" tint="0.79998168889431442"/>
        <bgColor theme="7" tint="0.79998168889431442"/>
      </patternFill>
    </fill>
    <fill>
      <patternFill patternType="solid">
        <fgColor rgb="FF92D050"/>
        <bgColor indexed="64"/>
      </patternFill>
    </fill>
    <fill>
      <patternFill patternType="solid">
        <fgColor theme="7"/>
        <bgColor theme="7"/>
      </patternFill>
    </fill>
    <fill>
      <patternFill patternType="solid">
        <fgColor theme="4" tint="0.79998168889431442"/>
        <bgColor theme="4" tint="0.79998168889431442"/>
      </patternFill>
    </fill>
    <fill>
      <patternFill patternType="solid">
        <fgColor rgb="FF00B0F0"/>
        <bgColor indexed="64"/>
      </patternFill>
    </fill>
    <fill>
      <patternFill patternType="solid">
        <fgColor rgb="FF92D050"/>
        <bgColor theme="7" tint="0.79998168889431442"/>
      </patternFill>
    </fill>
    <fill>
      <patternFill patternType="solid">
        <fgColor theme="8" tint="0.79998168889431442"/>
        <bgColor indexed="64"/>
      </patternFill>
    </fill>
    <fill>
      <patternFill patternType="solid">
        <fgColor rgb="FFFFFF00"/>
        <bgColor rgb="FF000000"/>
      </patternFill>
    </fill>
    <fill>
      <patternFill patternType="solid">
        <fgColor rgb="FFC0E6F5"/>
        <bgColor rgb="FFC0E6F5"/>
      </patternFill>
    </fill>
    <fill>
      <patternFill patternType="solid">
        <fgColor rgb="FFFFFF00"/>
        <bgColor theme="4" tint="0.79998168889431442"/>
      </patternFill>
    </fill>
    <fill>
      <patternFill patternType="solid">
        <fgColor rgb="FF00B0F0"/>
        <bgColor rgb="FF000000"/>
      </patternFill>
    </fill>
    <fill>
      <patternFill patternType="solid">
        <fgColor theme="5"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theme="5" tint="0.39997558519241921"/>
      </left>
      <right style="thin">
        <color theme="5" tint="0.39997558519241921"/>
      </right>
      <top style="thin">
        <color theme="5" tint="0.39997558519241921"/>
      </top>
      <bottom/>
      <diagonal/>
    </border>
    <border>
      <left style="thin">
        <color theme="5" tint="0.39997558519241921"/>
      </left>
      <right style="thin">
        <color theme="5" tint="0.39997558519241921"/>
      </right>
      <top style="thin">
        <color theme="4" tint="0.39997558519241921"/>
      </top>
      <bottom/>
      <diagonal/>
    </border>
    <border>
      <left style="thin">
        <color theme="5" tint="0.39997558519241921"/>
      </left>
      <right style="thin">
        <color theme="5" tint="0.39997558519241921"/>
      </right>
      <top style="thin">
        <color rgb="FF44B3E1"/>
      </top>
      <bottom/>
      <diagonal/>
    </border>
    <border>
      <left style="thin">
        <color theme="5" tint="0.39997558519241921"/>
      </left>
      <right style="thin">
        <color theme="5" tint="0.39997558519241921"/>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theme="4" tint="0.39997558519241921"/>
      </bottom>
      <diagonal/>
    </border>
    <border>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indexed="64"/>
      </right>
      <top style="thin">
        <color indexed="64"/>
      </top>
      <bottom style="thin">
        <color indexed="64"/>
      </bottom>
      <diagonal/>
    </border>
    <border>
      <left/>
      <right style="thin">
        <color theme="4" tint="0.39997558519241921"/>
      </right>
      <top style="thin">
        <color theme="4" tint="0.39997558519241921"/>
      </top>
      <bottom style="thin">
        <color theme="4" tint="0.39997558519241921"/>
      </bottom>
      <diagonal/>
    </border>
    <border>
      <left/>
      <right/>
      <top style="thin">
        <color indexed="64"/>
      </top>
      <bottom/>
      <diagonal/>
    </border>
    <border>
      <left style="thin">
        <color indexed="64"/>
      </left>
      <right/>
      <top style="thin">
        <color theme="4" tint="0.39997558519241921"/>
      </top>
      <bottom/>
      <diagonal/>
    </border>
    <border>
      <left style="thin">
        <color theme="4" tint="0.39997558519241921"/>
      </left>
      <right/>
      <top style="thin">
        <color indexed="64"/>
      </top>
      <bottom/>
      <diagonal/>
    </border>
    <border>
      <left/>
      <right/>
      <top style="thin">
        <color theme="4" tint="0.39997558519241921"/>
      </top>
      <bottom/>
      <diagonal/>
    </border>
    <border>
      <left/>
      <right style="thin">
        <color theme="4" tint="0.39997558519241921"/>
      </right>
      <top style="thin">
        <color indexed="64"/>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rgb="FF44B3E1"/>
      </top>
      <bottom/>
      <diagonal/>
    </border>
    <border>
      <left style="thin">
        <color indexed="64"/>
      </left>
      <right style="thin">
        <color indexed="64"/>
      </right>
      <top style="thin">
        <color theme="4" tint="0.39997558519241921"/>
      </top>
      <bottom style="thin">
        <color indexed="64"/>
      </bottom>
      <diagonal/>
    </border>
  </borders>
  <cellStyleXfs count="2">
    <xf numFmtId="0" fontId="0" fillId="0" borderId="0"/>
    <xf numFmtId="44" fontId="1" fillId="0" borderId="0" applyFont="0" applyFill="0" applyBorder="0" applyAlignment="0" applyProtection="0"/>
  </cellStyleXfs>
  <cellXfs count="255">
    <xf numFmtId="0" fontId="0" fillId="0" borderId="0" xfId="0"/>
    <xf numFmtId="0" fontId="2" fillId="0" borderId="0" xfId="0" applyFont="1"/>
    <xf numFmtId="0" fontId="2" fillId="0" borderId="1" xfId="0" applyFont="1" applyBorder="1"/>
    <xf numFmtId="0" fontId="2" fillId="0" borderId="2" xfId="0" applyFont="1" applyFill="1" applyBorder="1"/>
    <xf numFmtId="164" fontId="2" fillId="0" borderId="1" xfId="0" applyNumberFormat="1" applyFont="1" applyFill="1" applyBorder="1"/>
    <xf numFmtId="4" fontId="2" fillId="0" borderId="1" xfId="0" applyNumberFormat="1" applyFont="1" applyFill="1" applyBorder="1"/>
    <xf numFmtId="165" fontId="2" fillId="0" borderId="1" xfId="0" applyNumberFormat="1" applyFont="1" applyFill="1" applyBorder="1"/>
    <xf numFmtId="2" fontId="2" fillId="0" borderId="1" xfId="0" applyNumberFormat="1" applyFont="1" applyFill="1" applyBorder="1"/>
    <xf numFmtId="0" fontId="2" fillId="0" borderId="1" xfId="0" applyFont="1" applyFill="1" applyBorder="1"/>
    <xf numFmtId="0" fontId="4" fillId="0" borderId="2" xfId="0" applyFont="1" applyFill="1" applyBorder="1"/>
    <xf numFmtId="164" fontId="4" fillId="0" borderId="1" xfId="0" applyNumberFormat="1" applyFont="1" applyFill="1" applyBorder="1"/>
    <xf numFmtId="0" fontId="4" fillId="0" borderId="1" xfId="0" applyFont="1" applyFill="1" applyBorder="1"/>
    <xf numFmtId="165" fontId="4" fillId="0" borderId="1" xfId="0" applyNumberFormat="1" applyFont="1" applyFill="1" applyBorder="1"/>
    <xf numFmtId="0" fontId="2" fillId="0" borderId="7" xfId="0" applyFont="1" applyFill="1" applyBorder="1"/>
    <xf numFmtId="164" fontId="2" fillId="0" borderId="8" xfId="0" applyNumberFormat="1" applyFont="1" applyFill="1" applyBorder="1"/>
    <xf numFmtId="2" fontId="2" fillId="0" borderId="8" xfId="0" applyNumberFormat="1" applyFont="1" applyFill="1" applyBorder="1"/>
    <xf numFmtId="165" fontId="2" fillId="0" borderId="8" xfId="0" applyNumberFormat="1" applyFont="1" applyFill="1" applyBorder="1"/>
    <xf numFmtId="14" fontId="2" fillId="4" borderId="1" xfId="0" applyNumberFormat="1" applyFont="1" applyFill="1" applyBorder="1"/>
    <xf numFmtId="14" fontId="2" fillId="0" borderId="1" xfId="0" applyNumberFormat="1" applyFont="1" applyBorder="1"/>
    <xf numFmtId="0" fontId="4" fillId="7" borderId="14" xfId="0" applyFont="1" applyFill="1" applyBorder="1"/>
    <xf numFmtId="0" fontId="4" fillId="2" borderId="14" xfId="0" applyFont="1" applyFill="1" applyBorder="1"/>
    <xf numFmtId="0" fontId="2" fillId="7" borderId="13" xfId="0" applyFont="1" applyFill="1" applyBorder="1"/>
    <xf numFmtId="0" fontId="2" fillId="2" borderId="13" xfId="0" applyFont="1" applyFill="1" applyBorder="1"/>
    <xf numFmtId="0" fontId="2" fillId="7" borderId="8" xfId="0" applyFont="1" applyFill="1" applyBorder="1"/>
    <xf numFmtId="0" fontId="2" fillId="2" borderId="8" xfId="0" applyFont="1" applyFill="1" applyBorder="1"/>
    <xf numFmtId="0" fontId="2" fillId="7" borderId="15" xfId="0" applyFont="1" applyFill="1" applyBorder="1"/>
    <xf numFmtId="0" fontId="2" fillId="2" borderId="12" xfId="0" applyFont="1" applyFill="1" applyBorder="1"/>
    <xf numFmtId="0" fontId="2" fillId="7" borderId="12" xfId="0" applyFont="1" applyFill="1" applyBorder="1"/>
    <xf numFmtId="49" fontId="2" fillId="0" borderId="0" xfId="0" applyNumberFormat="1" applyFont="1"/>
    <xf numFmtId="165" fontId="2" fillId="0" borderId="0" xfId="0" applyNumberFormat="1" applyFont="1"/>
    <xf numFmtId="0" fontId="2" fillId="0" borderId="0" xfId="0" applyFont="1" applyBorder="1"/>
    <xf numFmtId="0" fontId="6" fillId="6" borderId="11" xfId="0" applyFont="1" applyFill="1" applyBorder="1"/>
    <xf numFmtId="166" fontId="2" fillId="0" borderId="0" xfId="0" applyNumberFormat="1" applyFont="1"/>
    <xf numFmtId="0" fontId="2" fillId="0" borderId="0" xfId="0" applyFont="1" applyFill="1" applyBorder="1"/>
    <xf numFmtId="7" fontId="2" fillId="0" borderId="3" xfId="1" applyNumberFormat="1" applyFont="1" applyFill="1" applyBorder="1"/>
    <xf numFmtId="7" fontId="4" fillId="0" borderId="3" xfId="1" applyNumberFormat="1" applyFont="1" applyFill="1" applyBorder="1"/>
    <xf numFmtId="7" fontId="2" fillId="0" borderId="9" xfId="1" applyNumberFormat="1" applyFont="1" applyFill="1" applyBorder="1"/>
    <xf numFmtId="7" fontId="2" fillId="0" borderId="0" xfId="1" applyNumberFormat="1" applyFont="1"/>
    <xf numFmtId="0" fontId="2" fillId="5" borderId="0" xfId="0" applyFont="1" applyFill="1"/>
    <xf numFmtId="2" fontId="2" fillId="0" borderId="1" xfId="0" applyNumberFormat="1" applyFont="1" applyBorder="1"/>
    <xf numFmtId="0" fontId="6" fillId="6" borderId="16" xfId="0" applyFont="1" applyFill="1" applyBorder="1"/>
    <xf numFmtId="49" fontId="6" fillId="6" borderId="16" xfId="0" applyNumberFormat="1" applyFont="1" applyFill="1" applyBorder="1"/>
    <xf numFmtId="166" fontId="6" fillId="6" borderId="16" xfId="0" applyNumberFormat="1" applyFont="1" applyFill="1" applyBorder="1"/>
    <xf numFmtId="165" fontId="6" fillId="6" borderId="16" xfId="0" applyNumberFormat="1" applyFont="1" applyFill="1" applyBorder="1"/>
    <xf numFmtId="168" fontId="6" fillId="6" borderId="16" xfId="1" applyNumberFormat="1" applyFont="1" applyFill="1" applyBorder="1"/>
    <xf numFmtId="0" fontId="6" fillId="6" borderId="16" xfId="1" applyNumberFormat="1" applyFont="1" applyFill="1" applyBorder="1"/>
    <xf numFmtId="44" fontId="5" fillId="3" borderId="16" xfId="1" applyFont="1" applyFill="1" applyBorder="1"/>
    <xf numFmtId="2" fontId="6" fillId="6" borderId="16" xfId="0" applyNumberFormat="1" applyFont="1" applyFill="1" applyBorder="1"/>
    <xf numFmtId="2" fontId="2" fillId="0" borderId="0" xfId="0" applyNumberFormat="1" applyFont="1" applyBorder="1"/>
    <xf numFmtId="2" fontId="2" fillId="0" borderId="8" xfId="0" applyNumberFormat="1" applyFont="1" applyBorder="1"/>
    <xf numFmtId="0" fontId="2" fillId="0" borderId="8" xfId="0" applyFont="1" applyBorder="1"/>
    <xf numFmtId="165" fontId="2" fillId="0" borderId="1" xfId="0" applyNumberFormat="1" applyFont="1" applyBorder="1"/>
    <xf numFmtId="2" fontId="2" fillId="5" borderId="0" xfId="0" applyNumberFormat="1" applyFont="1" applyFill="1" applyBorder="1"/>
    <xf numFmtId="0" fontId="3" fillId="3" borderId="1" xfId="0" applyFont="1" applyFill="1" applyBorder="1"/>
    <xf numFmtId="168" fontId="2" fillId="0" borderId="1" xfId="1" applyNumberFormat="1" applyFont="1" applyBorder="1"/>
    <xf numFmtId="168" fontId="3" fillId="3" borderId="1" xfId="1" applyNumberFormat="1" applyFont="1" applyFill="1" applyBorder="1"/>
    <xf numFmtId="168" fontId="2" fillId="0" borderId="8" xfId="1" applyNumberFormat="1" applyFont="1" applyBorder="1"/>
    <xf numFmtId="0" fontId="2" fillId="0" borderId="1" xfId="1" applyNumberFormat="1" applyFont="1" applyBorder="1"/>
    <xf numFmtId="0" fontId="3" fillId="3" borderId="1" xfId="1" applyNumberFormat="1" applyFont="1" applyFill="1" applyBorder="1"/>
    <xf numFmtId="0" fontId="3" fillId="0" borderId="1" xfId="1" applyNumberFormat="1" applyFont="1" applyFill="1" applyBorder="1"/>
    <xf numFmtId="0" fontId="2" fillId="0" borderId="8" xfId="1" applyNumberFormat="1" applyFont="1" applyBorder="1"/>
    <xf numFmtId="49" fontId="2" fillId="0" borderId="1" xfId="0" applyNumberFormat="1" applyFont="1" applyBorder="1" applyAlignment="1">
      <alignment horizontal="right"/>
    </xf>
    <xf numFmtId="166" fontId="2" fillId="0" borderId="1" xfId="0" applyNumberFormat="1" applyFont="1" applyBorder="1"/>
    <xf numFmtId="2" fontId="2" fillId="3" borderId="1" xfId="0" applyNumberFormat="1" applyFont="1" applyFill="1" applyBorder="1"/>
    <xf numFmtId="168" fontId="8" fillId="0" borderId="1" xfId="1" applyNumberFormat="1" applyFont="1" applyFill="1" applyBorder="1"/>
    <xf numFmtId="0" fontId="8" fillId="0" borderId="1" xfId="1" applyNumberFormat="1" applyFont="1" applyFill="1" applyBorder="1"/>
    <xf numFmtId="0" fontId="2" fillId="5" borderId="1" xfId="0" applyFont="1" applyFill="1" applyBorder="1"/>
    <xf numFmtId="2" fontId="2" fillId="5" borderId="1" xfId="0" applyNumberFormat="1" applyFont="1" applyFill="1" applyBorder="1"/>
    <xf numFmtId="169" fontId="3" fillId="3" borderId="1" xfId="1" applyNumberFormat="1" applyFont="1" applyFill="1" applyBorder="1"/>
    <xf numFmtId="169" fontId="8" fillId="4" borderId="1" xfId="1" applyNumberFormat="1" applyFont="1" applyFill="1" applyBorder="1"/>
    <xf numFmtId="169" fontId="8" fillId="0" borderId="1" xfId="1" applyNumberFormat="1" applyFont="1" applyBorder="1"/>
    <xf numFmtId="169" fontId="2" fillId="4" borderId="1" xfId="1" applyNumberFormat="1" applyFont="1" applyFill="1" applyBorder="1"/>
    <xf numFmtId="169" fontId="2" fillId="0" borderId="1" xfId="1" applyNumberFormat="1" applyFont="1" applyBorder="1"/>
    <xf numFmtId="0" fontId="6" fillId="6" borderId="10" xfId="0" applyFont="1" applyFill="1" applyBorder="1"/>
    <xf numFmtId="2" fontId="2" fillId="0" borderId="3" xfId="0" applyNumberFormat="1" applyFont="1" applyBorder="1"/>
    <xf numFmtId="169" fontId="5" fillId="3" borderId="5" xfId="1" applyNumberFormat="1" applyFont="1" applyFill="1" applyBorder="1"/>
    <xf numFmtId="169" fontId="5" fillId="3" borderId="6" xfId="1" applyNumberFormat="1" applyFont="1" applyFill="1" applyBorder="1"/>
    <xf numFmtId="2" fontId="2" fillId="5" borderId="3" xfId="0" applyNumberFormat="1" applyFont="1" applyFill="1" applyBorder="1"/>
    <xf numFmtId="0" fontId="6" fillId="0" borderId="0" xfId="0" applyFont="1" applyFill="1" applyBorder="1"/>
    <xf numFmtId="169" fontId="5" fillId="3" borderId="4" xfId="1" applyNumberFormat="1" applyFont="1" applyFill="1" applyBorder="1"/>
    <xf numFmtId="7" fontId="2" fillId="0" borderId="0" xfId="1" applyNumberFormat="1" applyFont="1" applyFill="1" applyBorder="1"/>
    <xf numFmtId="7" fontId="2" fillId="0" borderId="1" xfId="1" applyNumberFormat="1" applyFont="1" applyFill="1" applyBorder="1"/>
    <xf numFmtId="44" fontId="2" fillId="0" borderId="1" xfId="1" applyFont="1" applyFill="1" applyBorder="1"/>
    <xf numFmtId="0" fontId="2" fillId="0" borderId="0" xfId="0" applyFont="1" applyFill="1"/>
    <xf numFmtId="0" fontId="8" fillId="4" borderId="1" xfId="0" applyFont="1" applyFill="1" applyBorder="1"/>
    <xf numFmtId="14" fontId="2" fillId="4" borderId="8" xfId="0" applyNumberFormat="1" applyFont="1" applyFill="1" applyBorder="1"/>
    <xf numFmtId="49" fontId="2" fillId="0" borderId="8" xfId="0" applyNumberFormat="1" applyFont="1" applyBorder="1" applyAlignment="1">
      <alignment horizontal="right"/>
    </xf>
    <xf numFmtId="166" fontId="2" fillId="0" borderId="8" xfId="0" applyNumberFormat="1" applyFont="1" applyBorder="1"/>
    <xf numFmtId="165" fontId="2" fillId="0" borderId="8" xfId="0" applyNumberFormat="1" applyFont="1" applyBorder="1"/>
    <xf numFmtId="165" fontId="2" fillId="3" borderId="8" xfId="0" applyNumberFormat="1" applyFont="1" applyFill="1" applyBorder="1"/>
    <xf numFmtId="165" fontId="0" fillId="0" borderId="0" xfId="0" applyNumberFormat="1"/>
    <xf numFmtId="0" fontId="9" fillId="0" borderId="1" xfId="0" pivotButton="1" applyFont="1" applyBorder="1"/>
    <xf numFmtId="0" fontId="9" fillId="0" borderId="1" xfId="0" applyFont="1" applyBorder="1"/>
    <xf numFmtId="165" fontId="9" fillId="0" borderId="1" xfId="0" applyNumberFormat="1" applyFont="1" applyBorder="1"/>
    <xf numFmtId="14" fontId="9" fillId="0" borderId="1" xfId="0" applyNumberFormat="1" applyFont="1" applyBorder="1"/>
    <xf numFmtId="0" fontId="9" fillId="0" borderId="1" xfId="0" applyNumberFormat="1" applyFont="1" applyBorder="1"/>
    <xf numFmtId="165" fontId="9" fillId="3" borderId="1" xfId="0" applyNumberFormat="1" applyFont="1" applyFill="1" applyBorder="1"/>
    <xf numFmtId="0" fontId="2" fillId="0" borderId="17" xfId="0" applyFont="1" applyBorder="1"/>
    <xf numFmtId="14" fontId="2" fillId="9" borderId="8" xfId="0" applyNumberFormat="1" applyFont="1" applyFill="1" applyBorder="1"/>
    <xf numFmtId="0" fontId="2" fillId="5" borderId="8" xfId="0" applyFont="1" applyFill="1" applyBorder="1"/>
    <xf numFmtId="49" fontId="2" fillId="5" borderId="8" xfId="0" applyNumberFormat="1" applyFont="1" applyFill="1" applyBorder="1" applyAlignment="1">
      <alignment horizontal="right"/>
    </xf>
    <xf numFmtId="166" fontId="2" fillId="5" borderId="8" xfId="0" applyNumberFormat="1" applyFont="1" applyFill="1" applyBorder="1"/>
    <xf numFmtId="165" fontId="2" fillId="5" borderId="8" xfId="0" applyNumberFormat="1" applyFont="1" applyFill="1" applyBorder="1"/>
    <xf numFmtId="168" fontId="2" fillId="5" borderId="8" xfId="1" applyNumberFormat="1" applyFont="1" applyFill="1" applyBorder="1"/>
    <xf numFmtId="0" fontId="2" fillId="5" borderId="8" xfId="1" applyNumberFormat="1" applyFont="1" applyFill="1" applyBorder="1"/>
    <xf numFmtId="2" fontId="2" fillId="5" borderId="8" xfId="0" applyNumberFormat="1" applyFont="1" applyFill="1" applyBorder="1"/>
    <xf numFmtId="0" fontId="10" fillId="5" borderId="0" xfId="0" applyFont="1" applyFill="1"/>
    <xf numFmtId="0" fontId="2" fillId="5" borderId="0" xfId="0" applyFont="1" applyFill="1" applyBorder="1"/>
    <xf numFmtId="164" fontId="2" fillId="0" borderId="0" xfId="0" applyNumberFormat="1" applyFont="1" applyFill="1" applyBorder="1"/>
    <xf numFmtId="0" fontId="2" fillId="0" borderId="18" xfId="0" applyFont="1" applyBorder="1"/>
    <xf numFmtId="7" fontId="2" fillId="0" borderId="0" xfId="0" applyNumberFormat="1" applyFont="1"/>
    <xf numFmtId="164" fontId="2" fillId="10" borderId="1" xfId="0" applyNumberFormat="1" applyFont="1" applyFill="1" applyBorder="1"/>
    <xf numFmtId="169" fontId="8" fillId="10" borderId="1" xfId="1" applyNumberFormat="1" applyFont="1" applyFill="1" applyBorder="1"/>
    <xf numFmtId="16" fontId="2" fillId="10" borderId="19" xfId="0" applyNumberFormat="1" applyFont="1" applyFill="1" applyBorder="1"/>
    <xf numFmtId="0" fontId="2" fillId="10" borderId="19" xfId="0" applyFont="1" applyFill="1" applyBorder="1"/>
    <xf numFmtId="0" fontId="2" fillId="10" borderId="17" xfId="0" applyFont="1" applyFill="1" applyBorder="1"/>
    <xf numFmtId="168" fontId="2" fillId="8" borderId="8" xfId="1" applyNumberFormat="1" applyFont="1" applyFill="1" applyBorder="1"/>
    <xf numFmtId="164" fontId="2" fillId="0" borderId="0" xfId="0" applyNumberFormat="1" applyFont="1"/>
    <xf numFmtId="164" fontId="2" fillId="5" borderId="0" xfId="0" applyNumberFormat="1" applyFont="1" applyFill="1"/>
    <xf numFmtId="164" fontId="2" fillId="0" borderId="1" xfId="0" applyNumberFormat="1" applyFont="1" applyBorder="1"/>
    <xf numFmtId="16" fontId="2" fillId="0" borderId="1" xfId="0" applyNumberFormat="1" applyFont="1" applyBorder="1"/>
    <xf numFmtId="165" fontId="2" fillId="0" borderId="0" xfId="0" applyNumberFormat="1" applyFont="1" applyFill="1"/>
    <xf numFmtId="169" fontId="11" fillId="8" borderId="1" xfId="1" applyNumberFormat="1" applyFont="1" applyFill="1" applyBorder="1" applyAlignment="1">
      <alignment horizontal="center" vertical="center"/>
    </xf>
    <xf numFmtId="164" fontId="11" fillId="8" borderId="1" xfId="0" applyNumberFormat="1" applyFont="1" applyFill="1" applyBorder="1" applyAlignment="1">
      <alignment horizontal="center" vertical="center"/>
    </xf>
    <xf numFmtId="0" fontId="12" fillId="0" borderId="4" xfId="0" applyFont="1" applyFill="1" applyBorder="1"/>
    <xf numFmtId="164" fontId="12" fillId="0" borderId="5" xfId="0" applyNumberFormat="1" applyFont="1" applyFill="1" applyBorder="1"/>
    <xf numFmtId="4" fontId="12" fillId="0" borderId="5" xfId="0" applyNumberFormat="1" applyFont="1" applyFill="1" applyBorder="1"/>
    <xf numFmtId="165" fontId="12" fillId="0" borderId="5" xfId="0" applyNumberFormat="1" applyFont="1" applyFill="1" applyBorder="1"/>
    <xf numFmtId="7" fontId="12" fillId="0" borderId="6" xfId="1" applyNumberFormat="1" applyFont="1" applyFill="1" applyBorder="1"/>
    <xf numFmtId="0" fontId="2" fillId="0" borderId="13" xfId="0" applyFont="1" applyFill="1" applyBorder="1"/>
    <xf numFmtId="0" fontId="2" fillId="4" borderId="1" xfId="0" applyFont="1" applyFill="1" applyBorder="1"/>
    <xf numFmtId="169" fontId="8" fillId="4" borderId="1" xfId="1" applyNumberFormat="1" applyFont="1" applyFill="1" applyBorder="1" applyAlignment="1">
      <alignment horizontal="left"/>
    </xf>
    <xf numFmtId="0" fontId="2" fillId="3" borderId="1" xfId="0" applyFont="1" applyFill="1" applyBorder="1"/>
    <xf numFmtId="0" fontId="2" fillId="3" borderId="8" xfId="0" applyFont="1" applyFill="1" applyBorder="1"/>
    <xf numFmtId="0" fontId="2" fillId="3" borderId="0" xfId="0" applyFont="1" applyFill="1" applyBorder="1"/>
    <xf numFmtId="164" fontId="2" fillId="3" borderId="0" xfId="0" applyNumberFormat="1" applyFont="1" applyFill="1" applyBorder="1"/>
    <xf numFmtId="2" fontId="2" fillId="3" borderId="0" xfId="0" applyNumberFormat="1" applyFont="1" applyFill="1" applyBorder="1"/>
    <xf numFmtId="165" fontId="2" fillId="3" borderId="0" xfId="0" applyNumberFormat="1" applyFont="1" applyFill="1" applyBorder="1"/>
    <xf numFmtId="7" fontId="2" fillId="3" borderId="0" xfId="1" applyNumberFormat="1" applyFont="1" applyFill="1" applyBorder="1"/>
    <xf numFmtId="0" fontId="2" fillId="3" borderId="0" xfId="0" applyFont="1" applyFill="1"/>
    <xf numFmtId="165" fontId="2" fillId="3" borderId="1" xfId="0" applyNumberFormat="1" applyFont="1" applyFill="1" applyBorder="1"/>
    <xf numFmtId="0" fontId="2" fillId="7" borderId="1" xfId="0" applyFont="1" applyFill="1" applyBorder="1"/>
    <xf numFmtId="164" fontId="2" fillId="7" borderId="1" xfId="0" applyNumberFormat="1" applyFont="1" applyFill="1" applyBorder="1"/>
    <xf numFmtId="169" fontId="8" fillId="7" borderId="1" xfId="1" applyNumberFormat="1" applyFont="1" applyFill="1" applyBorder="1"/>
    <xf numFmtId="0" fontId="2" fillId="0" borderId="8" xfId="0" applyFont="1" applyFill="1" applyBorder="1"/>
    <xf numFmtId="0" fontId="4" fillId="0" borderId="0" xfId="0" applyFont="1"/>
    <xf numFmtId="0" fontId="3" fillId="0" borderId="1" xfId="0" applyFont="1" applyFill="1" applyBorder="1"/>
    <xf numFmtId="168" fontId="3" fillId="0" borderId="1" xfId="1" applyNumberFormat="1" applyFont="1" applyFill="1" applyBorder="1"/>
    <xf numFmtId="170" fontId="2" fillId="0" borderId="0" xfId="0" applyNumberFormat="1" applyFont="1"/>
    <xf numFmtId="171" fontId="2" fillId="0" borderId="0" xfId="0" applyNumberFormat="1" applyFont="1"/>
    <xf numFmtId="44" fontId="2" fillId="0" borderId="0" xfId="1" applyFont="1"/>
    <xf numFmtId="167" fontId="2" fillId="0" borderId="0" xfId="0" applyNumberFormat="1" applyFont="1"/>
    <xf numFmtId="0" fontId="10" fillId="0" borderId="0" xfId="0" applyFont="1" applyFill="1" applyBorder="1" applyAlignment="1">
      <alignment horizontal="right"/>
    </xf>
    <xf numFmtId="0" fontId="10" fillId="0" borderId="0" xfId="0" applyFont="1" applyFill="1" applyBorder="1" applyAlignment="1">
      <alignment horizontal="right" wrapText="1"/>
    </xf>
    <xf numFmtId="44" fontId="13" fillId="0" borderId="0" xfId="1" applyFont="1" applyFill="1" applyBorder="1" applyAlignment="1">
      <alignment horizontal="right" vertical="center"/>
    </xf>
    <xf numFmtId="44" fontId="10" fillId="0" borderId="0" xfId="1" applyFont="1" applyFill="1" applyBorder="1" applyAlignment="1">
      <alignment horizontal="right"/>
    </xf>
    <xf numFmtId="44" fontId="2" fillId="5" borderId="0" xfId="1" applyFont="1" applyFill="1"/>
    <xf numFmtId="0" fontId="10" fillId="0" borderId="0" xfId="0" applyFont="1"/>
    <xf numFmtId="44" fontId="10" fillId="0" borderId="0" xfId="1" applyFont="1"/>
    <xf numFmtId="167" fontId="0" fillId="7" borderId="1" xfId="0" applyNumberFormat="1" applyFont="1" applyFill="1" applyBorder="1"/>
    <xf numFmtId="167" fontId="2" fillId="7" borderId="1" xfId="0" applyNumberFormat="1" applyFont="1" applyFill="1" applyBorder="1"/>
    <xf numFmtId="0" fontId="2" fillId="0" borderId="20" xfId="0" applyFont="1" applyBorder="1"/>
    <xf numFmtId="0" fontId="2" fillId="0" borderId="19" xfId="0" applyFont="1" applyBorder="1"/>
    <xf numFmtId="0" fontId="2" fillId="7" borderId="20" xfId="0" applyFont="1" applyFill="1" applyBorder="1"/>
    <xf numFmtId="0" fontId="2" fillId="7" borderId="19" xfId="0" applyFont="1" applyFill="1" applyBorder="1"/>
    <xf numFmtId="169" fontId="3" fillId="3" borderId="21" xfId="1" applyNumberFormat="1" applyFont="1" applyFill="1" applyBorder="1"/>
    <xf numFmtId="16" fontId="2" fillId="0" borderId="19" xfId="0" applyNumberFormat="1" applyFont="1" applyBorder="1"/>
    <xf numFmtId="0" fontId="2" fillId="4" borderId="21" xfId="0" applyFont="1" applyFill="1" applyBorder="1"/>
    <xf numFmtId="44" fontId="2" fillId="4" borderId="1" xfId="1" applyNumberFormat="1" applyFont="1" applyFill="1" applyBorder="1" applyAlignment="1">
      <alignment horizontal="left"/>
    </xf>
    <xf numFmtId="169" fontId="2" fillId="7" borderId="1" xfId="1" applyNumberFormat="1" applyFont="1" applyFill="1" applyBorder="1"/>
    <xf numFmtId="0" fontId="2" fillId="0" borderId="21" xfId="0" applyFont="1" applyBorder="1"/>
    <xf numFmtId="44" fontId="2" fillId="0" borderId="1" xfId="1" applyNumberFormat="1" applyFont="1" applyBorder="1" applyAlignment="1">
      <alignment horizontal="left"/>
    </xf>
    <xf numFmtId="0" fontId="2" fillId="3" borderId="20" xfId="0" applyFont="1" applyFill="1" applyBorder="1"/>
    <xf numFmtId="0" fontId="2" fillId="5" borderId="19" xfId="0" applyFont="1" applyFill="1" applyBorder="1"/>
    <xf numFmtId="164" fontId="2" fillId="7" borderId="17" xfId="0" applyNumberFormat="1" applyFont="1" applyFill="1" applyBorder="1"/>
    <xf numFmtId="169" fontId="8" fillId="7" borderId="17" xfId="1" applyNumberFormat="1" applyFont="1" applyFill="1" applyBorder="1"/>
    <xf numFmtId="0" fontId="2" fillId="7" borderId="17" xfId="0" applyFont="1" applyFill="1" applyBorder="1"/>
    <xf numFmtId="164" fontId="2" fillId="7" borderId="5" xfId="0" applyNumberFormat="1" applyFont="1" applyFill="1" applyBorder="1"/>
    <xf numFmtId="169" fontId="8" fillId="7" borderId="5" xfId="1" applyNumberFormat="1" applyFont="1" applyFill="1" applyBorder="1"/>
    <xf numFmtId="164" fontId="2" fillId="7" borderId="8" xfId="0" applyNumberFormat="1" applyFont="1" applyFill="1" applyBorder="1"/>
    <xf numFmtId="169" fontId="8" fillId="7" borderId="8" xfId="1" applyNumberFormat="1" applyFont="1" applyFill="1" applyBorder="1"/>
    <xf numFmtId="164" fontId="2" fillId="7" borderId="1" xfId="0" applyNumberFormat="1" applyFont="1" applyFill="1" applyBorder="1" applyAlignment="1">
      <alignment wrapText="1"/>
    </xf>
    <xf numFmtId="0" fontId="2" fillId="3" borderId="8" xfId="1" applyNumberFormat="1" applyFont="1" applyFill="1" applyBorder="1"/>
    <xf numFmtId="169" fontId="2" fillId="7" borderId="20" xfId="1" applyNumberFormat="1" applyFont="1" applyFill="1" applyBorder="1"/>
    <xf numFmtId="44" fontId="2" fillId="7" borderId="19" xfId="1" applyNumberFormat="1" applyFont="1" applyFill="1" applyBorder="1" applyAlignment="1">
      <alignment horizontal="left"/>
    </xf>
    <xf numFmtId="0" fontId="2" fillId="0" borderId="8" xfId="1" applyNumberFormat="1" applyFont="1" applyFill="1" applyBorder="1"/>
    <xf numFmtId="43" fontId="2" fillId="0" borderId="0" xfId="0" applyNumberFormat="1" applyFont="1"/>
    <xf numFmtId="168" fontId="2" fillId="3" borderId="8" xfId="1" applyNumberFormat="1" applyFont="1" applyFill="1" applyBorder="1"/>
    <xf numFmtId="16" fontId="2" fillId="7" borderId="20" xfId="0" applyNumberFormat="1" applyFont="1" applyFill="1" applyBorder="1"/>
    <xf numFmtId="164" fontId="2" fillId="13" borderId="1" xfId="0" applyNumberFormat="1" applyFont="1" applyFill="1" applyBorder="1"/>
    <xf numFmtId="169" fontId="8" fillId="13" borderId="1" xfId="1" applyNumberFormat="1" applyFont="1" applyFill="1" applyBorder="1"/>
    <xf numFmtId="169" fontId="5" fillId="11" borderId="9" xfId="0" applyNumberFormat="1" applyFont="1" applyFill="1" applyBorder="1"/>
    <xf numFmtId="169" fontId="5" fillId="3" borderId="9" xfId="1" applyNumberFormat="1" applyFont="1" applyFill="1" applyBorder="1"/>
    <xf numFmtId="169" fontId="14" fillId="8" borderId="9" xfId="1" applyNumberFormat="1" applyFont="1" applyFill="1" applyBorder="1" applyAlignment="1">
      <alignment horizontal="center" vertical="center"/>
    </xf>
    <xf numFmtId="164" fontId="14" fillId="8" borderId="23" xfId="0" applyNumberFormat="1" applyFont="1" applyFill="1" applyBorder="1" applyAlignment="1">
      <alignment horizontal="center" vertical="center"/>
    </xf>
    <xf numFmtId="169" fontId="14" fillId="8" borderId="7" xfId="1" applyNumberFormat="1" applyFont="1" applyFill="1" applyBorder="1" applyAlignment="1">
      <alignment horizontal="center" vertical="center"/>
    </xf>
    <xf numFmtId="164" fontId="4" fillId="7" borderId="9" xfId="0" applyNumberFormat="1" applyFont="1" applyFill="1" applyBorder="1"/>
    <xf numFmtId="169" fontId="8" fillId="7" borderId="9" xfId="0" applyNumberFormat="1" applyFont="1" applyFill="1" applyBorder="1"/>
    <xf numFmtId="0" fontId="2" fillId="7" borderId="9" xfId="0" applyFont="1" applyFill="1" applyBorder="1"/>
    <xf numFmtId="44" fontId="2" fillId="7" borderId="9" xfId="1" applyNumberFormat="1" applyFont="1" applyFill="1" applyBorder="1" applyAlignment="1">
      <alignment horizontal="left"/>
    </xf>
    <xf numFmtId="164" fontId="2" fillId="7" borderId="9" xfId="0" applyNumberFormat="1" applyFont="1" applyFill="1" applyBorder="1"/>
    <xf numFmtId="164" fontId="4" fillId="0" borderId="9" xfId="0" applyNumberFormat="1" applyFont="1" applyBorder="1"/>
    <xf numFmtId="169" fontId="8" fillId="0" borderId="9" xfId="0" applyNumberFormat="1" applyFont="1" applyBorder="1"/>
    <xf numFmtId="0" fontId="2" fillId="0" borderId="9" xfId="0" applyFont="1" applyBorder="1"/>
    <xf numFmtId="44" fontId="2" fillId="0" borderId="9" xfId="1" applyNumberFormat="1" applyFont="1" applyBorder="1" applyAlignment="1">
      <alignment horizontal="left"/>
    </xf>
    <xf numFmtId="0" fontId="2" fillId="0" borderId="24" xfId="0" applyFont="1" applyBorder="1"/>
    <xf numFmtId="164" fontId="2" fillId="0" borderId="9" xfId="0" applyNumberFormat="1" applyFont="1" applyBorder="1"/>
    <xf numFmtId="169" fontId="8" fillId="0" borderId="8" xfId="1" applyNumberFormat="1" applyFont="1" applyBorder="1"/>
    <xf numFmtId="164" fontId="4" fillId="7" borderId="9" xfId="0" applyNumberFormat="1" applyFont="1" applyFill="1" applyBorder="1" applyAlignment="1">
      <alignment wrapText="1"/>
    </xf>
    <xf numFmtId="0" fontId="2" fillId="7" borderId="25" xfId="0" applyFont="1" applyFill="1" applyBorder="1"/>
    <xf numFmtId="44" fontId="2" fillId="7" borderId="23" xfId="1" applyNumberFormat="1" applyFont="1" applyFill="1" applyBorder="1" applyAlignment="1">
      <alignment horizontal="left"/>
    </xf>
    <xf numFmtId="0" fontId="2" fillId="7" borderId="26" xfId="0" applyFont="1" applyFill="1" applyBorder="1"/>
    <xf numFmtId="0" fontId="2" fillId="7" borderId="23" xfId="0" applyFont="1" applyFill="1" applyBorder="1"/>
    <xf numFmtId="0" fontId="2" fillId="7" borderId="27" xfId="0" applyFont="1" applyFill="1" applyBorder="1"/>
    <xf numFmtId="0" fontId="2" fillId="0" borderId="28" xfId="0" applyFont="1" applyBorder="1"/>
    <xf numFmtId="44" fontId="2" fillId="0" borderId="26" xfId="1" applyNumberFormat="1" applyFont="1" applyBorder="1" applyAlignment="1">
      <alignment horizontal="left"/>
    </xf>
    <xf numFmtId="0" fontId="2" fillId="0" borderId="26" xfId="0" applyFont="1" applyBorder="1"/>
    <xf numFmtId="0" fontId="2" fillId="0" borderId="29" xfId="0" applyFont="1" applyBorder="1"/>
    <xf numFmtId="169" fontId="2" fillId="7" borderId="28" xfId="1" applyNumberFormat="1" applyFont="1" applyFill="1" applyBorder="1"/>
    <xf numFmtId="44" fontId="2" fillId="7" borderId="26" xfId="1" applyNumberFormat="1" applyFont="1" applyFill="1" applyBorder="1" applyAlignment="1">
      <alignment horizontal="left"/>
    </xf>
    <xf numFmtId="0" fontId="2" fillId="7" borderId="29" xfId="0" applyFont="1" applyFill="1" applyBorder="1"/>
    <xf numFmtId="164" fontId="3" fillId="3" borderId="25" xfId="0" applyNumberFormat="1" applyFont="1" applyFill="1" applyBorder="1"/>
    <xf numFmtId="169" fontId="3" fillId="3" borderId="23" xfId="0" applyNumberFormat="1" applyFont="1" applyFill="1" applyBorder="1"/>
    <xf numFmtId="0" fontId="2" fillId="7" borderId="22" xfId="0" applyFont="1" applyFill="1" applyBorder="1"/>
    <xf numFmtId="44" fontId="15" fillId="0" borderId="1" xfId="1" applyFont="1" applyFill="1" applyBorder="1" applyAlignment="1">
      <alignment horizontal="right" vertical="center"/>
    </xf>
    <xf numFmtId="0" fontId="16" fillId="0" borderId="1" xfId="0" applyFont="1" applyBorder="1"/>
    <xf numFmtId="0" fontId="16" fillId="0" borderId="1" xfId="0" applyFont="1" applyBorder="1" applyAlignment="1">
      <alignment wrapText="1"/>
    </xf>
    <xf numFmtId="44" fontId="16" fillId="0" borderId="1" xfId="1" applyFont="1" applyFill="1" applyBorder="1"/>
    <xf numFmtId="44" fontId="16" fillId="0" borderId="1" xfId="1" applyFont="1" applyBorder="1"/>
    <xf numFmtId="169" fontId="17" fillId="14" borderId="9" xfId="0" applyNumberFormat="1" applyFont="1" applyFill="1" applyBorder="1" applyAlignment="1">
      <alignment horizontal="center" vertical="center"/>
    </xf>
    <xf numFmtId="0" fontId="4" fillId="12" borderId="9" xfId="0" applyFont="1" applyFill="1" applyBorder="1"/>
    <xf numFmtId="0" fontId="4" fillId="0" borderId="30" xfId="0" applyFont="1" applyBorder="1"/>
    <xf numFmtId="0" fontId="10" fillId="7" borderId="26" xfId="0" applyFont="1" applyFill="1" applyBorder="1"/>
    <xf numFmtId="44" fontId="10" fillId="7" borderId="26" xfId="0" applyNumberFormat="1" applyFont="1" applyFill="1" applyBorder="1"/>
    <xf numFmtId="0" fontId="2" fillId="3" borderId="2" xfId="0" applyFont="1" applyFill="1" applyBorder="1"/>
    <xf numFmtId="164" fontId="2" fillId="3" borderId="1" xfId="0" applyNumberFormat="1" applyFont="1" applyFill="1" applyBorder="1"/>
    <xf numFmtId="7" fontId="2" fillId="3" borderId="3" xfId="1" applyNumberFormat="1" applyFont="1" applyFill="1" applyBorder="1"/>
    <xf numFmtId="0" fontId="9" fillId="0" borderId="0" xfId="0" applyFont="1"/>
    <xf numFmtId="0" fontId="18" fillId="0" borderId="0" xfId="0" applyFont="1"/>
    <xf numFmtId="0" fontId="19" fillId="8" borderId="0" xfId="0" applyFont="1" applyFill="1"/>
    <xf numFmtId="0" fontId="20" fillId="0" borderId="0" xfId="0" applyFont="1"/>
    <xf numFmtId="0" fontId="2" fillId="15" borderId="0" xfId="0" applyFont="1" applyFill="1"/>
    <xf numFmtId="167" fontId="9" fillId="0" borderId="1" xfId="0" applyNumberFormat="1" applyFont="1" applyBorder="1"/>
    <xf numFmtId="170" fontId="9" fillId="0" borderId="1" xfId="0" applyNumberFormat="1" applyFont="1" applyBorder="1" applyAlignment="1">
      <alignment horizontal="left"/>
    </xf>
    <xf numFmtId="0" fontId="9" fillId="0" borderId="1" xfId="0" applyFont="1" applyBorder="1" applyAlignment="1">
      <alignment horizontal="left" indent="1"/>
    </xf>
    <xf numFmtId="0" fontId="9" fillId="3" borderId="1" xfId="0" applyNumberFormat="1" applyFont="1" applyFill="1" applyBorder="1"/>
    <xf numFmtId="0" fontId="21" fillId="0" borderId="1" xfId="0" applyNumberFormat="1" applyFont="1" applyFill="1" applyBorder="1"/>
    <xf numFmtId="0" fontId="18" fillId="0" borderId="16" xfId="0" applyFont="1" applyFill="1" applyBorder="1"/>
    <xf numFmtId="0" fontId="20" fillId="0" borderId="16" xfId="0" applyFont="1" applyFill="1" applyBorder="1"/>
    <xf numFmtId="0" fontId="20" fillId="3" borderId="0" xfId="0" applyFont="1" applyFill="1"/>
    <xf numFmtId="164" fontId="2" fillId="7" borderId="31" xfId="0" applyNumberFormat="1" applyFont="1" applyFill="1" applyBorder="1"/>
    <xf numFmtId="169" fontId="8" fillId="7" borderId="31" xfId="1" applyNumberFormat="1" applyFont="1" applyFill="1" applyBorder="1"/>
    <xf numFmtId="44" fontId="2" fillId="7" borderId="19" xfId="1" applyFont="1" applyFill="1" applyBorder="1"/>
    <xf numFmtId="7" fontId="2" fillId="0" borderId="9" xfId="0" applyNumberFormat="1" applyFont="1" applyFill="1" applyBorder="1"/>
    <xf numFmtId="2" fontId="2" fillId="3" borderId="3" xfId="0" applyNumberFormat="1" applyFont="1" applyFill="1" applyBorder="1"/>
  </cellXfs>
  <cellStyles count="2">
    <cellStyle name="Currency" xfId="1" builtinId="4"/>
    <cellStyle name="Normal" xfId="0" builtinId="0"/>
  </cellStyles>
  <dxfs count="210">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FF00"/>
        </patternFill>
      </fill>
    </dxf>
    <dxf>
      <fill>
        <patternFill patternType="solid">
          <bgColor rgb="FFFFFF00"/>
        </patternFill>
      </fill>
    </dxf>
    <dxf>
      <border outline="0">
        <left style="thin">
          <color indexed="64"/>
        </left>
      </border>
    </dxf>
    <dxf>
      <fill>
        <patternFill patternType="none">
          <bgColor auto="1"/>
        </patternFill>
      </fill>
    </dxf>
    <dxf>
      <font>
        <color rgb="FFFF0000"/>
      </font>
    </dxf>
    <dxf>
      <font>
        <color rgb="FFFF0000"/>
      </font>
    </dxf>
    <dxf>
      <fill>
        <patternFill patternType="none">
          <bgColor auto="1"/>
        </patternFill>
      </fill>
    </dxf>
    <dxf>
      <fill>
        <patternFill patternType="solid">
          <bgColor rgb="FFFFFF00"/>
        </patternFill>
      </fill>
    </dxf>
    <dxf>
      <fill>
        <patternFill>
          <bgColor rgb="FFFF0000"/>
        </patternFill>
      </fill>
    </dxf>
    <dxf>
      <fill>
        <patternFill>
          <bgColor rgb="FFFFFF00"/>
        </patternFill>
      </fill>
    </dxf>
    <dxf>
      <fill>
        <patternFill patternType="solid">
          <bgColor rgb="FFFF0000"/>
        </patternFill>
      </fill>
    </dxf>
    <dxf>
      <fill>
        <patternFill patternType="solid">
          <bgColor rgb="FFFFFF00"/>
        </patternFill>
      </fill>
    </dxf>
    <dxf>
      <font>
        <sz val="14"/>
      </font>
    </dxf>
    <dxf>
      <font>
        <sz val="14"/>
      </font>
    </dxf>
    <dxf>
      <font>
        <sz val="14"/>
      </font>
    </dxf>
    <dxf>
      <font>
        <sz val="14"/>
      </font>
    </dxf>
    <dxf>
      <font>
        <sz val="14"/>
      </font>
    </dxf>
    <dxf>
      <font>
        <sz val="14"/>
      </font>
    </dxf>
    <dxf>
      <font>
        <sz val="14"/>
      </font>
    </dxf>
    <dxf>
      <font>
        <sz val="14"/>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71" formatCode="_ [$₹-4009]\ * #,##0.00_ ;_ [$₹-4009]\ * \-#,##0.00_ ;_ [$₹-4009]\ * &quot;-&quot;??_ ;_ @_ "/>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numFmt numFmtId="164" formatCode="0.000"/>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numFmt numFmtId="170" formatCode="[$-14009]dd/mm/yy;@"/>
    </dxf>
    <dxf>
      <font>
        <b val="0"/>
        <i val="0"/>
        <strike val="0"/>
        <condense val="0"/>
        <extend val="0"/>
        <outline val="0"/>
        <shadow val="0"/>
        <u val="none"/>
        <vertAlign val="baseline"/>
        <sz val="18"/>
        <color theme="1"/>
        <name val="Aptos Narrow"/>
        <family val="2"/>
        <scheme val="minor"/>
      </font>
    </dxf>
    <dxf>
      <fill>
        <patternFill patternType="solid">
          <bgColor rgb="FFFFFF00"/>
        </patternFill>
      </fill>
    </dxf>
    <dxf>
      <fill>
        <patternFill patternType="solid">
          <bgColor rgb="FFFFFF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00"/>
    </dxf>
    <dxf>
      <numFmt numFmtId="165" formatCode="&quot;₹&quot;\ #,##0.00"/>
    </dxf>
    <dxf>
      <numFmt numFmtId="165" formatCode="&quot;₹&quot;\ #,##0.00"/>
    </dxf>
    <dxf>
      <numFmt numFmtId="165" formatCode="&quot;₹&quot;\ #,##0.00"/>
    </dxf>
    <dxf>
      <numFmt numFmtId="165" formatCode="&quot;₹&quot;\ #,##0.00"/>
    </dxf>
    <dxf>
      <numFmt numFmtId="165" formatCode="&quot;₹&quot;\ #,##0.00"/>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sz val="14"/>
      </font>
    </dxf>
    <dxf>
      <font>
        <b val="0"/>
        <i val="0"/>
        <strike val="0"/>
        <condense val="0"/>
        <extend val="0"/>
        <outline val="0"/>
        <shadow val="0"/>
        <u val="none"/>
        <vertAlign val="baseline"/>
        <sz val="18"/>
        <color auto="1"/>
        <name val="Aptos Narrow"/>
        <family val="2"/>
        <scheme val="minor"/>
      </font>
      <numFmt numFmtId="169" formatCode="_ &quot;₹&quot;\ * #,##0_ ;_ &quot;₹&quot;\ * \-#,##0_ ;_ &quot;₹&quot;\ * &quot;-&quot;??_ ;_ @_ "/>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sz val="18"/>
      </font>
      <numFmt numFmtId="164" formatCode="0.000"/>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border outline="0">
        <right style="thin">
          <color indexed="64"/>
        </right>
        <top style="thin">
          <color indexed="64"/>
        </top>
      </border>
    </dxf>
    <dxf>
      <border outline="0">
        <bottom style="thin">
          <color indexed="64"/>
        </bottom>
      </border>
    </dxf>
    <dxf>
      <font>
        <b/>
        <i val="0"/>
        <strike val="0"/>
        <condense val="0"/>
        <extend val="0"/>
        <outline val="0"/>
        <shadow val="0"/>
        <u val="none"/>
        <vertAlign val="baseline"/>
        <sz val="18"/>
        <color rgb="FFFF0000"/>
        <name val="Aptos Narrow"/>
        <family val="2"/>
        <scheme val="minor"/>
      </font>
      <numFmt numFmtId="169" formatCode="_ &quot;₹&quot;\ * #,##0_ ;_ &quot;₹&quot;\ * \-#,##0_ ;_ &quot;₹&quot;\ * &quot;-&quot;??_ ;_ @_ "/>
      <fill>
        <patternFill patternType="solid">
          <fgColor indexed="64"/>
          <bgColor rgb="FFFFFF0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2" formatCode="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fill>
        <patternFill patternType="solid">
          <bgColor rgb="FFFFFF0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8" formatCode="_ * #,##0_ ;_ * \-#,##0_ ;_ * &quot;-&quot;??_ ;_ @_ "/>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5" formatCode="&quot;₹&quot;\ #,##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66" formatCode="#,##0.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30" formatCode="@"/>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8"/>
        <color theme="1"/>
        <name val="Aptos Narrow"/>
        <family val="2"/>
        <scheme val="minor"/>
      </font>
      <numFmt numFmtId="19" formatCode="dd/mm/yyyy"/>
      <fill>
        <patternFill patternType="solid">
          <fgColor theme="7" tint="0.79998168889431442"/>
          <bgColor theme="7" tint="0.79998168889431442"/>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left style="thin">
          <color indexed="64"/>
        </left>
        <top style="thin">
          <color indexed="64"/>
        </top>
      </border>
    </dxf>
    <dxf>
      <font>
        <b val="0"/>
        <i val="0"/>
        <strike val="0"/>
        <condense val="0"/>
        <extend val="0"/>
        <outline val="0"/>
        <shadow val="0"/>
        <u val="none"/>
        <vertAlign val="baseline"/>
        <sz val="18"/>
        <color theme="1"/>
        <name val="Aptos Narrow"/>
        <family val="2"/>
        <scheme val="minor"/>
      </font>
    </dxf>
    <dxf>
      <border outline="0">
        <bottom style="thin">
          <color indexed="64"/>
        </bottom>
      </border>
    </dxf>
    <dxf>
      <font>
        <b/>
        <i val="0"/>
        <strike val="0"/>
        <condense val="0"/>
        <extend val="0"/>
        <outline val="0"/>
        <shadow val="0"/>
        <u val="none"/>
        <vertAlign val="baseline"/>
        <sz val="18"/>
        <color theme="0"/>
        <name val="Aptos Narrow"/>
        <family val="2"/>
        <scheme val="minor"/>
      </font>
      <fill>
        <patternFill patternType="solid">
          <fgColor theme="7"/>
          <bgColor theme="7"/>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border diagonalUp="0" diagonalDown="0">
        <left style="thin">
          <color theme="5" tint="0.39997558519241921"/>
        </left>
        <right style="thin">
          <color theme="5" tint="0.39997558519241921"/>
        </right>
        <top style="thin">
          <color theme="5" tint="0.39997558519241921"/>
        </top>
        <bottom/>
        <vertical/>
        <horizontal/>
      </border>
    </dxf>
    <dxf>
      <border outline="0">
        <bottom style="thin">
          <color theme="5" tint="0.39997558519241921"/>
        </bottom>
      </border>
    </dxf>
    <dxf>
      <font>
        <b val="0"/>
        <i val="0"/>
        <strike val="0"/>
        <condense val="0"/>
        <extend val="0"/>
        <outline val="0"/>
        <shadow val="0"/>
        <u val="none"/>
        <vertAlign val="baseline"/>
        <sz val="18"/>
        <color theme="1"/>
        <name val="Aptos Narrow"/>
        <family val="2"/>
        <scheme val="minor"/>
      </font>
      <fill>
        <patternFill patternType="solid">
          <fgColor theme="4" tint="0.79998168889431442"/>
          <bgColor theme="4" tint="0.79998168889431442"/>
        </patternFill>
      </fill>
    </dxf>
    <dxf>
      <font>
        <b val="0"/>
        <i val="0"/>
        <strike val="0"/>
        <condense val="0"/>
        <extend val="0"/>
        <outline val="0"/>
        <shadow val="0"/>
        <u val="none"/>
        <vertAlign val="baseline"/>
        <sz val="18"/>
        <color theme="1"/>
        <name val="Aptos Narrow"/>
        <family val="2"/>
        <scheme val="minor"/>
      </font>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indexed="65"/>
        </patternFill>
      </fill>
      <border diagonalUp="0" diagonalDown="0" outline="0">
        <left style="thin">
          <color indexed="64"/>
        </left>
        <right/>
        <top style="thin">
          <color indexed="64"/>
        </top>
        <bottom/>
      </border>
    </dxf>
    <dxf>
      <font>
        <b val="0"/>
        <i val="0"/>
        <strike val="0"/>
        <condense val="0"/>
        <extend val="0"/>
        <outline val="0"/>
        <shadow val="0"/>
        <u val="none"/>
        <vertAlign val="baseline"/>
        <sz val="18"/>
        <color theme="1"/>
        <name val="Aptos Narrow"/>
        <family val="2"/>
        <scheme val="minor"/>
      </font>
      <numFmt numFmtId="11" formatCode="&quot;₹&quot;\ #,##0.00;&quot;₹&quot;\ \-#,##0.00"/>
      <fill>
        <patternFill patternType="none">
          <fgColor indexed="64"/>
          <bgColor auto="1"/>
        </patternFill>
      </fill>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5" formatCode="&quot;₹&quot;\ #,##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2" formatCode="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indexed="65"/>
        </patternFill>
      </fill>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numFmt numFmtId="164" formatCode="0.000"/>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indexed="65"/>
        </patternFill>
      </fill>
      <border diagonalUp="0" diagonalDown="0" outline="0">
        <left/>
        <right style="thin">
          <color indexed="64"/>
        </right>
        <top style="thin">
          <color indexed="64"/>
        </top>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8"/>
        <color theme="1"/>
        <name val="Aptos Narrow"/>
        <family val="2"/>
        <scheme val="minor"/>
      </font>
      <fill>
        <patternFill patternType="none">
          <fgColor indexed="64"/>
          <bgColor auto="1"/>
        </patternFill>
      </fill>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10</xdr:col>
      <xdr:colOff>91440</xdr:colOff>
      <xdr:row>10</xdr:row>
      <xdr:rowOff>198120</xdr:rowOff>
    </xdr:from>
    <xdr:to>
      <xdr:col>15</xdr:col>
      <xdr:colOff>883920</xdr:colOff>
      <xdr:row>15</xdr:row>
      <xdr:rowOff>198120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F0C372F3-A8A2-1F51-5DEF-133A771BFC3F}"/>
                </a:ext>
                <a:ext uri="{C183D7F6-B498-43B3-948B-1728B52AA6E4}">
                  <adec:decorative xmlns:adec="http://schemas.microsoft.com/office/drawing/2017/decorative" val="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567160" y="2560320"/>
              <a:ext cx="3840480" cy="1143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10</xdr:col>
      <xdr:colOff>30480</xdr:colOff>
      <xdr:row>0</xdr:row>
      <xdr:rowOff>60960</xdr:rowOff>
    </xdr:from>
    <xdr:to>
      <xdr:col>12</xdr:col>
      <xdr:colOff>259080</xdr:colOff>
      <xdr:row>8</xdr:row>
      <xdr:rowOff>182880</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0A57A8D5-F763-BE4D-85D9-787B12BA7C3F}"/>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10858500" y="60960"/>
              <a:ext cx="1569720" cy="2788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411480</xdr:colOff>
      <xdr:row>0</xdr:row>
      <xdr:rowOff>68580</xdr:rowOff>
    </xdr:from>
    <xdr:to>
      <xdr:col>15</xdr:col>
      <xdr:colOff>0</xdr:colOff>
      <xdr:row>8</xdr:row>
      <xdr:rowOff>220980</xdr:rowOff>
    </xdr:to>
    <mc:AlternateContent xmlns:mc="http://schemas.openxmlformats.org/markup-compatibility/2006" xmlns:a14="http://schemas.microsoft.com/office/drawing/2010/main">
      <mc:Choice Requires="a14">
        <xdr:graphicFrame macro="">
          <xdr:nvGraphicFramePr>
            <xdr:cNvPr id="4" name="ITEMS-CODE">
              <a:extLst>
                <a:ext uri="{FF2B5EF4-FFF2-40B4-BE49-F238E27FC236}">
                  <a16:creationId xmlns:a16="http://schemas.microsoft.com/office/drawing/2014/main" id="{A6847DB8-93C2-253A-A4BB-94D1BA110C7E}"/>
                </a:ext>
              </a:extLst>
            </xdr:cNvPr>
            <xdr:cNvGraphicFramePr/>
          </xdr:nvGraphicFramePr>
          <xdr:xfrm>
            <a:off x="0" y="0"/>
            <a:ext cx="0" cy="0"/>
          </xdr:xfrm>
          <a:graphic>
            <a:graphicData uri="http://schemas.microsoft.com/office/drawing/2010/slicer">
              <sle:slicer xmlns:sle="http://schemas.microsoft.com/office/drawing/2010/slicer" name="ITEMS-CODE"/>
            </a:graphicData>
          </a:graphic>
        </xdr:graphicFrame>
      </mc:Choice>
      <mc:Fallback xmlns="">
        <xdr:sp macro="" textlink="">
          <xdr:nvSpPr>
            <xdr:cNvPr id="0" name=""/>
            <xdr:cNvSpPr>
              <a:spLocks noTextEdit="1"/>
            </xdr:cNvSpPr>
          </xdr:nvSpPr>
          <xdr:spPr>
            <a:xfrm>
              <a:off x="12603480" y="68580"/>
              <a:ext cx="156972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533400</xdr:colOff>
      <xdr:row>1</xdr:row>
      <xdr:rowOff>106680</xdr:rowOff>
    </xdr:from>
    <xdr:to>
      <xdr:col>12</xdr:col>
      <xdr:colOff>396240</xdr:colOff>
      <xdr:row>6</xdr:row>
      <xdr:rowOff>22860</xdr:rowOff>
    </xdr:to>
    <mc:AlternateContent xmlns:mc="http://schemas.openxmlformats.org/markup-compatibility/2006" xmlns:tsle="http://schemas.microsoft.com/office/drawing/2012/timeslicer">
      <mc:Choice Requires="tsle">
        <xdr:graphicFrame macro="">
          <xdr:nvGraphicFramePr>
            <xdr:cNvPr id="2" name="DATE ">
              <a:extLst>
                <a:ext uri="{FF2B5EF4-FFF2-40B4-BE49-F238E27FC236}">
                  <a16:creationId xmlns:a16="http://schemas.microsoft.com/office/drawing/2014/main" id="{A061C107-0251-7DBB-3CE4-CDF64EB48A38}"/>
                </a:ext>
              </a:extLst>
            </xdr:cNvPr>
            <xdr:cNvGraphicFramePr/>
          </xdr:nvGraphicFramePr>
          <xdr:xfrm>
            <a:off x="0" y="0"/>
            <a:ext cx="0" cy="0"/>
          </xdr:xfrm>
          <a:graphic>
            <a:graphicData uri="http://schemas.microsoft.com/office/drawing/2012/timeslicer">
              <tsle:timeslicer name="DATE "/>
            </a:graphicData>
          </a:graphic>
        </xdr:graphicFrame>
      </mc:Choice>
      <mc:Fallback xmlns="">
        <xdr:sp macro="" textlink="">
          <xdr:nvSpPr>
            <xdr:cNvPr id="0" name=""/>
            <xdr:cNvSpPr>
              <a:spLocks noTextEdit="1"/>
            </xdr:cNvSpPr>
          </xdr:nvSpPr>
          <xdr:spPr>
            <a:xfrm>
              <a:off x="14752320" y="403860"/>
              <a:ext cx="3025140" cy="14020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86.514035995373" createdVersion="8" refreshedVersion="8" minRefreshableVersion="3" recordCount="13" xr:uid="{DF67947B-8889-43A7-8599-ADB0EA188A57}">
  <cacheSource type="worksheet">
    <worksheetSource name="Table2"/>
  </cacheSource>
  <cacheFields count="12">
    <cacheField name="DATE " numFmtId="170">
      <sharedItems containsSemiMixedTypes="0" containsNonDate="0" containsDate="1" containsString="0" minDate="2024-07-12T00:00:00" maxDate="2024-10-03T00:00:00" count="13">
        <d v="2024-07-12T00:00:00"/>
        <d v="2024-07-13T00:00:00"/>
        <d v="2024-07-14T00:00:00"/>
        <d v="2024-07-15T00:00:00"/>
        <d v="2024-08-07T00:00:00"/>
        <d v="2024-08-14T00:00:00"/>
        <d v="2024-08-24T00:00:00"/>
        <d v="2024-08-26T00:00:00"/>
        <d v="2024-08-28T00:00:00"/>
        <d v="2024-09-02T00:00:00"/>
        <d v="2024-09-13T00:00:00"/>
        <d v="2024-09-27T00:00:00"/>
        <d v="2024-10-02T00:00:00"/>
      </sharedItems>
      <fieldGroup par="11"/>
    </cacheField>
    <cacheField name="PLACE" numFmtId="0">
      <sharedItems/>
    </cacheField>
    <cacheField name="NAME" numFmtId="0">
      <sharedItems count="9">
        <s v="PRIYA SILVERS"/>
        <s v="SANGEETHA(MASS)"/>
        <s v="SAPTHAGIRI"/>
        <s v="SKANDHA SILVERS"/>
        <s v="PRINKA BULLION"/>
        <s v="IYANGRAN "/>
        <s v="PMC SON'S"/>
        <s v="MASS"/>
        <s v="SAMYAK"/>
      </sharedItems>
    </cacheField>
    <cacheField name="ITEMS" numFmtId="0">
      <sharedItems count="2">
        <s v="SILVER"/>
        <s v="GOLD"/>
      </sharedItems>
    </cacheField>
    <cacheField name="WEIGHT" numFmtId="164">
      <sharedItems containsSemiMixedTypes="0" containsString="0" containsNumber="1" minValue="4.0999999999999996" maxValue="1200"/>
    </cacheField>
    <cacheField name="RATE" numFmtId="171">
      <sharedItems containsSemiMixedTypes="0" containsString="0" containsNumber="1" minValue="63.68" maxValue="6756.94" count="12">
        <n v="127.6"/>
        <n v="95"/>
        <n v="6756.94"/>
        <n v="6748.76"/>
        <n v="63.68"/>
        <n v="79.260000000000005"/>
        <n v="84.27"/>
        <n v="6649.08"/>
        <n v="69.056299999999993"/>
        <n v="99"/>
        <n v="148"/>
        <n v="80.12"/>
      </sharedItems>
    </cacheField>
    <cacheField name="AMOUNT" numFmtId="44">
      <sharedItems containsSemiMixedTypes="0" containsString="0" containsNumber="1" containsInteger="1" minValue="3675" maxValue="200000"/>
    </cacheField>
    <cacheField name="GST" numFmtId="171">
      <sharedItems containsSemiMixedTypes="0" containsString="0" containsNumber="1" minValue="107.03883495145629" maxValue="5825.2427184466014"/>
    </cacheField>
    <cacheField name="TOTAL GOLD" numFmtId="0">
      <sharedItems containsString="0" containsBlank="1" containsNumber="1" minValue="50.81" maxValue="50.81"/>
    </cacheField>
    <cacheField name="TOTAL SIVER" numFmtId="0">
      <sharedItems containsString="0" containsBlank="1" containsNumber="1" minValue="4374.1299999999992" maxValue="4374.1299999999992"/>
    </cacheField>
    <cacheField name="Days (DATE )" numFmtId="0" databaseField="0">
      <fieldGroup base="0">
        <rangePr groupBy="days" startDate="2024-07-12T00:00:00" endDate="2024-10-03T00:00:00"/>
        <groupItems count="368">
          <s v="&lt;12-07-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0-2024"/>
        </groupItems>
      </fieldGroup>
    </cacheField>
    <cacheField name="Months (DATE )" numFmtId="0" databaseField="0">
      <fieldGroup base="0">
        <rangePr groupBy="months" startDate="2024-07-12T00:00:00" endDate="2024-10-03T00:00:00"/>
        <groupItems count="14">
          <s v="&lt;12-07-2024"/>
          <s v="Jan"/>
          <s v="Feb"/>
          <s v="Mar"/>
          <s v="Apr"/>
          <s v="May"/>
          <s v="Jun"/>
          <s v="Jul"/>
          <s v="Aug"/>
          <s v="Sep"/>
          <s v="Oct"/>
          <s v="Nov"/>
          <s v="Dec"/>
          <s v="&gt;03-10-2024"/>
        </groupItems>
      </fieldGroup>
    </cacheField>
  </cacheFields>
  <extLst>
    <ext xmlns:x14="http://schemas.microsoft.com/office/spreadsheetml/2009/9/main" uri="{725AE2AE-9491-48be-B2B4-4EB974FC3084}">
      <x14:pivotCacheDefinition pivotCacheId="1430532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AVANA" refreshedDate="45597.854357523145" createdVersion="8" refreshedVersion="8" minRefreshableVersion="3" recordCount="180" xr:uid="{139A95C6-017B-47C6-B11A-76CFF520780A}">
  <cacheSource type="worksheet">
    <worksheetSource name="Table8"/>
  </cacheSource>
  <cacheFields count="18">
    <cacheField name="DATE" numFmtId="14">
      <sharedItems containsSemiMixedTypes="0" containsNonDate="0" containsDate="1" containsString="0" minDate="1900-01-07T00:00:00" maxDate="2024-11-11T00:00:00" count="67">
        <d v="2024-08-03T00:00:00"/>
        <d v="2024-08-04T00:00:00"/>
        <d v="2024-08-05T00:00:00"/>
        <d v="2024-08-07T00:00:00"/>
        <d v="2024-08-08T00:00:00"/>
        <d v="2024-08-09T00:00:00"/>
        <d v="2024-08-12T00:00:00"/>
        <d v="2024-08-13T00:00:00"/>
        <d v="2024-08-14T00:00:00"/>
        <d v="2024-08-17T00:00:00"/>
        <d v="2024-08-19T00:00:00"/>
        <d v="2024-08-20T00:00:00"/>
        <d v="2024-08-21T00:00:00"/>
        <d v="2024-08-22T00:00:00"/>
        <d v="2024-08-23T00:00:00"/>
        <d v="2024-08-25T00:00:00"/>
        <d v="2024-08-26T00:00:00"/>
        <d v="2024-08-28T00:00:00"/>
        <d v="2024-09-03T00:00:00"/>
        <d v="2024-09-04T00:00:00"/>
        <d v="2024-09-05T00:00:00"/>
        <d v="2024-09-06T00:00:00"/>
        <d v="2024-09-07T00:00:00"/>
        <d v="2024-09-09T00:00:00"/>
        <d v="2024-09-10T00:00:00"/>
        <d v="2024-09-12T00:00:00"/>
        <d v="2024-09-13T00:00:00"/>
        <d v="2024-09-14T00:00:00"/>
        <d v="2024-09-15T00:00:00"/>
        <d v="2024-09-16T00:00:00"/>
        <d v="2024-09-18T00:00:00"/>
        <d v="2024-09-19T00:00:00"/>
        <d v="2024-09-24T00:00:00"/>
        <d v="2024-09-26T00:00:00"/>
        <d v="2024-09-27T00:00:00"/>
        <d v="2024-09-28T00:00:00"/>
        <d v="2024-09-29T00:00:00"/>
        <d v="2024-10-01T00:00:00"/>
        <d v="2024-10-02T00:00:00"/>
        <d v="2024-10-03T00:00:00"/>
        <d v="2024-10-05T00:00:00"/>
        <d v="2024-10-07T00:00:00"/>
        <d v="2024-10-09T00:00:00"/>
        <d v="2024-10-10T00:00:00"/>
        <d v="2024-10-11T00:00:00"/>
        <d v="2024-10-14T00:00:00"/>
        <d v="2024-10-15T00:00:00"/>
        <d v="2024-10-16T00:00:00"/>
        <d v="2024-10-17T00:00:00"/>
        <d v="2024-10-19T00:00:00"/>
        <d v="2024-10-22T00:00:00"/>
        <d v="2024-10-24T00:00:00"/>
        <d v="2024-10-26T00:00:00"/>
        <d v="2024-10-27T00:00:00"/>
        <d v="2024-10-28T00:00:00"/>
        <d v="2024-10-30T00:00:00"/>
        <d v="2024-10-31T00:00:00"/>
        <d v="2024-11-01T00:00:00"/>
        <d v="2024-11-10T00:00:00" u="1"/>
        <d v="2024-10-29T00:00:00" u="1"/>
        <d v="1900-01-07T00:00:00" u="1"/>
        <d v="2024-10-12T00:00:00" u="1"/>
        <d v="2024-01-11T00:00:00" u="1"/>
        <d v="2024-08-15T00:00:00" u="1"/>
        <d v="2024-08-16T00:00:00" u="1"/>
        <d v="2024-08-06T00:00:00" u="1"/>
        <d v="2024-08-27T00:00:00" u="1"/>
      </sharedItems>
    </cacheField>
    <cacheField name="ITEMS-CODE" numFmtId="0">
      <sharedItems count="186">
        <s v="G-RING-B7"/>
        <s v="G-CHAIN-ORDER-03-08"/>
        <s v="S-KAPPU-N-4"/>
        <s v="S-RING-15"/>
        <s v="S-RING-203"/>
        <s v="S-CHAIN-N-50"/>
        <s v="G-SIDE-N-MADURA"/>
        <s v="G-STUD-20"/>
        <s v="S-CHAIN-N-53"/>
        <s v="S-S-KOLUSU-74"/>
        <s v="S-S-KOLUSU-11"/>
        <s v="S-RING-117"/>
        <s v="S-RING-86"/>
        <s v="S-RING-113"/>
        <s v="S-RING-171"/>
        <s v="S-B-KOLUSU--33"/>
        <s v="S-S-KOLUSU-81"/>
        <s v="S-STUD-KRJ-1"/>
        <s v="G-STUD-26-07"/>
        <s v="S-S-KOLUSU-52"/>
        <s v="S-RING-135"/>
        <s v="S-S-KOLUSU-51"/>
        <s v="S-AARUNA-10"/>
        <s v="S-NAGASU-13-08"/>
        <s v="S-S-KOLUSU-54"/>
        <s v="S-S-KOLUSU-66"/>
        <s v="S-AARUNA-2"/>
        <s v="S-KAPPU-N-15"/>
        <s v="S-RING-44"/>
        <s v="S-RING-77"/>
        <s v="S-RING-184"/>
        <s v="G-CHAIN-ORDER-16-08"/>
        <s v="OLD GOLD SALE"/>
        <s v="S-RING-151"/>
        <s v="S-CHAIN-N-45"/>
        <s v="S-BARACELET-G-92.5-17"/>
        <s v="S-METTI-21-08"/>
        <s v="G-POTTU-MURUGAN"/>
        <s v="S-PP-MERUGU-21-08"/>
        <s v="S-RING-89"/>
        <s v="S-RING-132"/>
        <s v="S-MERUGU-22-07"/>
        <s v="S-RING-229"/>
        <s v="G-STUD-1"/>
        <s v="S-STUD-PRI-2"/>
        <s v="S-BARACELET-B-23"/>
        <s v="S-METTI-26-08"/>
        <s v="S-KAMACHI-LAMP"/>
        <s v="S-RING-53"/>
        <s v="S-STUD-MAS-4"/>
        <s v="S-RING-109"/>
        <s v="S-RING-187"/>
        <s v="G-TLI-MNI-THAYTH-2"/>
        <s v="SILVER BULLION"/>
        <s v="S-RING-196"/>
        <s v="SILVER COIN"/>
        <s v="S-STUD-MAS-5"/>
        <s v="S-THANDA-K7"/>
        <s v="S-RING-185"/>
        <s v="S-RING-195"/>
        <s v="S-RING-192"/>
        <s v="S-METTI-09-09"/>
        <s v="S-DOLLER-25"/>
        <s v="S-B-KOLUSU--15"/>
        <s v="S-METTI-FREE"/>
        <s v="S-B-KOLUSU--38"/>
        <s v="29-08 OLD-GOLD STUD"/>
        <s v="S-METTI-10-09"/>
        <s v="S-B-KOLUSU--16"/>
        <s v="S-RING-163"/>
        <s v="OLD MUTHTHU "/>
        <s v="S-CHAIN-N-55"/>
        <s v="CHAIN 23 GM BANK 03-09"/>
        <s v="KARUNGALI CHAIN 1"/>
        <s v="KARUNGALI BRACELET 2"/>
        <s v="G-RING-58-O"/>
        <s v="S-RING-122"/>
        <s v="S-RING-240"/>
        <s v="G-TLI-MNI-THAYTH-5"/>
        <s v="S-METTI-16-09"/>
        <s v="S-RING-27"/>
        <s v="S-RING-41"/>
        <s v="G-STUD-6"/>
        <s v="S-B-KOLUSU--12"/>
        <s v="S-BANGLE-4"/>
        <s v="S-B-KOLUSU--27"/>
        <s v="S-KAPPU-N-24"/>
        <s v="S-KAPPU-N-19"/>
        <s v="S-BARACELET-G-92.5-3"/>
        <s v="S-METTI-24-09"/>
        <s v="S-CHAIN-92.5-B-6"/>
        <s v="S-DOLLER-6"/>
        <s v="S-B-KOLUSU--54"/>
        <s v="S-METTI-26-09"/>
        <s v="S-RING-214"/>
        <s v="S-THAYATH"/>
        <s v="G-CHAIN-2"/>
        <s v="MADURA-G-KASU"/>
        <s v="S-BARACELET-B-17"/>
        <s v="MADURA-S-BRACELET"/>
        <s v="G-TLI-MNI-THAYTH-3"/>
        <s v="ORDER-BRACELET"/>
        <s v="S-DOLLER-34"/>
        <s v="S-DOLLER-35"/>
        <s v="G-RING-B20"/>
        <s v="G-STUD-32"/>
        <s v="S-RING-182"/>
        <s v="S-RING-12"/>
        <s v="G-PESERI-30-1"/>
        <s v="S-S-KOLUSU-80"/>
        <s v="S-CHAIN-N-43"/>
        <s v="ORDER-G-CHAIN-05-10"/>
        <s v="S-RING-224"/>
        <s v="NEW SIVER RING"/>
        <s v="GOLD COATIND CHAIN"/>
        <s v="S-FREE-COIN"/>
        <s v="G-STUD-23"/>
        <s v="S-CHAIN-92.5-B-4"/>
        <s v="S-DOLLER-2"/>
        <s v="FREE THAMBALAM"/>
        <s v="S-S-KOLUSU-53"/>
        <s v="S-METTI-10-10"/>
        <s v="S-DOLLER-20"/>
        <s v="S-CHAIN-N-63"/>
        <s v="S-KAPPU-N-26"/>
        <s v="S-B-KOLUSU--53"/>
        <s v="GOLD THIRUGANI"/>
        <s v="S-AARUNA-3"/>
        <s v="S-METTI-15-10"/>
        <s v="S-S-KOLUSU-40"/>
        <s v="ORDER G-THAYATH"/>
        <s v="MADURA S-THAYATH"/>
        <s v="S-RING-230"/>
        <s v="S-RING-263"/>
        <s v="S-RING-141"/>
        <s v="S-BARACELET-G-92.5-16"/>
        <s v="S-CHAIN-N-44"/>
        <s v="S-CHAIN-N-14"/>
        <s v="S-RING-128"/>
        <s v="S-B-KOLUSU--81"/>
        <s v="S-5-MUTHTHU"/>
        <s v="S-BARACELET-B-10"/>
        <s v="S-BARACELET-G-92.5-7"/>
        <s v="G-RING-B19"/>
        <s v="S-CHAIN-N-2"/>
        <s v="S-CHAIN-N-48"/>
        <s v="S-B-KOLUSU--48"/>
        <s v="S-B-KOLUSU--34"/>
        <s v="S-B-KOLUSU--7"/>
        <s v="S-S-KOLUSU-18"/>
        <s v="G-STUD-48"/>
        <s v="S-RING-82"/>
        <s v="S-KAPPU-N-16-1"/>
        <s v="S-RING-52"/>
        <s v="S-B-KOLUSU--72"/>
        <s v="S-3-MUTHTHU"/>
        <s v="S-STUD-PRI-3"/>
        <s v="S-METTI-31-10"/>
        <s v=""/>
        <s v="S-S-KOLUSU-96"/>
        <s v="G-PESERI-5-1"/>
        <s v="S-B-KOLUSU--57"/>
        <s v="S-METTI-1-11"/>
        <s v="S-CHAIN-N-51"/>
        <s v="S-RING-148"/>
        <s v="S-RING-244"/>
        <s v="S-RING-258" u="1"/>
        <s v=" " u="1"/>
        <s v="S-BARACELET-B-22" u="1"/>
        <s v="S-DOLLER-15" u="1"/>
        <s v="S-KAPPU-N-20" u="1"/>
        <s v="S-RING-91" u="1"/>
        <s v="S-RING-92" u="1"/>
        <s v="S-CHAIN-92.5-59" u="1"/>
        <s v="S-KAPPU-N-21" u="1"/>
        <s v="S-CHAIN-N-61" u="1"/>
        <s v="S-DOLLER-23" u="1"/>
        <s v="S-METTI-16-08" u="1"/>
        <s v="S-AARUNA-8" u="1"/>
        <s v="GOLD-OLD-ARUNA-8" u="1"/>
        <s v="SILVER OLD" u="1"/>
        <s v="S-AARUNA-16-08" u="1"/>
        <s v="G-PESERI-32-1" u="1"/>
        <s v="S-DOLLER-24" u="1"/>
        <s v="29-08 GOLD STUD" u="1"/>
        <s v="GOLD -OLD" u="1"/>
      </sharedItems>
    </cacheField>
    <cacheField name="Column2" numFmtId="0">
      <sharedItems containsBlank="1"/>
    </cacheField>
    <cacheField name="Column1" numFmtId="49">
      <sharedItems containsBlank="1" containsMixedTypes="1" containsNumber="1" containsInteger="1" minValue="7" maxValue="7"/>
    </cacheField>
    <cacheField name="WEIGHT" numFmtId="166">
      <sharedItems containsSemiMixedTypes="0" containsString="0" containsNumber="1" minValue="0" maxValue="161"/>
    </cacheField>
    <cacheField name="MELTING" numFmtId="0">
      <sharedItems containsSemiMixedTypes="0" containsString="0" containsNumber="1" minValue="0" maxValue="100"/>
    </cacheField>
    <cacheField name="WASTAGE" numFmtId="0">
      <sharedItems containsSemiMixedTypes="0" containsString="0" containsNumber="1" minValue="-71.5" maxValue="250"/>
    </cacheField>
    <cacheField name="P-RATE" numFmtId="165">
      <sharedItems containsSemiMixedTypes="0" containsString="0" containsNumber="1" minValue="0" maxValue="7770"/>
    </cacheField>
    <cacheField name="ORIGINAL PRICE" numFmtId="165">
      <sharedItems containsSemiMixedTypes="0" containsString="0" containsNumber="1" minValue="0" maxValue="166281.80399999997"/>
    </cacheField>
    <cacheField name="CASH-CUST" numFmtId="0">
      <sharedItems containsString="0" containsBlank="1" containsNumber="1" containsInteger="1" minValue="0" maxValue="176460"/>
    </cacheField>
    <cacheField name="BALANCE" numFmtId="0">
      <sharedItems containsString="0" containsBlank="1" containsNumber="1" containsInteger="1" minValue="0" maxValue="16000"/>
    </cacheField>
    <cacheField name="PROFIT" numFmtId="0">
      <sharedItems containsString="0" containsBlank="1" containsNumber="1" minValue="-12.699999999999989" maxValue="28000"/>
    </cacheField>
    <cacheField name="OLD-WT" numFmtId="0">
      <sharedItems containsString="0" containsBlank="1" containsNumber="1" minValue="0.192" maxValue="174.8"/>
    </cacheField>
    <cacheField name="MELTING2" numFmtId="0">
      <sharedItems containsString="0" containsBlank="1" containsNumber="1" containsInteger="1" minValue="55" maxValue="916"/>
    </cacheField>
    <cacheField name="P-RATE3" numFmtId="0">
      <sharedItems containsString="0" containsBlank="1" containsNumber="1" containsInteger="1" minValue="78" maxValue="7800"/>
    </cacheField>
    <cacheField name="OLD-AMT" numFmtId="0">
      <sharedItems containsString="0" containsBlank="1" containsNumber="1" minValue="0" maxValue="18345.689999999999"/>
    </cacheField>
    <cacheField name="CASH-FR-ITM" numFmtId="0">
      <sharedItems containsString="0" containsBlank="1" containsNumber="1" containsInteger="1" minValue="0" maxValue="17440"/>
    </cacheField>
    <cacheField name="PROFIT-LOSS" numFmtId="0">
      <sharedItems containsString="0" containsBlank="1" containsNumber="1" minValue="-3483.3319680000004" maxValue="905.68999999999869"/>
    </cacheField>
  </cacheFields>
  <extLst>
    <ext xmlns:x14="http://schemas.microsoft.com/office/spreadsheetml/2009/9/main" uri="{725AE2AE-9491-48be-B2B4-4EB974FC3084}">
      <x14:pivotCacheDefinition pivotCacheId="15792172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s v="MDU"/>
    <x v="0"/>
    <x v="0"/>
    <n v="241.61"/>
    <x v="0"/>
    <n v="31800"/>
    <n v="926.21359223300965"/>
    <n v="50.81"/>
    <n v="4374.1299999999992"/>
  </r>
  <r>
    <x v="1"/>
    <s v="MDU"/>
    <x v="1"/>
    <x v="0"/>
    <n v="509"/>
    <x v="1"/>
    <n v="49810"/>
    <n v="1450.7766990291263"/>
    <m/>
    <m/>
  </r>
  <r>
    <x v="2"/>
    <s v="MDU"/>
    <x v="2"/>
    <x v="1"/>
    <n v="28.75"/>
    <x v="2"/>
    <n v="200000"/>
    <n v="5825.2427184466014"/>
    <m/>
    <m/>
  </r>
  <r>
    <x v="3"/>
    <s v="MDU"/>
    <x v="2"/>
    <x v="1"/>
    <n v="4.0999999999999996"/>
    <x v="3"/>
    <n v="28500"/>
    <n v="830.09708737864082"/>
    <m/>
    <m/>
  </r>
  <r>
    <x v="4"/>
    <s v="DGL"/>
    <x v="3"/>
    <x v="0"/>
    <n v="282.5"/>
    <x v="4"/>
    <n v="18530"/>
    <n v="539.70873786407765"/>
    <m/>
    <m/>
  </r>
  <r>
    <x v="5"/>
    <s v="MDU"/>
    <x v="1"/>
    <x v="0"/>
    <n v="279"/>
    <x v="1"/>
    <n v="27300"/>
    <n v="795.14563106796118"/>
    <m/>
    <m/>
  </r>
  <r>
    <x v="6"/>
    <s v="DGL"/>
    <x v="3"/>
    <x v="0"/>
    <n v="195.5"/>
    <x v="5"/>
    <n v="15960"/>
    <n v="464.85436893203877"/>
    <m/>
    <m/>
  </r>
  <r>
    <x v="7"/>
    <s v="MDU"/>
    <x v="4"/>
    <x v="0"/>
    <n v="1000"/>
    <x v="6"/>
    <n v="86800"/>
    <n v="2528.155339805825"/>
    <m/>
    <m/>
  </r>
  <r>
    <x v="8"/>
    <s v="MDU"/>
    <x v="5"/>
    <x v="1"/>
    <n v="17.96"/>
    <x v="7"/>
    <n v="123000"/>
    <n v="3582.5242718446602"/>
    <m/>
    <m/>
  </r>
  <r>
    <x v="9"/>
    <s v="SALEM"/>
    <x v="6"/>
    <x v="0"/>
    <n v="1200"/>
    <x v="8"/>
    <n v="85350"/>
    <n v="2485.9223300970871"/>
    <m/>
    <m/>
  </r>
  <r>
    <x v="10"/>
    <s v="MDU"/>
    <x v="7"/>
    <x v="0"/>
    <n v="63.73"/>
    <x v="9"/>
    <n v="6500"/>
    <n v="189.32038834951459"/>
    <m/>
    <m/>
  </r>
  <r>
    <x v="11"/>
    <s v="MDU"/>
    <x v="0"/>
    <x v="0"/>
    <n v="24.83"/>
    <x v="10"/>
    <n v="3675"/>
    <n v="107.03883495145629"/>
    <m/>
    <m/>
  </r>
  <r>
    <x v="12"/>
    <s v="CHI"/>
    <x v="8"/>
    <x v="0"/>
    <n v="577.96"/>
    <x v="11"/>
    <n v="47695"/>
    <n v="1389.1747572815534"/>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0">
  <r>
    <x v="0"/>
    <x v="0"/>
    <s v="G-RING-B"/>
    <n v="7"/>
    <n v="4.03"/>
    <n v="95.5"/>
    <n v="-3.5"/>
    <n v="7218.2"/>
    <n v="27780.325430000001"/>
    <n v="29100"/>
    <m/>
    <n v="1288.4889699999985"/>
    <n v="11.4"/>
    <n v="63"/>
    <n v="80"/>
    <n v="568.81440000000009"/>
    <n v="600"/>
    <n v="-31.185599999999909"/>
  </r>
  <r>
    <x v="0"/>
    <x v="1"/>
    <s v="G-CHAIN-ORDER-"/>
    <s v="03-08"/>
    <n v="24.16"/>
    <n v="97.5"/>
    <n v="5.5"/>
    <n v="7059"/>
    <n v="166281.80399999997"/>
    <n v="176460"/>
    <m/>
    <n v="10178.196000000025"/>
    <m/>
    <n v="63"/>
    <m/>
    <n v="0"/>
    <m/>
    <n v="0"/>
  </r>
  <r>
    <x v="1"/>
    <x v="2"/>
    <s v="S-KAPPU-N-"/>
    <s v="4"/>
    <n v="26.8"/>
    <n v="85"/>
    <n v="-64"/>
    <n v="89"/>
    <n v="2027.42"/>
    <n v="2550"/>
    <m/>
    <n v="522.57999999999993"/>
    <m/>
    <n v="63"/>
    <m/>
    <n v="0"/>
    <m/>
    <n v="0"/>
  </r>
  <r>
    <x v="1"/>
    <x v="3"/>
    <s v="S-RING-"/>
    <s v="15"/>
    <n v="2.2999999999999998"/>
    <n v="92.5"/>
    <n v="92.5"/>
    <n v="140"/>
    <n v="322"/>
    <n v="500"/>
    <m/>
    <n v="178"/>
    <m/>
    <n v="63"/>
    <m/>
    <n v="0"/>
    <m/>
    <n v="0"/>
  </r>
  <r>
    <x v="1"/>
    <x v="4"/>
    <s v="S-RING-"/>
    <s v="203"/>
    <n v="1.25"/>
    <n v="92.5"/>
    <n v="92.5"/>
    <n v="131.65"/>
    <n v="164.5625"/>
    <n v="300"/>
    <m/>
    <n v="135.4375"/>
    <m/>
    <n v="63"/>
    <m/>
    <n v="0"/>
    <m/>
    <n v="0"/>
  </r>
  <r>
    <x v="1"/>
    <x v="5"/>
    <s v="S-CHAIN-N-"/>
    <s v="50"/>
    <n v="16.5"/>
    <n v="86"/>
    <n v="-21"/>
    <n v="94.8"/>
    <n v="1345.212"/>
    <n v="1700"/>
    <m/>
    <n v="354.78800000000001"/>
    <m/>
    <n v="63"/>
    <m/>
    <n v="0"/>
    <m/>
    <n v="0"/>
  </r>
  <r>
    <x v="1"/>
    <x v="6"/>
    <m/>
    <m/>
    <n v="0.39"/>
    <n v="79"/>
    <n v="14"/>
    <n v="7300"/>
    <n v="2249.13"/>
    <n v="2990"/>
    <m/>
    <n v="740.86999999999989"/>
    <m/>
    <n v="63"/>
    <m/>
    <n v="0"/>
    <m/>
    <n v="0"/>
  </r>
  <r>
    <x v="2"/>
    <x v="7"/>
    <s v="G-STUD-"/>
    <s v="20"/>
    <n v="2.11"/>
    <n v="97"/>
    <n v="-5"/>
    <n v="7218.2"/>
    <n v="14773.489939999999"/>
    <n v="15600"/>
    <m/>
    <n v="826.51006000000052"/>
    <m/>
    <n v="63"/>
    <m/>
    <n v="0"/>
    <m/>
    <n v="0"/>
  </r>
  <r>
    <x v="2"/>
    <x v="8"/>
    <s v="S-CHAIN-N-"/>
    <s v="53"/>
    <n v="25"/>
    <n v="86"/>
    <n v="-21"/>
    <n v="94.8"/>
    <n v="2038.2"/>
    <n v="2600"/>
    <n v="600"/>
    <n v="561.79999999999995"/>
    <m/>
    <n v="63"/>
    <m/>
    <n v="0"/>
    <m/>
    <n v="0"/>
  </r>
  <r>
    <x v="2"/>
    <x v="9"/>
    <s v="S-S-KOLUSU-"/>
    <s v="74"/>
    <n v="107.35"/>
    <n v="82"/>
    <n v="-17"/>
    <n v="92"/>
    <n v="8098.4839999999986"/>
    <n v="10150"/>
    <m/>
    <n v="2051.5160000000014"/>
    <m/>
    <n v="63"/>
    <m/>
    <n v="0"/>
    <m/>
    <n v="0"/>
  </r>
  <r>
    <x v="2"/>
    <x v="10"/>
    <s v="S-S-KOLUSU-"/>
    <s v="11"/>
    <n v="76.7"/>
    <n v="76.5"/>
    <n v="-11.5"/>
    <n v="89.9"/>
    <n v="5274.9274500000001"/>
    <n v="7750"/>
    <m/>
    <n v="1093.0426600000001"/>
    <n v="58.85"/>
    <n v="63"/>
    <n v="78"/>
    <n v="2862.9701099999997"/>
    <n v="3910"/>
    <n v="-1047.0298900000003"/>
  </r>
  <r>
    <x v="2"/>
    <x v="11"/>
    <s v="S-RING-"/>
    <s v="117"/>
    <n v="2.63"/>
    <n v="92.5"/>
    <n v="92.5"/>
    <n v="127"/>
    <n v="334.01"/>
    <n v="335"/>
    <m/>
    <n v="0.99000000000000909"/>
    <m/>
    <n v="63"/>
    <m/>
    <n v="0"/>
    <m/>
    <n v="0"/>
  </r>
  <r>
    <x v="3"/>
    <x v="12"/>
    <s v="S-RING-"/>
    <s v="86"/>
    <n v="4.25"/>
    <n v="92.5"/>
    <n v="92.5"/>
    <n v="127"/>
    <n v="539.75"/>
    <n v="970"/>
    <m/>
    <n v="430.25"/>
    <m/>
    <n v="63"/>
    <m/>
    <n v="0"/>
    <m/>
    <n v="0"/>
  </r>
  <r>
    <x v="3"/>
    <x v="13"/>
    <s v="S-RING-"/>
    <s v="113"/>
    <n v="1.1100000000000001"/>
    <n v="92.5"/>
    <n v="92.5"/>
    <n v="127"/>
    <n v="140.97"/>
    <n v="250"/>
    <m/>
    <n v="109.03"/>
    <m/>
    <n v="63"/>
    <m/>
    <n v="0"/>
    <m/>
    <n v="0"/>
  </r>
  <r>
    <x v="3"/>
    <x v="14"/>
    <s v="S-RING-"/>
    <s v="171"/>
    <n v="1.31"/>
    <n v="92.5"/>
    <n v="92.5"/>
    <n v="131.65"/>
    <n v="172.4615"/>
    <n v="280"/>
    <m/>
    <n v="107.5385"/>
    <m/>
    <n v="63"/>
    <m/>
    <n v="0"/>
    <m/>
    <n v="0"/>
  </r>
  <r>
    <x v="3"/>
    <x v="15"/>
    <s v="S-B-KOLUSU--"/>
    <s v="33"/>
    <n v="49.8"/>
    <n v="82"/>
    <n v="-17"/>
    <n v="90"/>
    <n v="3675.24"/>
    <n v="5240"/>
    <m/>
    <n v="1564.7600000000002"/>
    <m/>
    <n v="63"/>
    <m/>
    <n v="0"/>
    <m/>
    <n v="0"/>
  </r>
  <r>
    <x v="3"/>
    <x v="16"/>
    <s v="S-S-KOLUSU-"/>
    <s v="81"/>
    <n v="152"/>
    <n v="80"/>
    <n v="15"/>
    <n v="82"/>
    <n v="9971.1999999999989"/>
    <n v="15530"/>
    <n v="3800"/>
    <n v="4470.4879999999994"/>
    <n v="128"/>
    <n v="63"/>
    <n v="80"/>
    <n v="6386.6879999999992"/>
    <n v="7475"/>
    <n v="-1088.3120000000008"/>
  </r>
  <r>
    <x v="4"/>
    <x v="17"/>
    <s v="S-STUD-KRJ-"/>
    <s v="1"/>
    <n v="0"/>
    <n v="0"/>
    <n v="0"/>
    <n v="0"/>
    <n v="135"/>
    <n v="500"/>
    <m/>
    <n v="365"/>
    <m/>
    <n v="63"/>
    <m/>
    <n v="0"/>
    <m/>
    <n v="0"/>
  </r>
  <r>
    <x v="5"/>
    <x v="18"/>
    <s v="G-STUD-"/>
    <s v="26-07"/>
    <n v="4.07"/>
    <n v="100"/>
    <n v="8"/>
    <n v="7024.65"/>
    <n v="28590.325499999999"/>
    <n v="30140"/>
    <m/>
    <n v="2455.3644999999997"/>
    <n v="3.48"/>
    <n v="75"/>
    <n v="7100"/>
    <n v="18345.689999999999"/>
    <n v="17440"/>
    <n v="905.68999999999869"/>
  </r>
  <r>
    <x v="5"/>
    <x v="19"/>
    <s v="S-S-KOLUSU-"/>
    <s v="52"/>
    <n v="97.19"/>
    <n v="76.5"/>
    <n v="-11.5"/>
    <n v="89.9"/>
    <n v="6684.0964649999996"/>
    <n v="9200"/>
    <m/>
    <n v="2001.9675350000007"/>
    <n v="134"/>
    <n v="63"/>
    <n v="80"/>
    <n v="6686.0640000000003"/>
    <n v="7200"/>
    <n v="-513.93599999999969"/>
  </r>
  <r>
    <x v="6"/>
    <x v="20"/>
    <s v="S-RING-"/>
    <s v="135"/>
    <n v="5.42"/>
    <n v="92.5"/>
    <n v="92.5"/>
    <n v="127"/>
    <n v="688.34"/>
    <n v="1250"/>
    <m/>
    <n v="511.03599999999994"/>
    <n v="6"/>
    <n v="63"/>
    <n v="80"/>
    <n v="299.37600000000003"/>
    <n v="350"/>
    <n v="-50.623999999999967"/>
  </r>
  <r>
    <x v="6"/>
    <x v="21"/>
    <s v="S-S-KOLUSU-"/>
    <s v="51"/>
    <n v="104.02"/>
    <n v="76.5"/>
    <n v="-11.5"/>
    <n v="89.9"/>
    <n v="7153.8194700000004"/>
    <n v="9750"/>
    <m/>
    <n v="1988.3701299999993"/>
    <n v="75.099999999999994"/>
    <n v="63"/>
    <n v="80"/>
    <n v="3747.1895999999992"/>
    <n v="4355"/>
    <n v="-607.81040000000075"/>
  </r>
  <r>
    <x v="7"/>
    <x v="22"/>
    <s v="S-AARUNA-"/>
    <s v="10"/>
    <n v="50.25"/>
    <n v="82"/>
    <n v="-27"/>
    <n v="92"/>
    <n v="3790.8599999999997"/>
    <n v="5100"/>
    <m/>
    <n v="1309.1400000000003"/>
    <m/>
    <n v="63"/>
    <m/>
    <n v="0"/>
    <m/>
    <n v="0"/>
  </r>
  <r>
    <x v="7"/>
    <x v="23"/>
    <s v="S-NAGASU-"/>
    <s v="13-08"/>
    <n v="9.34"/>
    <n v="73.5"/>
    <n v="73.5"/>
    <n v="92.4"/>
    <n v="634.31676000000004"/>
    <n v="945"/>
    <m/>
    <n v="310.68323999999996"/>
    <m/>
    <n v="63"/>
    <m/>
    <n v="0"/>
    <m/>
    <n v="0"/>
  </r>
  <r>
    <x v="8"/>
    <x v="24"/>
    <s v="S-S-KOLUSU-"/>
    <s v="54"/>
    <n v="152.72999999999999"/>
    <n v="76.5"/>
    <n v="-11.5"/>
    <n v="89.9"/>
    <n v="10503.776655"/>
    <n v="14750"/>
    <m/>
    <n v="4242.5833450000009"/>
    <n v="35"/>
    <n v="63"/>
    <n v="80"/>
    <n v="1746.36"/>
    <n v="1750"/>
    <n v="-3.6400000000001"/>
  </r>
  <r>
    <x v="8"/>
    <x v="25"/>
    <s v="S-S-KOLUSU-"/>
    <s v="66"/>
    <n v="74.3"/>
    <n v="82"/>
    <n v="-17"/>
    <n v="90"/>
    <n v="5483.3399999999992"/>
    <n v="7380"/>
    <m/>
    <n v="1896.6600000000008"/>
    <m/>
    <n v="63"/>
    <m/>
    <n v="0"/>
    <m/>
    <n v="0"/>
  </r>
  <r>
    <x v="8"/>
    <x v="26"/>
    <s v="S-AARUNA-"/>
    <s v="2"/>
    <n v="48.5"/>
    <n v="76.5"/>
    <n v="-21.5"/>
    <n v="89.9"/>
    <n v="3335.5147500000003"/>
    <n v="4820"/>
    <m/>
    <n v="1484.4852499999997"/>
    <m/>
    <n v="63"/>
    <m/>
    <n v="0"/>
    <m/>
    <n v="0"/>
  </r>
  <r>
    <x v="8"/>
    <x v="27"/>
    <s v="S-KAPPU-N-"/>
    <s v="15"/>
    <n v="35.049999999999997"/>
    <n v="85"/>
    <n v="20"/>
    <n v="83.19"/>
    <n v="2478.4380749999996"/>
    <n v="3340"/>
    <m/>
    <n v="861.56192500000043"/>
    <m/>
    <n v="63"/>
    <m/>
    <n v="0"/>
    <m/>
    <n v="0"/>
  </r>
  <r>
    <x v="8"/>
    <x v="28"/>
    <s v="S-RING-"/>
    <s v="44"/>
    <n v="1.6"/>
    <n v="92.5"/>
    <n v="92.5"/>
    <n v="140"/>
    <n v="224"/>
    <n v="400"/>
    <m/>
    <n v="176"/>
    <m/>
    <n v="63"/>
    <m/>
    <n v="0"/>
    <m/>
    <n v="0"/>
  </r>
  <r>
    <x v="8"/>
    <x v="29"/>
    <s v="S-RING-"/>
    <s v="77"/>
    <n v="4.4000000000000004"/>
    <n v="92.5"/>
    <n v="92.5"/>
    <n v="127"/>
    <n v="558.80000000000007"/>
    <n v="1100"/>
    <m/>
    <n v="541.19999999999993"/>
    <m/>
    <n v="63"/>
    <m/>
    <n v="0"/>
    <m/>
    <n v="0"/>
  </r>
  <r>
    <x v="8"/>
    <x v="30"/>
    <s v="S-RING-"/>
    <s v="184"/>
    <n v="1.51"/>
    <n v="92.5"/>
    <n v="92.5"/>
    <n v="131.65"/>
    <n v="198.79150000000001"/>
    <n v="400"/>
    <m/>
    <n v="201.20849999999999"/>
    <m/>
    <n v="63"/>
    <m/>
    <n v="0"/>
    <m/>
    <n v="0"/>
  </r>
  <r>
    <x v="9"/>
    <x v="31"/>
    <s v="G-CHAIN-ORDER-"/>
    <s v="16-08"/>
    <n v="14.95"/>
    <n v="96"/>
    <n v="4"/>
    <n v="7265"/>
    <n v="104300"/>
    <n v="104800"/>
    <m/>
    <n v="500"/>
    <m/>
    <n v="63"/>
    <m/>
    <n v="0"/>
    <m/>
    <n v="0"/>
  </r>
  <r>
    <x v="9"/>
    <x v="32"/>
    <m/>
    <m/>
    <n v="1.3"/>
    <n v="79"/>
    <n v="1.2"/>
    <n v="7200"/>
    <n v="5500"/>
    <n v="6800"/>
    <m/>
    <n v="1300"/>
    <m/>
    <m/>
    <m/>
    <m/>
    <m/>
    <m/>
  </r>
  <r>
    <x v="10"/>
    <x v="33"/>
    <s v="S-RING-"/>
    <s v="151"/>
    <n v="3.55"/>
    <n v="92.5"/>
    <n v="92.5"/>
    <n v="131.65"/>
    <n v="467.35750000000002"/>
    <n v="750"/>
    <m/>
    <n v="282.64249999999998"/>
    <m/>
    <n v="63"/>
    <m/>
    <n v="0"/>
    <m/>
    <n v="0"/>
  </r>
  <r>
    <x v="11"/>
    <x v="34"/>
    <s v="S-CHAIN-N-"/>
    <s v="45"/>
    <n v="16.3"/>
    <n v="86"/>
    <n v="-21"/>
    <n v="94.8"/>
    <n v="1328.9063999999998"/>
    <n v="2040"/>
    <m/>
    <n v="711.09360000000015"/>
    <m/>
    <n v="63"/>
    <m/>
    <n v="0"/>
    <m/>
    <n v="0"/>
  </r>
  <r>
    <x v="11"/>
    <x v="35"/>
    <s v="S-BARACELET-G-92.5-"/>
    <s v="17"/>
    <n v="6.92"/>
    <n v="92.5"/>
    <n v="-71.5"/>
    <n v="127"/>
    <n v="878.84"/>
    <n v="1750"/>
    <m/>
    <n v="871.16"/>
    <m/>
    <n v="63"/>
    <m/>
    <n v="0"/>
    <m/>
    <n v="0"/>
  </r>
  <r>
    <x v="12"/>
    <x v="36"/>
    <s v="S-METTI-"/>
    <s v="21-08"/>
    <n v="9.5299999999999994"/>
    <n v="80"/>
    <n v="0"/>
    <n v="84"/>
    <n v="640.41599999999994"/>
    <n v="1000"/>
    <m/>
    <n v="359.58400000000006"/>
    <m/>
    <n v="63"/>
    <m/>
    <n v="0"/>
    <m/>
    <n v="0"/>
  </r>
  <r>
    <x v="12"/>
    <x v="37"/>
    <m/>
    <m/>
    <n v="1.97"/>
    <n v="87"/>
    <n v="10"/>
    <n v="7352"/>
    <n v="12600.592799999999"/>
    <n v="13400"/>
    <m/>
    <n v="799.40720000000147"/>
    <m/>
    <n v="63"/>
    <m/>
    <n v="0"/>
    <m/>
    <n v="0"/>
  </r>
  <r>
    <x v="12"/>
    <x v="38"/>
    <m/>
    <m/>
    <n v="0"/>
    <n v="0"/>
    <n v="250"/>
    <n v="250"/>
    <n v="500"/>
    <n v="1100"/>
    <m/>
    <n v="685.11999999999989"/>
    <n v="4"/>
    <n v="90"/>
    <n v="80"/>
    <n v="285.11999999999995"/>
    <n v="200"/>
    <n v="85.119999999999948"/>
  </r>
  <r>
    <x v="13"/>
    <x v="39"/>
    <s v="S-RING-"/>
    <s v="89"/>
    <n v="4.1100000000000003"/>
    <n v="92.5"/>
    <n v="92.5"/>
    <n v="127"/>
    <n v="521.97"/>
    <n v="950"/>
    <m/>
    <n v="428.03"/>
    <m/>
    <n v="63"/>
    <m/>
    <n v="0"/>
    <m/>
    <n v="0"/>
  </r>
  <r>
    <x v="13"/>
    <x v="40"/>
    <s v="S-RING-"/>
    <s v="132"/>
    <n v="1.25"/>
    <n v="92.5"/>
    <n v="92.5"/>
    <n v="127"/>
    <n v="158.75"/>
    <n v="250"/>
    <m/>
    <n v="91.25"/>
    <m/>
    <n v="63"/>
    <m/>
    <n v="0"/>
    <m/>
    <n v="0"/>
  </r>
  <r>
    <x v="13"/>
    <x v="41"/>
    <m/>
    <m/>
    <n v="0"/>
    <n v="0"/>
    <n v="0"/>
    <n v="0"/>
    <n v="500"/>
    <n v="700"/>
    <m/>
    <n v="200"/>
    <m/>
    <n v="63"/>
    <m/>
    <n v="0"/>
    <m/>
    <n v="0"/>
  </r>
  <r>
    <x v="13"/>
    <x v="42"/>
    <s v="S-RING-"/>
    <s v="229"/>
    <n v="3.87"/>
    <n v="92.5"/>
    <n v="92.5"/>
    <n v="125.57"/>
    <n v="485.95589999999999"/>
    <n v="860"/>
    <m/>
    <n v="458.85210000000001"/>
    <n v="6.1"/>
    <n v="90"/>
    <n v="80"/>
    <n v="434.80799999999999"/>
    <n v="350"/>
    <n v="84.807999999999993"/>
  </r>
  <r>
    <x v="14"/>
    <x v="43"/>
    <s v="G-STUD-"/>
    <s v="1"/>
    <n v="2.11"/>
    <n v="97"/>
    <n v="-5"/>
    <n v="7218.2"/>
    <n v="14773.489939999999"/>
    <n v="15550"/>
    <m/>
    <n v="776.51006000000052"/>
    <m/>
    <n v="63"/>
    <m/>
    <n v="0"/>
    <m/>
    <n v="0"/>
  </r>
  <r>
    <x v="14"/>
    <x v="44"/>
    <s v="S-STUD-PRI-"/>
    <s v="2"/>
    <n v="0"/>
    <n v="0"/>
    <n v="0"/>
    <n v="0"/>
    <n v="242"/>
    <n v="700"/>
    <m/>
    <n v="458"/>
    <m/>
    <m/>
    <m/>
    <n v="0"/>
    <m/>
    <n v="0"/>
  </r>
  <r>
    <x v="15"/>
    <x v="45"/>
    <s v="S-BARACELET-B-"/>
    <s v="23"/>
    <n v="10.51"/>
    <n v="85"/>
    <n v="20"/>
    <n v="95"/>
    <n v="950"/>
    <n v="1500"/>
    <m/>
    <n v="550"/>
    <m/>
    <m/>
    <m/>
    <n v="0"/>
    <m/>
    <n v="0"/>
  </r>
  <r>
    <x v="16"/>
    <x v="46"/>
    <s v="S-METTI-"/>
    <s v="26-08"/>
    <n v="13.08"/>
    <n v="80"/>
    <n v="0"/>
    <n v="84"/>
    <n v="878.976"/>
    <n v="880"/>
    <m/>
    <n v="14.054011999999943"/>
    <n v="22.39"/>
    <n v="63"/>
    <n v="84"/>
    <n v="1173.0300119999999"/>
    <n v="1160"/>
    <n v="13.030011999999942"/>
  </r>
  <r>
    <x v="16"/>
    <x v="44"/>
    <s v="S-STUD-PRI-"/>
    <s v="2"/>
    <n v="0"/>
    <n v="0"/>
    <n v="0"/>
    <n v="0"/>
    <n v="242"/>
    <n v="280"/>
    <m/>
    <n v="38"/>
    <m/>
    <m/>
    <m/>
    <n v="0"/>
    <m/>
    <n v="0"/>
  </r>
  <r>
    <x v="16"/>
    <x v="47"/>
    <m/>
    <m/>
    <n v="61.8"/>
    <n v="80"/>
    <n v="93"/>
    <n v="88.1"/>
    <n v="5140.7093999999997"/>
    <n v="6000"/>
    <m/>
    <n v="859.29060000000027"/>
    <m/>
    <m/>
    <m/>
    <n v="0"/>
    <m/>
    <n v="0"/>
  </r>
  <r>
    <x v="17"/>
    <x v="48"/>
    <s v="S-RING-"/>
    <s v="53"/>
    <n v="1.51"/>
    <n v="92.5"/>
    <n v="92.5"/>
    <n v="140"/>
    <n v="211.4"/>
    <n v="300"/>
    <m/>
    <n v="199.15991999999991"/>
    <n v="25.7"/>
    <n v="63"/>
    <n v="88"/>
    <n v="1410.5599199999999"/>
    <n v="1300"/>
    <n v="110.55991999999992"/>
  </r>
  <r>
    <x v="17"/>
    <x v="49"/>
    <s v="S-STUD-MAS-"/>
    <s v="4"/>
    <n v="0"/>
    <n v="0"/>
    <n v="0"/>
    <n v="0"/>
    <n v="110"/>
    <n v="700"/>
    <m/>
    <n v="590"/>
    <m/>
    <m/>
    <m/>
    <n v="0"/>
    <m/>
    <n v="0"/>
  </r>
  <r>
    <x v="17"/>
    <x v="50"/>
    <s v="S-RING-"/>
    <s v="109"/>
    <n v="2.48"/>
    <n v="92.5"/>
    <n v="92.5"/>
    <n v="127"/>
    <n v="314.95999999999998"/>
    <n v="550"/>
    <m/>
    <n v="235.04000000000002"/>
    <m/>
    <m/>
    <m/>
    <n v="0"/>
    <m/>
    <n v="0"/>
  </r>
  <r>
    <x v="17"/>
    <x v="51"/>
    <s v="S-RING-"/>
    <s v="187"/>
    <n v="1.5"/>
    <n v="92.5"/>
    <n v="92.5"/>
    <n v="131.65"/>
    <n v="197.47500000000002"/>
    <n v="300"/>
    <m/>
    <n v="102.52499999999998"/>
    <m/>
    <m/>
    <m/>
    <n v="0"/>
    <m/>
    <n v="0"/>
  </r>
  <r>
    <x v="17"/>
    <x v="52"/>
    <s v="G-TLI-MNI-THAYTH-"/>
    <s v="2"/>
    <n v="1.08"/>
    <n v="84"/>
    <n v="-7"/>
    <n v="7218.2"/>
    <n v="6548.3510399999996"/>
    <n v="7600"/>
    <m/>
    <n v="1745.6489600000004"/>
    <n v="1.32"/>
    <n v="65"/>
    <n v="7300"/>
    <n v="5694.0000000000009"/>
    <n v="5000"/>
    <n v="694.00000000000091"/>
  </r>
  <r>
    <x v="18"/>
    <x v="53"/>
    <m/>
    <m/>
    <n v="1"/>
    <n v="0"/>
    <n v="0"/>
    <n v="0"/>
    <n v="85350"/>
    <n v="86500"/>
    <m/>
    <n v="1150"/>
    <m/>
    <m/>
    <m/>
    <n v="0"/>
    <m/>
    <n v="0"/>
  </r>
  <r>
    <x v="19"/>
    <x v="54"/>
    <s v="S-RING-"/>
    <s v="196"/>
    <n v="1.31"/>
    <n v="92.5"/>
    <n v="92.5"/>
    <n v="131.65"/>
    <n v="172.4615"/>
    <n v="350"/>
    <m/>
    <n v="177.5385"/>
    <m/>
    <m/>
    <m/>
    <n v="0"/>
    <m/>
    <n v="0"/>
  </r>
  <r>
    <x v="19"/>
    <x v="55"/>
    <m/>
    <m/>
    <n v="1.5"/>
    <n v="0"/>
    <n v="0"/>
    <n v="0"/>
    <n v="120"/>
    <n v="200"/>
    <m/>
    <n v="80"/>
    <m/>
    <m/>
    <m/>
    <n v="0"/>
    <m/>
    <n v="0"/>
  </r>
  <r>
    <x v="20"/>
    <x v="56"/>
    <s v="S-STUD-MAS-"/>
    <s v="5"/>
    <n v="0"/>
    <n v="0"/>
    <n v="0"/>
    <n v="0"/>
    <n v="300"/>
    <n v="700"/>
    <m/>
    <n v="400"/>
    <m/>
    <m/>
    <m/>
    <n v="0"/>
    <m/>
    <n v="0"/>
  </r>
  <r>
    <x v="20"/>
    <x v="57"/>
    <s v="S-THANDA-K"/>
    <s v="7"/>
    <n v="31.98"/>
    <n v="65"/>
    <n v="-10"/>
    <n v="89"/>
    <n v="1850.0429999999999"/>
    <n v="2200"/>
    <m/>
    <n v="349.95700000000011"/>
    <m/>
    <m/>
    <m/>
    <n v="0"/>
    <m/>
    <n v="0"/>
  </r>
  <r>
    <x v="21"/>
    <x v="58"/>
    <s v="S-RING-"/>
    <s v="185"/>
    <n v="1.25"/>
    <n v="92.5"/>
    <n v="92.5"/>
    <n v="131.65"/>
    <n v="164.5625"/>
    <n v="250"/>
    <m/>
    <n v="85.4375"/>
    <m/>
    <m/>
    <m/>
    <n v="0"/>
    <m/>
    <n v="0"/>
  </r>
  <r>
    <x v="21"/>
    <x v="59"/>
    <s v="S-RING-"/>
    <s v="195"/>
    <n v="1.26"/>
    <n v="92.5"/>
    <n v="92.5"/>
    <n v="131.65"/>
    <n v="165.87900000000002"/>
    <n v="300"/>
    <m/>
    <n v="134.12099999999998"/>
    <m/>
    <m/>
    <m/>
    <n v="0"/>
    <m/>
    <n v="0"/>
  </r>
  <r>
    <x v="21"/>
    <x v="60"/>
    <s v="S-RING-"/>
    <s v="192"/>
    <n v="1.18"/>
    <n v="92.5"/>
    <n v="92.5"/>
    <n v="131.65"/>
    <n v="155.34700000000001"/>
    <n v="300"/>
    <m/>
    <n v="144.65299999999999"/>
    <m/>
    <m/>
    <m/>
    <n v="0"/>
    <m/>
    <n v="0"/>
  </r>
  <r>
    <x v="22"/>
    <x v="61"/>
    <s v="S-METTI-"/>
    <s v="09-09"/>
    <n v="8.9"/>
    <n v="80"/>
    <n v="0"/>
    <n v="83"/>
    <n v="650"/>
    <n v="1100"/>
    <m/>
    <n v="446.9376000000002"/>
    <n v="11.4"/>
    <n v="63"/>
    <n v="84"/>
    <n v="596.93760000000009"/>
    <n v="600"/>
    <n v="-3.0623999999999114"/>
  </r>
  <r>
    <x v="23"/>
    <x v="62"/>
    <s v="S-DOLLER-"/>
    <s v="25"/>
    <n v="4"/>
    <n v="92.5"/>
    <n v="92.5"/>
    <n v="160"/>
    <n v="640"/>
    <n v="1000"/>
    <m/>
    <n v="360"/>
    <m/>
    <m/>
    <m/>
    <n v="0"/>
    <m/>
    <n v="0"/>
  </r>
  <r>
    <x v="24"/>
    <x v="63"/>
    <s v="S-B-KOLUSU--"/>
    <s v="15"/>
    <n v="70.95"/>
    <n v="65"/>
    <n v="-10"/>
    <n v="89"/>
    <n v="4104.4574999999995"/>
    <n v="6840"/>
    <m/>
    <n v="2526.0876000000007"/>
    <n v="72.400000000000006"/>
    <n v="63"/>
    <n v="84"/>
    <n v="3825.0576000000001"/>
    <n v="3840"/>
    <n v="-14.942399999999907"/>
  </r>
  <r>
    <x v="24"/>
    <x v="64"/>
    <s v="S-METTI-FREE"/>
    <m/>
    <n v="3.5"/>
    <n v="65"/>
    <n v="0"/>
    <n v="85.5"/>
    <n v="194.51249999999999"/>
    <m/>
    <m/>
    <n v="0"/>
    <m/>
    <m/>
    <m/>
    <n v="0"/>
    <m/>
    <n v="0"/>
  </r>
  <r>
    <x v="24"/>
    <x v="65"/>
    <s v="S-B-KOLUSU--"/>
    <s v="38"/>
    <n v="36.700000000000003"/>
    <n v="82"/>
    <n v="-17"/>
    <n v="90"/>
    <n v="2708.46"/>
    <n v="3500"/>
    <m/>
    <n v="838.48559999999998"/>
    <n v="38.799999999999997"/>
    <n v="63"/>
    <n v="84"/>
    <n v="2046.9456"/>
    <n v="2000"/>
    <n v="46.945600000000013"/>
  </r>
  <r>
    <x v="24"/>
    <x v="66"/>
    <m/>
    <m/>
    <n v="0.97"/>
    <n v="0"/>
    <n v="0"/>
    <n v="0"/>
    <n v="2300"/>
    <n v="3000"/>
    <m/>
    <n v="700"/>
    <m/>
    <m/>
    <m/>
    <n v="0"/>
    <m/>
    <n v="0"/>
  </r>
  <r>
    <x v="24"/>
    <x v="67"/>
    <s v="S-METTI-"/>
    <s v="10-09"/>
    <n v="3.9"/>
    <n v="80"/>
    <n v="0"/>
    <n v="90"/>
    <n v="280.8"/>
    <n v="400"/>
    <m/>
    <n v="119.78559999999999"/>
    <n v="5.8"/>
    <n v="63"/>
    <n v="84"/>
    <n v="300.5856"/>
    <n v="300"/>
    <n v="0.58559999999999945"/>
  </r>
  <r>
    <x v="24"/>
    <x v="68"/>
    <s v="S-B-KOLUSU--"/>
    <s v="16"/>
    <n v="49.92"/>
    <n v="65"/>
    <n v="-10"/>
    <n v="89"/>
    <n v="2887.8719999999998"/>
    <n v="4700"/>
    <m/>
    <n v="1864.1936000000001"/>
    <n v="74.8"/>
    <n v="63"/>
    <n v="84"/>
    <n v="3952.0655999999994"/>
    <n v="3900"/>
    <n v="52.065599999999449"/>
  </r>
  <r>
    <x v="24"/>
    <x v="69"/>
    <s v="S-RING-"/>
    <s v="163"/>
    <n v="1.1000000000000001"/>
    <n v="92.5"/>
    <n v="92.5"/>
    <n v="131.65"/>
    <n v="144.81500000000003"/>
    <n v="150"/>
    <m/>
    <n v="5.1849999999999739"/>
    <m/>
    <m/>
    <m/>
    <n v="0"/>
    <m/>
    <n v="0"/>
  </r>
  <r>
    <x v="24"/>
    <x v="70"/>
    <m/>
    <m/>
    <n v="1.8"/>
    <n v="63"/>
    <n v="0"/>
    <n v="84"/>
    <n v="95.256000000000014"/>
    <n v="200"/>
    <m/>
    <n v="104.74399999999999"/>
    <m/>
    <m/>
    <m/>
    <n v="0"/>
    <m/>
    <n v="0"/>
  </r>
  <r>
    <x v="25"/>
    <x v="71"/>
    <s v="S-CHAIN-N-"/>
    <s v="55"/>
    <n v="15.2"/>
    <n v="86"/>
    <n v="-21"/>
    <n v="94.8"/>
    <n v="1239.2256"/>
    <n v="1700"/>
    <m/>
    <n v="460.77440000000001"/>
    <m/>
    <m/>
    <m/>
    <n v="0"/>
    <m/>
    <n v="0"/>
  </r>
  <r>
    <x v="25"/>
    <x v="72"/>
    <m/>
    <m/>
    <n v="23.45"/>
    <n v="91.71"/>
    <n v="0"/>
    <n v="0"/>
    <n v="124000"/>
    <n v="152000"/>
    <m/>
    <n v="28000"/>
    <m/>
    <m/>
    <m/>
    <n v="0"/>
    <m/>
    <n v="0"/>
  </r>
  <r>
    <x v="26"/>
    <x v="73"/>
    <m/>
    <m/>
    <n v="0"/>
    <n v="0"/>
    <n v="0"/>
    <n v="0"/>
    <n v="3300"/>
    <n v="4500"/>
    <m/>
    <n v="1200"/>
    <m/>
    <m/>
    <m/>
    <n v="0"/>
    <m/>
    <n v="0"/>
  </r>
  <r>
    <x v="26"/>
    <x v="74"/>
    <m/>
    <m/>
    <n v="0"/>
    <n v="0"/>
    <n v="0"/>
    <n v="0"/>
    <n v="900"/>
    <n v="1600"/>
    <m/>
    <n v="700"/>
    <m/>
    <m/>
    <m/>
    <n v="0"/>
    <m/>
    <n v="0"/>
  </r>
  <r>
    <x v="27"/>
    <x v="75"/>
    <m/>
    <m/>
    <n v="0.54"/>
    <n v="90"/>
    <n v="0"/>
    <n v="7000"/>
    <n v="3402"/>
    <n v="4200"/>
    <m/>
    <n v="798"/>
    <m/>
    <m/>
    <m/>
    <n v="0"/>
    <m/>
    <n v="0"/>
  </r>
  <r>
    <x v="28"/>
    <x v="76"/>
    <s v="S-RING-"/>
    <s v="122"/>
    <n v="1.26"/>
    <n v="92.5"/>
    <n v="92.5"/>
    <n v="127"/>
    <n v="160.02000000000001"/>
    <n v="170"/>
    <m/>
    <n v="9.9799999999999898"/>
    <m/>
    <m/>
    <m/>
    <n v="0"/>
    <m/>
    <n v="0"/>
  </r>
  <r>
    <x v="28"/>
    <x v="77"/>
    <s v="S-RING-"/>
    <s v="240"/>
    <n v="2.02"/>
    <n v="92.5"/>
    <n v="92.5"/>
    <n v="135"/>
    <n v="272.7"/>
    <n v="260"/>
    <m/>
    <n v="-12.699999999999989"/>
    <m/>
    <m/>
    <m/>
    <n v="0"/>
    <m/>
    <n v="0"/>
  </r>
  <r>
    <x v="29"/>
    <x v="78"/>
    <s v="G-TLI-MNI-THAYTH-"/>
    <s v="5"/>
    <n v="1.05"/>
    <n v="84"/>
    <n v="-7"/>
    <n v="7218.2"/>
    <n v="6366.4524000000001"/>
    <n v="7400"/>
    <m/>
    <n v="1033.5475999999999"/>
    <m/>
    <m/>
    <m/>
    <n v="0"/>
    <m/>
    <n v="0"/>
  </r>
  <r>
    <x v="29"/>
    <x v="79"/>
    <m/>
    <m/>
    <n v="6.05"/>
    <n v="80"/>
    <n v="0"/>
    <n v="90"/>
    <n v="435.59999999999997"/>
    <n v="600"/>
    <m/>
    <n v="164.40000000000003"/>
    <m/>
    <m/>
    <m/>
    <n v="0"/>
    <m/>
    <n v="0"/>
  </r>
  <r>
    <x v="29"/>
    <x v="80"/>
    <s v="S-RING-"/>
    <s v="27"/>
    <n v="3.31"/>
    <n v="92.5"/>
    <n v="92.5"/>
    <n v="140"/>
    <n v="463.40000000000003"/>
    <n v="770"/>
    <m/>
    <n v="306.59999999999997"/>
    <m/>
    <m/>
    <m/>
    <n v="0"/>
    <m/>
    <n v="0"/>
  </r>
  <r>
    <x v="29"/>
    <x v="81"/>
    <s v="S-RING-"/>
    <s v="41"/>
    <n v="1.7"/>
    <n v="92.5"/>
    <n v="92.5"/>
    <n v="140"/>
    <n v="238"/>
    <n v="330"/>
    <m/>
    <n v="92"/>
    <m/>
    <m/>
    <m/>
    <n v="0"/>
    <m/>
    <n v="0"/>
  </r>
  <r>
    <x v="30"/>
    <x v="82"/>
    <s v="G-STUD-"/>
    <s v="6"/>
    <n v="1.23"/>
    <n v="97"/>
    <n v="-5"/>
    <n v="7218.2"/>
    <n v="8612.03442"/>
    <n v="9900"/>
    <m/>
    <n v="1287.96558"/>
    <m/>
    <m/>
    <m/>
    <n v="0"/>
    <m/>
    <n v="0"/>
  </r>
  <r>
    <x v="30"/>
    <x v="83"/>
    <s v="S-B-KOLUSU--"/>
    <s v="12"/>
    <n v="38.58"/>
    <n v="65"/>
    <n v="-10"/>
    <n v="89"/>
    <n v="2231.8530000000001"/>
    <n v="4000"/>
    <m/>
    <n v="1768.1469999999999"/>
    <m/>
    <m/>
    <m/>
    <n v="0"/>
    <m/>
    <n v="0"/>
  </r>
  <r>
    <x v="30"/>
    <x v="84"/>
    <s v="S-BANGLE-"/>
    <s v="4"/>
    <n v="24.95"/>
    <n v="65"/>
    <n v="60.9"/>
    <n v="88.1"/>
    <n v="1678.2617499999999"/>
    <n v="3000"/>
    <m/>
    <n v="1493.0134500000001"/>
    <n v="90.45"/>
    <n v="80"/>
    <n v="85"/>
    <n v="4871.2752"/>
    <n v="4700"/>
    <n v="171.27520000000004"/>
  </r>
  <r>
    <x v="30"/>
    <x v="85"/>
    <s v="S-B-KOLUSU--"/>
    <s v="27"/>
    <n v="47.48"/>
    <n v="65"/>
    <n v="-10"/>
    <n v="89"/>
    <n v="2746.7179999999998"/>
    <n v="4850"/>
    <m/>
    <n v="1928.8395800000005"/>
    <n v="77.430000000000007"/>
    <n v="80"/>
    <n v="85"/>
    <n v="4170.0700800000004"/>
    <n v="4150"/>
    <n v="20.070080000000416"/>
  </r>
  <r>
    <x v="30"/>
    <x v="64"/>
    <m/>
    <m/>
    <n v="3.5"/>
    <n v="65"/>
    <n v="0"/>
    <n v="85.5"/>
    <n v="194.51249999999999"/>
    <m/>
    <m/>
    <m/>
    <m/>
    <m/>
    <m/>
    <n v="0"/>
    <m/>
    <n v="0"/>
  </r>
  <r>
    <x v="31"/>
    <x v="86"/>
    <s v="S-KAPPU-N-"/>
    <s v="24"/>
    <n v="30.91"/>
    <n v="82"/>
    <n v="7"/>
    <n v="88.6"/>
    <n v="2285.6733199999999"/>
    <n v="3000"/>
    <m/>
    <n v="714.32668000000012"/>
    <m/>
    <m/>
    <m/>
    <n v="0"/>
    <m/>
    <n v="0"/>
  </r>
  <r>
    <x v="32"/>
    <x v="87"/>
    <s v="S-KAPPU-N-"/>
    <s v="19"/>
    <n v="22.15"/>
    <n v="85"/>
    <n v="20"/>
    <n v="83.19"/>
    <n v="1566.2597249999997"/>
    <n v="2450"/>
    <m/>
    <n v="883.74027500000034"/>
    <m/>
    <m/>
    <m/>
    <n v="0"/>
    <m/>
    <n v="0"/>
  </r>
  <r>
    <x v="32"/>
    <x v="88"/>
    <s v="S-BARACELET-G-92.5-"/>
    <s v="3"/>
    <n v="7.52"/>
    <n v="92.5"/>
    <n v="-71.5"/>
    <n v="127"/>
    <n v="955.04"/>
    <n v="1550"/>
    <m/>
    <n v="594.96"/>
    <m/>
    <m/>
    <m/>
    <n v="0"/>
    <m/>
    <n v="0"/>
  </r>
  <r>
    <x v="32"/>
    <x v="89"/>
    <s v="S-METTI-"/>
    <s v="24-09"/>
    <n v="6.25"/>
    <n v="80"/>
    <n v="-15"/>
    <n v="93"/>
    <n v="465"/>
    <n v="850"/>
    <m/>
    <n v="385"/>
    <m/>
    <m/>
    <m/>
    <n v="0"/>
    <m/>
    <n v="0"/>
  </r>
  <r>
    <x v="32"/>
    <x v="90"/>
    <s v="S-CHAIN-92.5-B-"/>
    <s v="6"/>
    <n v="26.8"/>
    <n v="92.5"/>
    <n v="-27.5"/>
    <n v="90"/>
    <n v="2412"/>
    <n v="5100"/>
    <m/>
    <n v="2688"/>
    <m/>
    <m/>
    <m/>
    <n v="0"/>
    <m/>
    <n v="0"/>
  </r>
  <r>
    <x v="32"/>
    <x v="91"/>
    <s v="S-DOLLER-"/>
    <s v="6"/>
    <n v="2.8"/>
    <n v="92.5"/>
    <n v="92.5"/>
    <n v="165"/>
    <n v="461.99999999999994"/>
    <n v="500"/>
    <m/>
    <n v="38.000000000000057"/>
    <m/>
    <m/>
    <m/>
    <n v="0"/>
    <m/>
    <n v="0"/>
  </r>
  <r>
    <x v="32"/>
    <x v="17"/>
    <s v="S-STUD-KRJ-"/>
    <s v="1"/>
    <n v="0"/>
    <n v="0"/>
    <n v="0"/>
    <n v="0"/>
    <n v="135"/>
    <n v="450"/>
    <m/>
    <n v="315"/>
    <m/>
    <m/>
    <m/>
    <n v="0"/>
    <m/>
    <n v="0"/>
  </r>
  <r>
    <x v="33"/>
    <x v="92"/>
    <s v="S-B-KOLUSU--"/>
    <s v="54"/>
    <n v="46.07"/>
    <n v="74.03"/>
    <n v="-14.030000000000001"/>
    <n v="90"/>
    <n v="3069.5058899999999"/>
    <n v="5150"/>
    <m/>
    <n v="1582.80081"/>
    <n v="50.8"/>
    <n v="80"/>
    <n v="90"/>
    <n v="2896.8191999999995"/>
    <n v="3200"/>
    <n v="-303.18080000000054"/>
  </r>
  <r>
    <x v="33"/>
    <x v="93"/>
    <s v="S-METTI-"/>
    <s v="26-09"/>
    <n v="6.07"/>
    <n v="80"/>
    <n v="-15"/>
    <n v="93"/>
    <n v="451.608"/>
    <n v="750"/>
    <m/>
    <n v="298.392"/>
    <m/>
    <m/>
    <m/>
    <n v="0"/>
    <m/>
    <n v="0"/>
  </r>
  <r>
    <x v="33"/>
    <x v="64"/>
    <m/>
    <m/>
    <n v="3.5"/>
    <n v="65"/>
    <n v="0"/>
    <n v="85.5"/>
    <n v="194.51249999999999"/>
    <m/>
    <m/>
    <m/>
    <m/>
    <m/>
    <m/>
    <n v="0"/>
    <m/>
    <n v="0"/>
  </r>
  <r>
    <x v="34"/>
    <x v="94"/>
    <s v="S-RING-"/>
    <s v="214"/>
    <n v="1.76"/>
    <n v="92.5"/>
    <n v="92.5"/>
    <n v="125.57"/>
    <n v="221.00319999999999"/>
    <n v="400"/>
    <m/>
    <n v="178.99680000000001"/>
    <m/>
    <m/>
    <m/>
    <n v="0"/>
    <m/>
    <n v="0"/>
  </r>
  <r>
    <x v="34"/>
    <x v="95"/>
    <m/>
    <s v="0"/>
    <n v="0"/>
    <n v="0"/>
    <n v="0"/>
    <n v="0"/>
    <n v="0"/>
    <n v="480"/>
    <m/>
    <n v="480"/>
    <m/>
    <m/>
    <m/>
    <n v="0"/>
    <m/>
    <n v="0"/>
  </r>
  <r>
    <x v="35"/>
    <x v="96"/>
    <s v="G-CHAIN-"/>
    <s v="2"/>
    <n v="8.1"/>
    <n v="94.25"/>
    <n v="-2.25"/>
    <n v="7218.2"/>
    <n v="55105.54335"/>
    <n v="64100"/>
    <m/>
    <n v="8994.4566500000001"/>
    <m/>
    <m/>
    <m/>
    <n v="0"/>
    <m/>
    <n v="0"/>
  </r>
  <r>
    <x v="35"/>
    <x v="97"/>
    <m/>
    <m/>
    <n v="2.08"/>
    <n v="89.5"/>
    <n v="0"/>
    <n v="7685"/>
    <n v="14400"/>
    <n v="15400"/>
    <m/>
    <n v="1000"/>
    <m/>
    <m/>
    <m/>
    <n v="0"/>
    <m/>
    <n v="0"/>
  </r>
  <r>
    <x v="35"/>
    <x v="98"/>
    <s v="S-BARACELET-B-"/>
    <s v="17"/>
    <n v="24.9"/>
    <n v="86"/>
    <n v="-65"/>
    <n v="90"/>
    <n v="1927.2600000000002"/>
    <n v="2600"/>
    <m/>
    <n v="672.73999999999978"/>
    <m/>
    <m/>
    <m/>
    <n v="0"/>
    <m/>
    <n v="0"/>
  </r>
  <r>
    <x v="35"/>
    <x v="99"/>
    <m/>
    <m/>
    <n v="8.65"/>
    <n v="85"/>
    <n v="0"/>
    <n v="93.5"/>
    <n v="700"/>
    <n v="900"/>
    <m/>
    <n v="200"/>
    <m/>
    <m/>
    <m/>
    <n v="0"/>
    <m/>
    <n v="0"/>
  </r>
  <r>
    <x v="35"/>
    <x v="100"/>
    <s v="G-TLI-MNI-THAYTH-"/>
    <s v="3"/>
    <n v="1.05"/>
    <n v="84"/>
    <n v="-7"/>
    <n v="7218.2"/>
    <n v="6366.4524000000001"/>
    <n v="8000"/>
    <m/>
    <n v="1633.5475999999999"/>
    <m/>
    <m/>
    <m/>
    <n v="0"/>
    <m/>
    <n v="0"/>
  </r>
  <r>
    <x v="36"/>
    <x v="42"/>
    <s v="S-RING-"/>
    <s v="229"/>
    <n v="3.87"/>
    <n v="92.5"/>
    <n v="92.5"/>
    <n v="125.57"/>
    <n v="485.95589999999999"/>
    <n v="800"/>
    <m/>
    <n v="314.04410000000001"/>
    <m/>
    <m/>
    <m/>
    <n v="0"/>
    <m/>
    <n v="0"/>
  </r>
  <r>
    <x v="37"/>
    <x v="101"/>
    <m/>
    <m/>
    <n v="23.5"/>
    <n v="0"/>
    <n v="0"/>
    <n v="0"/>
    <n v="2260"/>
    <n v="3200"/>
    <m/>
    <n v="940"/>
    <m/>
    <m/>
    <m/>
    <n v="0"/>
    <m/>
    <n v="0"/>
  </r>
  <r>
    <x v="37"/>
    <x v="102"/>
    <s v="S-DOLLER-"/>
    <s v="34"/>
    <n v="1.5"/>
    <n v="92.5"/>
    <n v="92.5"/>
    <n v="175"/>
    <n v="262.5"/>
    <n v="425"/>
    <m/>
    <n v="162.5"/>
    <m/>
    <m/>
    <m/>
    <n v="0"/>
    <m/>
    <n v="0"/>
  </r>
  <r>
    <x v="37"/>
    <x v="103"/>
    <s v="S-DOLLER-"/>
    <s v="35"/>
    <n v="1.5"/>
    <n v="92.5"/>
    <n v="92.5"/>
    <n v="175"/>
    <n v="262.5"/>
    <n v="425"/>
    <m/>
    <n v="162.5"/>
    <m/>
    <m/>
    <m/>
    <n v="0"/>
    <m/>
    <n v="0"/>
  </r>
  <r>
    <x v="38"/>
    <x v="104"/>
    <s v="G-RING-B"/>
    <s v="20"/>
    <n v="2.02"/>
    <n v="95.5"/>
    <n v="-3.5"/>
    <n v="7218.2"/>
    <n v="13924.62962"/>
    <n v="16500"/>
    <m/>
    <n v="2575.3703800000003"/>
    <m/>
    <m/>
    <m/>
    <n v="0"/>
    <m/>
    <n v="0"/>
  </r>
  <r>
    <x v="39"/>
    <x v="105"/>
    <s v="G-STUD-"/>
    <s v="32"/>
    <n v="4.03"/>
    <n v="97"/>
    <n v="-5"/>
    <n v="7218.2"/>
    <n v="28216.665620000003"/>
    <n v="32780"/>
    <m/>
    <n v="5306.3218799999986"/>
    <n v="2.0099999999999998"/>
    <n v="916"/>
    <n v="7110"/>
    <n v="14200"/>
    <n v="13870"/>
    <n v="330"/>
  </r>
  <r>
    <x v="39"/>
    <x v="105"/>
    <s v="G-STUD-"/>
    <s v="32"/>
    <n v="0"/>
    <n v="0"/>
    <n v="0"/>
    <n v="0"/>
    <n v="0"/>
    <n v="0"/>
    <n v="0"/>
    <n v="0"/>
    <n v="2.1"/>
    <n v="78"/>
    <n v="7500"/>
    <n v="11407.500000000002"/>
    <n v="10800"/>
    <n v="607.50000000000182"/>
  </r>
  <r>
    <x v="39"/>
    <x v="106"/>
    <s v="S-RING-"/>
    <s v="182"/>
    <n v="1.1000000000000001"/>
    <n v="92.5"/>
    <n v="92.5"/>
    <n v="131.65"/>
    <n v="144.81500000000003"/>
    <n v="300"/>
    <m/>
    <n v="155.18499999999997"/>
    <m/>
    <m/>
    <m/>
    <m/>
    <m/>
    <m/>
  </r>
  <r>
    <x v="39"/>
    <x v="107"/>
    <s v="S-RING-"/>
    <s v="12"/>
    <n v="3.95"/>
    <n v="92.5"/>
    <n v="92.5"/>
    <n v="140"/>
    <n v="553"/>
    <n v="990"/>
    <m/>
    <n v="437"/>
    <m/>
    <m/>
    <m/>
    <n v="0"/>
    <m/>
    <n v="0"/>
  </r>
  <r>
    <x v="39"/>
    <x v="64"/>
    <m/>
    <m/>
    <n v="3.5"/>
    <n v="65"/>
    <n v="0"/>
    <n v="85.5"/>
    <n v="194.51249999999999"/>
    <m/>
    <m/>
    <n v="0"/>
    <m/>
    <m/>
    <m/>
    <n v="0"/>
    <m/>
    <n v="0"/>
  </r>
  <r>
    <x v="39"/>
    <x v="108"/>
    <s v="G-PESERI-"/>
    <s v="30-1"/>
    <n v="0.125"/>
    <n v="80.39"/>
    <n v="-10"/>
    <n v="7219.2"/>
    <n v="725.43936000000008"/>
    <n v="1050"/>
    <m/>
    <n v="324.56063999999992"/>
    <m/>
    <m/>
    <m/>
    <n v="0"/>
    <m/>
    <n v="0"/>
  </r>
  <r>
    <x v="39"/>
    <x v="44"/>
    <s v="S-STUD-PRI-"/>
    <s v="2"/>
    <n v="0"/>
    <n v="0"/>
    <n v="0"/>
    <n v="0"/>
    <n v="242"/>
    <n v="650"/>
    <m/>
    <n v="408"/>
    <m/>
    <m/>
    <m/>
    <n v="0"/>
    <m/>
    <n v="0"/>
  </r>
  <r>
    <x v="39"/>
    <x v="109"/>
    <s v="S-S-KOLUSU-"/>
    <s v="80"/>
    <n v="131"/>
    <n v="80"/>
    <n v="15"/>
    <n v="82"/>
    <n v="8593.6"/>
    <n v="13500"/>
    <m/>
    <n v="4906.3999999999996"/>
    <m/>
    <m/>
    <m/>
    <n v="0"/>
    <m/>
    <n v="0"/>
  </r>
  <r>
    <x v="39"/>
    <x v="110"/>
    <s v="S-CHAIN-N-"/>
    <s v="43"/>
    <n v="16"/>
    <n v="86"/>
    <n v="-21"/>
    <n v="94.8"/>
    <n v="1304.4479999999999"/>
    <n v="1700"/>
    <m/>
    <n v="375.94880000000012"/>
    <n v="20.25"/>
    <n v="80"/>
    <n v="92"/>
    <n v="1180.3968"/>
    <n v="1200"/>
    <n v="-19.603200000000015"/>
  </r>
  <r>
    <x v="40"/>
    <x v="111"/>
    <m/>
    <m/>
    <n v="8.01"/>
    <n v="92"/>
    <n v="0"/>
    <n v="7735"/>
    <n v="58300"/>
    <n v="63500"/>
    <n v="16000"/>
    <n v="5200"/>
    <m/>
    <m/>
    <m/>
    <n v="0"/>
    <m/>
    <m/>
  </r>
  <r>
    <x v="41"/>
    <x v="112"/>
    <s v="S-RING-"/>
    <s v="224"/>
    <n v="1.91"/>
    <n v="92.5"/>
    <n v="92.5"/>
    <n v="125.57"/>
    <n v="239.83869999999999"/>
    <n v="376"/>
    <m/>
    <n v="136.16130000000001"/>
    <m/>
    <m/>
    <m/>
    <n v="0"/>
    <m/>
    <m/>
  </r>
  <r>
    <x v="41"/>
    <x v="113"/>
    <m/>
    <m/>
    <n v="2.17"/>
    <n v="0"/>
    <n v="0"/>
    <n v="123"/>
    <n v="266.90999999999997"/>
    <n v="424"/>
    <m/>
    <n v="157.09000000000003"/>
    <m/>
    <m/>
    <m/>
    <n v="0"/>
    <m/>
    <m/>
  </r>
  <r>
    <x v="41"/>
    <x v="114"/>
    <m/>
    <m/>
    <n v="24.83"/>
    <n v="92"/>
    <n v="57"/>
    <n v="0"/>
    <n v="3695"/>
    <n v="5400"/>
    <m/>
    <n v="1605"/>
    <m/>
    <m/>
    <m/>
    <n v="0"/>
    <m/>
    <m/>
  </r>
  <r>
    <x v="41"/>
    <x v="115"/>
    <m/>
    <m/>
    <n v="1"/>
    <n v="0"/>
    <n v="0"/>
    <n v="0"/>
    <n v="100"/>
    <m/>
    <m/>
    <n v="0"/>
    <m/>
    <m/>
    <m/>
    <n v="0"/>
    <m/>
    <m/>
  </r>
  <r>
    <x v="42"/>
    <x v="116"/>
    <s v="G-STUD-"/>
    <s v="23"/>
    <n v="3.19"/>
    <n v="97"/>
    <n v="-5"/>
    <n v="7218.2"/>
    <n v="22335.276259999999"/>
    <n v="25300"/>
    <m/>
    <n v="2964.7237400000013"/>
    <m/>
    <m/>
    <m/>
    <n v="0"/>
    <m/>
    <m/>
  </r>
  <r>
    <x v="42"/>
    <x v="117"/>
    <s v="S-CHAIN-92.5-B-"/>
    <s v="4"/>
    <n v="35.9"/>
    <n v="92.5"/>
    <n v="-27.5"/>
    <n v="90"/>
    <n v="3231"/>
    <n v="6200"/>
    <m/>
    <n v="2739"/>
    <m/>
    <m/>
    <m/>
    <n v="0"/>
    <m/>
    <m/>
  </r>
  <r>
    <x v="42"/>
    <x v="118"/>
    <s v="S-DOLLER-"/>
    <s v="2"/>
    <n v="2.81"/>
    <n v="92.5"/>
    <n v="92.5"/>
    <n v="130"/>
    <n v="365.3"/>
    <n v="500"/>
    <m/>
    <n v="134.69999999999999"/>
    <m/>
    <m/>
    <m/>
    <n v="0"/>
    <m/>
    <m/>
  </r>
  <r>
    <x v="42"/>
    <x v="119"/>
    <m/>
    <m/>
    <n v="0"/>
    <n v="0"/>
    <n v="0"/>
    <n v="0"/>
    <n v="230"/>
    <m/>
    <m/>
    <n v="0"/>
    <m/>
    <m/>
    <m/>
    <n v="0"/>
    <m/>
    <m/>
  </r>
  <r>
    <x v="43"/>
    <x v="120"/>
    <s v="S-S-KOLUSU-"/>
    <s v="53"/>
    <n v="159.87"/>
    <n v="76.5"/>
    <n v="-11.5"/>
    <n v="89.9"/>
    <n v="10994.819445000001"/>
    <n v="16250"/>
    <m/>
    <n v="5255.180554999999"/>
    <m/>
    <m/>
    <m/>
    <n v="0"/>
    <m/>
    <m/>
  </r>
  <r>
    <x v="43"/>
    <x v="121"/>
    <m/>
    <m/>
    <n v="10.4"/>
    <n v="80"/>
    <n v="-15"/>
    <n v="93"/>
    <n v="773.76"/>
    <n v="1060"/>
    <m/>
    <n v="228.05120000000011"/>
    <n v="8.8000000000000007"/>
    <n v="80"/>
    <n v="90"/>
    <n v="501.8112000000001"/>
    <n v="560"/>
    <n v="-58.188799999999901"/>
  </r>
  <r>
    <x v="44"/>
    <x v="122"/>
    <s v="S-DOLLER-"/>
    <s v="20"/>
    <n v="2.95"/>
    <n v="65"/>
    <n v="85"/>
    <n v="100"/>
    <n v="191.75"/>
    <n v="360"/>
    <m/>
    <n v="168.25"/>
    <m/>
    <m/>
    <m/>
    <m/>
    <m/>
    <n v="0"/>
  </r>
  <r>
    <x v="44"/>
    <x v="123"/>
    <s v="S-CHAIN-N-"/>
    <s v="63"/>
    <n v="31.1"/>
    <n v="77"/>
    <n v="-12"/>
    <n v="91.5"/>
    <n v="2191.1505000000002"/>
    <n v="3730"/>
    <m/>
    <n v="1538.8494999999998"/>
    <m/>
    <m/>
    <m/>
    <n v="0"/>
    <m/>
    <n v="0"/>
  </r>
  <r>
    <x v="44"/>
    <x v="124"/>
    <s v="S-KAPPU-N-"/>
    <s v="26"/>
    <n v="27"/>
    <n v="77"/>
    <n v="-12"/>
    <n v="91.5"/>
    <n v="1902.2849999999999"/>
    <n v="3210"/>
    <m/>
    <n v="1307.7150000000001"/>
    <m/>
    <m/>
    <m/>
    <n v="0"/>
    <m/>
    <n v="0"/>
  </r>
  <r>
    <x v="45"/>
    <x v="125"/>
    <s v="S-B-KOLUSU--"/>
    <s v="53"/>
    <n v="37.1"/>
    <n v="80"/>
    <n v="-15"/>
    <n v="85"/>
    <n v="2522.8000000000002"/>
    <n v="4400"/>
    <m/>
    <n v="1476.6859000000002"/>
    <n v="38"/>
    <n v="81"/>
    <n v="90"/>
    <n v="2193.9983999999999"/>
    <n v="2400"/>
    <n v="-206.00160000000005"/>
  </r>
  <r>
    <x v="45"/>
    <x v="64"/>
    <m/>
    <m/>
    <n v="3.5"/>
    <n v="65"/>
    <n v="0"/>
    <n v="85.5"/>
    <n v="194.51249999999999"/>
    <m/>
    <m/>
    <n v="0"/>
    <m/>
    <m/>
    <m/>
    <n v="0"/>
    <m/>
    <n v="0"/>
  </r>
  <r>
    <x v="45"/>
    <x v="126"/>
    <m/>
    <m/>
    <n v="0.05"/>
    <n v="80"/>
    <n v="0"/>
    <n v="7400"/>
    <n v="296"/>
    <n v="500"/>
    <m/>
    <n v="711.5"/>
    <n v="0.54"/>
    <n v="65"/>
    <n v="7500"/>
    <n v="1657.5"/>
    <n v="1150"/>
    <n v="507.5"/>
  </r>
  <r>
    <x v="45"/>
    <x v="44"/>
    <s v="S-STUD-PRI-"/>
    <s v="2"/>
    <n v="0"/>
    <n v="0"/>
    <n v="0"/>
    <n v="0"/>
    <n v="242"/>
    <n v="650"/>
    <m/>
    <n v="408"/>
    <m/>
    <m/>
    <m/>
    <n v="0"/>
    <m/>
    <n v="0"/>
  </r>
  <r>
    <x v="46"/>
    <x v="127"/>
    <s v="S-AARUNA-"/>
    <s v="3"/>
    <n v="56.1"/>
    <n v="76.5"/>
    <n v="-21.5"/>
    <n v="89.9"/>
    <n v="3858.1933500000009"/>
    <n v="6400"/>
    <m/>
    <n v="2228.8780099999999"/>
    <n v="55.2"/>
    <n v="81"/>
    <n v="90"/>
    <n v="3187.0713600000008"/>
    <n v="3500"/>
    <n v="-312.92863999999918"/>
  </r>
  <r>
    <x v="46"/>
    <x v="128"/>
    <m/>
    <m/>
    <n v="9.0500000000000007"/>
    <n v="80"/>
    <n v="-15"/>
    <n v="93"/>
    <n v="673.32"/>
    <n v="1200"/>
    <m/>
    <n v="573.33216000000004"/>
    <n v="11.2"/>
    <n v="81"/>
    <n v="90"/>
    <n v="646.65215999999998"/>
    <n v="600"/>
    <n v="46.652159999999981"/>
  </r>
  <r>
    <x v="46"/>
    <x v="129"/>
    <s v="S-S-KOLUSU-"/>
    <s v="40"/>
    <n v="127.48"/>
    <n v="76.5"/>
    <n v="-11.5"/>
    <n v="89.9"/>
    <n v="8767.2457800000011"/>
    <n v="13500"/>
    <m/>
    <n v="4732.7542199999989"/>
    <m/>
    <m/>
    <m/>
    <n v="0"/>
    <m/>
    <n v="0"/>
  </r>
  <r>
    <x v="47"/>
    <x v="130"/>
    <m/>
    <m/>
    <n v="1.04"/>
    <n v="92"/>
    <n v="102"/>
    <n v="7770"/>
    <n v="8330"/>
    <n v="8700"/>
    <m/>
    <n v="370"/>
    <m/>
    <m/>
    <m/>
    <n v="0"/>
    <m/>
    <n v="0"/>
  </r>
  <r>
    <x v="47"/>
    <x v="131"/>
    <m/>
    <m/>
    <n v="1.6"/>
    <n v="0"/>
    <n v="200"/>
    <n v="130"/>
    <n v="130"/>
    <n v="200"/>
    <m/>
    <n v="70"/>
    <m/>
    <m/>
    <m/>
    <n v="0"/>
    <m/>
    <n v="0"/>
  </r>
  <r>
    <x v="48"/>
    <x v="132"/>
    <s v="S-RING-"/>
    <s v="230"/>
    <n v="4"/>
    <n v="92.5"/>
    <n v="92.5"/>
    <n v="125.57"/>
    <n v="502.28"/>
    <n v="1000"/>
    <m/>
    <n v="497.72"/>
    <m/>
    <m/>
    <m/>
    <n v="0"/>
    <n v="0"/>
    <n v="0"/>
  </r>
  <r>
    <x v="49"/>
    <x v="133"/>
    <s v="S-RING-"/>
    <s v="263"/>
    <n v="1.61"/>
    <n v="92.5"/>
    <n v="92.5"/>
    <n v="123"/>
    <n v="198.03"/>
    <n v="400"/>
    <m/>
    <n v="701.97275199999967"/>
    <n v="34.64"/>
    <n v="81"/>
    <n v="90"/>
    <n v="2000.0027519999996"/>
    <n v="1500"/>
    <n v="500.00275199999965"/>
  </r>
  <r>
    <x v="49"/>
    <x v="134"/>
    <s v="S-RING-"/>
    <s v="141"/>
    <n v="2.2000000000000002"/>
    <n v="92.5"/>
    <n v="92.5"/>
    <n v="131.65"/>
    <n v="289.63000000000005"/>
    <n v="500"/>
    <m/>
    <n v="210.36999999999995"/>
    <m/>
    <m/>
    <m/>
    <n v="0"/>
    <m/>
    <n v="0"/>
  </r>
  <r>
    <x v="50"/>
    <x v="135"/>
    <s v="S-BARACELET-G-92.5-"/>
    <s v="16"/>
    <n v="6.76"/>
    <n v="92.5"/>
    <n v="-71.5"/>
    <n v="127"/>
    <n v="858.52"/>
    <n v="1350"/>
    <m/>
    <n v="559.82871040000009"/>
    <n v="15.56"/>
    <n v="81"/>
    <n v="92"/>
    <n v="918.34871039999996"/>
    <n v="850"/>
    <n v="68.348710399999959"/>
  </r>
  <r>
    <x v="51"/>
    <x v="136"/>
    <s v="S-CHAIN-N-"/>
    <s v="44"/>
    <n v="15.4"/>
    <n v="86"/>
    <n v="-21"/>
    <n v="94.8"/>
    <n v="1255.5312000000001"/>
    <n v="2100"/>
    <n v="600"/>
    <n v="368.89870719999976"/>
    <n v="10.58"/>
    <n v="81"/>
    <n v="92"/>
    <n v="624.4299072"/>
    <n v="500"/>
    <n v="124.4299072"/>
  </r>
  <r>
    <x v="52"/>
    <x v="137"/>
    <s v="S-CHAIN-N-"/>
    <s v="14"/>
    <n v="16.95"/>
    <n v="86"/>
    <n v="-21"/>
    <n v="90"/>
    <n v="1311.93"/>
    <n v="2150"/>
    <m/>
    <n v="1102.0431999999998"/>
    <n v="11.5"/>
    <n v="81"/>
    <n v="90"/>
    <n v="663.97320000000002"/>
    <n v="400"/>
    <n v="263.97320000000002"/>
  </r>
  <r>
    <x v="52"/>
    <x v="138"/>
    <s v="S-RING-"/>
    <s v="128"/>
    <n v="0.96"/>
    <n v="92.5"/>
    <n v="92.5"/>
    <n v="127"/>
    <n v="121.92"/>
    <n v="250"/>
    <m/>
    <n v="128.07999999999998"/>
    <m/>
    <m/>
    <m/>
    <n v="0"/>
    <m/>
    <n v="0"/>
  </r>
  <r>
    <x v="53"/>
    <x v="139"/>
    <s v="S-B-KOLUSU--"/>
    <s v="81"/>
    <n v="39"/>
    <n v="79"/>
    <n v="-14"/>
    <n v="86.4"/>
    <n v="2661.9839999999999"/>
    <n v="5200"/>
    <m/>
    <n v="1097.4808000000003"/>
    <n v="86"/>
    <n v="81"/>
    <n v="90"/>
    <n v="4965.3648000000003"/>
    <n v="6000"/>
    <n v="-1034.6351999999997"/>
  </r>
  <r>
    <x v="53"/>
    <x v="140"/>
    <m/>
    <m/>
    <n v="5.5"/>
    <n v="82"/>
    <n v="0"/>
    <n v="90"/>
    <n v="405.9"/>
    <m/>
    <m/>
    <n v="0"/>
    <m/>
    <m/>
    <m/>
    <m/>
    <m/>
    <m/>
  </r>
  <r>
    <x v="53"/>
    <x v="141"/>
    <s v="S-BARACELET-B-"/>
    <s v="10"/>
    <n v="33.11"/>
    <n v="86"/>
    <n v="-65"/>
    <n v="90"/>
    <n v="2562.7139999999999"/>
    <n v="4400"/>
    <m/>
    <n v="1737.2860000000001"/>
    <m/>
    <m/>
    <m/>
    <n v="0"/>
    <m/>
    <n v="0"/>
  </r>
  <r>
    <x v="53"/>
    <x v="142"/>
    <s v="S-BARACELET-G-92.5-"/>
    <s v="7"/>
    <n v="7.31"/>
    <n v="92.5"/>
    <n v="-71.5"/>
    <n v="127"/>
    <n v="928.37"/>
    <n v="1700"/>
    <m/>
    <n v="771.63"/>
    <m/>
    <m/>
    <m/>
    <n v="0"/>
    <m/>
    <n v="0"/>
  </r>
  <r>
    <x v="53"/>
    <x v="115"/>
    <m/>
    <m/>
    <n v="1"/>
    <n v="0"/>
    <n v="0"/>
    <n v="0"/>
    <n v="100"/>
    <m/>
    <m/>
    <n v="0"/>
    <m/>
    <m/>
    <m/>
    <n v="0"/>
    <m/>
    <n v="0"/>
  </r>
  <r>
    <x v="53"/>
    <x v="143"/>
    <s v="G-RING-B"/>
    <s v="19"/>
    <n v="2.0499999999999998"/>
    <n v="95.5"/>
    <n v="-3.5"/>
    <n v="7218.2"/>
    <n v="14131.431049999999"/>
    <n v="16500"/>
    <m/>
    <n v="2368.5689500000008"/>
    <m/>
    <m/>
    <m/>
    <n v="0"/>
    <m/>
    <n v="0"/>
  </r>
  <r>
    <x v="54"/>
    <x v="144"/>
    <s v="S-CHAIN-N-"/>
    <s v="2"/>
    <n v="11.6"/>
    <n v="86"/>
    <n v="-21"/>
    <n v="90"/>
    <n v="897.84"/>
    <n v="2000"/>
    <m/>
    <n v="1002.1599999999999"/>
    <m/>
    <m/>
    <m/>
    <n v="0"/>
    <m/>
    <n v="0"/>
  </r>
  <r>
    <x v="54"/>
    <x v="145"/>
    <s v="S-CHAIN-N-"/>
    <s v="48"/>
    <n v="13"/>
    <n v="86"/>
    <n v="-21"/>
    <n v="94.8"/>
    <n v="1059.864"/>
    <n v="2000"/>
    <m/>
    <n v="1016.0151231999998"/>
    <n v="2.98"/>
    <n v="81"/>
    <n v="92"/>
    <n v="175.87912319999998"/>
    <n v="100"/>
    <n v="75.879123199999981"/>
  </r>
  <r>
    <x v="54"/>
    <x v="115"/>
    <m/>
    <m/>
    <n v="1"/>
    <n v="0"/>
    <n v="0"/>
    <n v="0"/>
    <n v="100"/>
    <m/>
    <m/>
    <n v="0"/>
    <m/>
    <m/>
    <m/>
    <n v="0"/>
    <m/>
    <n v="0"/>
  </r>
  <r>
    <x v="54"/>
    <x v="146"/>
    <s v="S-B-KOLUSU--"/>
    <s v="48"/>
    <n v="32.9"/>
    <n v="82"/>
    <n v="17"/>
    <n v="86.14"/>
    <n v="2323.88492"/>
    <n v="4400"/>
    <m/>
    <n v="1670.2150799999999"/>
    <m/>
    <m/>
    <m/>
    <n v="0"/>
    <m/>
    <n v="0"/>
  </r>
  <r>
    <x v="54"/>
    <x v="140"/>
    <m/>
    <m/>
    <n v="5.5"/>
    <n v="82"/>
    <n v="0"/>
    <n v="90"/>
    <n v="405.9"/>
    <m/>
    <m/>
    <n v="0"/>
    <m/>
    <m/>
    <m/>
    <n v="0"/>
    <m/>
    <n v="0"/>
  </r>
  <r>
    <x v="54"/>
    <x v="147"/>
    <s v="S-B-KOLUSU--"/>
    <s v="34"/>
    <n v="49.2"/>
    <n v="82"/>
    <n v="-17"/>
    <n v="90"/>
    <n v="3630.96"/>
    <n v="5800"/>
    <m/>
    <n v="2169.04"/>
    <m/>
    <m/>
    <m/>
    <n v="0"/>
    <m/>
    <n v="0"/>
  </r>
  <r>
    <x v="55"/>
    <x v="148"/>
    <s v="S-B-KOLUSU--"/>
    <s v="7"/>
    <n v="59.32"/>
    <n v="65"/>
    <n v="-10"/>
    <n v="89"/>
    <n v="3431.6619999999998"/>
    <n v="6800"/>
    <m/>
    <n v="2475.4514079999994"/>
    <n v="66.2"/>
    <n v="81"/>
    <n v="92"/>
    <n v="3907.1134079999993"/>
    <n v="4800"/>
    <n v="-892.88659200000075"/>
  </r>
  <r>
    <x v="55"/>
    <x v="149"/>
    <s v="S-S-KOLUSU-"/>
    <s v="18"/>
    <n v="62.1"/>
    <n v="76.5"/>
    <n v="-11.5"/>
    <n v="89.9"/>
    <n v="4270.8343500000001"/>
    <n v="8400"/>
    <n v="2500"/>
    <n v="3341.513586"/>
    <n v="62.9"/>
    <n v="81"/>
    <n v="92"/>
    <n v="3712.3479360000001"/>
    <n v="4500"/>
    <n v="-787.65206399999988"/>
  </r>
  <r>
    <x v="55"/>
    <x v="150"/>
    <s v="G-STUD-"/>
    <s v="48"/>
    <n v="3.03"/>
    <n v="97"/>
    <n v="-5"/>
    <n v="7420"/>
    <n v="21808.121999999999"/>
    <n v="25000"/>
    <n v="10000"/>
    <n v="3191.8780000000006"/>
    <m/>
    <m/>
    <m/>
    <n v="0"/>
    <m/>
    <n v="0"/>
  </r>
  <r>
    <x v="55"/>
    <x v="151"/>
    <s v="S-RING-"/>
    <s v="82"/>
    <n v="4.0599999999999996"/>
    <n v="92.5"/>
    <n v="92.5"/>
    <n v="127"/>
    <n v="515.62"/>
    <n v="1000"/>
    <m/>
    <n v="484.38"/>
    <m/>
    <m/>
    <m/>
    <n v="0"/>
    <m/>
    <n v="0"/>
  </r>
  <r>
    <x v="55"/>
    <x v="152"/>
    <s v="S-KAPPU-N-"/>
    <s v="16-1"/>
    <n v="16.975000000000001"/>
    <n v="85"/>
    <n v="20"/>
    <n v="83.19"/>
    <n v="1200.3277125000002"/>
    <n v="2500"/>
    <m/>
    <n v="1299.6722874999998"/>
    <m/>
    <m/>
    <m/>
    <n v="0"/>
    <m/>
    <n v="0"/>
  </r>
  <r>
    <x v="55"/>
    <x v="153"/>
    <s v="S-RING-"/>
    <s v="52"/>
    <n v="1.25"/>
    <n v="92.5"/>
    <n v="92.5"/>
    <n v="140"/>
    <n v="175"/>
    <n v="300"/>
    <m/>
    <n v="125"/>
    <m/>
    <m/>
    <m/>
    <n v="0"/>
    <m/>
    <n v="0"/>
  </r>
  <r>
    <x v="55"/>
    <x v="154"/>
    <s v="S-B-KOLUSU--"/>
    <s v="72"/>
    <n v="35.6"/>
    <n v="79"/>
    <n v="-14"/>
    <n v="86.4"/>
    <n v="2429.9136000000003"/>
    <n v="4800"/>
    <m/>
    <n v="1830.9071839999997"/>
    <n v="38.85"/>
    <n v="81"/>
    <n v="92"/>
    <n v="2292.9207839999999"/>
    <n v="2500"/>
    <n v="-207.07921600000009"/>
  </r>
  <r>
    <x v="55"/>
    <x v="155"/>
    <m/>
    <m/>
    <n v="4.5"/>
    <n v="82"/>
    <n v="0"/>
    <n v="90"/>
    <n v="332.1"/>
    <m/>
    <m/>
    <n v="0"/>
    <m/>
    <m/>
    <m/>
    <n v="0"/>
    <m/>
    <n v="0"/>
  </r>
  <r>
    <x v="55"/>
    <x v="156"/>
    <m/>
    <m/>
    <n v="0"/>
    <n v="0"/>
    <n v="0"/>
    <n v="0"/>
    <n v="500"/>
    <n v="800"/>
    <m/>
    <n v="300"/>
    <m/>
    <m/>
    <m/>
    <n v="0"/>
    <m/>
    <n v="0"/>
  </r>
  <r>
    <x v="56"/>
    <x v="157"/>
    <m/>
    <m/>
    <n v="8.5"/>
    <n v="80"/>
    <n v="-15"/>
    <n v="93"/>
    <n v="632.4"/>
    <n v="1250"/>
    <m/>
    <n v="706.68291199999987"/>
    <n v="19.3"/>
    <n v="81"/>
    <n v="92"/>
    <n v="1139.0829119999999"/>
    <n v="1050"/>
    <n v="89.082911999999851"/>
  </r>
  <r>
    <x v="56"/>
    <x v="158"/>
    <m/>
    <m/>
    <n v="0"/>
    <n v="0"/>
    <n v="0"/>
    <n v="0"/>
    <n v="0"/>
    <m/>
    <m/>
    <n v="452.35455999999999"/>
    <n v="0.192"/>
    <n v="55"/>
    <n v="7800"/>
    <n v="652.35455999999999"/>
    <n v="200"/>
    <n v="452.35455999999999"/>
  </r>
  <r>
    <x v="57"/>
    <x v="159"/>
    <s v="S-S-KOLUSU-"/>
    <s v="96"/>
    <n v="161"/>
    <n v="80"/>
    <n v="-15"/>
    <n v="86.4"/>
    <n v="11128.320000000002"/>
    <n v="18400"/>
    <m/>
    <n v="3688.3480319999981"/>
    <n v="174.8"/>
    <n v="81"/>
    <n v="92"/>
    <n v="10316.668032"/>
    <n v="13800"/>
    <n v="-3483.3319680000004"/>
  </r>
  <r>
    <x v="57"/>
    <x v="115"/>
    <m/>
    <m/>
    <n v="1"/>
    <n v="0"/>
    <n v="0"/>
    <n v="0"/>
    <n v="100"/>
    <m/>
    <m/>
    <n v="0"/>
    <m/>
    <m/>
    <m/>
    <m/>
    <m/>
    <m/>
  </r>
  <r>
    <x v="57"/>
    <x v="160"/>
    <s v="G-PESERI-"/>
    <s v="5-1"/>
    <n v="0.26500000000000001"/>
    <n v="80.39"/>
    <n v="-10"/>
    <n v="7218.2"/>
    <n v="1537.7184097000002"/>
    <n v="2480"/>
    <n v="400"/>
    <n v="942.28159029999983"/>
    <m/>
    <m/>
    <m/>
    <n v="0"/>
    <m/>
    <n v="0"/>
  </r>
  <r>
    <x v="57"/>
    <x v="161"/>
    <s v="S-B-KOLUSU--"/>
    <s v="57"/>
    <n v="53.3"/>
    <n v="74.03"/>
    <n v="-14.030000000000001"/>
    <n v="90"/>
    <n v="3551.2191000000003"/>
    <n v="6000"/>
    <m/>
    <n v="2200.8266439999989"/>
    <n v="70.349999999999994"/>
    <n v="81"/>
    <n v="92"/>
    <n v="4152.0457439999991"/>
    <n v="4400"/>
    <n v="-247.9542560000009"/>
  </r>
  <r>
    <x v="57"/>
    <x v="162"/>
    <m/>
    <m/>
    <n v="17"/>
    <n v="80"/>
    <n v="-15"/>
    <n v="93"/>
    <n v="1264.8"/>
    <n v="2100"/>
    <m/>
    <n v="835.2"/>
    <m/>
    <m/>
    <m/>
    <m/>
    <m/>
    <m/>
  </r>
  <r>
    <x v="57"/>
    <x v="163"/>
    <s v="S-CHAIN-N-"/>
    <s v="51"/>
    <n v="31.5"/>
    <n v="86"/>
    <n v="-21"/>
    <n v="94.8"/>
    <n v="2568.1320000000001"/>
    <n v="3900"/>
    <m/>
    <n v="1331.8679999999999"/>
    <m/>
    <m/>
    <m/>
    <m/>
    <m/>
    <m/>
  </r>
  <r>
    <x v="57"/>
    <x v="164"/>
    <s v="S-RING-"/>
    <s v="148"/>
    <n v="5.7"/>
    <n v="92.5"/>
    <n v="92.5"/>
    <n v="131.65"/>
    <n v="750.40500000000009"/>
    <n v="1300"/>
    <m/>
    <n v="549.59499999999991"/>
    <m/>
    <m/>
    <m/>
    <m/>
    <m/>
    <m/>
  </r>
  <r>
    <x v="57"/>
    <x v="165"/>
    <s v="S-RING-"/>
    <s v="244"/>
    <n v="3.01"/>
    <n v="92.5"/>
    <n v="92.5"/>
    <n v="123"/>
    <n v="370.22999999999996"/>
    <n v="600"/>
    <m/>
    <n v="229.77000000000004"/>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388E516-5DB8-4247-8C04-F2DC94AB30DA}" name="PivotTable1" cacheId="6"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location ref="A1:J50" firstHeaderRow="0" firstDataRow="1" firstDataCol="2"/>
  <pivotFields count="18">
    <pivotField axis="axisRow" compact="0" numFmtId="14" outline="0" showAll="0">
      <items count="68">
        <item h="1" x="0"/>
        <item h="1" x="1"/>
        <item h="1" x="2"/>
        <item h="1" x="3"/>
        <item h="1" x="4"/>
        <item h="1" x="5"/>
        <item h="1" x="6"/>
        <item h="1" x="7"/>
        <item h="1" x="8"/>
        <item h="1" m="1" x="63"/>
        <item h="1" m="1" x="64"/>
        <item h="1" x="9"/>
        <item h="1" x="10"/>
        <item h="1" x="11"/>
        <item h="1" x="12"/>
        <item h="1" x="13"/>
        <item h="1" x="14"/>
        <item h="1" x="15"/>
        <item h="1" x="16"/>
        <item h="1" m="1" x="66"/>
        <item h="1" x="17"/>
        <item h="1" x="19"/>
        <item h="1" x="20"/>
        <item h="1" m="1" x="65"/>
        <item h="1" x="18"/>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m="1" x="61"/>
        <item h="1" m="1" x="62"/>
        <item h="1" m="1" x="60"/>
        <item h="1" x="45"/>
        <item h="1" x="46"/>
        <item h="1" x="47"/>
        <item h="1" m="1" x="59"/>
        <item x="48"/>
        <item x="49"/>
        <item x="50"/>
        <item x="51"/>
        <item x="52"/>
        <item x="53"/>
        <item x="54"/>
        <item x="55"/>
        <item x="56"/>
        <item x="57"/>
        <item h="1" m="1" x="58"/>
        <item t="default"/>
      </items>
    </pivotField>
    <pivotField axis="axisRow" compact="0" outline="0" showAll="0">
      <items count="187">
        <item x="1"/>
        <item x="31"/>
        <item m="1" x="185"/>
        <item m="1" x="179"/>
        <item x="37"/>
        <item x="0"/>
        <item x="6"/>
        <item x="7"/>
        <item x="18"/>
        <item x="22"/>
        <item m="1" x="181"/>
        <item x="26"/>
        <item m="1" x="178"/>
        <item m="1" x="168"/>
        <item x="35"/>
        <item x="15"/>
        <item m="1" x="173"/>
        <item x="34"/>
        <item x="5"/>
        <item x="8"/>
        <item m="1" x="175"/>
        <item m="1" x="169"/>
        <item m="1" x="176"/>
        <item m="1" x="180"/>
        <item x="27"/>
        <item m="1" x="170"/>
        <item m="1" x="174"/>
        <item x="2"/>
        <item m="1" x="177"/>
        <item x="36"/>
        <item x="23"/>
        <item x="13"/>
        <item x="11"/>
        <item x="20"/>
        <item x="3"/>
        <item x="33"/>
        <item x="14"/>
        <item x="30"/>
        <item x="4"/>
        <item x="28"/>
        <item x="29"/>
        <item x="12"/>
        <item m="1" x="171"/>
        <item m="1" x="172"/>
        <item x="10"/>
        <item x="21"/>
        <item x="19"/>
        <item x="24"/>
        <item x="25"/>
        <item x="9"/>
        <item x="16"/>
        <item x="17"/>
        <item x="32"/>
        <item x="38"/>
        <item x="39"/>
        <item x="40"/>
        <item x="41"/>
        <item x="42"/>
        <item x="43"/>
        <item x="44"/>
        <item x="45"/>
        <item x="46"/>
        <item x="47"/>
        <item m="1" x="182"/>
        <item m="1" x="183"/>
        <item x="49"/>
        <item x="48"/>
        <item x="50"/>
        <item x="51"/>
        <item x="52"/>
        <item x="54"/>
        <item x="56"/>
        <item x="57"/>
        <item x="58"/>
        <item x="59"/>
        <item x="60"/>
        <item x="53"/>
        <item x="55"/>
        <item x="61"/>
        <item x="62"/>
        <item x="63"/>
        <item x="64"/>
        <item x="65"/>
        <item m="1" x="184"/>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m="1" x="167"/>
        <item x="107"/>
        <item x="108"/>
        <item x="109"/>
        <item x="110"/>
        <item x="111"/>
        <item x="112"/>
        <item x="113"/>
        <item x="114"/>
        <item x="115"/>
        <item x="116"/>
        <item x="117"/>
        <item x="118"/>
        <item x="119"/>
        <item x="120"/>
        <item x="121"/>
        <item x="122"/>
        <item x="123"/>
        <item x="124"/>
        <item x="106"/>
        <item x="125"/>
        <item x="126"/>
        <item x="127"/>
        <item x="128"/>
        <item x="129"/>
        <item x="130"/>
        <item x="131"/>
        <item x="132"/>
        <item m="1" x="166"/>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t="default"/>
      </items>
    </pivotField>
    <pivotField compact="0" outline="0" showAll="0"/>
    <pivotField compact="0" outline="0" showAll="0"/>
    <pivotField dataField="1" compact="0" numFmtId="166" outline="0" showAll="0"/>
    <pivotField compact="0" outline="0" showAll="0"/>
    <pivotField compact="0" outline="0" showAll="0"/>
    <pivotField compact="0" numFmtId="165" outline="0" showAll="0"/>
    <pivotField dataField="1" compact="0" numFmtId="165" outline="0" showAll="0"/>
    <pivotField dataField="1" compact="0" outline="0" showAll="0"/>
    <pivotField compact="0" outline="0" showAll="0"/>
    <pivotField dataField="1" compact="0" outline="0" showAll="0"/>
    <pivotField dataField="1" compact="0" outline="0" showAll="0"/>
    <pivotField compact="0" outline="0" showAll="0"/>
    <pivotField compact="0" outline="0" showAll="0"/>
    <pivotField dataField="1" compact="0" outline="0" showAll="0"/>
    <pivotField dataField="1" compact="0" outline="0" showAll="0"/>
    <pivotField dataField="1" compact="0" outline="0" showAll="0"/>
  </pivotFields>
  <rowFields count="2">
    <field x="0"/>
    <field x="1"/>
  </rowFields>
  <rowItems count="49">
    <i>
      <x v="56"/>
      <x v="151"/>
    </i>
    <i t="default">
      <x v="56"/>
    </i>
    <i>
      <x v="57"/>
      <x v="153"/>
    </i>
    <i r="1">
      <x v="154"/>
    </i>
    <i t="default">
      <x v="57"/>
    </i>
    <i>
      <x v="58"/>
      <x v="155"/>
    </i>
    <i t="default">
      <x v="58"/>
    </i>
    <i>
      <x v="59"/>
      <x v="156"/>
    </i>
    <i t="default">
      <x v="59"/>
    </i>
    <i>
      <x v="60"/>
      <x v="157"/>
    </i>
    <i r="1">
      <x v="158"/>
    </i>
    <i t="default">
      <x v="60"/>
    </i>
    <i>
      <x v="61"/>
      <x v="133"/>
    </i>
    <i r="1">
      <x v="159"/>
    </i>
    <i r="1">
      <x v="160"/>
    </i>
    <i r="1">
      <x v="161"/>
    </i>
    <i r="1">
      <x v="162"/>
    </i>
    <i r="1">
      <x v="163"/>
    </i>
    <i t="default">
      <x v="61"/>
    </i>
    <i>
      <x v="62"/>
      <x v="133"/>
    </i>
    <i r="1">
      <x v="160"/>
    </i>
    <i r="1">
      <x v="164"/>
    </i>
    <i r="1">
      <x v="165"/>
    </i>
    <i r="1">
      <x v="166"/>
    </i>
    <i r="1">
      <x v="167"/>
    </i>
    <i t="default">
      <x v="62"/>
    </i>
    <i>
      <x v="63"/>
      <x v="168"/>
    </i>
    <i r="1">
      <x v="169"/>
    </i>
    <i r="1">
      <x v="170"/>
    </i>
    <i r="1">
      <x v="171"/>
    </i>
    <i r="1">
      <x v="172"/>
    </i>
    <i r="1">
      <x v="173"/>
    </i>
    <i r="1">
      <x v="174"/>
    </i>
    <i r="1">
      <x v="175"/>
    </i>
    <i r="1">
      <x v="176"/>
    </i>
    <i t="default">
      <x v="63"/>
    </i>
    <i>
      <x v="64"/>
      <x v="177"/>
    </i>
    <i r="1">
      <x v="178"/>
    </i>
    <i t="default">
      <x v="64"/>
    </i>
    <i>
      <x v="65"/>
      <x v="133"/>
    </i>
    <i r="1">
      <x v="179"/>
    </i>
    <i r="1">
      <x v="180"/>
    </i>
    <i r="1">
      <x v="181"/>
    </i>
    <i r="1">
      <x v="182"/>
    </i>
    <i r="1">
      <x v="183"/>
    </i>
    <i r="1">
      <x v="184"/>
    </i>
    <i r="1">
      <x v="185"/>
    </i>
    <i t="default">
      <x v="65"/>
    </i>
    <i t="grand">
      <x/>
    </i>
  </rowItems>
  <colFields count="1">
    <field x="-2"/>
  </colFields>
  <colItems count="8">
    <i>
      <x/>
    </i>
    <i i="1">
      <x v="1"/>
    </i>
    <i i="2">
      <x v="2"/>
    </i>
    <i i="3">
      <x v="3"/>
    </i>
    <i i="4">
      <x v="4"/>
    </i>
    <i i="5">
      <x v="5"/>
    </i>
    <i i="6">
      <x v="6"/>
    </i>
    <i i="7">
      <x v="7"/>
    </i>
  </colItems>
  <dataFields count="8">
    <dataField name=" WEIGHT" fld="4" baseField="0" baseItem="0"/>
    <dataField name=" ORIGINAL PRICE" fld="8" baseField="0" baseItem="0" numFmtId="165"/>
    <dataField name=" CASH-CUST" fld="9" baseField="0" baseItem="0" numFmtId="165"/>
    <dataField name=" PROFIT" fld="11" baseField="0" baseItem="0" numFmtId="165"/>
    <dataField name=" OLD-WT" fld="12" baseField="0" baseItem="0"/>
    <dataField name=" OLD-AMT" fld="15" baseField="0" baseItem="0"/>
    <dataField name=" CASH-FR-ITM" fld="16" baseField="0" baseItem="0" numFmtId="165"/>
    <dataField name=" PROFIT-LOSS" fld="17" baseField="0" baseItem="0" numFmtId="165"/>
  </dataFields>
  <formats count="54">
    <format dxfId="155">
      <pivotArea type="all" dataOnly="0" outline="0" fieldPosition="0"/>
    </format>
    <format dxfId="154">
      <pivotArea outline="0" collapsedLevelsAreSubtotals="1" fieldPosition="0"/>
    </format>
    <format dxfId="153">
      <pivotArea field="0" type="button" dataOnly="0" labelOnly="1" outline="0" axis="axisRow" fieldPosition="0"/>
    </format>
    <format dxfId="152">
      <pivotArea field="1" type="button" dataOnly="0" labelOnly="1" outline="0" axis="axisRow" fieldPosition="1"/>
    </format>
    <format dxfId="151">
      <pivotArea dataOnly="0" labelOnly="1" outline="0" fieldPosition="0">
        <references count="1">
          <reference field="0" count="0"/>
        </references>
      </pivotArea>
    </format>
    <format dxfId="150">
      <pivotArea dataOnly="0" labelOnly="1" outline="0" fieldPosition="0">
        <references count="1">
          <reference field="0" count="0" defaultSubtotal="1"/>
        </references>
      </pivotArea>
    </format>
    <format dxfId="149">
      <pivotArea dataOnly="0" labelOnly="1" grandRow="1" outline="0" fieldPosition="0"/>
    </format>
    <format dxfId="148">
      <pivotArea dataOnly="0" labelOnly="1" outline="0" fieldPosition="0">
        <references count="2">
          <reference field="0" count="1" selected="0">
            <x v="0"/>
          </reference>
          <reference field="1" count="2">
            <x v="0"/>
            <x v="5"/>
          </reference>
        </references>
      </pivotArea>
    </format>
    <format dxfId="147">
      <pivotArea dataOnly="0" labelOnly="1" outline="0" fieldPosition="0">
        <references count="2">
          <reference field="0" count="1" selected="0">
            <x v="1"/>
          </reference>
          <reference field="1" count="5">
            <x v="6"/>
            <x v="18"/>
            <x v="27"/>
            <x v="34"/>
            <x v="38"/>
          </reference>
        </references>
      </pivotArea>
    </format>
    <format dxfId="146">
      <pivotArea dataOnly="0" labelOnly="1" outline="0" fieldPosition="0">
        <references count="2">
          <reference field="0" count="1" selected="0">
            <x v="2"/>
          </reference>
          <reference field="1" count="5">
            <x v="7"/>
            <x v="19"/>
            <x v="32"/>
            <x v="44"/>
            <x v="49"/>
          </reference>
        </references>
      </pivotArea>
    </format>
    <format dxfId="145">
      <pivotArea dataOnly="0" labelOnly="1" outline="0" fieldPosition="0">
        <references count="2">
          <reference field="0" count="1" selected="0">
            <x v="3"/>
          </reference>
          <reference field="1" count="5">
            <x v="15"/>
            <x v="31"/>
            <x v="36"/>
            <x v="41"/>
            <x v="50"/>
          </reference>
        </references>
      </pivotArea>
    </format>
    <format dxfId="144">
      <pivotArea dataOnly="0" labelOnly="1" outline="0" fieldPosition="0">
        <references count="2">
          <reference field="0" count="1" selected="0">
            <x v="4"/>
          </reference>
          <reference field="1" count="1">
            <x v="51"/>
          </reference>
        </references>
      </pivotArea>
    </format>
    <format dxfId="143">
      <pivotArea dataOnly="0" labelOnly="1" outline="0" fieldPosition="0">
        <references count="2">
          <reference field="0" count="1" selected="0">
            <x v="5"/>
          </reference>
          <reference field="1" count="2">
            <x v="8"/>
            <x v="46"/>
          </reference>
        </references>
      </pivotArea>
    </format>
    <format dxfId="142">
      <pivotArea dataOnly="0" labelOnly="1" outline="0" fieldPosition="0">
        <references count="2">
          <reference field="0" count="1" selected="0">
            <x v="6"/>
          </reference>
          <reference field="1" count="2">
            <x v="33"/>
            <x v="45"/>
          </reference>
        </references>
      </pivotArea>
    </format>
    <format dxfId="141">
      <pivotArea dataOnly="0" labelOnly="1" outline="0" fieldPosition="0">
        <references count="2">
          <reference field="0" count="1" selected="0">
            <x v="7"/>
          </reference>
          <reference field="1" count="3">
            <x v="2"/>
            <x v="9"/>
            <x v="30"/>
          </reference>
        </references>
      </pivotArea>
    </format>
    <format dxfId="140">
      <pivotArea dataOnly="0" labelOnly="1" outline="0" fieldPosition="0">
        <references count="2">
          <reference field="0" count="1" selected="0">
            <x v="8"/>
          </reference>
          <reference field="1" count="10">
            <x v="11"/>
            <x v="13"/>
            <x v="21"/>
            <x v="24"/>
            <x v="25"/>
            <x v="37"/>
            <x v="39"/>
            <x v="40"/>
            <x v="47"/>
            <x v="48"/>
          </reference>
        </references>
      </pivotArea>
    </format>
    <format dxfId="139">
      <pivotArea dataOnly="0" labelOnly="1" outline="0" fieldPosition="0">
        <references count="2">
          <reference field="0" count="1" selected="0">
            <x v="9"/>
          </reference>
          <reference field="1" count="3">
            <x v="16"/>
            <x v="42"/>
            <x v="43"/>
          </reference>
        </references>
      </pivotArea>
    </format>
    <format dxfId="138">
      <pivotArea dataOnly="0" labelOnly="1" outline="0" fieldPosition="0">
        <references count="2">
          <reference field="0" count="1" selected="0">
            <x v="10"/>
          </reference>
          <reference field="1" count="8">
            <x v="3"/>
            <x v="10"/>
            <x v="12"/>
            <x v="20"/>
            <x v="22"/>
            <x v="23"/>
            <x v="26"/>
            <x v="28"/>
          </reference>
        </references>
      </pivotArea>
    </format>
    <format dxfId="137">
      <pivotArea dataOnly="0" labelOnly="1" outline="0" fieldPosition="0">
        <references count="2">
          <reference field="0" count="1" selected="0">
            <x v="11"/>
          </reference>
          <reference field="1" count="1">
            <x v="1"/>
          </reference>
        </references>
      </pivotArea>
    </format>
    <format dxfId="136">
      <pivotArea dataOnly="0" labelOnly="1" outline="0" fieldPosition="0">
        <references count="2">
          <reference field="0" count="1" selected="0">
            <x v="12"/>
          </reference>
          <reference field="1" count="1">
            <x v="35"/>
          </reference>
        </references>
      </pivotArea>
    </format>
    <format dxfId="135">
      <pivotArea dataOnly="0" labelOnly="1" outline="0" fieldPosition="0">
        <references count="2">
          <reference field="0" count="1" selected="0">
            <x v="13"/>
          </reference>
          <reference field="1" count="2">
            <x v="14"/>
            <x v="17"/>
          </reference>
        </references>
      </pivotArea>
    </format>
    <format dxfId="134">
      <pivotArea dataOnly="0" labelOnly="1" outline="0" fieldPosition="0">
        <references count="2">
          <reference field="0" count="1" selected="0">
            <x v="14"/>
          </reference>
          <reference field="1" count="2">
            <x v="4"/>
            <x v="29"/>
          </reference>
        </references>
      </pivotArea>
    </format>
    <format dxfId="133">
      <pivotArea dataOnly="0" labelOnly="1" outline="0" fieldPosition="0">
        <references count="1">
          <reference field="4294967294" count="8">
            <x v="0"/>
            <x v="1"/>
            <x v="2"/>
            <x v="3"/>
            <x v="4"/>
            <x v="5"/>
            <x v="6"/>
            <x v="7"/>
          </reference>
        </references>
      </pivotArea>
    </format>
    <format dxfId="132">
      <pivotArea outline="0" fieldPosition="0">
        <references count="1">
          <reference field="4294967294" count="3" selected="0">
            <x v="1"/>
            <x v="2"/>
            <x v="3"/>
          </reference>
        </references>
      </pivotArea>
    </format>
    <format dxfId="131">
      <pivotArea dataOnly="0" labelOnly="1" outline="0" fieldPosition="0">
        <references count="1">
          <reference field="4294967294" count="3">
            <x v="1"/>
            <x v="2"/>
            <x v="3"/>
          </reference>
        </references>
      </pivotArea>
    </format>
    <format dxfId="130">
      <pivotArea outline="0" fieldPosition="0">
        <references count="1">
          <reference field="4294967294" count="1" selected="0">
            <x v="6"/>
          </reference>
        </references>
      </pivotArea>
    </format>
    <format dxfId="129">
      <pivotArea dataOnly="0" labelOnly="1" outline="0" fieldPosition="0">
        <references count="1">
          <reference field="4294967294" count="1">
            <x v="6"/>
          </reference>
        </references>
      </pivotArea>
    </format>
    <format dxfId="128">
      <pivotArea outline="0" fieldPosition="0">
        <references count="1">
          <reference field="4294967294" count="1" selected="0">
            <x v="7"/>
          </reference>
        </references>
      </pivotArea>
    </format>
    <format dxfId="127">
      <pivotArea dataOnly="0" labelOnly="1" outline="0" fieldPosition="0">
        <references count="1">
          <reference field="4294967294" count="1">
            <x v="7"/>
          </reference>
        </references>
      </pivotArea>
    </format>
    <format dxfId="126">
      <pivotArea type="all" dataOnly="0" outline="0" fieldPosition="0"/>
    </format>
    <format dxfId="125">
      <pivotArea outline="0" collapsedLevelsAreSubtotals="1" fieldPosition="0"/>
    </format>
    <format dxfId="124">
      <pivotArea field="0" type="button" dataOnly="0" labelOnly="1" outline="0" axis="axisRow" fieldPosition="0"/>
    </format>
    <format dxfId="123">
      <pivotArea field="1" type="button" dataOnly="0" labelOnly="1" outline="0" axis="axisRow" fieldPosition="1"/>
    </format>
    <format dxfId="122">
      <pivotArea dataOnly="0" labelOnly="1" outline="0" fieldPosition="0">
        <references count="1">
          <reference field="0" count="0"/>
        </references>
      </pivotArea>
    </format>
    <format dxfId="121">
      <pivotArea dataOnly="0" labelOnly="1" outline="0" fieldPosition="0">
        <references count="1">
          <reference field="0" count="0" defaultSubtotal="1"/>
        </references>
      </pivotArea>
    </format>
    <format dxfId="120">
      <pivotArea dataOnly="0" labelOnly="1" grandRow="1" outline="0" fieldPosition="0"/>
    </format>
    <format dxfId="119">
      <pivotArea dataOnly="0" labelOnly="1" outline="0" fieldPosition="0">
        <references count="2">
          <reference field="0" count="1" selected="0">
            <x v="0"/>
          </reference>
          <reference field="1" count="2">
            <x v="0"/>
            <x v="5"/>
          </reference>
        </references>
      </pivotArea>
    </format>
    <format dxfId="118">
      <pivotArea dataOnly="0" labelOnly="1" outline="0" fieldPosition="0">
        <references count="2">
          <reference field="0" count="1" selected="0">
            <x v="1"/>
          </reference>
          <reference field="1" count="5">
            <x v="6"/>
            <x v="18"/>
            <x v="27"/>
            <x v="34"/>
            <x v="38"/>
          </reference>
        </references>
      </pivotArea>
    </format>
    <format dxfId="117">
      <pivotArea dataOnly="0" labelOnly="1" outline="0" fieldPosition="0">
        <references count="2">
          <reference field="0" count="1" selected="0">
            <x v="2"/>
          </reference>
          <reference field="1" count="5">
            <x v="7"/>
            <x v="19"/>
            <x v="32"/>
            <x v="44"/>
            <x v="49"/>
          </reference>
        </references>
      </pivotArea>
    </format>
    <format dxfId="116">
      <pivotArea dataOnly="0" labelOnly="1" outline="0" fieldPosition="0">
        <references count="2">
          <reference field="0" count="1" selected="0">
            <x v="3"/>
          </reference>
          <reference field="1" count="5">
            <x v="15"/>
            <x v="31"/>
            <x v="36"/>
            <x v="41"/>
            <x v="50"/>
          </reference>
        </references>
      </pivotArea>
    </format>
    <format dxfId="115">
      <pivotArea dataOnly="0" labelOnly="1" outline="0" fieldPosition="0">
        <references count="2">
          <reference field="0" count="1" selected="0">
            <x v="4"/>
          </reference>
          <reference field="1" count="1">
            <x v="51"/>
          </reference>
        </references>
      </pivotArea>
    </format>
    <format dxfId="114">
      <pivotArea dataOnly="0" labelOnly="1" outline="0" fieldPosition="0">
        <references count="2">
          <reference field="0" count="1" selected="0">
            <x v="5"/>
          </reference>
          <reference field="1" count="2">
            <x v="8"/>
            <x v="46"/>
          </reference>
        </references>
      </pivotArea>
    </format>
    <format dxfId="113">
      <pivotArea dataOnly="0" labelOnly="1" outline="0" fieldPosition="0">
        <references count="2">
          <reference field="0" count="1" selected="0">
            <x v="6"/>
          </reference>
          <reference field="1" count="2">
            <x v="33"/>
            <x v="45"/>
          </reference>
        </references>
      </pivotArea>
    </format>
    <format dxfId="112">
      <pivotArea dataOnly="0" labelOnly="1" outline="0" fieldPosition="0">
        <references count="2">
          <reference field="0" count="1" selected="0">
            <x v="7"/>
          </reference>
          <reference field="1" count="3">
            <x v="2"/>
            <x v="9"/>
            <x v="30"/>
          </reference>
        </references>
      </pivotArea>
    </format>
    <format dxfId="111">
      <pivotArea dataOnly="0" labelOnly="1" outline="0" fieldPosition="0">
        <references count="2">
          <reference field="0" count="1" selected="0">
            <x v="8"/>
          </reference>
          <reference field="1" count="10">
            <x v="11"/>
            <x v="13"/>
            <x v="21"/>
            <x v="24"/>
            <x v="25"/>
            <x v="37"/>
            <x v="39"/>
            <x v="40"/>
            <x v="47"/>
            <x v="48"/>
          </reference>
        </references>
      </pivotArea>
    </format>
    <format dxfId="110">
      <pivotArea dataOnly="0" labelOnly="1" outline="0" fieldPosition="0">
        <references count="2">
          <reference field="0" count="1" selected="0">
            <x v="9"/>
          </reference>
          <reference field="1" count="3">
            <x v="16"/>
            <x v="42"/>
            <x v="43"/>
          </reference>
        </references>
      </pivotArea>
    </format>
    <format dxfId="109">
      <pivotArea dataOnly="0" labelOnly="1" outline="0" fieldPosition="0">
        <references count="2">
          <reference field="0" count="1" selected="0">
            <x v="10"/>
          </reference>
          <reference field="1" count="8">
            <x v="3"/>
            <x v="10"/>
            <x v="12"/>
            <x v="20"/>
            <x v="22"/>
            <x v="23"/>
            <x v="26"/>
            <x v="28"/>
          </reference>
        </references>
      </pivotArea>
    </format>
    <format dxfId="108">
      <pivotArea dataOnly="0" labelOnly="1" outline="0" fieldPosition="0">
        <references count="2">
          <reference field="0" count="1" selected="0">
            <x v="11"/>
          </reference>
          <reference field="1" count="1">
            <x v="1"/>
          </reference>
        </references>
      </pivotArea>
    </format>
    <format dxfId="107">
      <pivotArea dataOnly="0" labelOnly="1" outline="0" fieldPosition="0">
        <references count="2">
          <reference field="0" count="1" selected="0">
            <x v="12"/>
          </reference>
          <reference field="1" count="1">
            <x v="35"/>
          </reference>
        </references>
      </pivotArea>
    </format>
    <format dxfId="106">
      <pivotArea dataOnly="0" labelOnly="1" outline="0" fieldPosition="0">
        <references count="2">
          <reference field="0" count="1" selected="0">
            <x v="13"/>
          </reference>
          <reference field="1" count="2">
            <x v="14"/>
            <x v="17"/>
          </reference>
        </references>
      </pivotArea>
    </format>
    <format dxfId="105">
      <pivotArea dataOnly="0" labelOnly="1" outline="0" fieldPosition="0">
        <references count="2">
          <reference field="0" count="1" selected="0">
            <x v="14"/>
          </reference>
          <reference field="1" count="2">
            <x v="4"/>
            <x v="29"/>
          </reference>
        </references>
      </pivotArea>
    </format>
    <format dxfId="104">
      <pivotArea dataOnly="0" labelOnly="1" outline="0" fieldPosition="0">
        <references count="1">
          <reference field="4294967294" count="8">
            <x v="0"/>
            <x v="1"/>
            <x v="2"/>
            <x v="3"/>
            <x v="4"/>
            <x v="5"/>
            <x v="6"/>
            <x v="7"/>
          </reference>
        </references>
      </pivotArea>
    </format>
    <format dxfId="103">
      <pivotArea outline="0" fieldPosition="0">
        <references count="1">
          <reference field="4294967294" count="1" selected="0">
            <x v="3"/>
          </reference>
        </references>
      </pivotArea>
    </format>
    <format dxfId="102">
      <pivotArea dataOnly="0" labelOnly="1"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B16DB3-98F6-4D69-90BB-DA7D1207E2B8}"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olHeaderCaption="GOLD &amp; SILVER">
  <location ref="A1:G30" firstHeaderRow="1" firstDataRow="3" firstDataCol="1"/>
  <pivotFields count="12">
    <pivotField axis="axisRow" numFmtId="170" showAll="0">
      <items count="14">
        <item x="0"/>
        <item x="1"/>
        <item x="2"/>
        <item x="3"/>
        <item x="4"/>
        <item x="5"/>
        <item x="6"/>
        <item x="7"/>
        <item x="8"/>
        <item x="9"/>
        <item x="10"/>
        <item x="11"/>
        <item x="12"/>
        <item t="default"/>
      </items>
    </pivotField>
    <pivotField showAll="0"/>
    <pivotField axis="axisRow" showAll="0">
      <items count="10">
        <item x="5"/>
        <item x="6"/>
        <item x="4"/>
        <item x="0"/>
        <item x="1"/>
        <item x="2"/>
        <item x="3"/>
        <item x="7"/>
        <item x="8"/>
        <item t="default"/>
      </items>
    </pivotField>
    <pivotField axis="axisCol" multipleItemSelectionAllowed="1" showAll="0">
      <items count="3">
        <item x="1"/>
        <item x="0"/>
        <item t="default"/>
      </items>
    </pivotField>
    <pivotField dataField="1" numFmtId="164" showAll="0"/>
    <pivotField numFmtId="171" showAll="0"/>
    <pivotField dataField="1" numFmtId="44" showAll="0"/>
    <pivotField numFmtId="171" showAll="0"/>
    <pivotField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2"/>
  </rowFields>
  <rowItems count="27">
    <i>
      <x/>
    </i>
    <i r="1">
      <x v="3"/>
    </i>
    <i>
      <x v="1"/>
    </i>
    <i r="1">
      <x v="4"/>
    </i>
    <i>
      <x v="2"/>
    </i>
    <i r="1">
      <x v="5"/>
    </i>
    <i>
      <x v="3"/>
    </i>
    <i r="1">
      <x v="5"/>
    </i>
    <i>
      <x v="4"/>
    </i>
    <i r="1">
      <x v="6"/>
    </i>
    <i>
      <x v="5"/>
    </i>
    <i r="1">
      <x v="4"/>
    </i>
    <i>
      <x v="6"/>
    </i>
    <i r="1">
      <x v="6"/>
    </i>
    <i>
      <x v="7"/>
    </i>
    <i r="1">
      <x v="2"/>
    </i>
    <i>
      <x v="8"/>
    </i>
    <i r="1">
      <x/>
    </i>
    <i>
      <x v="9"/>
    </i>
    <i r="1">
      <x v="1"/>
    </i>
    <i>
      <x v="10"/>
    </i>
    <i r="1">
      <x v="7"/>
    </i>
    <i>
      <x v="11"/>
    </i>
    <i r="1">
      <x v="3"/>
    </i>
    <i>
      <x v="12"/>
    </i>
    <i r="1">
      <x v="8"/>
    </i>
    <i t="grand">
      <x/>
    </i>
  </rowItems>
  <colFields count="2">
    <field x="3"/>
    <field x="-2"/>
  </colFields>
  <colItems count="6">
    <i>
      <x/>
      <x/>
    </i>
    <i r="1" i="1">
      <x v="1"/>
    </i>
    <i>
      <x v="1"/>
      <x/>
    </i>
    <i r="1" i="1">
      <x v="1"/>
    </i>
    <i t="grand">
      <x/>
    </i>
    <i t="grand" i="1">
      <x/>
    </i>
  </colItems>
  <dataFields count="2">
    <dataField name="Sum of WEIGHT" fld="4" baseField="0" baseItem="0"/>
    <dataField name="Sum of AMOUNT" fld="6" baseField="0" baseItem="0"/>
  </dataFields>
  <formats count="26">
    <format dxfId="80">
      <pivotArea field="-2" type="button" dataOnly="0" labelOnly="1" outline="0" axis="axisCol" fieldPosition="1"/>
    </format>
    <format dxfId="79">
      <pivotArea type="all" dataOnly="0" outline="0" fieldPosition="0"/>
    </format>
    <format dxfId="78">
      <pivotArea outline="0" collapsedLevelsAreSubtotals="1" fieldPosition="0"/>
    </format>
    <format dxfId="77">
      <pivotArea type="origin" dataOnly="0" labelOnly="1" outline="0" fieldPosition="0"/>
    </format>
    <format dxfId="76">
      <pivotArea field="-2" type="button" dataOnly="0" labelOnly="1" outline="0" axis="axisCol" fieldPosition="1"/>
    </format>
    <format dxfId="75">
      <pivotArea field="3" type="button" dataOnly="0" labelOnly="1" outline="0" axis="axisCol" fieldPosition="0"/>
    </format>
    <format dxfId="74">
      <pivotArea type="topRight" dataOnly="0" labelOnly="1" outline="0" fieldPosition="0"/>
    </format>
    <format dxfId="73">
      <pivotArea field="2" type="button" dataOnly="0" labelOnly="1" outline="0" axis="axisRow" fieldPosition="1"/>
    </format>
    <format dxfId="72">
      <pivotArea dataOnly="0" labelOnly="1" grandRow="1" outline="0"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2" type="button" dataOnly="0" labelOnly="1" outline="0" axis="axisCol" fieldPosition="1"/>
    </format>
    <format dxfId="67">
      <pivotArea field="3" type="button" dataOnly="0" labelOnly="1" outline="0" axis="axisCol" fieldPosition="0"/>
    </format>
    <format dxfId="66">
      <pivotArea type="topRight" dataOnly="0" labelOnly="1" outline="0" fieldPosition="0"/>
    </format>
    <format dxfId="65">
      <pivotArea field="2" type="button" dataOnly="0" labelOnly="1" outline="0" axis="axisRow" fieldPosition="1"/>
    </format>
    <format dxfId="64">
      <pivotArea dataOnly="0" labelOnly="1" grandRow="1" outline="0" fieldPosition="0"/>
    </format>
    <format dxfId="63">
      <pivotArea field="3" grandRow="1" outline="0" collapsedLevelsAreSubtotals="1" axis="axisCol" fieldPosition="0">
        <references count="2">
          <reference field="4294967294" count="2" selected="0">
            <x v="0"/>
            <x v="1"/>
          </reference>
          <reference field="3" count="1" selected="0">
            <x v="1"/>
          </reference>
        </references>
      </pivotArea>
    </format>
    <format dxfId="62">
      <pivotArea field="3" grandRow="1" outline="0" collapsedLevelsAreSubtotals="1" axis="axisCol" fieldPosition="0">
        <references count="2">
          <reference field="4294967294" count="1" selected="0">
            <x v="1"/>
          </reference>
          <reference field="3" count="1" selected="0">
            <x v="0"/>
          </reference>
        </references>
      </pivotArea>
    </format>
    <format dxfId="61">
      <pivotArea field="3" grandRow="1" outline="0" collapsedLevelsAreSubtotals="1" axis="axisCol" fieldPosition="0">
        <references count="2">
          <reference field="4294967294" count="1" selected="0">
            <x v="1"/>
          </reference>
          <reference field="3" count="1" selected="0">
            <x v="0"/>
          </reference>
        </references>
      </pivotArea>
    </format>
    <format dxfId="60">
      <pivotArea field="3" grandRow="1" outline="0" collapsedLevelsAreSubtotals="1" axis="axisCol" fieldPosition="0">
        <references count="2">
          <reference field="4294967294" count="1" selected="0">
            <x v="0"/>
          </reference>
          <reference field="3" count="1" selected="0">
            <x v="1"/>
          </reference>
        </references>
      </pivotArea>
    </format>
    <format dxfId="59">
      <pivotArea grandRow="1" grandCol="1" outline="0" collapsedLevelsAreSubtotals="1" fieldPosition="0">
        <references count="1">
          <reference field="4294967294" count="1" selected="0">
            <x v="1"/>
          </reference>
        </references>
      </pivotArea>
    </format>
    <format dxfId="58">
      <pivotArea field="3" grandRow="1" outline="0" collapsedLevelsAreSubtotals="1" axis="axisCol" fieldPosition="0">
        <references count="2">
          <reference field="4294967294" count="1" selected="0">
            <x v="0"/>
          </reference>
          <reference field="3" count="1" selected="0">
            <x v="0"/>
          </reference>
        </references>
      </pivotArea>
    </format>
    <format dxfId="57">
      <pivotArea field="3" grandRow="1" outline="0" collapsedLevelsAreSubtotals="1" axis="axisCol" fieldPosition="0">
        <references count="2">
          <reference field="4294967294" count="1" selected="0">
            <x v="0"/>
          </reference>
          <reference field="3" count="1" selected="0">
            <x v="0"/>
          </reference>
        </references>
      </pivotArea>
    </format>
    <format dxfId="56">
      <pivotArea field="3" grandRow="1" outline="0" collapsedLevelsAreSubtotals="1" axis="axisCol" fieldPosition="0">
        <references count="2">
          <reference field="4294967294" count="1" selected="0">
            <x v="0"/>
          </reference>
          <reference field="3" count="1" selected="0">
            <x v="1"/>
          </reference>
        </references>
      </pivotArea>
    </format>
    <format dxfId="55">
      <pivotArea field="3" grandRow="1" outline="0" collapsedLevelsAreSubtotals="1" axis="axisCol" fieldPosition="0">
        <references count="2">
          <reference field="4294967294" count="1" selected="0">
            <x v="0"/>
          </reference>
          <reference field="3"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A8C7941-8AAE-43F7-8CE0-BC28575BD951}" sourceName="DATE">
  <pivotTables>
    <pivotTable tabId="4" name="PivotTable1"/>
  </pivotTables>
  <data>
    <tabular pivotCacheId="1579217206">
      <items count="67">
        <i x="0"/>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s="1"/>
        <i x="49" s="1"/>
        <i x="50" s="1"/>
        <i x="51" s="1"/>
        <i x="52" s="1"/>
        <i x="53" s="1"/>
        <i x="54" s="1"/>
        <i x="55" s="1"/>
        <i x="56" s="1"/>
        <i x="57" s="1"/>
        <i x="60" nd="1"/>
        <i x="62" nd="1"/>
        <i x="65" nd="1"/>
        <i x="63" nd="1"/>
        <i x="64" nd="1"/>
        <i x="66" nd="1"/>
        <i x="61" nd="1"/>
        <i x="59" nd="1"/>
        <i x="5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S_CODE" xr10:uid="{661CB3F6-AC29-497D-9DB3-E5468ACB6D3F}" sourceName="ITEMS-CODE">
  <pivotTables>
    <pivotTable tabId="4" name="PivotTable1"/>
  </pivotTables>
  <data>
    <tabular pivotCacheId="1579217206">
      <items count="186">
        <i x="158" s="1"/>
        <i x="160" s="1"/>
        <i x="143" s="1"/>
        <i x="150" s="1"/>
        <i x="155" s="1"/>
        <i x="140" s="1"/>
        <i x="141" s="1"/>
        <i x="135" s="1"/>
        <i x="142" s="1"/>
        <i x="147" s="1"/>
        <i x="146" s="1"/>
        <i x="161" s="1"/>
        <i x="148" s="1"/>
        <i x="154" s="1"/>
        <i x="139" s="1"/>
        <i x="137" s="1"/>
        <i x="144" s="1"/>
        <i x="136" s="1"/>
        <i x="145" s="1"/>
        <i x="163" s="1"/>
        <i x="115" s="1"/>
        <i x="152" s="1"/>
        <i x="162" s="1"/>
        <i x="157" s="1"/>
        <i x="138" s="1"/>
        <i x="134" s="1"/>
        <i x="164" s="1"/>
        <i x="132" s="1"/>
        <i x="165" s="1"/>
        <i x="133" s="1"/>
        <i x="153" s="1"/>
        <i x="151" s="1"/>
        <i x="149" s="1"/>
        <i x="159" s="1"/>
        <i x="156" s="1"/>
        <i x="167" s="1" nd="1"/>
        <i x="184" s="1" nd="1"/>
        <i x="66" s="1" nd="1"/>
        <i x="72" s="1" nd="1"/>
        <i x="119" s="1" nd="1"/>
        <i x="96" s="1" nd="1"/>
        <i x="1" s="1" nd="1"/>
        <i x="31" s="1" nd="1"/>
        <i x="114" s="1" nd="1"/>
        <i x="185" s="1" nd="1"/>
        <i x="126" s="1" nd="1"/>
        <i x="179" s="1" nd="1"/>
        <i x="108" s="1" nd="1"/>
        <i x="182" s="1" nd="1"/>
        <i x="37" s="1" nd="1"/>
        <i x="75" s="1" nd="1"/>
        <i x="104" s="1" nd="1"/>
        <i x="0" s="1" nd="1"/>
        <i x="6" s="1" nd="1"/>
        <i x="43" s="1" nd="1"/>
        <i x="7" s="1" nd="1"/>
        <i x="116" s="1" nd="1"/>
        <i x="18" s="1" nd="1"/>
        <i x="105" s="1" nd="1"/>
        <i x="82" s="1" nd="1"/>
        <i x="52" s="1" nd="1"/>
        <i x="100" s="1" nd="1"/>
        <i x="78" s="1" nd="1"/>
        <i x="74" s="1" nd="1"/>
        <i x="73" s="1" nd="1"/>
        <i x="131" s="1" nd="1"/>
        <i x="97" s="1" nd="1"/>
        <i x="99" s="1" nd="1"/>
        <i x="113" s="1" nd="1"/>
        <i x="32" s="1" nd="1"/>
        <i x="70" s="1" nd="1"/>
        <i x="130" s="1" nd="1"/>
        <i x="101" s="1" nd="1"/>
        <i x="111" s="1" nd="1"/>
        <i x="22" s="1" nd="1"/>
        <i x="181" s="1" nd="1"/>
        <i x="26" s="1" nd="1"/>
        <i x="127" s="1" nd="1"/>
        <i x="178" s="1" nd="1"/>
        <i x="84" s="1" nd="1"/>
        <i x="98" s="1" nd="1"/>
        <i x="168" s="1" nd="1"/>
        <i x="45" s="1" nd="1"/>
        <i x="35" s="1" nd="1"/>
        <i x="88" s="1" nd="1"/>
        <i x="83" s="1" nd="1"/>
        <i x="63" s="1" nd="1"/>
        <i x="68" s="1" nd="1"/>
        <i x="85" s="1" nd="1"/>
        <i x="15" s="1" nd="1"/>
        <i x="65" s="1" nd="1"/>
        <i x="125" s="1" nd="1"/>
        <i x="92" s="1" nd="1"/>
        <i x="173" s="1" nd="1"/>
        <i x="117" s="1" nd="1"/>
        <i x="90" s="1" nd="1"/>
        <i x="110" s="1" nd="1"/>
        <i x="34" s="1" nd="1"/>
        <i x="5" s="1" nd="1"/>
        <i x="8" s="1" nd="1"/>
        <i x="71" s="1" nd="1"/>
        <i x="175" s="1" nd="1"/>
        <i x="123" s="1" nd="1"/>
        <i x="169" s="1" nd="1"/>
        <i x="118" s="1" nd="1"/>
        <i x="122" s="1" nd="1"/>
        <i x="176" s="1" nd="1"/>
        <i x="183" s="1" nd="1"/>
        <i x="62" s="1" nd="1"/>
        <i x="102" s="1" nd="1"/>
        <i x="103" s="1" nd="1"/>
        <i x="91" s="1" nd="1"/>
        <i x="53" s="1" nd="1"/>
        <i x="55" s="1" nd="1"/>
        <i x="180" s="1" nd="1"/>
        <i x="47" s="1" nd="1"/>
        <i x="27" s="1" nd="1"/>
        <i x="87" s="1" nd="1"/>
        <i x="170" s="1" nd="1"/>
        <i x="174" s="1" nd="1"/>
        <i x="86" s="1" nd="1"/>
        <i x="124" s="1" nd="1"/>
        <i x="2" s="1" nd="1"/>
        <i x="41" s="1" nd="1"/>
        <i x="61" s="1" nd="1"/>
        <i x="67" s="1" nd="1"/>
        <i x="121" s="1" nd="1"/>
        <i x="128" s="1" nd="1"/>
        <i x="177" s="1" nd="1"/>
        <i x="79" s="1" nd="1"/>
        <i x="36" s="1" nd="1"/>
        <i x="89" s="1" nd="1"/>
        <i x="46" s="1" nd="1"/>
        <i x="93" s="1" nd="1"/>
        <i x="64" s="1" nd="1"/>
        <i x="23" s="1" nd="1"/>
        <i x="38" s="1" nd="1"/>
        <i x="50" s="1" nd="1"/>
        <i x="13" s="1" nd="1"/>
        <i x="11" s="1" nd="1"/>
        <i x="107" s="1" nd="1"/>
        <i x="76" s="1" nd="1"/>
        <i x="40" s="1" nd="1"/>
        <i x="20" s="1" nd="1"/>
        <i x="3" s="1" nd="1"/>
        <i x="33" s="1" nd="1"/>
        <i x="69" s="1" nd="1"/>
        <i x="14" s="1" nd="1"/>
        <i x="106" s="1" nd="1"/>
        <i x="30" s="1" nd="1"/>
        <i x="58" s="1" nd="1"/>
        <i x="51" s="1" nd="1"/>
        <i x="60" s="1" nd="1"/>
        <i x="59" s="1" nd="1"/>
        <i x="54" s="1" nd="1"/>
        <i x="4" s="1" nd="1"/>
        <i x="94" s="1" nd="1"/>
        <i x="112" s="1" nd="1"/>
        <i x="42" s="1" nd="1"/>
        <i x="77" s="1" nd="1"/>
        <i x="166" s="1" nd="1"/>
        <i x="80" s="1" nd="1"/>
        <i x="81" s="1" nd="1"/>
        <i x="28" s="1" nd="1"/>
        <i x="48" s="1" nd="1"/>
        <i x="29" s="1" nd="1"/>
        <i x="12" s="1" nd="1"/>
        <i x="39" s="1" nd="1"/>
        <i x="171" s="1" nd="1"/>
        <i x="172" s="1" nd="1"/>
        <i x="10" s="1" nd="1"/>
        <i x="129" s="1" nd="1"/>
        <i x="21" s="1" nd="1"/>
        <i x="19" s="1" nd="1"/>
        <i x="120" s="1" nd="1"/>
        <i x="24" s="1" nd="1"/>
        <i x="25" s="1" nd="1"/>
        <i x="9" s="1" nd="1"/>
        <i x="109" s="1" nd="1"/>
        <i x="16" s="1" nd="1"/>
        <i x="17" s="1" nd="1"/>
        <i x="49" s="1" nd="1"/>
        <i x="56" s="1" nd="1"/>
        <i x="44" s="1" nd="1"/>
        <i x="57" s="1" nd="1"/>
        <i x="9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F6754C14-371B-4CE1-A51F-EC2BF07CFD5E}" cache="Slicer_DATE" caption="DATE" startItem="53" rowHeight="234950"/>
  <slicer name="ITEMS-CODE" xr10:uid="{4B2E5FDF-06C1-4C3D-B066-43D22A25573B}" cache="Slicer_ITEMS_CODE" caption="ITEMS-COD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E11E26F-5DA0-4560-8DD2-2C1FAA82A54A}" name="Table1" displayName="Table1" ref="A1:G885" totalsRowCount="1" dataDxfId="208" headerRowBorderDxfId="209" tableBorderDxfId="207" totalsRowBorderDxfId="206">
  <autoFilter ref="A1:G884" xr:uid="{CE11E26F-5DA0-4560-8DD2-2C1FAA82A54A}"/>
  <tableColumns count="7">
    <tableColumn id="1" xr3:uid="{69F286A0-EEF2-4676-8F20-12B7E0114C0B}" name="CODE" dataDxfId="205" totalsRowDxfId="204"/>
    <tableColumn id="2" xr3:uid="{CCCFC7D4-D584-443E-8449-49C32F8BDE15}" name="WEIGHT" dataDxfId="203" totalsRowDxfId="202"/>
    <tableColumn id="3" xr3:uid="{EFE7AA1F-9577-4ED9-93AD-64C72773C1C6}" name="MELTING" dataDxfId="201" totalsRowDxfId="200"/>
    <tableColumn id="4" xr3:uid="{406E336F-0286-4285-9C70-0A0E89FE868F}" name="WASTAGE" dataDxfId="199" totalsRowDxfId="198"/>
    <tableColumn id="5" xr3:uid="{4BCA5996-B935-4BCB-AAA0-EAC723B62A04}" name="PURE-RATE" dataDxfId="197" totalsRowDxfId="196"/>
    <tableColumn id="6" xr3:uid="{695F522B-E05A-4580-8577-EB69E48F5B0A}" name="AMOUNT" dataDxfId="195" totalsRowDxfId="194" dataCellStyle="Currency">
      <calculatedColumnFormula>(((B2*C2)/100)*E2)</calculatedColumnFormula>
    </tableColumn>
    <tableColumn id="7" xr3:uid="{0071A262-5C3F-4267-8743-D8E61DCA8064}" name="Column1" dataDxfId="193" totalsRowDxfId="19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74AD1D-8428-4A28-BCDF-4260CD40CAA7}" name="Table4" displayName="Table4" ref="H1:H36" totalsRowShown="0" headerRowDxfId="191" dataDxfId="190" tableBorderDxfId="189">
  <autoFilter ref="H1:H36" xr:uid="{3074AD1D-8428-4A28-BCDF-4260CD40CAA7}"/>
  <tableColumns count="1">
    <tableColumn id="1" xr3:uid="{CC44D809-7298-4098-A777-CA9963717A6C}" name="LIST-ITEMS" dataDxfId="18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559748F-BFD9-4011-9A94-FB7F0B3DE502}" name="Table8" displayName="Table8" ref="A1:R181" totalsRowShown="0" headerRowDxfId="187" dataDxfId="185" headerRowBorderDxfId="186" tableBorderDxfId="184">
  <autoFilter ref="A1:R181" xr:uid="{D559748F-BFD9-4011-9A94-FB7F0B3DE502}"/>
  <tableColumns count="18">
    <tableColumn id="1" xr3:uid="{BCC0640F-B301-4962-A13E-693EA27E9384}" name="DATE" dataDxfId="183"/>
    <tableColumn id="2" xr3:uid="{632979B4-A65A-4336-8FED-1F622C593FA9}" name="ITEMS-CODE" dataDxfId="182">
      <calculatedColumnFormula>C2&amp;D2</calculatedColumnFormula>
    </tableColumn>
    <tableColumn id="3" xr3:uid="{DE23FE06-3786-4B3B-A1A1-5FA0EBDA676B}" name="Column2" dataDxfId="181"/>
    <tableColumn id="4" xr3:uid="{C7280CA8-C335-4396-B3D2-949B8674C180}" name="Column1" dataDxfId="180"/>
    <tableColumn id="5" xr3:uid="{981994EE-7D07-4162-B032-AB7D9B542234}" name="WEIGHT" dataDxfId="179">
      <calculatedColumnFormula>VLOOKUP(B2,'ALL-DATA'!A:F,2,FALSE)</calculatedColumnFormula>
    </tableColumn>
    <tableColumn id="6" xr3:uid="{ACB8CAB0-2E89-42C4-925A-8EFE8B4DE8E6}" name="MELTING" dataDxfId="178">
      <calculatedColumnFormula>VLOOKUP(B2,'ALL-DATA'!A:F,3,FALSE)</calculatedColumnFormula>
    </tableColumn>
    <tableColumn id="7" xr3:uid="{BB50ADA8-A2B7-458B-899E-C354623EF7B8}" name="WASTAGE" dataDxfId="177">
      <calculatedColumnFormula>VLOOKUP(B2,'ALL-DATA'!A:F,4,FALSE)</calculatedColumnFormula>
    </tableColumn>
    <tableColumn id="8" xr3:uid="{FE48D218-20C2-4455-9C2E-082462AE9E11}" name="P-RATE" dataDxfId="176">
      <calculatedColumnFormula>VLOOKUP(B2,'ALL-DATA'!A:F,5,FALSE)</calculatedColumnFormula>
    </tableColumn>
    <tableColumn id="9" xr3:uid="{A26E7132-F59B-4EAB-A29C-D0BF38C06394}" name="ORIGINAL PRICE" dataDxfId="175">
      <calculatedColumnFormula>VLOOKUP(B2,'ALL-DATA'!A:F,6,FALSE)</calculatedColumnFormula>
    </tableColumn>
    <tableColumn id="10" xr3:uid="{6704F10D-D0AA-497A-8656-8C91AFCB0FCA}" name="CASH-CUST" dataDxfId="174" dataCellStyle="Currency"/>
    <tableColumn id="11" xr3:uid="{23B448B1-EDA9-4A66-8D46-152CEF6F2C40}" name="BALANCE" dataDxfId="173" dataCellStyle="Currency"/>
    <tableColumn id="12" xr3:uid="{FF50997D-D1EF-4D37-BB45-28EFB61CE735}" name="PROFIT" dataDxfId="172">
      <calculatedColumnFormula>((J2+R2)-I2)</calculatedColumnFormula>
    </tableColumn>
    <tableColumn id="13" xr3:uid="{093792D9-FB37-4A46-9695-0689BD4B93B7}" name="OLD-WT" dataDxfId="171"/>
    <tableColumn id="14" xr3:uid="{99D0D025-7B26-472D-94EC-CA3C1DB55C39}" name="MELTING2" dataDxfId="170"/>
    <tableColumn id="15" xr3:uid="{736C2555-369D-46C2-AB26-99F7655B5BF4}" name="P-RATE3" dataDxfId="169"/>
    <tableColumn id="16" xr3:uid="{C433728E-F663-40C1-8958-8A09264A93A7}" name="OLD-AMT" dataDxfId="168"/>
    <tableColumn id="17" xr3:uid="{DA3EDDED-698A-432E-B1BA-B0BC3CA82E4E}" name="CASH-FR-ITM" dataDxfId="167"/>
    <tableColumn id="18" xr3:uid="{08F98A96-C576-4F72-BB6C-F763760CE147}" name="PROFIT-LOSS" dataDxfId="16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D28C98E-9B61-4EDE-B19D-FF4A1568BF5B}" name="Table10" displayName="Table10" ref="T1:Z28" totalsRowShown="0" headerRowDxfId="165" headerRowBorderDxfId="164" tableBorderDxfId="163" headerRowCellStyle="Currency">
  <autoFilter ref="T1:Z28" xr:uid="{8D28C98E-9B61-4EDE-B19D-FF4A1568BF5B}"/>
  <tableColumns count="7">
    <tableColumn id="1" xr3:uid="{37A466B7-6B1A-4EED-B6C6-194ACB682C59}" name="ORIGINAL COST" dataDxfId="162"/>
    <tableColumn id="2" xr3:uid="{32551AD3-13A2-4059-B441-AB5B3F31999E}" name="CUST TO GIVE" dataDxfId="161"/>
    <tableColumn id="3" xr3:uid="{A4A96C0E-21AF-4E11-9CFF-E048A5452E45}" name="TOTAL PROFIT" dataDxfId="160"/>
    <tableColumn id="4" xr3:uid="{3D746714-42EC-4548-973F-4671683EAD65}" name="SELAVU " dataDxfId="159"/>
    <tableColumn id="5" xr3:uid="{AF1857ED-1B8D-48DA-B6F2-5B65426EC259}" name="ORIGINAL PRF" dataDxfId="158"/>
    <tableColumn id="6" xr3:uid="{C5D4ACC7-4F64-42BA-B5CE-7302ECD10037}" name="NAME AND DATE" dataDxfId="157"/>
    <tableColumn id="7" xr3:uid="{B16B99D1-42F7-44C0-A2DA-1B692D76B79B}" name="INVENSMENT" dataDxfId="156"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2DB102-99E4-4D92-895B-AF387335B24A}" name="Table2" displayName="Table2" ref="A1:J15" totalsRowCount="1" dataDxfId="101">
  <autoFilter ref="A1:J14" xr:uid="{102DB102-99E4-4D92-895B-AF387335B24A}"/>
  <tableColumns count="10">
    <tableColumn id="1" xr3:uid="{E30E2E0D-C8D4-4206-8C7E-ADBD88830618}" name="DATE " dataDxfId="100" totalsRowDxfId="99"/>
    <tableColumn id="2" xr3:uid="{99ED489A-AC2C-4B18-963A-82026FAC2132}" name="PLACE" dataDxfId="98" totalsRowDxfId="97"/>
    <tableColumn id="3" xr3:uid="{BA9032EF-A37C-44B5-9FD6-64F571B8C5E1}" name="NAME" dataDxfId="96" totalsRowDxfId="95"/>
    <tableColumn id="4" xr3:uid="{9FE1E9B9-9FB8-42DA-9D95-404EBB5042DF}" name="ITEMS" dataDxfId="94" totalsRowDxfId="93"/>
    <tableColumn id="5" xr3:uid="{8449BE7C-ACD3-4708-A7FA-6AB7CB4ED579}" name="WEIGHT" dataDxfId="92" totalsRowDxfId="91"/>
    <tableColumn id="6" xr3:uid="{08537663-66CD-486F-A61C-77574A76A020}" name="RATE" dataDxfId="90" totalsRowDxfId="89"/>
    <tableColumn id="7" xr3:uid="{086EDE55-5F41-4CFE-812E-B1DEC0F48D2A}" name="AMOUNT" dataDxfId="88" totalsRowDxfId="87" dataCellStyle="Currency" totalsRowCellStyle="Currency"/>
    <tableColumn id="8" xr3:uid="{87452D23-DFFA-4C41-9E1C-D74971B483A8}" name="GST" dataDxfId="86" totalsRowDxfId="85">
      <calculatedColumnFormula>((((100/103)*G2)*1.5)/100)*2</calculatedColumnFormula>
    </tableColumn>
    <tableColumn id="9" xr3:uid="{9EF7EDA0-5E22-46A7-827F-D3D9916B6ED1}" name="TOTAL GOLD" dataDxfId="84" totalsRowDxfId="83"/>
    <tableColumn id="10" xr3:uid="{A9174459-7F82-46B0-AB09-31496B2E80E3}" name="TOTAL SIVER" dataDxfId="82" totalsRowDxfId="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D28C10-C35D-424F-BC1B-CA8B73DB705B}" name="Table9" displayName="Table9" ref="H2:J6" totalsRowShown="0" tableBorderDxfId="54">
  <autoFilter ref="H2:J6" xr:uid="{6BD28C10-C35D-424F-BC1B-CA8B73DB705B}"/>
  <tableColumns count="3">
    <tableColumn id="1" xr3:uid="{EBD3F65E-E93F-4E77-986A-6AA66E40D03E}" name="MONTH"/>
    <tableColumn id="2" xr3:uid="{AC80F156-B078-491F-93BC-DB7451C04899}" name="GOLD "/>
    <tableColumn id="3" xr3:uid="{69F17840-54F9-478C-A52D-25B7B91F1D50}" name="SILV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D277DAF7-0D08-4942-8F55-5F5E49108BF5}" sourceName="DATE">
  <pivotTables>
    <pivotTable tabId="4" name="PivotTable1"/>
  </pivotTables>
  <state minimalRefreshVersion="6" lastRefreshVersion="6" pivotCacheId="1579217206" filterType="unknown">
    <bounds startDate="1899-12-3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9E866147-5924-4A95-B8DB-D609629916F0}" sourceName="DATE ">
  <pivotTables>
    <pivotTable tabId="6" name="PivotTable2"/>
  </pivotTables>
  <state minimalRefreshVersion="6" lastRefreshVersion="6" pivotCacheId="143053215"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4AD4A4A-5A35-48C4-9349-D987DFEFAA36}" cache="NativeTimeline_DATE" caption="DATE" level="2" selectionLevel="2" scrollPosition="2023-08-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 xr10:uid="{35B061E0-8B4B-4339-8CFB-91281DBECEA9}" cache="NativeTimeline_DATE1" caption="DATE " level="2" selectionLevel="2" scrollPosition="2024-06-10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5.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4B1E4-5D75-41BA-87D7-1B7B1E9C3C03}">
  <dimension ref="A1:H944"/>
  <sheetViews>
    <sheetView tabSelected="1" workbookViewId="0">
      <pane ySplit="1" topLeftCell="A899" activePane="bottomLeft" state="frozen"/>
      <selection activeCell="M131" sqref="M131:O131"/>
      <selection pane="bottomLeft" activeCell="B903" sqref="B903"/>
    </sheetView>
  </sheetViews>
  <sheetFormatPr defaultColWidth="8.5546875" defaultRowHeight="23.4" x14ac:dyDescent="0.45"/>
  <cols>
    <col min="1" max="1" width="37.44140625" style="1" bestFit="1" customWidth="1"/>
    <col min="2" max="2" width="15.44140625" style="1" bestFit="1" customWidth="1"/>
    <col min="3" max="3" width="16.6640625" style="1" bestFit="1" customWidth="1"/>
    <col min="4" max="4" width="18.44140625" style="1" bestFit="1" customWidth="1"/>
    <col min="5" max="5" width="20.6640625" style="1" bestFit="1" customWidth="1"/>
    <col min="6" max="6" width="21.6640625" style="37" customWidth="1"/>
    <col min="7" max="7" width="8.5546875" style="1"/>
    <col min="8" max="8" width="33.88671875" style="1" bestFit="1" customWidth="1"/>
    <col min="9" max="16384" width="8.5546875" style="1"/>
  </cols>
  <sheetData>
    <row r="1" spans="1:8" x14ac:dyDescent="0.45">
      <c r="A1" s="124" t="s">
        <v>0</v>
      </c>
      <c r="B1" s="125" t="s">
        <v>1</v>
      </c>
      <c r="C1" s="126" t="s">
        <v>2</v>
      </c>
      <c r="D1" s="126" t="s">
        <v>3</v>
      </c>
      <c r="E1" s="127" t="s">
        <v>4</v>
      </c>
      <c r="F1" s="128" t="s">
        <v>5</v>
      </c>
      <c r="G1" s="109" t="s">
        <v>699</v>
      </c>
      <c r="H1" s="1" t="s">
        <v>751</v>
      </c>
    </row>
    <row r="2" spans="1:8" x14ac:dyDescent="0.45">
      <c r="A2" s="3" t="s">
        <v>6</v>
      </c>
      <c r="B2" s="4">
        <v>2.72</v>
      </c>
      <c r="C2" s="5">
        <v>98</v>
      </c>
      <c r="D2" s="5">
        <f>92-C2</f>
        <v>-6</v>
      </c>
      <c r="E2" s="6">
        <v>7218.2</v>
      </c>
      <c r="F2" s="34">
        <f>(((B2*C2)/100)*E2)</f>
        <v>19240.833920000001</v>
      </c>
      <c r="G2" s="83"/>
      <c r="H2" s="129" t="s">
        <v>718</v>
      </c>
    </row>
    <row r="3" spans="1:8" x14ac:dyDescent="0.45">
      <c r="A3" s="3" t="s">
        <v>7</v>
      </c>
      <c r="B3" s="4">
        <v>2.13</v>
      </c>
      <c r="C3" s="5">
        <v>96.75</v>
      </c>
      <c r="D3" s="5">
        <f t="shared" ref="D3:D38" si="0">92-C3</f>
        <v>-4.75</v>
      </c>
      <c r="E3" s="6">
        <v>7218.2</v>
      </c>
      <c r="F3" s="34">
        <f t="shared" ref="F3:F38" si="1">(((B3*C3)/100)*E3)</f>
        <v>14875.086105</v>
      </c>
      <c r="G3" s="83"/>
      <c r="H3" s="19" t="s">
        <v>719</v>
      </c>
    </row>
    <row r="4" spans="1:8" x14ac:dyDescent="0.45">
      <c r="A4" s="3" t="s">
        <v>8</v>
      </c>
      <c r="B4" s="4">
        <v>2.2200000000000002</v>
      </c>
      <c r="C4" s="5">
        <v>96.75</v>
      </c>
      <c r="D4" s="5">
        <f t="shared" si="0"/>
        <v>-4.75</v>
      </c>
      <c r="E4" s="6">
        <v>7218.2</v>
      </c>
      <c r="F4" s="34">
        <f t="shared" si="1"/>
        <v>15503.61087</v>
      </c>
      <c r="G4" s="83"/>
      <c r="H4" s="20" t="s">
        <v>720</v>
      </c>
    </row>
    <row r="5" spans="1:8" x14ac:dyDescent="0.45">
      <c r="A5" s="3" t="s">
        <v>9</v>
      </c>
      <c r="B5" s="4">
        <v>3.1</v>
      </c>
      <c r="C5" s="5">
        <v>96.75</v>
      </c>
      <c r="D5" s="5">
        <f t="shared" si="0"/>
        <v>-4.75</v>
      </c>
      <c r="E5" s="6">
        <v>7218.2</v>
      </c>
      <c r="F5" s="34">
        <f t="shared" si="1"/>
        <v>21649.18635</v>
      </c>
      <c r="G5" s="83"/>
      <c r="H5" s="21" t="s">
        <v>721</v>
      </c>
    </row>
    <row r="6" spans="1:8" x14ac:dyDescent="0.45">
      <c r="A6" s="3" t="s">
        <v>10</v>
      </c>
      <c r="B6" s="4">
        <v>1.98</v>
      </c>
      <c r="C6" s="5">
        <v>96.75</v>
      </c>
      <c r="D6" s="5">
        <f t="shared" si="0"/>
        <v>-4.75</v>
      </c>
      <c r="E6" s="6">
        <v>7218.2</v>
      </c>
      <c r="F6" s="34">
        <f t="shared" si="1"/>
        <v>13827.544830000001</v>
      </c>
      <c r="G6" s="83"/>
      <c r="H6" s="22" t="s">
        <v>722</v>
      </c>
    </row>
    <row r="7" spans="1:8" x14ac:dyDescent="0.45">
      <c r="A7" s="3" t="s">
        <v>11</v>
      </c>
      <c r="B7" s="4">
        <v>2.12</v>
      </c>
      <c r="C7" s="5">
        <v>96.75</v>
      </c>
      <c r="D7" s="5">
        <f t="shared" si="0"/>
        <v>-4.75</v>
      </c>
      <c r="E7" s="6">
        <v>7218.2</v>
      </c>
      <c r="F7" s="34">
        <f t="shared" si="1"/>
        <v>14805.250019999999</v>
      </c>
      <c r="G7" s="83"/>
      <c r="H7" s="19" t="s">
        <v>723</v>
      </c>
    </row>
    <row r="8" spans="1:8" x14ac:dyDescent="0.45">
      <c r="A8" s="3" t="s">
        <v>12</v>
      </c>
      <c r="B8" s="4">
        <v>2.13</v>
      </c>
      <c r="C8" s="5">
        <v>96.75</v>
      </c>
      <c r="D8" s="5">
        <f t="shared" si="0"/>
        <v>-4.75</v>
      </c>
      <c r="E8" s="6">
        <v>7218.2</v>
      </c>
      <c r="F8" s="34">
        <f t="shared" si="1"/>
        <v>14875.086105</v>
      </c>
      <c r="G8" s="83"/>
      <c r="H8" s="22" t="s">
        <v>724</v>
      </c>
    </row>
    <row r="9" spans="1:8" x14ac:dyDescent="0.45">
      <c r="A9" s="3" t="s">
        <v>13</v>
      </c>
      <c r="B9" s="4">
        <v>2.06</v>
      </c>
      <c r="C9" s="5">
        <v>96.75</v>
      </c>
      <c r="D9" s="5">
        <f t="shared" si="0"/>
        <v>-4.75</v>
      </c>
      <c r="E9" s="6">
        <v>7218.2</v>
      </c>
      <c r="F9" s="34">
        <f t="shared" si="1"/>
        <v>14386.23351</v>
      </c>
      <c r="G9" s="83"/>
      <c r="H9" s="21" t="s">
        <v>725</v>
      </c>
    </row>
    <row r="10" spans="1:8" x14ac:dyDescent="0.45">
      <c r="A10" s="3" t="s">
        <v>14</v>
      </c>
      <c r="B10" s="4">
        <v>2.0499999999999998</v>
      </c>
      <c r="C10" s="5">
        <v>96.75</v>
      </c>
      <c r="D10" s="5">
        <f t="shared" si="0"/>
        <v>-4.75</v>
      </c>
      <c r="E10" s="6">
        <v>7218.2</v>
      </c>
      <c r="F10" s="34">
        <f t="shared" si="1"/>
        <v>14316.397424999997</v>
      </c>
      <c r="G10" s="83"/>
      <c r="H10" s="22" t="s">
        <v>726</v>
      </c>
    </row>
    <row r="11" spans="1:8" x14ac:dyDescent="0.45">
      <c r="A11" s="3" t="s">
        <v>15</v>
      </c>
      <c r="B11" s="4">
        <v>2.11</v>
      </c>
      <c r="C11" s="5">
        <v>96.75</v>
      </c>
      <c r="D11" s="5">
        <f t="shared" si="0"/>
        <v>-4.75</v>
      </c>
      <c r="E11" s="6">
        <v>7218.2</v>
      </c>
      <c r="F11" s="34">
        <f t="shared" si="1"/>
        <v>14735.413934999999</v>
      </c>
      <c r="G11" s="83"/>
      <c r="H11" s="23" t="s">
        <v>727</v>
      </c>
    </row>
    <row r="12" spans="1:8" x14ac:dyDescent="0.45">
      <c r="A12" s="3" t="s">
        <v>16</v>
      </c>
      <c r="B12" s="4">
        <v>2.0499999999999998</v>
      </c>
      <c r="C12" s="5">
        <v>96.75</v>
      </c>
      <c r="D12" s="5">
        <f t="shared" si="0"/>
        <v>-4.75</v>
      </c>
      <c r="E12" s="6">
        <v>7218.2</v>
      </c>
      <c r="F12" s="34">
        <f t="shared" si="1"/>
        <v>14316.397424999997</v>
      </c>
      <c r="G12" s="83"/>
      <c r="H12" s="24" t="s">
        <v>728</v>
      </c>
    </row>
    <row r="13" spans="1:8" x14ac:dyDescent="0.45">
      <c r="A13" s="3" t="s">
        <v>17</v>
      </c>
      <c r="B13" s="4">
        <v>2.97</v>
      </c>
      <c r="C13" s="5">
        <v>96.75</v>
      </c>
      <c r="D13" s="5">
        <f t="shared" si="0"/>
        <v>-4.75</v>
      </c>
      <c r="E13" s="6">
        <v>7218.2</v>
      </c>
      <c r="F13" s="34">
        <f t="shared" si="1"/>
        <v>20741.317245000002</v>
      </c>
      <c r="G13" s="83"/>
      <c r="H13" s="25" t="s">
        <v>729</v>
      </c>
    </row>
    <row r="14" spans="1:8" x14ac:dyDescent="0.45">
      <c r="A14" s="3" t="s">
        <v>18</v>
      </c>
      <c r="B14" s="4">
        <v>0.92</v>
      </c>
      <c r="C14" s="5">
        <v>96.75</v>
      </c>
      <c r="D14" s="5">
        <f t="shared" si="0"/>
        <v>-4.75</v>
      </c>
      <c r="E14" s="6">
        <v>7218.2</v>
      </c>
      <c r="F14" s="34">
        <f t="shared" si="1"/>
        <v>6424.9198200000001</v>
      </c>
      <c r="G14" s="83"/>
      <c r="H14" s="22" t="s">
        <v>730</v>
      </c>
    </row>
    <row r="15" spans="1:8" x14ac:dyDescent="0.45">
      <c r="A15" s="3" t="s">
        <v>19</v>
      </c>
      <c r="B15" s="4">
        <v>1.48</v>
      </c>
      <c r="C15" s="5">
        <v>96.75</v>
      </c>
      <c r="D15" s="5">
        <f t="shared" si="0"/>
        <v>-4.75</v>
      </c>
      <c r="E15" s="6">
        <v>7218.2</v>
      </c>
      <c r="F15" s="34">
        <f t="shared" si="1"/>
        <v>10335.74058</v>
      </c>
      <c r="G15" s="83"/>
      <c r="H15" s="21" t="s">
        <v>731</v>
      </c>
    </row>
    <row r="16" spans="1:8" x14ac:dyDescent="0.45">
      <c r="A16" s="3" t="s">
        <v>20</v>
      </c>
      <c r="B16" s="4">
        <v>1.1299999999999999</v>
      </c>
      <c r="C16" s="5">
        <v>96.75</v>
      </c>
      <c r="D16" s="5">
        <f t="shared" si="0"/>
        <v>-4.75</v>
      </c>
      <c r="E16" s="6">
        <v>7218.2</v>
      </c>
      <c r="F16" s="34">
        <f t="shared" si="1"/>
        <v>7891.4776049999982</v>
      </c>
      <c r="G16" s="83"/>
      <c r="H16" s="22" t="s">
        <v>732</v>
      </c>
    </row>
    <row r="17" spans="1:8" x14ac:dyDescent="0.45">
      <c r="A17" s="3" t="s">
        <v>21</v>
      </c>
      <c r="B17" s="4">
        <v>0.97</v>
      </c>
      <c r="C17" s="5">
        <v>96.75</v>
      </c>
      <c r="D17" s="5">
        <f t="shared" si="0"/>
        <v>-4.75</v>
      </c>
      <c r="E17" s="6">
        <v>7218.2</v>
      </c>
      <c r="F17" s="34">
        <f t="shared" si="1"/>
        <v>6774.1002449999996</v>
      </c>
      <c r="G17" s="83"/>
      <c r="H17" s="21" t="s">
        <v>733</v>
      </c>
    </row>
    <row r="18" spans="1:8" x14ac:dyDescent="0.45">
      <c r="A18" s="3" t="s">
        <v>22</v>
      </c>
      <c r="B18" s="4">
        <v>1.05</v>
      </c>
      <c r="C18" s="5">
        <v>96.75</v>
      </c>
      <c r="D18" s="5">
        <f t="shared" si="0"/>
        <v>-4.75</v>
      </c>
      <c r="E18" s="6">
        <v>7218.2</v>
      </c>
      <c r="F18" s="34">
        <f t="shared" si="1"/>
        <v>7332.7889250000007</v>
      </c>
      <c r="G18" s="83"/>
      <c r="H18" s="22" t="s">
        <v>734</v>
      </c>
    </row>
    <row r="19" spans="1:8" x14ac:dyDescent="0.45">
      <c r="A19" s="3" t="s">
        <v>23</v>
      </c>
      <c r="B19" s="4">
        <v>0.93</v>
      </c>
      <c r="C19" s="5">
        <v>96.75</v>
      </c>
      <c r="D19" s="5">
        <f t="shared" si="0"/>
        <v>-4.75</v>
      </c>
      <c r="E19" s="6">
        <v>7218.2</v>
      </c>
      <c r="F19" s="34">
        <f t="shared" si="1"/>
        <v>6494.7559050000009</v>
      </c>
      <c r="G19" s="83"/>
      <c r="H19" s="21" t="s">
        <v>735</v>
      </c>
    </row>
    <row r="20" spans="1:8" x14ac:dyDescent="0.45">
      <c r="A20" s="3" t="s">
        <v>24</v>
      </c>
      <c r="B20" s="4">
        <v>1.02</v>
      </c>
      <c r="C20" s="5">
        <v>96.75</v>
      </c>
      <c r="D20" s="5">
        <f t="shared" si="0"/>
        <v>-4.75</v>
      </c>
      <c r="E20" s="6">
        <v>7218.2</v>
      </c>
      <c r="F20" s="34">
        <f t="shared" si="1"/>
        <v>7123.2806700000001</v>
      </c>
      <c r="G20" s="83"/>
      <c r="H20" s="20" t="s">
        <v>736</v>
      </c>
    </row>
    <row r="21" spans="1:8" x14ac:dyDescent="0.45">
      <c r="A21" s="3" t="s">
        <v>25</v>
      </c>
      <c r="B21" s="4">
        <v>0.96</v>
      </c>
      <c r="C21" s="5">
        <v>96.75</v>
      </c>
      <c r="D21" s="5">
        <f t="shared" si="0"/>
        <v>-4.75</v>
      </c>
      <c r="E21" s="6">
        <v>7218.2</v>
      </c>
      <c r="F21" s="34">
        <f t="shared" si="1"/>
        <v>6704.2641599999997</v>
      </c>
      <c r="G21" s="83"/>
      <c r="H21" s="19" t="s">
        <v>737</v>
      </c>
    </row>
    <row r="22" spans="1:8" x14ac:dyDescent="0.45">
      <c r="A22" s="3" t="s">
        <v>26</v>
      </c>
      <c r="B22" s="4">
        <v>1</v>
      </c>
      <c r="C22" s="5">
        <v>96.75</v>
      </c>
      <c r="D22" s="5">
        <f t="shared" si="0"/>
        <v>-4.75</v>
      </c>
      <c r="E22" s="6">
        <v>7218.2</v>
      </c>
      <c r="F22" s="34">
        <f t="shared" si="1"/>
        <v>6983.6085000000003</v>
      </c>
      <c r="G22" s="83"/>
      <c r="H22" s="20" t="s">
        <v>738</v>
      </c>
    </row>
    <row r="23" spans="1:8" x14ac:dyDescent="0.45">
      <c r="A23" s="3" t="s">
        <v>27</v>
      </c>
      <c r="B23" s="4">
        <v>1.46</v>
      </c>
      <c r="C23" s="5">
        <v>96.75</v>
      </c>
      <c r="D23" s="5">
        <f t="shared" si="0"/>
        <v>-4.75</v>
      </c>
      <c r="E23" s="6">
        <v>7218.2</v>
      </c>
      <c r="F23" s="34">
        <f t="shared" si="1"/>
        <v>10196.06841</v>
      </c>
      <c r="G23" s="83"/>
      <c r="H23" s="19" t="s">
        <v>739</v>
      </c>
    </row>
    <row r="24" spans="1:8" x14ac:dyDescent="0.45">
      <c r="A24" s="3" t="s">
        <v>28</v>
      </c>
      <c r="B24" s="4">
        <v>1.48</v>
      </c>
      <c r="C24" s="5">
        <v>96.75</v>
      </c>
      <c r="D24" s="5">
        <f t="shared" si="0"/>
        <v>-4.75</v>
      </c>
      <c r="E24" s="6">
        <v>7218.2</v>
      </c>
      <c r="F24" s="34">
        <f>(((B24*C24)/100)*E24)</f>
        <v>10335.74058</v>
      </c>
      <c r="G24" s="83"/>
      <c r="H24" s="22" t="s">
        <v>740</v>
      </c>
    </row>
    <row r="25" spans="1:8" x14ac:dyDescent="0.45">
      <c r="A25" s="3" t="s">
        <v>29</v>
      </c>
      <c r="B25" s="4">
        <v>1.54</v>
      </c>
      <c r="C25" s="5">
        <v>96.75</v>
      </c>
      <c r="D25" s="5">
        <f t="shared" si="0"/>
        <v>-4.75</v>
      </c>
      <c r="E25" s="6">
        <v>7218.2</v>
      </c>
      <c r="F25" s="34">
        <f t="shared" si="1"/>
        <v>10754.757090000001</v>
      </c>
      <c r="G25" s="83"/>
      <c r="H25" s="19" t="s">
        <v>674</v>
      </c>
    </row>
    <row r="26" spans="1:8" x14ac:dyDescent="0.45">
      <c r="A26" s="3" t="s">
        <v>30</v>
      </c>
      <c r="B26" s="4">
        <v>1.02</v>
      </c>
      <c r="C26" s="5">
        <v>96.75</v>
      </c>
      <c r="D26" s="5">
        <f t="shared" si="0"/>
        <v>-4.75</v>
      </c>
      <c r="E26" s="6">
        <v>7218.2</v>
      </c>
      <c r="F26" s="34">
        <f t="shared" si="1"/>
        <v>7123.2806700000001</v>
      </c>
      <c r="G26" s="83"/>
      <c r="H26" s="22" t="s">
        <v>741</v>
      </c>
    </row>
    <row r="27" spans="1:8" x14ac:dyDescent="0.45">
      <c r="A27" s="3" t="s">
        <v>31</v>
      </c>
      <c r="B27" s="4">
        <v>1.2</v>
      </c>
      <c r="C27" s="5">
        <v>96.75</v>
      </c>
      <c r="D27" s="5">
        <f t="shared" si="0"/>
        <v>-4.75</v>
      </c>
      <c r="E27" s="6">
        <v>7218.2</v>
      </c>
      <c r="F27" s="34">
        <f t="shared" si="1"/>
        <v>8380.3302000000003</v>
      </c>
      <c r="G27" s="83"/>
      <c r="H27" s="21" t="s">
        <v>742</v>
      </c>
    </row>
    <row r="28" spans="1:8" x14ac:dyDescent="0.45">
      <c r="A28" s="3" t="s">
        <v>32</v>
      </c>
      <c r="B28" s="4">
        <v>1.47</v>
      </c>
      <c r="C28" s="5">
        <v>96.75</v>
      </c>
      <c r="D28" s="5">
        <f t="shared" si="0"/>
        <v>-4.75</v>
      </c>
      <c r="E28" s="6">
        <v>7218.2</v>
      </c>
      <c r="F28" s="34">
        <f t="shared" si="1"/>
        <v>10265.904495000001</v>
      </c>
      <c r="G28" s="83"/>
      <c r="H28" s="26" t="s">
        <v>743</v>
      </c>
    </row>
    <row r="29" spans="1:8" x14ac:dyDescent="0.45">
      <c r="A29" s="3" t="s">
        <v>33</v>
      </c>
      <c r="B29" s="4">
        <v>1.08</v>
      </c>
      <c r="C29" s="5">
        <v>96.75</v>
      </c>
      <c r="D29" s="5">
        <f t="shared" si="0"/>
        <v>-4.75</v>
      </c>
      <c r="E29" s="6">
        <v>7218.2</v>
      </c>
      <c r="F29" s="34">
        <f t="shared" si="1"/>
        <v>7542.2971800000014</v>
      </c>
      <c r="G29" s="83"/>
      <c r="H29" s="27" t="s">
        <v>744</v>
      </c>
    </row>
    <row r="30" spans="1:8" x14ac:dyDescent="0.45">
      <c r="A30" s="3" t="s">
        <v>34</v>
      </c>
      <c r="B30" s="4">
        <v>1.07</v>
      </c>
      <c r="C30" s="5">
        <v>96.75</v>
      </c>
      <c r="D30" s="5">
        <f t="shared" si="0"/>
        <v>-4.75</v>
      </c>
      <c r="E30" s="6">
        <v>7218.2</v>
      </c>
      <c r="F30" s="34">
        <f t="shared" si="1"/>
        <v>7472.4610950000006</v>
      </c>
      <c r="G30" s="83"/>
      <c r="H30" s="26" t="s">
        <v>745</v>
      </c>
    </row>
    <row r="31" spans="1:8" x14ac:dyDescent="0.45">
      <c r="A31" s="3" t="s">
        <v>35</v>
      </c>
      <c r="B31" s="4">
        <v>1.02</v>
      </c>
      <c r="C31" s="5">
        <v>96.75</v>
      </c>
      <c r="D31" s="5">
        <f t="shared" si="0"/>
        <v>-4.75</v>
      </c>
      <c r="E31" s="6">
        <v>7218.2</v>
      </c>
      <c r="F31" s="34">
        <f t="shared" si="1"/>
        <v>7123.2806700000001</v>
      </c>
      <c r="G31" s="83"/>
      <c r="H31" s="27" t="s">
        <v>746</v>
      </c>
    </row>
    <row r="32" spans="1:8" x14ac:dyDescent="0.45">
      <c r="A32" s="3" t="s">
        <v>36</v>
      </c>
      <c r="B32" s="4">
        <v>1</v>
      </c>
      <c r="C32" s="5">
        <v>96.75</v>
      </c>
      <c r="D32" s="5">
        <f t="shared" si="0"/>
        <v>-4.75</v>
      </c>
      <c r="E32" s="6">
        <v>7218.2</v>
      </c>
      <c r="F32" s="34">
        <f t="shared" si="1"/>
        <v>6983.6085000000003</v>
      </c>
      <c r="G32" s="83"/>
      <c r="H32" s="26" t="s">
        <v>747</v>
      </c>
    </row>
    <row r="33" spans="1:8" x14ac:dyDescent="0.45">
      <c r="A33" s="3" t="s">
        <v>37</v>
      </c>
      <c r="B33" s="4">
        <v>0.52</v>
      </c>
      <c r="C33" s="5">
        <v>96.75</v>
      </c>
      <c r="D33" s="5">
        <f t="shared" si="0"/>
        <v>-4.75</v>
      </c>
      <c r="E33" s="6">
        <v>7218.2</v>
      </c>
      <c r="F33" s="34">
        <f t="shared" si="1"/>
        <v>3631.47642</v>
      </c>
      <c r="G33" s="83"/>
      <c r="H33" s="27" t="s">
        <v>748</v>
      </c>
    </row>
    <row r="34" spans="1:8" x14ac:dyDescent="0.45">
      <c r="A34" s="3" t="s">
        <v>38</v>
      </c>
      <c r="B34" s="4">
        <v>0.51</v>
      </c>
      <c r="C34" s="5">
        <v>96.75</v>
      </c>
      <c r="D34" s="5">
        <f t="shared" si="0"/>
        <v>-4.75</v>
      </c>
      <c r="E34" s="6">
        <v>7218.2</v>
      </c>
      <c r="F34" s="34">
        <f t="shared" si="1"/>
        <v>3561.6403350000001</v>
      </c>
      <c r="G34" s="83"/>
      <c r="H34" s="26" t="s">
        <v>749</v>
      </c>
    </row>
    <row r="35" spans="1:8" x14ac:dyDescent="0.45">
      <c r="A35" s="3" t="s">
        <v>39</v>
      </c>
      <c r="B35" s="4">
        <v>0.48</v>
      </c>
      <c r="C35" s="5">
        <v>96.75</v>
      </c>
      <c r="D35" s="5">
        <f t="shared" si="0"/>
        <v>-4.75</v>
      </c>
      <c r="E35" s="6">
        <v>7218.2</v>
      </c>
      <c r="F35" s="34">
        <f t="shared" si="1"/>
        <v>3352.1320799999999</v>
      </c>
      <c r="G35" s="83"/>
      <c r="H35" s="27" t="s">
        <v>750</v>
      </c>
    </row>
    <row r="36" spans="1:8" x14ac:dyDescent="0.45">
      <c r="A36" s="3" t="s">
        <v>40</v>
      </c>
      <c r="B36" s="4">
        <v>0.98</v>
      </c>
      <c r="C36" s="5">
        <v>96.75</v>
      </c>
      <c r="D36" s="5">
        <f t="shared" si="0"/>
        <v>-4.75</v>
      </c>
      <c r="E36" s="6">
        <v>7218.2</v>
      </c>
      <c r="F36" s="34">
        <f t="shared" si="1"/>
        <v>6843.9363299999995</v>
      </c>
      <c r="G36" s="83"/>
      <c r="H36" s="27" t="s">
        <v>989</v>
      </c>
    </row>
    <row r="37" spans="1:8" x14ac:dyDescent="0.45">
      <c r="A37" s="3" t="s">
        <v>41</v>
      </c>
      <c r="B37" s="4">
        <v>0.61</v>
      </c>
      <c r="C37" s="5">
        <v>96.75</v>
      </c>
      <c r="D37" s="5">
        <f t="shared" si="0"/>
        <v>-4.75</v>
      </c>
      <c r="E37" s="6">
        <v>7218.2</v>
      </c>
      <c r="F37" s="34">
        <f t="shared" si="1"/>
        <v>4260.0011850000001</v>
      </c>
      <c r="G37" s="83"/>
    </row>
    <row r="38" spans="1:8" x14ac:dyDescent="0.45">
      <c r="A38" s="3" t="s">
        <v>42</v>
      </c>
      <c r="B38" s="4">
        <v>1</v>
      </c>
      <c r="C38" s="5">
        <v>96.75</v>
      </c>
      <c r="D38" s="5">
        <f t="shared" si="0"/>
        <v>-4.75</v>
      </c>
      <c r="E38" s="6">
        <v>7218.2</v>
      </c>
      <c r="F38" s="34">
        <f t="shared" si="1"/>
        <v>6983.6085000000003</v>
      </c>
      <c r="G38" s="83"/>
    </row>
    <row r="39" spans="1:8" x14ac:dyDescent="0.45">
      <c r="A39" s="3" t="s">
        <v>752</v>
      </c>
      <c r="B39" s="4">
        <v>4.0199999999999996</v>
      </c>
      <c r="C39" s="7">
        <v>95.5</v>
      </c>
      <c r="D39" s="7">
        <f>92-C39</f>
        <v>-3.5</v>
      </c>
      <c r="E39" s="6">
        <v>7218.2</v>
      </c>
      <c r="F39" s="34">
        <f>(((B39*C39)/100)*E39)</f>
        <v>27711.391619999999</v>
      </c>
      <c r="G39" s="83"/>
    </row>
    <row r="40" spans="1:8" x14ac:dyDescent="0.45">
      <c r="A40" s="3" t="s">
        <v>753</v>
      </c>
      <c r="B40" s="4">
        <v>4.01</v>
      </c>
      <c r="C40" s="7">
        <v>95.5</v>
      </c>
      <c r="D40" s="7">
        <f t="shared" ref="D40:D58" si="2">92-C40</f>
        <v>-3.5</v>
      </c>
      <c r="E40" s="6">
        <v>7218.2</v>
      </c>
      <c r="F40" s="34">
        <f t="shared" ref="F40:F58" si="3">(((B40*C40)/100)*E40)</f>
        <v>27642.457809999996</v>
      </c>
      <c r="G40" s="83"/>
    </row>
    <row r="41" spans="1:8" x14ac:dyDescent="0.45">
      <c r="A41" s="3" t="s">
        <v>754</v>
      </c>
      <c r="B41" s="4">
        <v>4.03</v>
      </c>
      <c r="C41" s="7">
        <v>95.5</v>
      </c>
      <c r="D41" s="7">
        <f t="shared" si="2"/>
        <v>-3.5</v>
      </c>
      <c r="E41" s="6">
        <v>7218.2</v>
      </c>
      <c r="F41" s="34">
        <f t="shared" si="3"/>
        <v>27780.325430000001</v>
      </c>
      <c r="G41" s="83"/>
    </row>
    <row r="42" spans="1:8" x14ac:dyDescent="0.45">
      <c r="A42" s="3" t="s">
        <v>755</v>
      </c>
      <c r="B42" s="4">
        <v>4.0199999999999996</v>
      </c>
      <c r="C42" s="7">
        <v>95.5</v>
      </c>
      <c r="D42" s="7">
        <f t="shared" si="2"/>
        <v>-3.5</v>
      </c>
      <c r="E42" s="6">
        <v>7218.2</v>
      </c>
      <c r="F42" s="34">
        <f t="shared" si="3"/>
        <v>27711.391619999999</v>
      </c>
      <c r="G42" s="83"/>
    </row>
    <row r="43" spans="1:8" x14ac:dyDescent="0.45">
      <c r="A43" s="3" t="s">
        <v>756</v>
      </c>
      <c r="B43" s="4">
        <v>3.99</v>
      </c>
      <c r="C43" s="7">
        <v>95.5</v>
      </c>
      <c r="D43" s="7">
        <f t="shared" si="2"/>
        <v>-3.5</v>
      </c>
      <c r="E43" s="6">
        <v>7218.2</v>
      </c>
      <c r="F43" s="34">
        <f t="shared" si="3"/>
        <v>27504.590190000003</v>
      </c>
      <c r="G43" s="83"/>
    </row>
    <row r="44" spans="1:8" x14ac:dyDescent="0.45">
      <c r="A44" s="3" t="s">
        <v>757</v>
      </c>
      <c r="B44" s="4">
        <v>4</v>
      </c>
      <c r="C44" s="7">
        <v>95.5</v>
      </c>
      <c r="D44" s="7">
        <f t="shared" si="2"/>
        <v>-3.5</v>
      </c>
      <c r="E44" s="6">
        <v>7218.2</v>
      </c>
      <c r="F44" s="34">
        <f t="shared" si="3"/>
        <v>27573.523999999998</v>
      </c>
      <c r="G44" s="83"/>
    </row>
    <row r="45" spans="1:8" x14ac:dyDescent="0.45">
      <c r="A45" s="3" t="s">
        <v>758</v>
      </c>
      <c r="B45" s="4">
        <v>4.03</v>
      </c>
      <c r="C45" s="7">
        <v>95.5</v>
      </c>
      <c r="D45" s="7">
        <f t="shared" si="2"/>
        <v>-3.5</v>
      </c>
      <c r="E45" s="6">
        <v>7218.2</v>
      </c>
      <c r="F45" s="34">
        <f t="shared" si="3"/>
        <v>27780.325430000001</v>
      </c>
      <c r="G45" s="83"/>
    </row>
    <row r="46" spans="1:8" x14ac:dyDescent="0.45">
      <c r="A46" s="3" t="s">
        <v>759</v>
      </c>
      <c r="B46" s="4">
        <v>4</v>
      </c>
      <c r="C46" s="7">
        <v>95.5</v>
      </c>
      <c r="D46" s="7">
        <f t="shared" si="2"/>
        <v>-3.5</v>
      </c>
      <c r="E46" s="6">
        <v>7218.2</v>
      </c>
      <c r="F46" s="34">
        <f t="shared" si="3"/>
        <v>27573.523999999998</v>
      </c>
      <c r="G46" s="83"/>
    </row>
    <row r="47" spans="1:8" x14ac:dyDescent="0.45">
      <c r="A47" s="3" t="s">
        <v>760</v>
      </c>
      <c r="B47" s="4">
        <v>4.0199999999999996</v>
      </c>
      <c r="C47" s="7">
        <v>95.5</v>
      </c>
      <c r="D47" s="7">
        <f t="shared" si="2"/>
        <v>-3.5</v>
      </c>
      <c r="E47" s="6">
        <v>7218.2</v>
      </c>
      <c r="F47" s="34">
        <f t="shared" si="3"/>
        <v>27711.391619999999</v>
      </c>
      <c r="G47" s="83"/>
    </row>
    <row r="48" spans="1:8" x14ac:dyDescent="0.45">
      <c r="A48" s="3" t="s">
        <v>761</v>
      </c>
      <c r="B48" s="4">
        <v>4.0199999999999996</v>
      </c>
      <c r="C48" s="7">
        <v>95.5</v>
      </c>
      <c r="D48" s="7">
        <f t="shared" si="2"/>
        <v>-3.5</v>
      </c>
      <c r="E48" s="6">
        <v>7218.2</v>
      </c>
      <c r="F48" s="34">
        <f t="shared" si="3"/>
        <v>27711.391619999999</v>
      </c>
      <c r="G48" s="83"/>
    </row>
    <row r="49" spans="1:7" x14ac:dyDescent="0.45">
      <c r="A49" s="3" t="s">
        <v>762</v>
      </c>
      <c r="B49" s="4">
        <v>2.0099999999999998</v>
      </c>
      <c r="C49" s="7">
        <v>95.5</v>
      </c>
      <c r="D49" s="7">
        <f t="shared" si="2"/>
        <v>-3.5</v>
      </c>
      <c r="E49" s="6">
        <v>7218.2</v>
      </c>
      <c r="F49" s="34">
        <f t="shared" si="3"/>
        <v>13855.695809999999</v>
      </c>
      <c r="G49" s="83"/>
    </row>
    <row r="50" spans="1:7" x14ac:dyDescent="0.45">
      <c r="A50" s="3" t="s">
        <v>763</v>
      </c>
      <c r="B50" s="4">
        <v>2.0299999999999998</v>
      </c>
      <c r="C50" s="7">
        <v>95.5</v>
      </c>
      <c r="D50" s="7">
        <f t="shared" si="2"/>
        <v>-3.5</v>
      </c>
      <c r="E50" s="6">
        <v>7218.2</v>
      </c>
      <c r="F50" s="34">
        <f t="shared" si="3"/>
        <v>13993.563429999998</v>
      </c>
      <c r="G50" s="83"/>
    </row>
    <row r="51" spans="1:7" x14ac:dyDescent="0.45">
      <c r="A51" s="3" t="s">
        <v>764</v>
      </c>
      <c r="B51" s="4">
        <v>2</v>
      </c>
      <c r="C51" s="7">
        <v>95.5</v>
      </c>
      <c r="D51" s="7">
        <f t="shared" si="2"/>
        <v>-3.5</v>
      </c>
      <c r="E51" s="6">
        <v>7218.2</v>
      </c>
      <c r="F51" s="34">
        <f t="shared" si="3"/>
        <v>13786.761999999999</v>
      </c>
      <c r="G51" s="83"/>
    </row>
    <row r="52" spans="1:7" x14ac:dyDescent="0.45">
      <c r="A52" s="3" t="s">
        <v>765</v>
      </c>
      <c r="B52" s="4">
        <v>2.06</v>
      </c>
      <c r="C52" s="7">
        <v>95.5</v>
      </c>
      <c r="D52" s="7">
        <f t="shared" si="2"/>
        <v>-3.5</v>
      </c>
      <c r="E52" s="6">
        <v>7218.2</v>
      </c>
      <c r="F52" s="34">
        <f t="shared" si="3"/>
        <v>14200.364860000001</v>
      </c>
      <c r="G52" s="83"/>
    </row>
    <row r="53" spans="1:7" x14ac:dyDescent="0.45">
      <c r="A53" s="3" t="s">
        <v>766</v>
      </c>
      <c r="B53" s="4">
        <v>2</v>
      </c>
      <c r="C53" s="7">
        <v>95.5</v>
      </c>
      <c r="D53" s="7">
        <f t="shared" si="2"/>
        <v>-3.5</v>
      </c>
      <c r="E53" s="6">
        <v>7218.2</v>
      </c>
      <c r="F53" s="34">
        <f t="shared" si="3"/>
        <v>13786.761999999999</v>
      </c>
      <c r="G53" s="83"/>
    </row>
    <row r="54" spans="1:7" x14ac:dyDescent="0.45">
      <c r="A54" s="3" t="s">
        <v>767</v>
      </c>
      <c r="B54" s="4">
        <v>2.04</v>
      </c>
      <c r="C54" s="7">
        <v>95.5</v>
      </c>
      <c r="D54" s="7">
        <f t="shared" si="2"/>
        <v>-3.5</v>
      </c>
      <c r="E54" s="6">
        <v>7218.2</v>
      </c>
      <c r="F54" s="34">
        <f t="shared" si="3"/>
        <v>14062.497239999999</v>
      </c>
      <c r="G54" s="83"/>
    </row>
    <row r="55" spans="1:7" x14ac:dyDescent="0.45">
      <c r="A55" s="3" t="s">
        <v>768</v>
      </c>
      <c r="B55" s="4">
        <v>2.0299999999999998</v>
      </c>
      <c r="C55" s="7">
        <v>95.5</v>
      </c>
      <c r="D55" s="7">
        <f t="shared" si="2"/>
        <v>-3.5</v>
      </c>
      <c r="E55" s="6">
        <v>7218.2</v>
      </c>
      <c r="F55" s="34">
        <f t="shared" si="3"/>
        <v>13993.563429999998</v>
      </c>
      <c r="G55" s="83"/>
    </row>
    <row r="56" spans="1:7" x14ac:dyDescent="0.45">
      <c r="A56" s="3" t="s">
        <v>769</v>
      </c>
      <c r="B56" s="4">
        <v>2.0299999999999998</v>
      </c>
      <c r="C56" s="7">
        <v>95.5</v>
      </c>
      <c r="D56" s="7">
        <f t="shared" si="2"/>
        <v>-3.5</v>
      </c>
      <c r="E56" s="6">
        <v>7218.2</v>
      </c>
      <c r="F56" s="34">
        <f t="shared" si="3"/>
        <v>13993.563429999998</v>
      </c>
      <c r="G56" s="83"/>
    </row>
    <row r="57" spans="1:7" x14ac:dyDescent="0.45">
      <c r="A57" s="3" t="s">
        <v>770</v>
      </c>
      <c r="B57" s="4">
        <v>2.0499999999999998</v>
      </c>
      <c r="C57" s="7">
        <v>95.5</v>
      </c>
      <c r="D57" s="7">
        <f t="shared" si="2"/>
        <v>-3.5</v>
      </c>
      <c r="E57" s="6">
        <v>7218.2</v>
      </c>
      <c r="F57" s="34">
        <f t="shared" si="3"/>
        <v>14131.431049999999</v>
      </c>
      <c r="G57" s="83"/>
    </row>
    <row r="58" spans="1:7" x14ac:dyDescent="0.45">
      <c r="A58" s="3" t="s">
        <v>771</v>
      </c>
      <c r="B58" s="4">
        <v>2.02</v>
      </c>
      <c r="C58" s="7">
        <v>95.5</v>
      </c>
      <c r="D58" s="7">
        <f t="shared" si="2"/>
        <v>-3.5</v>
      </c>
      <c r="E58" s="6">
        <v>7218.2</v>
      </c>
      <c r="F58" s="34">
        <f t="shared" si="3"/>
        <v>13924.62962</v>
      </c>
      <c r="G58" s="83"/>
    </row>
    <row r="59" spans="1:7" x14ac:dyDescent="0.45">
      <c r="A59" s="3" t="s">
        <v>43</v>
      </c>
      <c r="B59" s="4">
        <v>1.05</v>
      </c>
      <c r="C59" s="5">
        <v>92</v>
      </c>
      <c r="D59" s="5">
        <v>0</v>
      </c>
      <c r="E59" s="6">
        <v>7100</v>
      </c>
      <c r="F59" s="34">
        <f>(((B59*C59)/100)*E59)</f>
        <v>6858.6</v>
      </c>
      <c r="G59" s="83"/>
    </row>
    <row r="60" spans="1:7" x14ac:dyDescent="0.45">
      <c r="A60" s="3" t="s">
        <v>947</v>
      </c>
      <c r="B60" s="4">
        <v>0.54</v>
      </c>
      <c r="C60" s="5">
        <v>90</v>
      </c>
      <c r="D60" s="5">
        <v>0</v>
      </c>
      <c r="E60" s="6">
        <v>7000</v>
      </c>
      <c r="F60" s="34">
        <f>(((B60*C60)/100)*E60)</f>
        <v>3402</v>
      </c>
      <c r="G60" s="83"/>
    </row>
    <row r="61" spans="1:7" x14ac:dyDescent="0.45">
      <c r="A61" s="3" t="s">
        <v>946</v>
      </c>
      <c r="B61" s="4">
        <v>1.03</v>
      </c>
      <c r="C61" s="5">
        <v>92</v>
      </c>
      <c r="D61" s="5">
        <v>0</v>
      </c>
      <c r="E61" s="6"/>
      <c r="F61" s="34">
        <v>5800</v>
      </c>
      <c r="G61" s="83"/>
    </row>
    <row r="62" spans="1:7" x14ac:dyDescent="0.45">
      <c r="A62" s="3" t="s">
        <v>1064</v>
      </c>
      <c r="B62" s="4">
        <v>0.56999999999999995</v>
      </c>
      <c r="C62" s="5">
        <v>97</v>
      </c>
      <c r="D62" s="5">
        <v>5</v>
      </c>
      <c r="E62" s="6">
        <v>7420</v>
      </c>
      <c r="F62" s="34">
        <f>(((B62*C62)/100)*E62)</f>
        <v>4102.518</v>
      </c>
      <c r="G62" s="83"/>
    </row>
    <row r="63" spans="1:7" x14ac:dyDescent="0.45">
      <c r="A63" s="3" t="s">
        <v>44</v>
      </c>
      <c r="B63" s="4">
        <v>2.11</v>
      </c>
      <c r="C63" s="7">
        <v>97</v>
      </c>
      <c r="D63" s="7">
        <f>92-C63</f>
        <v>-5</v>
      </c>
      <c r="E63" s="6">
        <v>7218.2</v>
      </c>
      <c r="F63" s="34">
        <f>(((B63*C63)/100)*E63)</f>
        <v>14773.489939999999</v>
      </c>
      <c r="G63" s="83"/>
    </row>
    <row r="64" spans="1:7" x14ac:dyDescent="0.45">
      <c r="A64" s="3" t="s">
        <v>45</v>
      </c>
      <c r="B64" s="4">
        <v>3.03</v>
      </c>
      <c r="C64" s="7">
        <v>97</v>
      </c>
      <c r="D64" s="7">
        <f t="shared" ref="D64:D100" si="4">92-C64</f>
        <v>-5</v>
      </c>
      <c r="E64" s="6">
        <v>7218.2</v>
      </c>
      <c r="F64" s="34">
        <f t="shared" ref="F64:F101" si="5">(((B64*C64)/100)*E64)</f>
        <v>21215.011619999997</v>
      </c>
      <c r="G64" s="83"/>
    </row>
    <row r="65" spans="1:7" x14ac:dyDescent="0.45">
      <c r="A65" s="3" t="s">
        <v>46</v>
      </c>
      <c r="B65" s="4">
        <v>2.0499999999999998</v>
      </c>
      <c r="C65" s="7">
        <v>97</v>
      </c>
      <c r="D65" s="7">
        <f t="shared" si="4"/>
        <v>-5</v>
      </c>
      <c r="E65" s="6">
        <v>7218.2</v>
      </c>
      <c r="F65" s="34">
        <f t="shared" si="5"/>
        <v>14353.3907</v>
      </c>
      <c r="G65" s="83"/>
    </row>
    <row r="66" spans="1:7" x14ac:dyDescent="0.45">
      <c r="A66" s="3" t="s">
        <v>47</v>
      </c>
      <c r="B66" s="4">
        <v>3.18</v>
      </c>
      <c r="C66" s="7">
        <v>97</v>
      </c>
      <c r="D66" s="7">
        <f t="shared" si="4"/>
        <v>-5</v>
      </c>
      <c r="E66" s="6">
        <v>7218.2</v>
      </c>
      <c r="F66" s="34">
        <f t="shared" si="5"/>
        <v>22265.259720000002</v>
      </c>
      <c r="G66" s="83"/>
    </row>
    <row r="67" spans="1:7" x14ac:dyDescent="0.45">
      <c r="A67" s="3" t="s">
        <v>48</v>
      </c>
      <c r="B67" s="4">
        <v>2.08</v>
      </c>
      <c r="C67" s="7">
        <v>97</v>
      </c>
      <c r="D67" s="7">
        <f t="shared" si="4"/>
        <v>-5</v>
      </c>
      <c r="E67" s="6">
        <v>7218.2</v>
      </c>
      <c r="F67" s="34">
        <f t="shared" si="5"/>
        <v>14563.440320000002</v>
      </c>
      <c r="G67" s="83"/>
    </row>
    <row r="68" spans="1:7" x14ac:dyDescent="0.45">
      <c r="A68" s="3" t="s">
        <v>49</v>
      </c>
      <c r="B68" s="4">
        <v>1.23</v>
      </c>
      <c r="C68" s="7">
        <v>97</v>
      </c>
      <c r="D68" s="7">
        <f t="shared" si="4"/>
        <v>-5</v>
      </c>
      <c r="E68" s="6">
        <v>7218.2</v>
      </c>
      <c r="F68" s="34">
        <f t="shared" si="5"/>
        <v>8612.03442</v>
      </c>
      <c r="G68" s="83"/>
    </row>
    <row r="69" spans="1:7" x14ac:dyDescent="0.45">
      <c r="A69" s="3" t="s">
        <v>50</v>
      </c>
      <c r="B69" s="4">
        <v>1.64</v>
      </c>
      <c r="C69" s="7">
        <v>97</v>
      </c>
      <c r="D69" s="7">
        <f t="shared" si="4"/>
        <v>-5</v>
      </c>
      <c r="E69" s="6">
        <v>7218.2</v>
      </c>
      <c r="F69" s="34">
        <f t="shared" si="5"/>
        <v>11482.712559999998</v>
      </c>
      <c r="G69" s="83"/>
    </row>
    <row r="70" spans="1:7" x14ac:dyDescent="0.45">
      <c r="A70" s="3" t="s">
        <v>51</v>
      </c>
      <c r="B70" s="4">
        <v>1.95</v>
      </c>
      <c r="C70" s="7">
        <v>97</v>
      </c>
      <c r="D70" s="7">
        <f t="shared" si="4"/>
        <v>-5</v>
      </c>
      <c r="E70" s="6">
        <v>7218.2</v>
      </c>
      <c r="F70" s="34">
        <f t="shared" si="5"/>
        <v>13653.2253</v>
      </c>
      <c r="G70" s="83"/>
    </row>
    <row r="71" spans="1:7" x14ac:dyDescent="0.45">
      <c r="A71" s="3" t="s">
        <v>52</v>
      </c>
      <c r="B71" s="4">
        <v>1.86</v>
      </c>
      <c r="C71" s="7">
        <v>97</v>
      </c>
      <c r="D71" s="7">
        <f t="shared" si="4"/>
        <v>-5</v>
      </c>
      <c r="E71" s="6">
        <v>7218.2</v>
      </c>
      <c r="F71" s="34">
        <f t="shared" si="5"/>
        <v>13023.076440000001</v>
      </c>
      <c r="G71" s="83"/>
    </row>
    <row r="72" spans="1:7" x14ac:dyDescent="0.45">
      <c r="A72" s="3" t="s">
        <v>53</v>
      </c>
      <c r="B72" s="4">
        <v>1.17</v>
      </c>
      <c r="C72" s="7">
        <v>97</v>
      </c>
      <c r="D72" s="7">
        <f t="shared" si="4"/>
        <v>-5</v>
      </c>
      <c r="E72" s="6">
        <v>7218.2</v>
      </c>
      <c r="F72" s="34">
        <f t="shared" si="5"/>
        <v>8191.9351799999995</v>
      </c>
      <c r="G72" s="83"/>
    </row>
    <row r="73" spans="1:7" x14ac:dyDescent="0.45">
      <c r="A73" s="3" t="s">
        <v>54</v>
      </c>
      <c r="B73" s="4">
        <v>1.57</v>
      </c>
      <c r="C73" s="7">
        <v>97</v>
      </c>
      <c r="D73" s="7">
        <f t="shared" si="4"/>
        <v>-5</v>
      </c>
      <c r="E73" s="6">
        <v>7218.2</v>
      </c>
      <c r="F73" s="34">
        <f t="shared" si="5"/>
        <v>10992.59678</v>
      </c>
      <c r="G73" s="83"/>
    </row>
    <row r="74" spans="1:7" x14ac:dyDescent="0.45">
      <c r="A74" s="3" t="s">
        <v>55</v>
      </c>
      <c r="B74" s="4">
        <v>2.17</v>
      </c>
      <c r="C74" s="7">
        <v>97</v>
      </c>
      <c r="D74" s="7">
        <f t="shared" si="4"/>
        <v>-5</v>
      </c>
      <c r="E74" s="6">
        <v>7218.2</v>
      </c>
      <c r="F74" s="34">
        <f t="shared" si="5"/>
        <v>15193.589179999997</v>
      </c>
      <c r="G74" s="83"/>
    </row>
    <row r="75" spans="1:7" x14ac:dyDescent="0.45">
      <c r="A75" s="3" t="s">
        <v>56</v>
      </c>
      <c r="B75" s="4">
        <v>1.5</v>
      </c>
      <c r="C75" s="7">
        <v>97</v>
      </c>
      <c r="D75" s="7">
        <f t="shared" si="4"/>
        <v>-5</v>
      </c>
      <c r="E75" s="6">
        <v>7218.2</v>
      </c>
      <c r="F75" s="34">
        <f t="shared" si="5"/>
        <v>10502.481</v>
      </c>
      <c r="G75" s="83"/>
    </row>
    <row r="76" spans="1:7" x14ac:dyDescent="0.45">
      <c r="A76" s="3" t="s">
        <v>57</v>
      </c>
      <c r="B76" s="4">
        <v>2</v>
      </c>
      <c r="C76" s="7">
        <v>97</v>
      </c>
      <c r="D76" s="7">
        <f t="shared" si="4"/>
        <v>-5</v>
      </c>
      <c r="E76" s="6">
        <v>7218.2</v>
      </c>
      <c r="F76" s="34">
        <f t="shared" si="5"/>
        <v>14003.307999999999</v>
      </c>
      <c r="G76" s="83"/>
    </row>
    <row r="77" spans="1:7" x14ac:dyDescent="0.45">
      <c r="A77" s="3" t="s">
        <v>58</v>
      </c>
      <c r="B77" s="4">
        <v>2.0099999999999998</v>
      </c>
      <c r="C77" s="7">
        <v>97</v>
      </c>
      <c r="D77" s="7">
        <f t="shared" si="4"/>
        <v>-5</v>
      </c>
      <c r="E77" s="6">
        <v>7218.2</v>
      </c>
      <c r="F77" s="34">
        <f t="shared" si="5"/>
        <v>14073.324539999998</v>
      </c>
      <c r="G77" s="83"/>
    </row>
    <row r="78" spans="1:7" x14ac:dyDescent="0.45">
      <c r="A78" s="3" t="s">
        <v>59</v>
      </c>
      <c r="B78" s="4">
        <v>1.98</v>
      </c>
      <c r="C78" s="7">
        <v>97</v>
      </c>
      <c r="D78" s="7">
        <f t="shared" si="4"/>
        <v>-5</v>
      </c>
      <c r="E78" s="6">
        <v>7218.2</v>
      </c>
      <c r="F78" s="34">
        <f t="shared" si="5"/>
        <v>13863.27492</v>
      </c>
      <c r="G78" s="83"/>
    </row>
    <row r="79" spans="1:7" x14ac:dyDescent="0.45">
      <c r="A79" s="3" t="s">
        <v>60</v>
      </c>
      <c r="B79" s="4">
        <v>3.4</v>
      </c>
      <c r="C79" s="7">
        <v>97</v>
      </c>
      <c r="D79" s="7">
        <f t="shared" si="4"/>
        <v>-5</v>
      </c>
      <c r="E79" s="6">
        <v>7218.2</v>
      </c>
      <c r="F79" s="34">
        <f t="shared" si="5"/>
        <v>23805.623599999999</v>
      </c>
      <c r="G79" s="83"/>
    </row>
    <row r="80" spans="1:7" x14ac:dyDescent="0.45">
      <c r="A80" s="3" t="s">
        <v>61</v>
      </c>
      <c r="B80" s="4">
        <v>2.11</v>
      </c>
      <c r="C80" s="7">
        <v>97</v>
      </c>
      <c r="D80" s="7">
        <f t="shared" si="4"/>
        <v>-5</v>
      </c>
      <c r="E80" s="6">
        <v>7218.2</v>
      </c>
      <c r="F80" s="34">
        <f t="shared" si="5"/>
        <v>14773.489939999999</v>
      </c>
      <c r="G80" s="83"/>
    </row>
    <row r="81" spans="1:7" x14ac:dyDescent="0.45">
      <c r="A81" s="3" t="s">
        <v>62</v>
      </c>
      <c r="B81" s="4">
        <v>2</v>
      </c>
      <c r="C81" s="7">
        <v>97</v>
      </c>
      <c r="D81" s="7">
        <f t="shared" si="4"/>
        <v>-5</v>
      </c>
      <c r="E81" s="6">
        <v>7218.2</v>
      </c>
      <c r="F81" s="34">
        <f t="shared" si="5"/>
        <v>14003.307999999999</v>
      </c>
      <c r="G81" s="83"/>
    </row>
    <row r="82" spans="1:7" x14ac:dyDescent="0.45">
      <c r="A82" s="3" t="s">
        <v>63</v>
      </c>
      <c r="B82" s="4">
        <v>2.11</v>
      </c>
      <c r="C82" s="7">
        <v>97</v>
      </c>
      <c r="D82" s="7">
        <f t="shared" si="4"/>
        <v>-5</v>
      </c>
      <c r="E82" s="6">
        <v>7218.2</v>
      </c>
      <c r="F82" s="34">
        <f t="shared" si="5"/>
        <v>14773.489939999999</v>
      </c>
      <c r="G82" s="83"/>
    </row>
    <row r="83" spans="1:7" x14ac:dyDescent="0.45">
      <c r="A83" s="3" t="s">
        <v>64</v>
      </c>
      <c r="B83" s="4">
        <v>2.0099999999999998</v>
      </c>
      <c r="C83" s="7">
        <v>97</v>
      </c>
      <c r="D83" s="7">
        <f t="shared" si="4"/>
        <v>-5</v>
      </c>
      <c r="E83" s="6">
        <v>7218.2</v>
      </c>
      <c r="F83" s="34">
        <f t="shared" si="5"/>
        <v>14073.324539999998</v>
      </c>
      <c r="G83" s="83"/>
    </row>
    <row r="84" spans="1:7" x14ac:dyDescent="0.45">
      <c r="A84" s="3" t="s">
        <v>65</v>
      </c>
      <c r="B84" s="4">
        <v>3.05</v>
      </c>
      <c r="C84" s="7">
        <v>97</v>
      </c>
      <c r="D84" s="7">
        <f t="shared" si="4"/>
        <v>-5</v>
      </c>
      <c r="E84" s="6">
        <v>7218.2</v>
      </c>
      <c r="F84" s="34">
        <f t="shared" si="5"/>
        <v>21355.044699999995</v>
      </c>
      <c r="G84" s="83"/>
    </row>
    <row r="85" spans="1:7" x14ac:dyDescent="0.45">
      <c r="A85" s="3" t="s">
        <v>66</v>
      </c>
      <c r="B85" s="4">
        <v>3.19</v>
      </c>
      <c r="C85" s="7">
        <v>97</v>
      </c>
      <c r="D85" s="7">
        <f t="shared" si="4"/>
        <v>-5</v>
      </c>
      <c r="E85" s="6">
        <v>7218.2</v>
      </c>
      <c r="F85" s="34">
        <f t="shared" si="5"/>
        <v>22335.276259999999</v>
      </c>
      <c r="G85" s="83"/>
    </row>
    <row r="86" spans="1:7" x14ac:dyDescent="0.45">
      <c r="A86" s="3" t="s">
        <v>67</v>
      </c>
      <c r="B86" s="4">
        <v>2.0699999999999998</v>
      </c>
      <c r="C86" s="7">
        <v>97</v>
      </c>
      <c r="D86" s="7">
        <f t="shared" si="4"/>
        <v>-5</v>
      </c>
      <c r="E86" s="6">
        <v>7218.2</v>
      </c>
      <c r="F86" s="34">
        <f t="shared" si="5"/>
        <v>14493.423779999997</v>
      </c>
      <c r="G86" s="83"/>
    </row>
    <row r="87" spans="1:7" x14ac:dyDescent="0.45">
      <c r="A87" s="3" t="s">
        <v>68</v>
      </c>
      <c r="B87" s="4">
        <v>1.07</v>
      </c>
      <c r="C87" s="7">
        <v>97</v>
      </c>
      <c r="D87" s="7">
        <f t="shared" si="4"/>
        <v>-5</v>
      </c>
      <c r="E87" s="6">
        <v>7218.2</v>
      </c>
      <c r="F87" s="34">
        <f t="shared" si="5"/>
        <v>7491.7697800000005</v>
      </c>
      <c r="G87" s="83"/>
    </row>
    <row r="88" spans="1:7" x14ac:dyDescent="0.45">
      <c r="A88" s="3" t="s">
        <v>69</v>
      </c>
      <c r="B88" s="4">
        <v>3.23</v>
      </c>
      <c r="C88" s="7">
        <v>97</v>
      </c>
      <c r="D88" s="7">
        <f t="shared" si="4"/>
        <v>-5</v>
      </c>
      <c r="E88" s="6">
        <v>7218.2</v>
      </c>
      <c r="F88" s="34">
        <f t="shared" si="5"/>
        <v>22615.342420000001</v>
      </c>
      <c r="G88" s="83"/>
    </row>
    <row r="89" spans="1:7" x14ac:dyDescent="0.45">
      <c r="A89" s="3" t="s">
        <v>70</v>
      </c>
      <c r="B89" s="4">
        <v>4.12</v>
      </c>
      <c r="C89" s="7">
        <v>97</v>
      </c>
      <c r="D89" s="7">
        <f t="shared" si="4"/>
        <v>-5</v>
      </c>
      <c r="E89" s="6">
        <v>7218.2</v>
      </c>
      <c r="F89" s="34">
        <f t="shared" si="5"/>
        <v>28846.814479999997</v>
      </c>
      <c r="G89" s="83"/>
    </row>
    <row r="90" spans="1:7" x14ac:dyDescent="0.45">
      <c r="A90" s="3" t="s">
        <v>71</v>
      </c>
      <c r="B90" s="4">
        <v>3.02</v>
      </c>
      <c r="C90" s="7">
        <v>98</v>
      </c>
      <c r="D90" s="7">
        <f t="shared" si="4"/>
        <v>-6</v>
      </c>
      <c r="E90" s="6">
        <v>7218.2</v>
      </c>
      <c r="F90" s="34">
        <f t="shared" si="5"/>
        <v>21362.98472</v>
      </c>
      <c r="G90" s="83"/>
    </row>
    <row r="91" spans="1:7" x14ac:dyDescent="0.45">
      <c r="A91" s="3" t="s">
        <v>72</v>
      </c>
      <c r="B91" s="4">
        <v>1.91</v>
      </c>
      <c r="C91" s="7">
        <v>98</v>
      </c>
      <c r="D91" s="7">
        <f t="shared" si="4"/>
        <v>-6</v>
      </c>
      <c r="E91" s="6">
        <v>7218.2</v>
      </c>
      <c r="F91" s="34">
        <f t="shared" si="5"/>
        <v>13511.026759999997</v>
      </c>
      <c r="G91" s="83"/>
    </row>
    <row r="92" spans="1:7" x14ac:dyDescent="0.45">
      <c r="A92" s="3" t="s">
        <v>73</v>
      </c>
      <c r="B92" s="4">
        <v>2.16</v>
      </c>
      <c r="C92" s="7">
        <v>98</v>
      </c>
      <c r="D92" s="7">
        <f t="shared" si="4"/>
        <v>-6</v>
      </c>
      <c r="E92" s="6">
        <v>7218.2</v>
      </c>
      <c r="F92" s="34">
        <f t="shared" si="5"/>
        <v>15279.48576</v>
      </c>
      <c r="G92" s="83"/>
    </row>
    <row r="93" spans="1:7" x14ac:dyDescent="0.45">
      <c r="A93" s="3" t="s">
        <v>74</v>
      </c>
      <c r="B93" s="4">
        <v>4.0599999999999996</v>
      </c>
      <c r="C93" s="7">
        <v>97</v>
      </c>
      <c r="D93" s="7">
        <f t="shared" si="4"/>
        <v>-5</v>
      </c>
      <c r="E93" s="6">
        <v>7218.2</v>
      </c>
      <c r="F93" s="34">
        <f t="shared" si="5"/>
        <v>28426.715239999994</v>
      </c>
      <c r="G93" s="83"/>
    </row>
    <row r="94" spans="1:7" x14ac:dyDescent="0.45">
      <c r="A94" s="3" t="s">
        <v>75</v>
      </c>
      <c r="B94" s="4">
        <v>4.03</v>
      </c>
      <c r="C94" s="7">
        <v>97</v>
      </c>
      <c r="D94" s="7">
        <f t="shared" si="4"/>
        <v>-5</v>
      </c>
      <c r="E94" s="6">
        <v>7218.2</v>
      </c>
      <c r="F94" s="34">
        <f t="shared" si="5"/>
        <v>28216.665620000003</v>
      </c>
      <c r="G94" s="83"/>
    </row>
    <row r="95" spans="1:7" x14ac:dyDescent="0.45">
      <c r="A95" s="3" t="s">
        <v>76</v>
      </c>
      <c r="B95" s="4">
        <v>6.07</v>
      </c>
      <c r="C95" s="7">
        <v>97</v>
      </c>
      <c r="D95" s="7">
        <f t="shared" si="4"/>
        <v>-5</v>
      </c>
      <c r="E95" s="6">
        <v>7218.2</v>
      </c>
      <c r="F95" s="34">
        <f t="shared" si="5"/>
        <v>42500.039780000006</v>
      </c>
      <c r="G95" s="83"/>
    </row>
    <row r="96" spans="1:7" x14ac:dyDescent="0.45">
      <c r="A96" s="3" t="s">
        <v>77</v>
      </c>
      <c r="B96" s="4">
        <v>4.07</v>
      </c>
      <c r="C96" s="7">
        <v>97</v>
      </c>
      <c r="D96" s="7">
        <f t="shared" si="4"/>
        <v>-5</v>
      </c>
      <c r="E96" s="6">
        <v>7218.2</v>
      </c>
      <c r="F96" s="34">
        <f t="shared" si="5"/>
        <v>28496.731780000002</v>
      </c>
      <c r="G96" s="83"/>
    </row>
    <row r="97" spans="1:7" x14ac:dyDescent="0.45">
      <c r="A97" s="3" t="s">
        <v>78</v>
      </c>
      <c r="B97" s="4">
        <v>4.1500000000000004</v>
      </c>
      <c r="C97" s="7">
        <v>97</v>
      </c>
      <c r="D97" s="7">
        <f t="shared" si="4"/>
        <v>-5</v>
      </c>
      <c r="E97" s="6">
        <v>7218.2</v>
      </c>
      <c r="F97" s="34">
        <f t="shared" si="5"/>
        <v>29056.864099999999</v>
      </c>
      <c r="G97" s="83"/>
    </row>
    <row r="98" spans="1:7" x14ac:dyDescent="0.45">
      <c r="A98" s="3" t="s">
        <v>79</v>
      </c>
      <c r="B98" s="4">
        <v>3</v>
      </c>
      <c r="C98" s="7">
        <v>97</v>
      </c>
      <c r="D98" s="7">
        <f t="shared" si="4"/>
        <v>-5</v>
      </c>
      <c r="E98" s="6">
        <v>7218.2</v>
      </c>
      <c r="F98" s="34">
        <f t="shared" si="5"/>
        <v>21004.962</v>
      </c>
      <c r="G98" s="83"/>
    </row>
    <row r="99" spans="1:7" x14ac:dyDescent="0.45">
      <c r="A99" s="3" t="s">
        <v>80</v>
      </c>
      <c r="B99" s="4">
        <v>4.07</v>
      </c>
      <c r="C99" s="7">
        <v>97</v>
      </c>
      <c r="D99" s="7">
        <f t="shared" si="4"/>
        <v>-5</v>
      </c>
      <c r="E99" s="6">
        <v>7218.2</v>
      </c>
      <c r="F99" s="34">
        <f t="shared" si="5"/>
        <v>28496.731780000002</v>
      </c>
      <c r="G99" s="83"/>
    </row>
    <row r="100" spans="1:7" x14ac:dyDescent="0.45">
      <c r="A100" s="3" t="s">
        <v>81</v>
      </c>
      <c r="B100" s="4">
        <v>4.13</v>
      </c>
      <c r="C100" s="7">
        <v>97</v>
      </c>
      <c r="D100" s="7">
        <f t="shared" si="4"/>
        <v>-5</v>
      </c>
      <c r="E100" s="6">
        <v>7218.2</v>
      </c>
      <c r="F100" s="34">
        <f t="shared" si="5"/>
        <v>28916.831019999998</v>
      </c>
      <c r="G100" s="83"/>
    </row>
    <row r="101" spans="1:7" x14ac:dyDescent="0.45">
      <c r="A101" s="3" t="s">
        <v>82</v>
      </c>
      <c r="B101" s="4">
        <v>4.42</v>
      </c>
      <c r="C101" s="7">
        <v>85</v>
      </c>
      <c r="D101" s="7">
        <v>10</v>
      </c>
      <c r="E101" s="6">
        <v>7218.2</v>
      </c>
      <c r="F101" s="34">
        <f t="shared" si="5"/>
        <v>27118.777399999995</v>
      </c>
      <c r="G101" s="83"/>
    </row>
    <row r="102" spans="1:7" x14ac:dyDescent="0.45">
      <c r="A102" s="3" t="s">
        <v>83</v>
      </c>
      <c r="B102" s="4">
        <v>4.13</v>
      </c>
      <c r="C102" s="7">
        <v>97</v>
      </c>
      <c r="D102" s="7">
        <v>5</v>
      </c>
      <c r="E102" s="6">
        <v>7170</v>
      </c>
      <c r="F102" s="34">
        <f>(((B102*C102)/100)*E102)</f>
        <v>28723.737000000001</v>
      </c>
      <c r="G102" s="83"/>
    </row>
    <row r="103" spans="1:7" x14ac:dyDescent="0.45">
      <c r="A103" s="3" t="s">
        <v>926</v>
      </c>
      <c r="B103" s="4">
        <v>2.21</v>
      </c>
      <c r="C103" s="7">
        <v>85</v>
      </c>
      <c r="D103" s="7"/>
      <c r="E103" s="6"/>
      <c r="F103" s="34">
        <v>7800</v>
      </c>
      <c r="G103" s="83"/>
    </row>
    <row r="104" spans="1:7" x14ac:dyDescent="0.45">
      <c r="A104" s="3" t="s">
        <v>1065</v>
      </c>
      <c r="B104" s="4">
        <v>4.1399999999999997</v>
      </c>
      <c r="C104" s="7">
        <v>98.5</v>
      </c>
      <c r="D104" s="7">
        <f>92-Table1[[#This Row],[MELTING]]</f>
        <v>-6.5</v>
      </c>
      <c r="E104" s="6">
        <v>7420</v>
      </c>
      <c r="F104" s="34">
        <f t="shared" ref="F104:F114" si="6">(((B104*C104)/100)*E104)</f>
        <v>30258.017999999996</v>
      </c>
      <c r="G104" s="83"/>
    </row>
    <row r="105" spans="1:7" x14ac:dyDescent="0.45">
      <c r="A105" s="3" t="s">
        <v>1066</v>
      </c>
      <c r="B105" s="4">
        <v>1.08</v>
      </c>
      <c r="C105" s="7">
        <v>97</v>
      </c>
      <c r="D105" s="7">
        <f>92-Table1[[#This Row],[MELTING]]</f>
        <v>-5</v>
      </c>
      <c r="E105" s="6">
        <v>7420</v>
      </c>
      <c r="F105" s="34">
        <f t="shared" si="6"/>
        <v>7773.1920000000009</v>
      </c>
      <c r="G105" s="83"/>
    </row>
    <row r="106" spans="1:7" x14ac:dyDescent="0.45">
      <c r="A106" s="3" t="s">
        <v>1067</v>
      </c>
      <c r="B106" s="4">
        <v>2.0499999999999998</v>
      </c>
      <c r="C106" s="7">
        <v>97</v>
      </c>
      <c r="D106" s="7">
        <f>92-Table1[[#This Row],[MELTING]]</f>
        <v>-5</v>
      </c>
      <c r="E106" s="6">
        <v>7420</v>
      </c>
      <c r="F106" s="34">
        <f t="shared" si="6"/>
        <v>14754.67</v>
      </c>
      <c r="G106" s="83"/>
    </row>
    <row r="107" spans="1:7" x14ac:dyDescent="0.45">
      <c r="A107" s="3" t="s">
        <v>1068</v>
      </c>
      <c r="B107" s="4">
        <v>2.1</v>
      </c>
      <c r="C107" s="7">
        <v>97</v>
      </c>
      <c r="D107" s="7">
        <f>92-Table1[[#This Row],[MELTING]]</f>
        <v>-5</v>
      </c>
      <c r="E107" s="6">
        <v>7420</v>
      </c>
      <c r="F107" s="34">
        <f t="shared" si="6"/>
        <v>15114.540000000003</v>
      </c>
      <c r="G107" s="83"/>
    </row>
    <row r="108" spans="1:7" x14ac:dyDescent="0.45">
      <c r="A108" s="3" t="s">
        <v>1069</v>
      </c>
      <c r="B108" s="4">
        <v>2.08</v>
      </c>
      <c r="C108" s="7">
        <v>97</v>
      </c>
      <c r="D108" s="7">
        <f>92-Table1[[#This Row],[MELTING]]</f>
        <v>-5</v>
      </c>
      <c r="E108" s="6">
        <v>7420</v>
      </c>
      <c r="F108" s="34">
        <f t="shared" si="6"/>
        <v>14970.592000000002</v>
      </c>
      <c r="G108" s="83"/>
    </row>
    <row r="109" spans="1:7" x14ac:dyDescent="0.45">
      <c r="A109" s="3" t="s">
        <v>1070</v>
      </c>
      <c r="B109" s="4">
        <v>3.04</v>
      </c>
      <c r="C109" s="7">
        <v>97</v>
      </c>
      <c r="D109" s="7">
        <f>92-Table1[[#This Row],[MELTING]]</f>
        <v>-5</v>
      </c>
      <c r="E109" s="6">
        <v>7420</v>
      </c>
      <c r="F109" s="34">
        <f t="shared" si="6"/>
        <v>21880.095999999998</v>
      </c>
      <c r="G109" s="83"/>
    </row>
    <row r="110" spans="1:7" x14ac:dyDescent="0.45">
      <c r="A110" s="3" t="s">
        <v>1071</v>
      </c>
      <c r="B110" s="4">
        <v>3.03</v>
      </c>
      <c r="C110" s="7">
        <v>97</v>
      </c>
      <c r="D110" s="7">
        <f>92-Table1[[#This Row],[MELTING]]</f>
        <v>-5</v>
      </c>
      <c r="E110" s="6">
        <v>7420</v>
      </c>
      <c r="F110" s="34">
        <f t="shared" si="6"/>
        <v>21808.121999999999</v>
      </c>
      <c r="G110" s="83"/>
    </row>
    <row r="111" spans="1:7" x14ac:dyDescent="0.45">
      <c r="A111" s="3" t="s">
        <v>1072</v>
      </c>
      <c r="B111" s="4">
        <v>3.4</v>
      </c>
      <c r="C111" s="7">
        <v>97</v>
      </c>
      <c r="D111" s="7">
        <f>92-Table1[[#This Row],[MELTING]]</f>
        <v>-5</v>
      </c>
      <c r="E111" s="6">
        <v>7420</v>
      </c>
      <c r="F111" s="34">
        <f t="shared" si="6"/>
        <v>24471.16</v>
      </c>
      <c r="G111" s="83"/>
    </row>
    <row r="112" spans="1:7" x14ac:dyDescent="0.45">
      <c r="A112" s="3" t="s">
        <v>1073</v>
      </c>
      <c r="B112" s="4">
        <v>4.09</v>
      </c>
      <c r="C112" s="7">
        <v>97</v>
      </c>
      <c r="D112" s="7">
        <f>92-Table1[[#This Row],[MELTING]]</f>
        <v>-5</v>
      </c>
      <c r="E112" s="6">
        <v>7420</v>
      </c>
      <c r="F112" s="34">
        <f t="shared" si="6"/>
        <v>29437.365999999998</v>
      </c>
      <c r="G112" s="83"/>
    </row>
    <row r="113" spans="1:7" x14ac:dyDescent="0.45">
      <c r="A113" s="3" t="s">
        <v>1074</v>
      </c>
      <c r="B113" s="4">
        <v>4.05</v>
      </c>
      <c r="C113" s="7">
        <v>97</v>
      </c>
      <c r="D113" s="7">
        <f>92-Table1[[#This Row],[MELTING]]</f>
        <v>-5</v>
      </c>
      <c r="E113" s="6">
        <v>7420</v>
      </c>
      <c r="F113" s="34">
        <f t="shared" si="6"/>
        <v>29149.469999999998</v>
      </c>
      <c r="G113" s="83"/>
    </row>
    <row r="114" spans="1:7" x14ac:dyDescent="0.45">
      <c r="A114" s="3" t="s">
        <v>84</v>
      </c>
      <c r="B114" s="4">
        <v>2.0499999999999998</v>
      </c>
      <c r="C114" s="7">
        <v>84.5</v>
      </c>
      <c r="D114" s="7">
        <f>77-C114</f>
        <v>-7.5</v>
      </c>
      <c r="E114" s="6">
        <v>7218.2</v>
      </c>
      <c r="F114" s="34">
        <f t="shared" si="6"/>
        <v>12503.726949999998</v>
      </c>
      <c r="G114" s="83"/>
    </row>
    <row r="115" spans="1:7" x14ac:dyDescent="0.45">
      <c r="A115" s="3" t="s">
        <v>85</v>
      </c>
      <c r="B115" s="4">
        <v>3.92</v>
      </c>
      <c r="C115" s="7">
        <v>84</v>
      </c>
      <c r="D115" s="7">
        <f>77-C115</f>
        <v>-7</v>
      </c>
      <c r="E115" s="6">
        <v>7218.2</v>
      </c>
      <c r="F115" s="34">
        <f t="shared" ref="F115:F126" si="7">(((B115*C115)/100)*E115)</f>
        <v>23768.088959999997</v>
      </c>
      <c r="G115" s="83"/>
    </row>
    <row r="116" spans="1:7" x14ac:dyDescent="0.45">
      <c r="A116" s="3" t="s">
        <v>927</v>
      </c>
      <c r="B116" s="4">
        <v>3.34</v>
      </c>
      <c r="C116" s="7"/>
      <c r="D116" s="7"/>
      <c r="E116" s="6"/>
      <c r="F116" s="34">
        <v>17300</v>
      </c>
      <c r="G116" s="83"/>
    </row>
    <row r="117" spans="1:7" x14ac:dyDescent="0.45">
      <c r="A117" s="3" t="s">
        <v>86</v>
      </c>
      <c r="B117" s="4">
        <v>1.04</v>
      </c>
      <c r="C117" s="7">
        <v>84</v>
      </c>
      <c r="D117" s="7">
        <f t="shared" ref="D117:D126" si="8">77-C117</f>
        <v>-7</v>
      </c>
      <c r="E117" s="6">
        <v>7218.2</v>
      </c>
      <c r="F117" s="34">
        <f t="shared" si="7"/>
        <v>6305.81952</v>
      </c>
      <c r="G117" s="83"/>
    </row>
    <row r="118" spans="1:7" x14ac:dyDescent="0.45">
      <c r="A118" s="3" t="s">
        <v>87</v>
      </c>
      <c r="B118" s="4">
        <v>1.08</v>
      </c>
      <c r="C118" s="7">
        <v>84</v>
      </c>
      <c r="D118" s="7">
        <f t="shared" si="8"/>
        <v>-7</v>
      </c>
      <c r="E118" s="6">
        <v>7218.2</v>
      </c>
      <c r="F118" s="34">
        <f t="shared" si="7"/>
        <v>6548.3510399999996</v>
      </c>
      <c r="G118" s="83"/>
    </row>
    <row r="119" spans="1:7" x14ac:dyDescent="0.45">
      <c r="A119" s="3" t="s">
        <v>88</v>
      </c>
      <c r="B119" s="4">
        <v>1.05</v>
      </c>
      <c r="C119" s="7">
        <v>84</v>
      </c>
      <c r="D119" s="7">
        <f t="shared" si="8"/>
        <v>-7</v>
      </c>
      <c r="E119" s="6">
        <v>7218.2</v>
      </c>
      <c r="F119" s="34">
        <f t="shared" si="7"/>
        <v>6366.4524000000001</v>
      </c>
      <c r="G119" s="83"/>
    </row>
    <row r="120" spans="1:7" x14ac:dyDescent="0.45">
      <c r="A120" s="3" t="s">
        <v>89</v>
      </c>
      <c r="B120" s="4">
        <v>1</v>
      </c>
      <c r="C120" s="7">
        <v>84</v>
      </c>
      <c r="D120" s="7">
        <f t="shared" si="8"/>
        <v>-7</v>
      </c>
      <c r="E120" s="6">
        <v>7218.2</v>
      </c>
      <c r="F120" s="34">
        <f t="shared" si="7"/>
        <v>6063.2879999999996</v>
      </c>
      <c r="G120" s="83"/>
    </row>
    <row r="121" spans="1:7" x14ac:dyDescent="0.45">
      <c r="A121" s="3" t="s">
        <v>90</v>
      </c>
      <c r="B121" s="4">
        <v>1.05</v>
      </c>
      <c r="C121" s="7">
        <v>84</v>
      </c>
      <c r="D121" s="7">
        <f t="shared" si="8"/>
        <v>-7</v>
      </c>
      <c r="E121" s="6">
        <v>7218.2</v>
      </c>
      <c r="F121" s="34">
        <f t="shared" si="7"/>
        <v>6366.4524000000001</v>
      </c>
      <c r="G121" s="83"/>
    </row>
    <row r="122" spans="1:7" x14ac:dyDescent="0.45">
      <c r="A122" s="3" t="s">
        <v>91</v>
      </c>
      <c r="B122" s="4">
        <v>1.05</v>
      </c>
      <c r="C122" s="7">
        <v>84</v>
      </c>
      <c r="D122" s="7">
        <f t="shared" si="8"/>
        <v>-7</v>
      </c>
      <c r="E122" s="6">
        <v>7218.2</v>
      </c>
      <c r="F122" s="34">
        <f t="shared" si="7"/>
        <v>6366.4524000000001</v>
      </c>
      <c r="G122" s="83"/>
    </row>
    <row r="123" spans="1:7" x14ac:dyDescent="0.45">
      <c r="A123" s="3" t="s">
        <v>92</v>
      </c>
      <c r="B123" s="4">
        <v>1</v>
      </c>
      <c r="C123" s="7">
        <v>84</v>
      </c>
      <c r="D123" s="7">
        <f t="shared" si="8"/>
        <v>-7</v>
      </c>
      <c r="E123" s="6">
        <v>7218.2</v>
      </c>
      <c r="F123" s="34">
        <f t="shared" si="7"/>
        <v>6063.2879999999996</v>
      </c>
      <c r="G123" s="83"/>
    </row>
    <row r="124" spans="1:7" x14ac:dyDescent="0.45">
      <c r="A124" s="3" t="s">
        <v>93</v>
      </c>
      <c r="B124" s="4">
        <v>1.1000000000000001</v>
      </c>
      <c r="C124" s="7">
        <v>84</v>
      </c>
      <c r="D124" s="7">
        <f t="shared" si="8"/>
        <v>-7</v>
      </c>
      <c r="E124" s="6">
        <v>7218.2</v>
      </c>
      <c r="F124" s="34">
        <f t="shared" si="7"/>
        <v>6669.6167999999998</v>
      </c>
      <c r="G124" s="83"/>
    </row>
    <row r="125" spans="1:7" x14ac:dyDescent="0.45">
      <c r="A125" s="3" t="s">
        <v>94</v>
      </c>
      <c r="B125" s="4">
        <v>1.05</v>
      </c>
      <c r="C125" s="7">
        <v>84</v>
      </c>
      <c r="D125" s="7">
        <f t="shared" si="8"/>
        <v>-7</v>
      </c>
      <c r="E125" s="6">
        <v>7218.2</v>
      </c>
      <c r="F125" s="34">
        <f t="shared" si="7"/>
        <v>6366.4524000000001</v>
      </c>
      <c r="G125" s="83"/>
    </row>
    <row r="126" spans="1:7" x14ac:dyDescent="0.45">
      <c r="A126" s="3" t="s">
        <v>95</v>
      </c>
      <c r="B126" s="4">
        <v>1.06</v>
      </c>
      <c r="C126" s="7">
        <v>84</v>
      </c>
      <c r="D126" s="7">
        <f t="shared" si="8"/>
        <v>-7</v>
      </c>
      <c r="E126" s="6">
        <v>7218.2</v>
      </c>
      <c r="F126" s="34">
        <f t="shared" si="7"/>
        <v>6427.0852800000002</v>
      </c>
      <c r="G126" s="83"/>
    </row>
    <row r="127" spans="1:7" x14ac:dyDescent="0.45">
      <c r="A127" s="3" t="s">
        <v>1075</v>
      </c>
      <c r="B127" s="4">
        <v>1.01</v>
      </c>
      <c r="C127" s="7">
        <v>84</v>
      </c>
      <c r="D127" s="7">
        <v>8</v>
      </c>
      <c r="E127" s="6">
        <v>7420</v>
      </c>
      <c r="F127" s="34">
        <f>(((B127*C127)/100)*E127)</f>
        <v>6295.1280000000006</v>
      </c>
      <c r="G127" s="83"/>
    </row>
    <row r="128" spans="1:7" x14ac:dyDescent="0.45">
      <c r="A128" s="3" t="s">
        <v>1076</v>
      </c>
      <c r="B128" s="4">
        <v>0.99</v>
      </c>
      <c r="C128" s="7">
        <v>84</v>
      </c>
      <c r="D128" s="7">
        <v>8</v>
      </c>
      <c r="E128" s="6">
        <v>7420</v>
      </c>
      <c r="F128" s="34">
        <f>(((B128*C128)/100)*E128)</f>
        <v>6170.4719999999998</v>
      </c>
      <c r="G128" s="83"/>
    </row>
    <row r="129" spans="1:7" x14ac:dyDescent="0.45">
      <c r="A129" s="3" t="s">
        <v>96</v>
      </c>
      <c r="B129" s="4">
        <v>7.96</v>
      </c>
      <c r="C129" s="7">
        <v>94.25</v>
      </c>
      <c r="D129" s="7">
        <f>92-C129</f>
        <v>-2.25</v>
      </c>
      <c r="E129" s="6">
        <v>7218.2</v>
      </c>
      <c r="F129" s="34">
        <f>(((B129*C129)/100)*E129)</f>
        <v>54153.101859999995</v>
      </c>
      <c r="G129" s="83"/>
    </row>
    <row r="130" spans="1:7" x14ac:dyDescent="0.45">
      <c r="A130" s="3" t="s">
        <v>97</v>
      </c>
      <c r="B130" s="4">
        <v>8.1</v>
      </c>
      <c r="C130" s="7">
        <v>94.25</v>
      </c>
      <c r="D130" s="7">
        <f t="shared" ref="D130" si="9">92-C130</f>
        <v>-2.25</v>
      </c>
      <c r="E130" s="6">
        <v>7218.2</v>
      </c>
      <c r="F130" s="34">
        <f t="shared" ref="F130:F134" si="10">(((B130*C130)/100)*E130)</f>
        <v>55105.54335</v>
      </c>
      <c r="G130" s="83"/>
    </row>
    <row r="131" spans="1:7" x14ac:dyDescent="0.45">
      <c r="A131" s="3" t="s">
        <v>98</v>
      </c>
      <c r="B131" s="4">
        <v>16.010000000000002</v>
      </c>
      <c r="C131" s="7">
        <v>94.25</v>
      </c>
      <c r="D131" s="7">
        <f>92-C131</f>
        <v>-2.25</v>
      </c>
      <c r="E131" s="6">
        <v>7218.2</v>
      </c>
      <c r="F131" s="34">
        <f t="shared" si="10"/>
        <v>108918.48753499999</v>
      </c>
      <c r="G131" s="83"/>
    </row>
    <row r="132" spans="1:7" x14ac:dyDescent="0.45">
      <c r="A132" s="3" t="s">
        <v>99</v>
      </c>
      <c r="B132" s="4">
        <v>16.100000000000001</v>
      </c>
      <c r="C132" s="7">
        <v>95</v>
      </c>
      <c r="D132" s="7">
        <f t="shared" ref="D132:D133" si="11">92-C132</f>
        <v>-3</v>
      </c>
      <c r="E132" s="6">
        <v>7218.2</v>
      </c>
      <c r="F132" s="34">
        <f t="shared" si="10"/>
        <v>110402.36900000001</v>
      </c>
      <c r="G132" s="83"/>
    </row>
    <row r="133" spans="1:7" x14ac:dyDescent="0.45">
      <c r="A133" s="3" t="s">
        <v>100</v>
      </c>
      <c r="B133" s="4">
        <v>16.03</v>
      </c>
      <c r="C133" s="7">
        <v>95</v>
      </c>
      <c r="D133" s="7">
        <f t="shared" si="11"/>
        <v>-3</v>
      </c>
      <c r="E133" s="6">
        <v>7218.2</v>
      </c>
      <c r="F133" s="34">
        <f t="shared" si="10"/>
        <v>109922.35870000001</v>
      </c>
      <c r="G133" s="83"/>
    </row>
    <row r="134" spans="1:7" x14ac:dyDescent="0.45">
      <c r="A134" s="3" t="s">
        <v>101</v>
      </c>
      <c r="B134" s="4">
        <v>16</v>
      </c>
      <c r="C134" s="8">
        <v>94.25</v>
      </c>
      <c r="D134" s="8">
        <f>92-C134</f>
        <v>-2.25</v>
      </c>
      <c r="E134" s="6">
        <v>7218.2</v>
      </c>
      <c r="F134" s="34">
        <f t="shared" si="10"/>
        <v>108850.45599999999</v>
      </c>
      <c r="G134" s="83"/>
    </row>
    <row r="135" spans="1:7" x14ac:dyDescent="0.45">
      <c r="A135" s="3" t="s">
        <v>1077</v>
      </c>
      <c r="B135" s="4">
        <v>8.02</v>
      </c>
      <c r="C135" s="8">
        <v>94</v>
      </c>
      <c r="D135" s="8">
        <f t="shared" ref="D135:D136" si="12">92-C135</f>
        <v>-2</v>
      </c>
      <c r="E135" s="6">
        <v>7420</v>
      </c>
      <c r="F135" s="34">
        <f>(((B135*C135)/100)*E135)</f>
        <v>55937.896000000001</v>
      </c>
      <c r="G135" s="83"/>
    </row>
    <row r="136" spans="1:7" x14ac:dyDescent="0.45">
      <c r="A136" s="3" t="s">
        <v>1078</v>
      </c>
      <c r="B136" s="4">
        <v>8.09</v>
      </c>
      <c r="C136" s="8">
        <v>95</v>
      </c>
      <c r="D136" s="8">
        <f t="shared" si="12"/>
        <v>-3</v>
      </c>
      <c r="E136" s="6">
        <v>7420</v>
      </c>
      <c r="F136" s="34">
        <f>(((B136*C136)/100)*E136)</f>
        <v>57026.409999999996</v>
      </c>
      <c r="G136" s="83"/>
    </row>
    <row r="137" spans="1:7" x14ac:dyDescent="0.45">
      <c r="A137" s="3" t="s">
        <v>102</v>
      </c>
      <c r="B137" s="4">
        <v>0.5</v>
      </c>
      <c r="C137" s="7">
        <v>80.39</v>
      </c>
      <c r="D137" s="7">
        <v>-10</v>
      </c>
      <c r="E137" s="6">
        <v>7218.2</v>
      </c>
      <c r="F137" s="34">
        <f>(((B137*C137)/100)*E137)</f>
        <v>2901.3554899999999</v>
      </c>
      <c r="G137" s="83"/>
    </row>
    <row r="138" spans="1:7" x14ac:dyDescent="0.45">
      <c r="A138" s="3" t="s">
        <v>103</v>
      </c>
      <c r="B138" s="4">
        <v>0.5</v>
      </c>
      <c r="C138" s="7">
        <v>80.39</v>
      </c>
      <c r="D138" s="7">
        <v>-10</v>
      </c>
      <c r="E138" s="6">
        <v>7218.2</v>
      </c>
      <c r="F138" s="34">
        <f t="shared" ref="F138:F192" si="13">(((B138*C138)/100)*E138)</f>
        <v>2901.3554899999999</v>
      </c>
      <c r="G138" s="83"/>
    </row>
    <row r="139" spans="1:7" x14ac:dyDescent="0.45">
      <c r="A139" s="3" t="s">
        <v>104</v>
      </c>
      <c r="B139" s="4">
        <v>0.55000000000000004</v>
      </c>
      <c r="C139" s="7">
        <v>80.39</v>
      </c>
      <c r="D139" s="7">
        <v>-10</v>
      </c>
      <c r="E139" s="6">
        <v>7218.2</v>
      </c>
      <c r="F139" s="34">
        <f t="shared" si="13"/>
        <v>3191.491039</v>
      </c>
      <c r="G139" s="83"/>
    </row>
    <row r="140" spans="1:7" x14ac:dyDescent="0.45">
      <c r="A140" s="3" t="s">
        <v>105</v>
      </c>
      <c r="B140" s="4">
        <v>0.5</v>
      </c>
      <c r="C140" s="7">
        <v>80.39</v>
      </c>
      <c r="D140" s="7">
        <v>-10</v>
      </c>
      <c r="E140" s="6">
        <v>7218.2</v>
      </c>
      <c r="F140" s="34">
        <f t="shared" si="13"/>
        <v>2901.3554899999999</v>
      </c>
      <c r="G140" s="83"/>
    </row>
    <row r="141" spans="1:7" x14ac:dyDescent="0.45">
      <c r="A141" s="234" t="s">
        <v>1216</v>
      </c>
      <c r="B141" s="4">
        <f>0.53/2</f>
        <v>0.26500000000000001</v>
      </c>
      <c r="C141" s="7">
        <v>80.39</v>
      </c>
      <c r="D141" s="7">
        <v>-10</v>
      </c>
      <c r="E141" s="6">
        <v>7218.2</v>
      </c>
      <c r="F141" s="34">
        <f t="shared" si="13"/>
        <v>1537.7184097000002</v>
      </c>
      <c r="G141" s="83"/>
    </row>
    <row r="142" spans="1:7" x14ac:dyDescent="0.45">
      <c r="A142" s="3" t="s">
        <v>1217</v>
      </c>
      <c r="B142" s="4">
        <f>0.53/2</f>
        <v>0.26500000000000001</v>
      </c>
      <c r="C142" s="7">
        <v>80.39</v>
      </c>
      <c r="D142" s="7">
        <v>-10</v>
      </c>
      <c r="E142" s="6">
        <v>7219.2</v>
      </c>
      <c r="F142" s="34">
        <f t="shared" ref="F142" si="14">(((B142*C142)/100)*E142)</f>
        <v>1537.9314432000001</v>
      </c>
      <c r="G142" s="83"/>
    </row>
    <row r="143" spans="1:7" x14ac:dyDescent="0.45">
      <c r="A143" s="3" t="s">
        <v>106</v>
      </c>
      <c r="B143" s="4">
        <v>0.5</v>
      </c>
      <c r="C143" s="7">
        <v>80.39</v>
      </c>
      <c r="D143" s="7">
        <v>-10</v>
      </c>
      <c r="E143" s="6">
        <v>7218.2</v>
      </c>
      <c r="F143" s="34">
        <f t="shared" si="13"/>
        <v>2901.3554899999999</v>
      </c>
      <c r="G143" s="83"/>
    </row>
    <row r="144" spans="1:7" x14ac:dyDescent="0.45">
      <c r="A144" s="3" t="s">
        <v>107</v>
      </c>
      <c r="B144" s="4">
        <v>0.48</v>
      </c>
      <c r="C144" s="7">
        <v>80.39</v>
      </c>
      <c r="D144" s="7">
        <v>-10</v>
      </c>
      <c r="E144" s="6">
        <v>7218.2</v>
      </c>
      <c r="F144" s="34">
        <f t="shared" si="13"/>
        <v>2785.3012703999993</v>
      </c>
      <c r="G144" s="83"/>
    </row>
    <row r="145" spans="1:7" x14ac:dyDescent="0.45">
      <c r="A145" s="3" t="s">
        <v>108</v>
      </c>
      <c r="B145" s="4">
        <v>0.42</v>
      </c>
      <c r="C145" s="7">
        <v>80.39</v>
      </c>
      <c r="D145" s="7">
        <v>-10</v>
      </c>
      <c r="E145" s="6">
        <v>7218.2</v>
      </c>
      <c r="F145" s="34">
        <f t="shared" si="13"/>
        <v>2437.1386115999994</v>
      </c>
      <c r="G145" s="83"/>
    </row>
    <row r="146" spans="1:7" x14ac:dyDescent="0.45">
      <c r="A146" s="3" t="s">
        <v>109</v>
      </c>
      <c r="B146" s="4">
        <v>0.48</v>
      </c>
      <c r="C146" s="7">
        <v>80.39</v>
      </c>
      <c r="D146" s="7">
        <v>-10</v>
      </c>
      <c r="E146" s="6">
        <v>7218.2</v>
      </c>
      <c r="F146" s="34">
        <f t="shared" si="13"/>
        <v>2785.3012703999993</v>
      </c>
      <c r="G146" s="83"/>
    </row>
    <row r="147" spans="1:7" x14ac:dyDescent="0.45">
      <c r="A147" s="3" t="s">
        <v>110</v>
      </c>
      <c r="B147" s="4">
        <v>0.5</v>
      </c>
      <c r="C147" s="7">
        <v>80.39</v>
      </c>
      <c r="D147" s="7">
        <v>-10</v>
      </c>
      <c r="E147" s="6">
        <v>7218.2</v>
      </c>
      <c r="F147" s="34">
        <f t="shared" si="13"/>
        <v>2901.3554899999999</v>
      </c>
      <c r="G147" s="83"/>
    </row>
    <row r="148" spans="1:7" x14ac:dyDescent="0.45">
      <c r="A148" s="3" t="s">
        <v>111</v>
      </c>
      <c r="B148" s="4">
        <v>0.5</v>
      </c>
      <c r="C148" s="7">
        <v>80.39</v>
      </c>
      <c r="D148" s="7">
        <v>-10</v>
      </c>
      <c r="E148" s="6">
        <v>7218.2</v>
      </c>
      <c r="F148" s="34">
        <f t="shared" si="13"/>
        <v>2901.3554899999999</v>
      </c>
      <c r="G148" s="83"/>
    </row>
    <row r="149" spans="1:7" x14ac:dyDescent="0.45">
      <c r="A149" s="3" t="s">
        <v>112</v>
      </c>
      <c r="B149" s="4">
        <v>0.52</v>
      </c>
      <c r="C149" s="7">
        <v>80.39</v>
      </c>
      <c r="D149" s="7">
        <v>-10</v>
      </c>
      <c r="E149" s="6">
        <v>7218.2</v>
      </c>
      <c r="F149" s="34">
        <f t="shared" si="13"/>
        <v>3017.4097096000005</v>
      </c>
      <c r="G149" s="83"/>
    </row>
    <row r="150" spans="1:7" x14ac:dyDescent="0.45">
      <c r="A150" s="3" t="s">
        <v>113</v>
      </c>
      <c r="B150" s="4">
        <v>0.65</v>
      </c>
      <c r="C150" s="7">
        <v>80.39</v>
      </c>
      <c r="D150" s="7">
        <v>-10</v>
      </c>
      <c r="E150" s="6">
        <v>7218.2</v>
      </c>
      <c r="F150" s="34">
        <f t="shared" si="13"/>
        <v>3771.7621369999997</v>
      </c>
      <c r="G150" s="83"/>
    </row>
    <row r="151" spans="1:7" x14ac:dyDescent="0.45">
      <c r="A151" s="3" t="s">
        <v>114</v>
      </c>
      <c r="B151" s="4">
        <v>0.68</v>
      </c>
      <c r="C151" s="7">
        <v>80.39</v>
      </c>
      <c r="D151" s="7">
        <v>-10</v>
      </c>
      <c r="E151" s="6">
        <v>7218.2</v>
      </c>
      <c r="F151" s="34">
        <f t="shared" si="13"/>
        <v>3945.8434664000001</v>
      </c>
      <c r="G151" s="83"/>
    </row>
    <row r="152" spans="1:7" x14ac:dyDescent="0.45">
      <c r="A152" s="3" t="s">
        <v>115</v>
      </c>
      <c r="B152" s="4">
        <v>0.18</v>
      </c>
      <c r="C152" s="7">
        <v>80.39</v>
      </c>
      <c r="D152" s="7">
        <v>-10</v>
      </c>
      <c r="E152" s="6">
        <v>7218.2</v>
      </c>
      <c r="F152" s="34">
        <f t="shared" si="13"/>
        <v>1044.4879764</v>
      </c>
      <c r="G152" s="83"/>
    </row>
    <row r="153" spans="1:7" x14ac:dyDescent="0.45">
      <c r="A153" s="3" t="s">
        <v>116</v>
      </c>
      <c r="B153" s="4">
        <v>0.25</v>
      </c>
      <c r="C153" s="7">
        <v>80.39</v>
      </c>
      <c r="D153" s="7">
        <v>-10</v>
      </c>
      <c r="E153" s="6">
        <v>7218.2</v>
      </c>
      <c r="F153" s="34">
        <f t="shared" si="13"/>
        <v>1450.677745</v>
      </c>
      <c r="G153" s="83"/>
    </row>
    <row r="154" spans="1:7" x14ac:dyDescent="0.45">
      <c r="A154" s="3" t="s">
        <v>117</v>
      </c>
      <c r="B154" s="4">
        <v>0.41</v>
      </c>
      <c r="C154" s="7">
        <v>80.39</v>
      </c>
      <c r="D154" s="7">
        <v>-10</v>
      </c>
      <c r="E154" s="6">
        <v>7218.2</v>
      </c>
      <c r="F154" s="34">
        <f t="shared" si="13"/>
        <v>2379.1115017999996</v>
      </c>
      <c r="G154" s="83"/>
    </row>
    <row r="155" spans="1:7" x14ac:dyDescent="0.45">
      <c r="A155" s="3" t="s">
        <v>118</v>
      </c>
      <c r="B155" s="4">
        <v>0.22</v>
      </c>
      <c r="C155" s="7">
        <v>80.39</v>
      </c>
      <c r="D155" s="7">
        <v>-10</v>
      </c>
      <c r="E155" s="6">
        <v>7218.2</v>
      </c>
      <c r="F155" s="34">
        <f t="shared" si="13"/>
        <v>1276.5964156</v>
      </c>
      <c r="G155" s="83"/>
    </row>
    <row r="156" spans="1:7" x14ac:dyDescent="0.45">
      <c r="A156" s="3" t="s">
        <v>119</v>
      </c>
      <c r="B156" s="4">
        <v>0.33</v>
      </c>
      <c r="C156" s="7">
        <v>80.39</v>
      </c>
      <c r="D156" s="7">
        <v>-10</v>
      </c>
      <c r="E156" s="6">
        <v>7218.2</v>
      </c>
      <c r="F156" s="34">
        <f t="shared" si="13"/>
        <v>1914.8946234</v>
      </c>
      <c r="G156" s="83"/>
    </row>
    <row r="157" spans="1:7" x14ac:dyDescent="0.45">
      <c r="A157" s="3" t="s">
        <v>120</v>
      </c>
      <c r="B157" s="4">
        <v>0.33</v>
      </c>
      <c r="C157" s="7">
        <v>80.39</v>
      </c>
      <c r="D157" s="7">
        <v>-10</v>
      </c>
      <c r="E157" s="6">
        <v>7218.2</v>
      </c>
      <c r="F157" s="34">
        <f t="shared" si="13"/>
        <v>1914.8946234</v>
      </c>
      <c r="G157" s="83"/>
    </row>
    <row r="158" spans="1:7" x14ac:dyDescent="0.45">
      <c r="A158" s="3" t="s">
        <v>121</v>
      </c>
      <c r="B158" s="4">
        <v>0.18</v>
      </c>
      <c r="C158" s="7">
        <v>80.39</v>
      </c>
      <c r="D158" s="7">
        <v>-10</v>
      </c>
      <c r="E158" s="6">
        <v>7218.2</v>
      </c>
      <c r="F158" s="34">
        <f t="shared" si="13"/>
        <v>1044.4879764</v>
      </c>
      <c r="G158" s="83"/>
    </row>
    <row r="159" spans="1:7" x14ac:dyDescent="0.45">
      <c r="A159" s="3" t="s">
        <v>122</v>
      </c>
      <c r="B159" s="4">
        <v>0.36</v>
      </c>
      <c r="C159" s="7">
        <v>80.39</v>
      </c>
      <c r="D159" s="7">
        <v>-10</v>
      </c>
      <c r="E159" s="6">
        <v>7218.2</v>
      </c>
      <c r="F159" s="34">
        <f t="shared" si="13"/>
        <v>2088.9759528</v>
      </c>
      <c r="G159" s="83"/>
    </row>
    <row r="160" spans="1:7" s="139" customFormat="1" x14ac:dyDescent="0.45">
      <c r="A160" s="234" t="s">
        <v>123</v>
      </c>
      <c r="B160" s="235">
        <v>0.21</v>
      </c>
      <c r="C160" s="63">
        <v>80.39</v>
      </c>
      <c r="D160" s="63">
        <v>-10</v>
      </c>
      <c r="E160" s="140">
        <v>7218.2</v>
      </c>
      <c r="F160" s="236">
        <f t="shared" si="13"/>
        <v>1218.5693057999997</v>
      </c>
    </row>
    <row r="161" spans="1:7" s="139" customFormat="1" x14ac:dyDescent="0.45">
      <c r="A161" s="234" t="s">
        <v>131</v>
      </c>
      <c r="B161" s="235">
        <f>B160/2</f>
        <v>0.105</v>
      </c>
      <c r="C161" s="63">
        <v>80.39</v>
      </c>
      <c r="D161" s="63">
        <v>-10</v>
      </c>
      <c r="E161" s="140">
        <v>7218.2</v>
      </c>
      <c r="F161" s="236">
        <f>(((B161*C161)/100)*E161)</f>
        <v>609.28465289999986</v>
      </c>
    </row>
    <row r="162" spans="1:7" x14ac:dyDescent="0.45">
      <c r="A162" s="3" t="s">
        <v>124</v>
      </c>
      <c r="B162" s="4">
        <v>0.18</v>
      </c>
      <c r="C162" s="7">
        <v>80.39</v>
      </c>
      <c r="D162" s="7">
        <v>-10</v>
      </c>
      <c r="E162" s="6">
        <v>7218.2</v>
      </c>
      <c r="F162" s="34">
        <f t="shared" si="13"/>
        <v>1044.4879764</v>
      </c>
      <c r="G162" s="83"/>
    </row>
    <row r="163" spans="1:7" x14ac:dyDescent="0.45">
      <c r="A163" s="3" t="s">
        <v>125</v>
      </c>
      <c r="B163" s="4">
        <v>0.18</v>
      </c>
      <c r="C163" s="7">
        <v>80.39</v>
      </c>
      <c r="D163" s="7">
        <v>-10</v>
      </c>
      <c r="E163" s="6">
        <v>7218.2</v>
      </c>
      <c r="F163" s="34">
        <f t="shared" si="13"/>
        <v>1044.4879764</v>
      </c>
      <c r="G163" s="83"/>
    </row>
    <row r="164" spans="1:7" x14ac:dyDescent="0.45">
      <c r="A164" s="3" t="s">
        <v>126</v>
      </c>
      <c r="B164" s="4">
        <v>0.18</v>
      </c>
      <c r="C164" s="7">
        <v>80.39</v>
      </c>
      <c r="D164" s="7">
        <v>-10</v>
      </c>
      <c r="E164" s="6">
        <v>7218.2</v>
      </c>
      <c r="F164" s="34">
        <f t="shared" si="13"/>
        <v>1044.4879764</v>
      </c>
      <c r="G164" s="83"/>
    </row>
    <row r="165" spans="1:7" x14ac:dyDescent="0.45">
      <c r="A165" s="3" t="s">
        <v>127</v>
      </c>
      <c r="B165" s="4">
        <v>0.38</v>
      </c>
      <c r="C165" s="7">
        <v>80.39</v>
      </c>
      <c r="D165" s="7">
        <v>-10</v>
      </c>
      <c r="E165" s="6">
        <v>7218.2</v>
      </c>
      <c r="F165" s="34">
        <f t="shared" si="13"/>
        <v>2205.0301724000001</v>
      </c>
      <c r="G165" s="83"/>
    </row>
    <row r="166" spans="1:7" x14ac:dyDescent="0.45">
      <c r="A166" s="3" t="s">
        <v>128</v>
      </c>
      <c r="B166" s="4">
        <v>0.2</v>
      </c>
      <c r="C166" s="7">
        <v>80.39</v>
      </c>
      <c r="D166" s="7">
        <v>-10</v>
      </c>
      <c r="E166" s="6">
        <v>7218.2</v>
      </c>
      <c r="F166" s="34">
        <f t="shared" si="13"/>
        <v>1160.5421960000001</v>
      </c>
      <c r="G166" s="83"/>
    </row>
    <row r="167" spans="1:7" x14ac:dyDescent="0.45">
      <c r="A167" s="3" t="s">
        <v>129</v>
      </c>
      <c r="B167" s="4">
        <v>0.18</v>
      </c>
      <c r="C167" s="7">
        <v>80.39</v>
      </c>
      <c r="D167" s="7">
        <v>-10</v>
      </c>
      <c r="E167" s="6">
        <v>7218.2</v>
      </c>
      <c r="F167" s="34">
        <f t="shared" si="13"/>
        <v>1044.4879764</v>
      </c>
      <c r="G167" s="83"/>
    </row>
    <row r="168" spans="1:7" s="139" customFormat="1" x14ac:dyDescent="0.45">
      <c r="A168" s="234" t="s">
        <v>130</v>
      </c>
      <c r="B168" s="235">
        <v>0.125</v>
      </c>
      <c r="C168" s="63">
        <v>80.39</v>
      </c>
      <c r="D168" s="63">
        <v>-10</v>
      </c>
      <c r="E168" s="140">
        <v>7218.2</v>
      </c>
      <c r="F168" s="236">
        <f t="shared" si="13"/>
        <v>725.33887249999998</v>
      </c>
    </row>
    <row r="169" spans="1:7" s="139" customFormat="1" x14ac:dyDescent="0.45">
      <c r="A169" s="234" t="s">
        <v>1018</v>
      </c>
      <c r="B169" s="235">
        <v>0.125</v>
      </c>
      <c r="C169" s="63">
        <v>80.39</v>
      </c>
      <c r="D169" s="63">
        <v>-10</v>
      </c>
      <c r="E169" s="140">
        <v>7219.2</v>
      </c>
      <c r="F169" s="236">
        <f t="shared" ref="F169" si="15">(((B169*C169)/100)*E169)</f>
        <v>725.43936000000008</v>
      </c>
    </row>
    <row r="170" spans="1:7" s="139" customFormat="1" x14ac:dyDescent="0.45">
      <c r="A170" s="234" t="s">
        <v>132</v>
      </c>
      <c r="B170" s="235">
        <v>0.11</v>
      </c>
      <c r="C170" s="63">
        <v>80.39</v>
      </c>
      <c r="D170" s="63">
        <v>-10</v>
      </c>
      <c r="E170" s="140">
        <v>7218.2</v>
      </c>
      <c r="F170" s="236">
        <f t="shared" si="13"/>
        <v>638.2982078</v>
      </c>
    </row>
    <row r="171" spans="1:7" s="139" customFormat="1" x14ac:dyDescent="0.45">
      <c r="A171" s="234" t="s">
        <v>133</v>
      </c>
      <c r="B171" s="235">
        <v>0.11</v>
      </c>
      <c r="C171" s="63">
        <v>80.39</v>
      </c>
      <c r="D171" s="63">
        <v>-10</v>
      </c>
      <c r="E171" s="140">
        <v>7219.2</v>
      </c>
      <c r="F171" s="236">
        <f t="shared" si="13"/>
        <v>638.38663680000002</v>
      </c>
    </row>
    <row r="172" spans="1:7" s="139" customFormat="1" x14ac:dyDescent="0.45">
      <c r="A172" s="234" t="s">
        <v>134</v>
      </c>
      <c r="B172" s="235">
        <v>0.1</v>
      </c>
      <c r="C172" s="63">
        <v>80.39</v>
      </c>
      <c r="D172" s="63">
        <v>-10</v>
      </c>
      <c r="E172" s="140">
        <v>7218.2</v>
      </c>
      <c r="F172" s="236">
        <f t="shared" si="13"/>
        <v>580.27109800000005</v>
      </c>
    </row>
    <row r="173" spans="1:7" s="139" customFormat="1" x14ac:dyDescent="0.45">
      <c r="A173" s="234" t="s">
        <v>867</v>
      </c>
      <c r="B173" s="235">
        <v>0.1</v>
      </c>
      <c r="C173" s="63">
        <v>80.39</v>
      </c>
      <c r="D173" s="63">
        <v>-10</v>
      </c>
      <c r="E173" s="140">
        <v>7219.2</v>
      </c>
      <c r="F173" s="236">
        <f>(((B173*C173)/100)*E173)</f>
        <v>580.35148800000002</v>
      </c>
    </row>
    <row r="174" spans="1:7" x14ac:dyDescent="0.45">
      <c r="A174" s="3" t="s">
        <v>135</v>
      </c>
      <c r="B174" s="4">
        <v>0.18</v>
      </c>
      <c r="C174" s="7">
        <v>80.39</v>
      </c>
      <c r="D174" s="7">
        <v>-10</v>
      </c>
      <c r="E174" s="6">
        <v>7218.2</v>
      </c>
      <c r="F174" s="34">
        <f t="shared" si="13"/>
        <v>1044.4879764</v>
      </c>
      <c r="G174" s="83"/>
    </row>
    <row r="175" spans="1:7" s="139" customFormat="1" x14ac:dyDescent="0.45">
      <c r="A175" s="234" t="s">
        <v>136</v>
      </c>
      <c r="B175" s="235">
        <v>0.11</v>
      </c>
      <c r="C175" s="63">
        <v>80.39</v>
      </c>
      <c r="D175" s="63">
        <v>-10</v>
      </c>
      <c r="E175" s="140">
        <v>7218.2</v>
      </c>
      <c r="F175" s="236">
        <f t="shared" si="13"/>
        <v>638.2982078</v>
      </c>
    </row>
    <row r="176" spans="1:7" s="139" customFormat="1" x14ac:dyDescent="0.45">
      <c r="A176" s="234" t="s">
        <v>137</v>
      </c>
      <c r="B176" s="235">
        <v>0.11</v>
      </c>
      <c r="C176" s="63">
        <v>80.39</v>
      </c>
      <c r="D176" s="63">
        <v>-10</v>
      </c>
      <c r="E176" s="140">
        <v>7218.2</v>
      </c>
      <c r="F176" s="236">
        <f t="shared" si="13"/>
        <v>638.2982078</v>
      </c>
    </row>
    <row r="177" spans="1:7" x14ac:dyDescent="0.45">
      <c r="A177" s="3" t="s">
        <v>138</v>
      </c>
      <c r="B177" s="4">
        <v>0.25</v>
      </c>
      <c r="C177" s="7">
        <v>80.39</v>
      </c>
      <c r="D177" s="7">
        <v>-10</v>
      </c>
      <c r="E177" s="6">
        <v>7218.2</v>
      </c>
      <c r="F177" s="34">
        <f t="shared" si="13"/>
        <v>1450.677745</v>
      </c>
      <c r="G177" s="83"/>
    </row>
    <row r="178" spans="1:7" s="139" customFormat="1" x14ac:dyDescent="0.45">
      <c r="A178" s="234" t="s">
        <v>139</v>
      </c>
      <c r="B178" s="235">
        <v>0.12</v>
      </c>
      <c r="C178" s="63">
        <v>80.39</v>
      </c>
      <c r="D178" s="63">
        <v>-10</v>
      </c>
      <c r="E178" s="140">
        <v>7218.2</v>
      </c>
      <c r="F178" s="236">
        <f t="shared" si="13"/>
        <v>696.32531759999983</v>
      </c>
    </row>
    <row r="179" spans="1:7" s="139" customFormat="1" x14ac:dyDescent="0.45">
      <c r="A179" s="234" t="s">
        <v>142</v>
      </c>
      <c r="B179" s="235">
        <v>0.12</v>
      </c>
      <c r="C179" s="63">
        <v>80.39</v>
      </c>
      <c r="D179" s="63">
        <v>-10</v>
      </c>
      <c r="E179" s="140">
        <v>7218.2</v>
      </c>
      <c r="F179" s="236">
        <f>(((B179*C179)/100)*E179)</f>
        <v>696.32531759999983</v>
      </c>
    </row>
    <row r="180" spans="1:7" x14ac:dyDescent="0.45">
      <c r="A180" s="3" t="s">
        <v>140</v>
      </c>
      <c r="B180" s="4">
        <v>0.4</v>
      </c>
      <c r="C180" s="7">
        <v>80.39</v>
      </c>
      <c r="D180" s="7">
        <v>-10</v>
      </c>
      <c r="E180" s="6">
        <v>7218.2</v>
      </c>
      <c r="F180" s="34">
        <f t="shared" si="13"/>
        <v>2321.0843920000002</v>
      </c>
      <c r="G180" s="83"/>
    </row>
    <row r="181" spans="1:7" x14ac:dyDescent="0.45">
      <c r="A181" s="3" t="s">
        <v>141</v>
      </c>
      <c r="B181" s="4">
        <v>0.17</v>
      </c>
      <c r="C181" s="7">
        <v>80.39</v>
      </c>
      <c r="D181" s="7">
        <v>-10</v>
      </c>
      <c r="E181" s="6">
        <v>7218.2</v>
      </c>
      <c r="F181" s="34">
        <f t="shared" si="13"/>
        <v>986.46086660000003</v>
      </c>
      <c r="G181" s="83"/>
    </row>
    <row r="182" spans="1:7" x14ac:dyDescent="0.45">
      <c r="A182" s="3" t="s">
        <v>143</v>
      </c>
      <c r="B182" s="4">
        <v>0.25</v>
      </c>
      <c r="C182" s="7">
        <v>80.39</v>
      </c>
      <c r="D182" s="7">
        <v>-10</v>
      </c>
      <c r="E182" s="6">
        <v>7218.2</v>
      </c>
      <c r="F182" s="34">
        <f t="shared" si="13"/>
        <v>1450.677745</v>
      </c>
      <c r="G182" s="83"/>
    </row>
    <row r="183" spans="1:7" x14ac:dyDescent="0.45">
      <c r="A183" s="3" t="s">
        <v>144</v>
      </c>
      <c r="B183" s="4">
        <v>0.33</v>
      </c>
      <c r="C183" s="7">
        <v>80.39</v>
      </c>
      <c r="D183" s="7">
        <v>-10</v>
      </c>
      <c r="E183" s="6">
        <v>7218.2</v>
      </c>
      <c r="F183" s="34">
        <f t="shared" si="13"/>
        <v>1914.8946234</v>
      </c>
      <c r="G183" s="83"/>
    </row>
    <row r="184" spans="1:7" x14ac:dyDescent="0.45">
      <c r="A184" s="3" t="s">
        <v>145</v>
      </c>
      <c r="B184" s="4">
        <v>0.33</v>
      </c>
      <c r="C184" s="7">
        <v>80.39</v>
      </c>
      <c r="D184" s="7">
        <v>-10</v>
      </c>
      <c r="E184" s="6">
        <v>7218.2</v>
      </c>
      <c r="F184" s="34">
        <f t="shared" si="13"/>
        <v>1914.8946234</v>
      </c>
      <c r="G184" s="83"/>
    </row>
    <row r="185" spans="1:7" x14ac:dyDescent="0.45">
      <c r="A185" s="3" t="s">
        <v>146</v>
      </c>
      <c r="B185" s="4">
        <v>0.17</v>
      </c>
      <c r="C185" s="7">
        <v>80.39</v>
      </c>
      <c r="D185" s="7">
        <v>-10</v>
      </c>
      <c r="E185" s="6">
        <v>7218.2</v>
      </c>
      <c r="F185" s="34">
        <f t="shared" si="13"/>
        <v>986.46086660000003</v>
      </c>
      <c r="G185" s="83"/>
    </row>
    <row r="186" spans="1:7" x14ac:dyDescent="0.45">
      <c r="A186" s="3" t="s">
        <v>147</v>
      </c>
      <c r="B186" s="4">
        <v>0.33</v>
      </c>
      <c r="C186" s="7">
        <v>80.39</v>
      </c>
      <c r="D186" s="7">
        <v>-10</v>
      </c>
      <c r="E186" s="6">
        <v>7218.2</v>
      </c>
      <c r="F186" s="34">
        <f t="shared" si="13"/>
        <v>1914.8946234</v>
      </c>
      <c r="G186" s="83"/>
    </row>
    <row r="187" spans="1:7" x14ac:dyDescent="0.45">
      <c r="A187" s="3" t="s">
        <v>148</v>
      </c>
      <c r="B187" s="4">
        <v>0.45</v>
      </c>
      <c r="C187" s="7">
        <v>80.39</v>
      </c>
      <c r="D187" s="7">
        <v>-10</v>
      </c>
      <c r="E187" s="6">
        <v>7218.2</v>
      </c>
      <c r="F187" s="34">
        <f t="shared" si="13"/>
        <v>2611.2199409999998</v>
      </c>
      <c r="G187" s="83"/>
    </row>
    <row r="188" spans="1:7" x14ac:dyDescent="0.45">
      <c r="A188" s="3" t="s">
        <v>149</v>
      </c>
      <c r="B188" s="4">
        <v>0.45</v>
      </c>
      <c r="C188" s="7">
        <v>80.39</v>
      </c>
      <c r="D188" s="7">
        <v>-10</v>
      </c>
      <c r="E188" s="6">
        <v>7218.2</v>
      </c>
      <c r="F188" s="34">
        <f t="shared" si="13"/>
        <v>2611.2199409999998</v>
      </c>
      <c r="G188" s="83"/>
    </row>
    <row r="189" spans="1:7" s="139" customFormat="1" x14ac:dyDescent="0.45">
      <c r="A189" s="234" t="s">
        <v>150</v>
      </c>
      <c r="B189" s="235">
        <v>0.17499999999999999</v>
      </c>
      <c r="C189" s="63">
        <v>80.39</v>
      </c>
      <c r="D189" s="63">
        <v>-10</v>
      </c>
      <c r="E189" s="140">
        <v>7218.2</v>
      </c>
      <c r="F189" s="236">
        <f t="shared" si="13"/>
        <v>1015.4744214999998</v>
      </c>
    </row>
    <row r="190" spans="1:7" s="139" customFormat="1" x14ac:dyDescent="0.45">
      <c r="A190" s="234" t="s">
        <v>151</v>
      </c>
      <c r="B190" s="235">
        <v>0.17499999999999999</v>
      </c>
      <c r="C190" s="63">
        <v>80.39</v>
      </c>
      <c r="D190" s="63">
        <v>-10</v>
      </c>
      <c r="E190" s="140">
        <v>7218.2</v>
      </c>
      <c r="F190" s="236">
        <f t="shared" si="13"/>
        <v>1015.4744214999998</v>
      </c>
    </row>
    <row r="191" spans="1:7" x14ac:dyDescent="0.45">
      <c r="A191" s="3" t="s">
        <v>152</v>
      </c>
      <c r="B191" s="4">
        <v>0.35</v>
      </c>
      <c r="C191" s="7">
        <v>80.39</v>
      </c>
      <c r="D191" s="7">
        <v>-10</v>
      </c>
      <c r="E191" s="6">
        <v>7218.2</v>
      </c>
      <c r="F191" s="34">
        <f t="shared" si="13"/>
        <v>2030.9488429999997</v>
      </c>
      <c r="G191" s="83"/>
    </row>
    <row r="192" spans="1:7" x14ac:dyDescent="0.45">
      <c r="A192" s="3" t="s">
        <v>153</v>
      </c>
      <c r="B192" s="4">
        <v>0.12</v>
      </c>
      <c r="C192" s="7">
        <v>80.39</v>
      </c>
      <c r="D192" s="7">
        <v>-10</v>
      </c>
      <c r="E192" s="6">
        <v>7218.2</v>
      </c>
      <c r="F192" s="34">
        <f t="shared" si="13"/>
        <v>696.32531759999983</v>
      </c>
      <c r="G192" s="83"/>
    </row>
    <row r="193" spans="1:7" x14ac:dyDescent="0.45">
      <c r="A193" s="3" t="s">
        <v>154</v>
      </c>
      <c r="B193" s="4">
        <v>112.36</v>
      </c>
      <c r="C193" s="8">
        <v>76.5</v>
      </c>
      <c r="D193" s="8">
        <f>65-C193</f>
        <v>-11.5</v>
      </c>
      <c r="E193" s="6">
        <v>89.9</v>
      </c>
      <c r="F193" s="34">
        <f>(((B193*C193)/100)*E193)</f>
        <v>7727.3904600000005</v>
      </c>
      <c r="G193" s="83"/>
    </row>
    <row r="194" spans="1:7" x14ac:dyDescent="0.45">
      <c r="A194" s="3" t="s">
        <v>155</v>
      </c>
      <c r="B194" s="4">
        <v>118.4</v>
      </c>
      <c r="C194" s="8">
        <v>76.5</v>
      </c>
      <c r="D194" s="8">
        <f t="shared" ref="D194:D257" si="16">65-C194</f>
        <v>-11.5</v>
      </c>
      <c r="E194" s="6">
        <v>89.9</v>
      </c>
      <c r="F194" s="34">
        <f t="shared" ref="F194:F257" si="17">(((B194*C194)/100)*E194)</f>
        <v>8142.782400000001</v>
      </c>
      <c r="G194" s="83"/>
    </row>
    <row r="195" spans="1:7" x14ac:dyDescent="0.45">
      <c r="A195" s="3" t="s">
        <v>156</v>
      </c>
      <c r="B195" s="4">
        <v>81.87</v>
      </c>
      <c r="C195" s="8">
        <v>76.5</v>
      </c>
      <c r="D195" s="8">
        <f t="shared" si="16"/>
        <v>-11.5</v>
      </c>
      <c r="E195" s="6">
        <v>89.9</v>
      </c>
      <c r="F195" s="34">
        <f t="shared" si="17"/>
        <v>5630.4864450000005</v>
      </c>
      <c r="G195" s="83"/>
    </row>
    <row r="196" spans="1:7" x14ac:dyDescent="0.45">
      <c r="A196" s="3" t="s">
        <v>157</v>
      </c>
      <c r="B196" s="4">
        <v>75.55</v>
      </c>
      <c r="C196" s="8">
        <v>76.5</v>
      </c>
      <c r="D196" s="8">
        <f t="shared" si="16"/>
        <v>-11.5</v>
      </c>
      <c r="E196" s="6">
        <v>89.9</v>
      </c>
      <c r="F196" s="34">
        <f t="shared" si="17"/>
        <v>5195.8379249999998</v>
      </c>
      <c r="G196" s="83"/>
    </row>
    <row r="197" spans="1:7" x14ac:dyDescent="0.45">
      <c r="A197" s="3" t="s">
        <v>158</v>
      </c>
      <c r="B197" s="4">
        <v>96.25</v>
      </c>
      <c r="C197" s="8">
        <v>76.5</v>
      </c>
      <c r="D197" s="8">
        <f t="shared" si="16"/>
        <v>-11.5</v>
      </c>
      <c r="E197" s="6">
        <v>89.9</v>
      </c>
      <c r="F197" s="34">
        <f t="shared" si="17"/>
        <v>6619.4493750000001</v>
      </c>
      <c r="G197" s="83"/>
    </row>
    <row r="198" spans="1:7" x14ac:dyDescent="0.45">
      <c r="A198" s="3" t="s">
        <v>159</v>
      </c>
      <c r="B198" s="4">
        <v>81.28</v>
      </c>
      <c r="C198" s="8">
        <v>76.5</v>
      </c>
      <c r="D198" s="8">
        <f t="shared" si="16"/>
        <v>-11.5</v>
      </c>
      <c r="E198" s="6">
        <v>89.9</v>
      </c>
      <c r="F198" s="34">
        <f t="shared" si="17"/>
        <v>5589.9100800000006</v>
      </c>
      <c r="G198" s="83"/>
    </row>
    <row r="199" spans="1:7" x14ac:dyDescent="0.45">
      <c r="A199" s="3" t="s">
        <v>160</v>
      </c>
      <c r="B199" s="4">
        <v>88.36</v>
      </c>
      <c r="C199" s="8">
        <v>76.5</v>
      </c>
      <c r="D199" s="8">
        <f t="shared" si="16"/>
        <v>-11.5</v>
      </c>
      <c r="E199" s="6">
        <v>89.9</v>
      </c>
      <c r="F199" s="34">
        <f t="shared" si="17"/>
        <v>6076.8264600000002</v>
      </c>
      <c r="G199" s="83"/>
    </row>
    <row r="200" spans="1:7" x14ac:dyDescent="0.45">
      <c r="A200" s="3" t="s">
        <v>161</v>
      </c>
      <c r="B200" s="4">
        <v>122.12</v>
      </c>
      <c r="C200" s="8">
        <v>76.5</v>
      </c>
      <c r="D200" s="8">
        <f t="shared" si="16"/>
        <v>-11.5</v>
      </c>
      <c r="E200" s="6">
        <v>89.9</v>
      </c>
      <c r="F200" s="34">
        <f t="shared" si="17"/>
        <v>8398.6198200000017</v>
      </c>
      <c r="G200" s="83"/>
    </row>
    <row r="201" spans="1:7" x14ac:dyDescent="0.45">
      <c r="A201" s="3" t="s">
        <v>162</v>
      </c>
      <c r="B201" s="4">
        <v>177.9</v>
      </c>
      <c r="C201" s="8">
        <v>76.5</v>
      </c>
      <c r="D201" s="8">
        <f t="shared" si="16"/>
        <v>-11.5</v>
      </c>
      <c r="E201" s="6">
        <v>89.9</v>
      </c>
      <c r="F201" s="34">
        <f t="shared" si="17"/>
        <v>12234.805650000002</v>
      </c>
      <c r="G201" s="83"/>
    </row>
    <row r="202" spans="1:7" x14ac:dyDescent="0.45">
      <c r="A202" s="3" t="s">
        <v>163</v>
      </c>
      <c r="B202" s="4">
        <v>103.81</v>
      </c>
      <c r="C202" s="8">
        <v>76.5</v>
      </c>
      <c r="D202" s="8">
        <f t="shared" si="16"/>
        <v>-11.5</v>
      </c>
      <c r="E202" s="6">
        <v>89.9</v>
      </c>
      <c r="F202" s="34">
        <f t="shared" si="17"/>
        <v>7139.3770349999995</v>
      </c>
      <c r="G202" s="83"/>
    </row>
    <row r="203" spans="1:7" x14ac:dyDescent="0.45">
      <c r="A203" s="3" t="s">
        <v>164</v>
      </c>
      <c r="B203" s="4">
        <v>76.7</v>
      </c>
      <c r="C203" s="8">
        <v>76.5</v>
      </c>
      <c r="D203" s="8">
        <f t="shared" si="16"/>
        <v>-11.5</v>
      </c>
      <c r="E203" s="6">
        <v>89.9</v>
      </c>
      <c r="F203" s="34">
        <f t="shared" si="17"/>
        <v>5274.9274500000001</v>
      </c>
      <c r="G203" s="83"/>
    </row>
    <row r="204" spans="1:7" x14ac:dyDescent="0.45">
      <c r="A204" s="3" t="s">
        <v>165</v>
      </c>
      <c r="B204" s="4">
        <v>106.55</v>
      </c>
      <c r="C204" s="8">
        <v>76.5</v>
      </c>
      <c r="D204" s="8">
        <f t="shared" si="16"/>
        <v>-11.5</v>
      </c>
      <c r="E204" s="6">
        <v>89.9</v>
      </c>
      <c r="F204" s="34">
        <f t="shared" si="17"/>
        <v>7327.8164250000009</v>
      </c>
      <c r="G204" s="83"/>
    </row>
    <row r="205" spans="1:7" x14ac:dyDescent="0.45">
      <c r="A205" s="3" t="s">
        <v>166</v>
      </c>
      <c r="B205" s="4">
        <v>69.12</v>
      </c>
      <c r="C205" s="8">
        <v>76.5</v>
      </c>
      <c r="D205" s="8">
        <f t="shared" si="16"/>
        <v>-11.5</v>
      </c>
      <c r="E205" s="6">
        <v>89.9</v>
      </c>
      <c r="F205" s="34">
        <f t="shared" si="17"/>
        <v>4753.6243200000008</v>
      </c>
      <c r="G205" s="83"/>
    </row>
    <row r="206" spans="1:7" x14ac:dyDescent="0.45">
      <c r="A206" s="3" t="s">
        <v>167</v>
      </c>
      <c r="B206" s="4">
        <v>64.23</v>
      </c>
      <c r="C206" s="8">
        <v>76.5</v>
      </c>
      <c r="D206" s="8">
        <f t="shared" si="16"/>
        <v>-11.5</v>
      </c>
      <c r="E206" s="6">
        <v>89.9</v>
      </c>
      <c r="F206" s="34">
        <f t="shared" si="17"/>
        <v>4417.3219050000007</v>
      </c>
      <c r="G206" s="83"/>
    </row>
    <row r="207" spans="1:7" x14ac:dyDescent="0.45">
      <c r="A207" s="3" t="s">
        <v>168</v>
      </c>
      <c r="B207" s="4">
        <v>42.54</v>
      </c>
      <c r="C207" s="8">
        <v>76.5</v>
      </c>
      <c r="D207" s="8">
        <f t="shared" si="16"/>
        <v>-11.5</v>
      </c>
      <c r="E207" s="6">
        <v>89.9</v>
      </c>
      <c r="F207" s="34">
        <f t="shared" si="17"/>
        <v>2925.6246900000006</v>
      </c>
      <c r="G207" s="83"/>
    </row>
    <row r="208" spans="1:7" x14ac:dyDescent="0.45">
      <c r="A208" s="3" t="s">
        <v>169</v>
      </c>
      <c r="B208" s="4">
        <v>59.59</v>
      </c>
      <c r="C208" s="8">
        <v>76.5</v>
      </c>
      <c r="D208" s="8">
        <f t="shared" si="16"/>
        <v>-11.5</v>
      </c>
      <c r="E208" s="6">
        <v>89.9</v>
      </c>
      <c r="F208" s="34">
        <f t="shared" si="17"/>
        <v>4098.2128650000004</v>
      </c>
      <c r="G208" s="83"/>
    </row>
    <row r="209" spans="1:7" x14ac:dyDescent="0.45">
      <c r="A209" s="3" t="s">
        <v>170</v>
      </c>
      <c r="B209" s="4">
        <v>73.64</v>
      </c>
      <c r="C209" s="8">
        <v>76.5</v>
      </c>
      <c r="D209" s="8">
        <f t="shared" si="16"/>
        <v>-11.5</v>
      </c>
      <c r="E209" s="6">
        <v>89.9</v>
      </c>
      <c r="F209" s="34">
        <f t="shared" si="17"/>
        <v>5064.4805400000005</v>
      </c>
      <c r="G209" s="83"/>
    </row>
    <row r="210" spans="1:7" x14ac:dyDescent="0.45">
      <c r="A210" s="3" t="s">
        <v>171</v>
      </c>
      <c r="B210" s="4">
        <v>62.1</v>
      </c>
      <c r="C210" s="8">
        <v>76.5</v>
      </c>
      <c r="D210" s="8">
        <f t="shared" si="16"/>
        <v>-11.5</v>
      </c>
      <c r="E210" s="6">
        <v>89.9</v>
      </c>
      <c r="F210" s="34">
        <f t="shared" si="17"/>
        <v>4270.8343500000001</v>
      </c>
      <c r="G210" s="83"/>
    </row>
    <row r="211" spans="1:7" x14ac:dyDescent="0.45">
      <c r="A211" s="3" t="s">
        <v>172</v>
      </c>
      <c r="B211" s="4">
        <v>71.17</v>
      </c>
      <c r="C211" s="8">
        <v>76.5</v>
      </c>
      <c r="D211" s="8">
        <f t="shared" si="16"/>
        <v>-11.5</v>
      </c>
      <c r="E211" s="6">
        <v>89.9</v>
      </c>
      <c r="F211" s="34">
        <f t="shared" si="17"/>
        <v>4894.6099950000007</v>
      </c>
      <c r="G211" s="83"/>
    </row>
    <row r="212" spans="1:7" x14ac:dyDescent="0.45">
      <c r="A212" s="3" t="s">
        <v>173</v>
      </c>
      <c r="B212" s="4">
        <v>74.17</v>
      </c>
      <c r="C212" s="8">
        <v>76.5</v>
      </c>
      <c r="D212" s="8">
        <f t="shared" si="16"/>
        <v>-11.5</v>
      </c>
      <c r="E212" s="6">
        <v>89.9</v>
      </c>
      <c r="F212" s="34">
        <f t="shared" si="17"/>
        <v>5100.9304950000005</v>
      </c>
      <c r="G212" s="83"/>
    </row>
    <row r="213" spans="1:7" x14ac:dyDescent="0.45">
      <c r="A213" s="3" t="s">
        <v>174</v>
      </c>
      <c r="B213" s="4">
        <v>97.3</v>
      </c>
      <c r="C213" s="8">
        <v>76.5</v>
      </c>
      <c r="D213" s="8">
        <f t="shared" si="16"/>
        <v>-11.5</v>
      </c>
      <c r="E213" s="6">
        <v>89.9</v>
      </c>
      <c r="F213" s="34">
        <f t="shared" si="17"/>
        <v>6691.6615500000007</v>
      </c>
      <c r="G213" s="83"/>
    </row>
    <row r="214" spans="1:7" x14ac:dyDescent="0.45">
      <c r="A214" s="3" t="s">
        <v>175</v>
      </c>
      <c r="B214" s="4">
        <v>91.13</v>
      </c>
      <c r="C214" s="8">
        <v>76.5</v>
      </c>
      <c r="D214" s="8">
        <f t="shared" si="16"/>
        <v>-11.5</v>
      </c>
      <c r="E214" s="6">
        <v>89.9</v>
      </c>
      <c r="F214" s="34">
        <f t="shared" si="17"/>
        <v>6267.3290550000002</v>
      </c>
      <c r="G214" s="83"/>
    </row>
    <row r="215" spans="1:7" x14ac:dyDescent="0.45">
      <c r="A215" s="3" t="s">
        <v>176</v>
      </c>
      <c r="B215" s="4">
        <v>64.3</v>
      </c>
      <c r="C215" s="8">
        <v>76.5</v>
      </c>
      <c r="D215" s="8">
        <f t="shared" si="16"/>
        <v>-11.5</v>
      </c>
      <c r="E215" s="6">
        <v>89.9</v>
      </c>
      <c r="F215" s="34">
        <f t="shared" si="17"/>
        <v>4422.1360500000001</v>
      </c>
      <c r="G215" s="83"/>
    </row>
    <row r="216" spans="1:7" x14ac:dyDescent="0.45">
      <c r="A216" s="3" t="s">
        <v>177</v>
      </c>
      <c r="B216" s="4">
        <v>58.23</v>
      </c>
      <c r="C216" s="8">
        <v>76.5</v>
      </c>
      <c r="D216" s="8">
        <f t="shared" si="16"/>
        <v>-11.5</v>
      </c>
      <c r="E216" s="6">
        <v>89.9</v>
      </c>
      <c r="F216" s="34">
        <f t="shared" si="17"/>
        <v>4004.6809049999993</v>
      </c>
      <c r="G216" s="83"/>
    </row>
    <row r="217" spans="1:7" x14ac:dyDescent="0.45">
      <c r="A217" s="3" t="s">
        <v>178</v>
      </c>
      <c r="B217" s="4">
        <v>81.64</v>
      </c>
      <c r="C217" s="8">
        <v>76.5</v>
      </c>
      <c r="D217" s="8">
        <f t="shared" si="16"/>
        <v>-11.5</v>
      </c>
      <c r="E217" s="6">
        <v>89.9</v>
      </c>
      <c r="F217" s="34">
        <f t="shared" si="17"/>
        <v>5614.6685400000006</v>
      </c>
      <c r="G217" s="83"/>
    </row>
    <row r="218" spans="1:7" x14ac:dyDescent="0.45">
      <c r="A218" s="3" t="s">
        <v>179</v>
      </c>
      <c r="B218" s="4">
        <v>122.9</v>
      </c>
      <c r="C218" s="8">
        <v>76.5</v>
      </c>
      <c r="D218" s="8">
        <f t="shared" si="16"/>
        <v>-11.5</v>
      </c>
      <c r="E218" s="6">
        <v>89.9</v>
      </c>
      <c r="F218" s="34">
        <f t="shared" si="17"/>
        <v>8452.2631500000007</v>
      </c>
      <c r="G218" s="83"/>
    </row>
    <row r="219" spans="1:7" x14ac:dyDescent="0.45">
      <c r="A219" s="3" t="s">
        <v>180</v>
      </c>
      <c r="B219" s="4">
        <v>67.12</v>
      </c>
      <c r="C219" s="8">
        <v>76.5</v>
      </c>
      <c r="D219" s="8">
        <f t="shared" si="16"/>
        <v>-11.5</v>
      </c>
      <c r="E219" s="6">
        <v>89.9</v>
      </c>
      <c r="F219" s="34">
        <f t="shared" si="17"/>
        <v>4616.0773200000003</v>
      </c>
      <c r="G219" s="83"/>
    </row>
    <row r="220" spans="1:7" x14ac:dyDescent="0.45">
      <c r="A220" s="3" t="s">
        <v>181</v>
      </c>
      <c r="B220" s="4">
        <v>66.69</v>
      </c>
      <c r="C220" s="8">
        <v>76.5</v>
      </c>
      <c r="D220" s="8">
        <f t="shared" si="16"/>
        <v>-11.5</v>
      </c>
      <c r="E220" s="6">
        <v>89.9</v>
      </c>
      <c r="F220" s="34">
        <f t="shared" si="17"/>
        <v>4586.504715</v>
      </c>
      <c r="G220" s="83"/>
    </row>
    <row r="221" spans="1:7" x14ac:dyDescent="0.45">
      <c r="A221" s="3" t="s">
        <v>182</v>
      </c>
      <c r="B221" s="4">
        <v>65.72</v>
      </c>
      <c r="C221" s="8">
        <v>76.5</v>
      </c>
      <c r="D221" s="8">
        <f t="shared" si="16"/>
        <v>-11.5</v>
      </c>
      <c r="E221" s="6">
        <v>89.9</v>
      </c>
      <c r="F221" s="34">
        <f t="shared" si="17"/>
        <v>4519.7944200000002</v>
      </c>
      <c r="G221" s="83"/>
    </row>
    <row r="222" spans="1:7" x14ac:dyDescent="0.45">
      <c r="A222" s="3" t="s">
        <v>183</v>
      </c>
      <c r="B222" s="4">
        <v>87.7</v>
      </c>
      <c r="C222" s="8">
        <v>76.5</v>
      </c>
      <c r="D222" s="8">
        <f t="shared" si="16"/>
        <v>-11.5</v>
      </c>
      <c r="E222" s="6">
        <v>89.9</v>
      </c>
      <c r="F222" s="34">
        <f t="shared" si="17"/>
        <v>6031.435950000001</v>
      </c>
      <c r="G222" s="83"/>
    </row>
    <row r="223" spans="1:7" x14ac:dyDescent="0.45">
      <c r="A223" s="3" t="s">
        <v>184</v>
      </c>
      <c r="B223" s="4">
        <v>66.819999999999993</v>
      </c>
      <c r="C223" s="8">
        <v>76.5</v>
      </c>
      <c r="D223" s="8">
        <f t="shared" si="16"/>
        <v>-11.5</v>
      </c>
      <c r="E223" s="6">
        <v>89.9</v>
      </c>
      <c r="F223" s="34">
        <f t="shared" si="17"/>
        <v>4595.4452699999993</v>
      </c>
      <c r="G223" s="83"/>
    </row>
    <row r="224" spans="1:7" x14ac:dyDescent="0.45">
      <c r="A224" s="3" t="s">
        <v>185</v>
      </c>
      <c r="B224" s="4">
        <v>107.68</v>
      </c>
      <c r="C224" s="8">
        <v>76.5</v>
      </c>
      <c r="D224" s="8">
        <f t="shared" si="16"/>
        <v>-11.5</v>
      </c>
      <c r="E224" s="6">
        <v>89.9</v>
      </c>
      <c r="F224" s="34">
        <f t="shared" si="17"/>
        <v>7405.5304800000013</v>
      </c>
      <c r="G224" s="83"/>
    </row>
    <row r="225" spans="1:7" x14ac:dyDescent="0.45">
      <c r="A225" s="3" t="s">
        <v>186</v>
      </c>
      <c r="B225" s="4">
        <v>98.16</v>
      </c>
      <c r="C225" s="8">
        <v>76.5</v>
      </c>
      <c r="D225" s="8">
        <f t="shared" si="16"/>
        <v>-11.5</v>
      </c>
      <c r="E225" s="6">
        <v>89.9</v>
      </c>
      <c r="F225" s="34">
        <f t="shared" si="17"/>
        <v>6750.8067600000004</v>
      </c>
      <c r="G225" s="83"/>
    </row>
    <row r="226" spans="1:7" x14ac:dyDescent="0.45">
      <c r="A226" s="3" t="s">
        <v>187</v>
      </c>
      <c r="B226" s="4">
        <v>201.29</v>
      </c>
      <c r="C226" s="8">
        <v>76.5</v>
      </c>
      <c r="D226" s="8">
        <f t="shared" si="16"/>
        <v>-11.5</v>
      </c>
      <c r="E226" s="6">
        <v>89.9</v>
      </c>
      <c r="F226" s="34">
        <f t="shared" si="17"/>
        <v>13843.417815000001</v>
      </c>
      <c r="G226" s="83"/>
    </row>
    <row r="227" spans="1:7" x14ac:dyDescent="0.45">
      <c r="A227" s="3" t="s">
        <v>188</v>
      </c>
      <c r="B227" s="4">
        <v>86.75</v>
      </c>
      <c r="C227" s="8">
        <v>76.5</v>
      </c>
      <c r="D227" s="8">
        <f t="shared" si="16"/>
        <v>-11.5</v>
      </c>
      <c r="E227" s="6">
        <v>89.9</v>
      </c>
      <c r="F227" s="34">
        <f t="shared" si="17"/>
        <v>5966.1011250000001</v>
      </c>
      <c r="G227" s="83"/>
    </row>
    <row r="228" spans="1:7" x14ac:dyDescent="0.45">
      <c r="A228" s="3" t="s">
        <v>189</v>
      </c>
      <c r="B228" s="4">
        <v>98.98</v>
      </c>
      <c r="C228" s="8">
        <v>76.5</v>
      </c>
      <c r="D228" s="8">
        <f t="shared" si="16"/>
        <v>-11.5</v>
      </c>
      <c r="E228" s="6">
        <v>89.9</v>
      </c>
      <c r="F228" s="34">
        <f t="shared" si="17"/>
        <v>6807.2010300000011</v>
      </c>
      <c r="G228" s="83"/>
    </row>
    <row r="229" spans="1:7" x14ac:dyDescent="0.45">
      <c r="A229" s="3" t="s">
        <v>190</v>
      </c>
      <c r="B229" s="4">
        <v>130.13</v>
      </c>
      <c r="C229" s="8">
        <v>76.5</v>
      </c>
      <c r="D229" s="8">
        <f t="shared" si="16"/>
        <v>-11.5</v>
      </c>
      <c r="E229" s="6">
        <v>89.9</v>
      </c>
      <c r="F229" s="34">
        <f t="shared" si="17"/>
        <v>8949.4955549999995</v>
      </c>
      <c r="G229" s="83"/>
    </row>
    <row r="230" spans="1:7" x14ac:dyDescent="0.45">
      <c r="A230" s="3" t="s">
        <v>191</v>
      </c>
      <c r="B230" s="4">
        <v>72.459999999999994</v>
      </c>
      <c r="C230" s="8">
        <v>76.5</v>
      </c>
      <c r="D230" s="8">
        <f t="shared" si="16"/>
        <v>-11.5</v>
      </c>
      <c r="E230" s="6">
        <v>89.9</v>
      </c>
      <c r="F230" s="34">
        <f t="shared" si="17"/>
        <v>4983.3278099999998</v>
      </c>
      <c r="G230" s="83"/>
    </row>
    <row r="231" spans="1:7" x14ac:dyDescent="0.45">
      <c r="A231" s="3" t="s">
        <v>192</v>
      </c>
      <c r="B231" s="4">
        <v>73.98</v>
      </c>
      <c r="C231" s="8">
        <v>76.5</v>
      </c>
      <c r="D231" s="8">
        <f t="shared" si="16"/>
        <v>-11.5</v>
      </c>
      <c r="E231" s="6">
        <v>89.9</v>
      </c>
      <c r="F231" s="34">
        <f t="shared" si="17"/>
        <v>5087.8635300000005</v>
      </c>
      <c r="G231" s="83"/>
    </row>
    <row r="232" spans="1:7" x14ac:dyDescent="0.45">
      <c r="A232" s="3" t="s">
        <v>193</v>
      </c>
      <c r="B232" s="4">
        <v>127.48</v>
      </c>
      <c r="C232" s="8">
        <v>76.5</v>
      </c>
      <c r="D232" s="8">
        <f t="shared" si="16"/>
        <v>-11.5</v>
      </c>
      <c r="E232" s="6">
        <v>89.9</v>
      </c>
      <c r="F232" s="34">
        <f t="shared" si="17"/>
        <v>8767.2457800000011</v>
      </c>
      <c r="G232" s="83"/>
    </row>
    <row r="233" spans="1:7" x14ac:dyDescent="0.45">
      <c r="A233" s="3" t="s">
        <v>194</v>
      </c>
      <c r="B233" s="4">
        <v>73.88</v>
      </c>
      <c r="C233" s="8">
        <v>76.5</v>
      </c>
      <c r="D233" s="8">
        <f t="shared" si="16"/>
        <v>-11.5</v>
      </c>
      <c r="E233" s="6">
        <v>89.9</v>
      </c>
      <c r="F233" s="34">
        <f t="shared" si="17"/>
        <v>5080.9861800000008</v>
      </c>
      <c r="G233" s="83"/>
    </row>
    <row r="234" spans="1:7" x14ac:dyDescent="0.45">
      <c r="A234" s="3" t="s">
        <v>195</v>
      </c>
      <c r="B234" s="4">
        <v>123.39</v>
      </c>
      <c r="C234" s="8">
        <v>76.5</v>
      </c>
      <c r="D234" s="8">
        <f t="shared" si="16"/>
        <v>-11.5</v>
      </c>
      <c r="E234" s="6">
        <v>89.9</v>
      </c>
      <c r="F234" s="34">
        <f t="shared" si="17"/>
        <v>8485.9621650000008</v>
      </c>
      <c r="G234" s="83"/>
    </row>
    <row r="235" spans="1:7" x14ac:dyDescent="0.45">
      <c r="A235" s="3" t="s">
        <v>196</v>
      </c>
      <c r="B235" s="4">
        <v>151.59</v>
      </c>
      <c r="C235" s="8">
        <v>76.5</v>
      </c>
      <c r="D235" s="8">
        <f t="shared" si="16"/>
        <v>-11.5</v>
      </c>
      <c r="E235" s="6">
        <v>89.9</v>
      </c>
      <c r="F235" s="34">
        <f t="shared" si="17"/>
        <v>10425.374865000002</v>
      </c>
      <c r="G235" s="83"/>
    </row>
    <row r="236" spans="1:7" x14ac:dyDescent="0.45">
      <c r="A236" s="3" t="s">
        <v>197</v>
      </c>
      <c r="B236" s="4">
        <v>140.76</v>
      </c>
      <c r="C236" s="8">
        <v>76.5</v>
      </c>
      <c r="D236" s="8">
        <f t="shared" si="16"/>
        <v>-11.5</v>
      </c>
      <c r="E236" s="6">
        <v>89.9</v>
      </c>
      <c r="F236" s="34">
        <f t="shared" si="17"/>
        <v>9680.5578600000008</v>
      </c>
      <c r="G236" s="83"/>
    </row>
    <row r="237" spans="1:7" x14ac:dyDescent="0.45">
      <c r="A237" s="3" t="s">
        <v>198</v>
      </c>
      <c r="B237" s="4">
        <v>70.88</v>
      </c>
      <c r="C237" s="8">
        <v>76.5</v>
      </c>
      <c r="D237" s="8">
        <f t="shared" si="16"/>
        <v>-11.5</v>
      </c>
      <c r="E237" s="6">
        <v>89.9</v>
      </c>
      <c r="F237" s="34">
        <f t="shared" si="17"/>
        <v>4874.6656800000001</v>
      </c>
      <c r="G237" s="83"/>
    </row>
    <row r="238" spans="1:7" x14ac:dyDescent="0.45">
      <c r="A238" s="3" t="s">
        <v>199</v>
      </c>
      <c r="B238" s="4">
        <v>80.010000000000005</v>
      </c>
      <c r="C238" s="8">
        <v>76.5</v>
      </c>
      <c r="D238" s="8">
        <f t="shared" si="16"/>
        <v>-11.5</v>
      </c>
      <c r="E238" s="6">
        <v>89.9</v>
      </c>
      <c r="F238" s="34">
        <f t="shared" si="17"/>
        <v>5502.5677350000005</v>
      </c>
      <c r="G238" s="83"/>
    </row>
    <row r="239" spans="1:7" x14ac:dyDescent="0.45">
      <c r="A239" s="3" t="s">
        <v>200</v>
      </c>
      <c r="B239" s="4">
        <v>116.71</v>
      </c>
      <c r="C239" s="8">
        <v>76.5</v>
      </c>
      <c r="D239" s="8">
        <f t="shared" si="16"/>
        <v>-11.5</v>
      </c>
      <c r="E239" s="6">
        <v>89.9</v>
      </c>
      <c r="F239" s="34">
        <f t="shared" si="17"/>
        <v>8026.5551850000002</v>
      </c>
      <c r="G239" s="83"/>
    </row>
    <row r="240" spans="1:7" x14ac:dyDescent="0.45">
      <c r="A240" s="3" t="s">
        <v>201</v>
      </c>
      <c r="B240" s="4">
        <v>99.5</v>
      </c>
      <c r="C240" s="8">
        <v>76.5</v>
      </c>
      <c r="D240" s="8">
        <f t="shared" si="16"/>
        <v>-11.5</v>
      </c>
      <c r="E240" s="6">
        <v>89.9</v>
      </c>
      <c r="F240" s="34">
        <f t="shared" si="17"/>
        <v>6842.9632500000007</v>
      </c>
      <c r="G240" s="83"/>
    </row>
    <row r="241" spans="1:7" x14ac:dyDescent="0.45">
      <c r="A241" s="3" t="s">
        <v>202</v>
      </c>
      <c r="B241" s="4">
        <v>167.84</v>
      </c>
      <c r="C241" s="8">
        <v>76.5</v>
      </c>
      <c r="D241" s="8">
        <f t="shared" si="16"/>
        <v>-11.5</v>
      </c>
      <c r="E241" s="6">
        <v>89.9</v>
      </c>
      <c r="F241" s="34">
        <f t="shared" si="17"/>
        <v>11542.944240000003</v>
      </c>
      <c r="G241" s="83"/>
    </row>
    <row r="242" spans="1:7" x14ac:dyDescent="0.45">
      <c r="A242" s="3" t="s">
        <v>203</v>
      </c>
      <c r="B242" s="4">
        <v>143.88</v>
      </c>
      <c r="C242" s="8">
        <v>76.5</v>
      </c>
      <c r="D242" s="8">
        <f t="shared" si="16"/>
        <v>-11.5</v>
      </c>
      <c r="E242" s="6">
        <v>89.9</v>
      </c>
      <c r="F242" s="34">
        <f t="shared" si="17"/>
        <v>9895.1311800000003</v>
      </c>
      <c r="G242" s="83"/>
    </row>
    <row r="243" spans="1:7" x14ac:dyDescent="0.45">
      <c r="A243" s="3" t="s">
        <v>204</v>
      </c>
      <c r="B243" s="4">
        <v>104.02</v>
      </c>
      <c r="C243" s="8">
        <v>76.5</v>
      </c>
      <c r="D243" s="8">
        <f t="shared" si="16"/>
        <v>-11.5</v>
      </c>
      <c r="E243" s="6">
        <v>89.9</v>
      </c>
      <c r="F243" s="34">
        <f t="shared" si="17"/>
        <v>7153.8194700000004</v>
      </c>
      <c r="G243" s="83"/>
    </row>
    <row r="244" spans="1:7" x14ac:dyDescent="0.45">
      <c r="A244" s="3" t="s">
        <v>205</v>
      </c>
      <c r="B244" s="4">
        <v>97.19</v>
      </c>
      <c r="C244" s="8">
        <v>76.5</v>
      </c>
      <c r="D244" s="8">
        <f t="shared" si="16"/>
        <v>-11.5</v>
      </c>
      <c r="E244" s="6">
        <v>89.9</v>
      </c>
      <c r="F244" s="34">
        <f t="shared" si="17"/>
        <v>6684.0964649999996</v>
      </c>
      <c r="G244" s="83"/>
    </row>
    <row r="245" spans="1:7" x14ac:dyDescent="0.45">
      <c r="A245" s="3" t="s">
        <v>206</v>
      </c>
      <c r="B245" s="4">
        <v>159.87</v>
      </c>
      <c r="C245" s="8">
        <v>76.5</v>
      </c>
      <c r="D245" s="8">
        <f t="shared" si="16"/>
        <v>-11.5</v>
      </c>
      <c r="E245" s="6">
        <v>89.9</v>
      </c>
      <c r="F245" s="34">
        <f t="shared" si="17"/>
        <v>10994.819445000001</v>
      </c>
      <c r="G245" s="83"/>
    </row>
    <row r="246" spans="1:7" x14ac:dyDescent="0.45">
      <c r="A246" s="3" t="s">
        <v>207</v>
      </c>
      <c r="B246" s="4">
        <v>152.72999999999999</v>
      </c>
      <c r="C246" s="8">
        <v>76.5</v>
      </c>
      <c r="D246" s="8">
        <f t="shared" si="16"/>
        <v>-11.5</v>
      </c>
      <c r="E246" s="6">
        <v>89.9</v>
      </c>
      <c r="F246" s="34">
        <f t="shared" si="17"/>
        <v>10503.776655</v>
      </c>
      <c r="G246" s="83"/>
    </row>
    <row r="247" spans="1:7" x14ac:dyDescent="0.45">
      <c r="A247" s="3" t="s">
        <v>208</v>
      </c>
      <c r="B247" s="4">
        <v>83.36</v>
      </c>
      <c r="C247" s="8">
        <v>76.5</v>
      </c>
      <c r="D247" s="8">
        <f t="shared" si="16"/>
        <v>-11.5</v>
      </c>
      <c r="E247" s="6">
        <v>89.9</v>
      </c>
      <c r="F247" s="34">
        <f t="shared" si="17"/>
        <v>5732.9589600000008</v>
      </c>
      <c r="G247" s="83"/>
    </row>
    <row r="248" spans="1:7" x14ac:dyDescent="0.45">
      <c r="A248" s="3" t="s">
        <v>209</v>
      </c>
      <c r="B248" s="4">
        <v>126.48</v>
      </c>
      <c r="C248" s="8">
        <v>76.5</v>
      </c>
      <c r="D248" s="8">
        <f t="shared" si="16"/>
        <v>-11.5</v>
      </c>
      <c r="E248" s="6">
        <v>89.9</v>
      </c>
      <c r="F248" s="34">
        <f t="shared" si="17"/>
        <v>8698.4722800000018</v>
      </c>
      <c r="G248" s="83"/>
    </row>
    <row r="249" spans="1:7" x14ac:dyDescent="0.45">
      <c r="A249" s="3" t="s">
        <v>210</v>
      </c>
      <c r="B249" s="4">
        <v>97.23</v>
      </c>
      <c r="C249" s="8">
        <v>76.5</v>
      </c>
      <c r="D249" s="8">
        <f t="shared" si="16"/>
        <v>-11.5</v>
      </c>
      <c r="E249" s="6">
        <v>89.9</v>
      </c>
      <c r="F249" s="34">
        <f t="shared" si="17"/>
        <v>6686.8474050000004</v>
      </c>
      <c r="G249" s="83"/>
    </row>
    <row r="250" spans="1:7" x14ac:dyDescent="0.45">
      <c r="A250" s="3" t="s">
        <v>211</v>
      </c>
      <c r="B250" s="4">
        <v>182.92</v>
      </c>
      <c r="C250" s="8">
        <v>76.5</v>
      </c>
      <c r="D250" s="8">
        <f t="shared" si="16"/>
        <v>-11.5</v>
      </c>
      <c r="E250" s="6">
        <v>89.9</v>
      </c>
      <c r="F250" s="34">
        <f t="shared" si="17"/>
        <v>12580.04862</v>
      </c>
      <c r="G250" s="83"/>
    </row>
    <row r="251" spans="1:7" x14ac:dyDescent="0.45">
      <c r="A251" s="3" t="s">
        <v>212</v>
      </c>
      <c r="B251" s="4">
        <v>92.3</v>
      </c>
      <c r="C251" s="8">
        <v>76.5</v>
      </c>
      <c r="D251" s="8">
        <f t="shared" si="16"/>
        <v>-11.5</v>
      </c>
      <c r="E251" s="6">
        <v>89.9</v>
      </c>
      <c r="F251" s="34">
        <f t="shared" si="17"/>
        <v>6347.7940500000004</v>
      </c>
      <c r="G251" s="83"/>
    </row>
    <row r="252" spans="1:7" x14ac:dyDescent="0.45">
      <c r="A252" s="3" t="s">
        <v>213</v>
      </c>
      <c r="B252" s="4">
        <v>87.85</v>
      </c>
      <c r="C252" s="8">
        <v>76.5</v>
      </c>
      <c r="D252" s="8">
        <f t="shared" si="16"/>
        <v>-11.5</v>
      </c>
      <c r="E252" s="6">
        <v>89.9</v>
      </c>
      <c r="F252" s="34">
        <f t="shared" si="17"/>
        <v>6041.7519750000001</v>
      </c>
      <c r="G252" s="83"/>
    </row>
    <row r="253" spans="1:7" x14ac:dyDescent="0.45">
      <c r="A253" s="3" t="s">
        <v>214</v>
      </c>
      <c r="B253" s="4">
        <v>102.96</v>
      </c>
      <c r="C253" s="8">
        <v>76.5</v>
      </c>
      <c r="D253" s="8">
        <f t="shared" si="16"/>
        <v>-11.5</v>
      </c>
      <c r="E253" s="6">
        <v>89.9</v>
      </c>
      <c r="F253" s="34">
        <f t="shared" si="17"/>
        <v>7080.9195600000003</v>
      </c>
      <c r="G253" s="83"/>
    </row>
    <row r="254" spans="1:7" x14ac:dyDescent="0.45">
      <c r="A254" s="3" t="s">
        <v>215</v>
      </c>
      <c r="B254" s="4">
        <v>87.22</v>
      </c>
      <c r="C254" s="8">
        <v>76.5</v>
      </c>
      <c r="D254" s="8">
        <f t="shared" si="16"/>
        <v>-11.5</v>
      </c>
      <c r="E254" s="6">
        <v>89.9</v>
      </c>
      <c r="F254" s="34">
        <f t="shared" si="17"/>
        <v>5998.4246700000003</v>
      </c>
      <c r="G254" s="83"/>
    </row>
    <row r="255" spans="1:7" x14ac:dyDescent="0.45">
      <c r="A255" s="3" t="s">
        <v>216</v>
      </c>
      <c r="B255" s="4">
        <v>88.54</v>
      </c>
      <c r="C255" s="8">
        <v>76.5</v>
      </c>
      <c r="D255" s="8">
        <f t="shared" si="16"/>
        <v>-11.5</v>
      </c>
      <c r="E255" s="6">
        <v>89.9</v>
      </c>
      <c r="F255" s="34">
        <f t="shared" si="17"/>
        <v>6089.2056900000007</v>
      </c>
      <c r="G255" s="83"/>
    </row>
    <row r="256" spans="1:7" x14ac:dyDescent="0.45">
      <c r="A256" s="3" t="s">
        <v>217</v>
      </c>
      <c r="B256" s="4">
        <v>43.2</v>
      </c>
      <c r="C256" s="8">
        <v>82</v>
      </c>
      <c r="D256" s="8">
        <f>65-C256</f>
        <v>-17</v>
      </c>
      <c r="E256" s="6">
        <v>90</v>
      </c>
      <c r="F256" s="34">
        <f t="shared" si="17"/>
        <v>3188.16</v>
      </c>
      <c r="G256" s="83"/>
    </row>
    <row r="257" spans="1:7" x14ac:dyDescent="0.45">
      <c r="A257" s="3" t="s">
        <v>218</v>
      </c>
      <c r="B257" s="4">
        <v>103.15</v>
      </c>
      <c r="C257" s="8">
        <v>82</v>
      </c>
      <c r="D257" s="8">
        <f t="shared" si="16"/>
        <v>-17</v>
      </c>
      <c r="E257" s="6">
        <v>90</v>
      </c>
      <c r="F257" s="34">
        <f t="shared" si="17"/>
        <v>7612.4700000000012</v>
      </c>
      <c r="G257" s="83"/>
    </row>
    <row r="258" spans="1:7" x14ac:dyDescent="0.45">
      <c r="A258" s="3" t="s">
        <v>219</v>
      </c>
      <c r="B258" s="4">
        <v>74.3</v>
      </c>
      <c r="C258" s="8">
        <v>82</v>
      </c>
      <c r="D258" s="8">
        <f t="shared" ref="D258:D268" si="18">65-C258</f>
        <v>-17</v>
      </c>
      <c r="E258" s="6">
        <v>90</v>
      </c>
      <c r="F258" s="34">
        <f t="shared" ref="F258:F273" si="19">(((B258*C258)/100)*E258)</f>
        <v>5483.3399999999992</v>
      </c>
      <c r="G258" s="83"/>
    </row>
    <row r="259" spans="1:7" x14ac:dyDescent="0.45">
      <c r="A259" s="3" t="s">
        <v>220</v>
      </c>
      <c r="B259" s="4">
        <v>65.400000000000006</v>
      </c>
      <c r="C259" s="8">
        <v>82</v>
      </c>
      <c r="D259" s="8">
        <f t="shared" si="18"/>
        <v>-17</v>
      </c>
      <c r="E259" s="6">
        <v>90</v>
      </c>
      <c r="F259" s="34">
        <f t="shared" si="19"/>
        <v>4826.5200000000004</v>
      </c>
      <c r="G259" s="83"/>
    </row>
    <row r="260" spans="1:7" x14ac:dyDescent="0.45">
      <c r="A260" s="3" t="s">
        <v>221</v>
      </c>
      <c r="B260" s="4">
        <v>62.9</v>
      </c>
      <c r="C260" s="8">
        <v>82</v>
      </c>
      <c r="D260" s="8">
        <f t="shared" si="18"/>
        <v>-17</v>
      </c>
      <c r="E260" s="6">
        <v>90</v>
      </c>
      <c r="F260" s="34">
        <f t="shared" si="19"/>
        <v>4642.0200000000004</v>
      </c>
      <c r="G260" s="83"/>
    </row>
    <row r="261" spans="1:7" x14ac:dyDescent="0.45">
      <c r="A261" s="3" t="s">
        <v>222</v>
      </c>
      <c r="B261" s="4">
        <v>88.65</v>
      </c>
      <c r="C261" s="8">
        <v>82</v>
      </c>
      <c r="D261" s="8">
        <f t="shared" si="18"/>
        <v>-17</v>
      </c>
      <c r="E261" s="6">
        <v>90</v>
      </c>
      <c r="F261" s="34">
        <f t="shared" si="19"/>
        <v>6542.37</v>
      </c>
      <c r="G261" s="83"/>
    </row>
    <row r="262" spans="1:7" x14ac:dyDescent="0.45">
      <c r="A262" s="3" t="s">
        <v>223</v>
      </c>
      <c r="B262" s="4">
        <v>97</v>
      </c>
      <c r="C262" s="8">
        <v>82</v>
      </c>
      <c r="D262" s="8">
        <f t="shared" si="18"/>
        <v>-17</v>
      </c>
      <c r="E262" s="6">
        <v>90</v>
      </c>
      <c r="F262" s="34">
        <f t="shared" si="19"/>
        <v>7158.6</v>
      </c>
      <c r="G262" s="83"/>
    </row>
    <row r="263" spans="1:7" x14ac:dyDescent="0.45">
      <c r="A263" s="3" t="s">
        <v>224</v>
      </c>
      <c r="B263" s="4">
        <v>93.6</v>
      </c>
      <c r="C263" s="8">
        <v>82</v>
      </c>
      <c r="D263" s="8">
        <f t="shared" si="18"/>
        <v>-17</v>
      </c>
      <c r="E263" s="6">
        <v>90</v>
      </c>
      <c r="F263" s="34">
        <f t="shared" si="19"/>
        <v>6907.6799999999994</v>
      </c>
      <c r="G263" s="83"/>
    </row>
    <row r="264" spans="1:7" x14ac:dyDescent="0.45">
      <c r="A264" s="3" t="s">
        <v>225</v>
      </c>
      <c r="B264" s="4">
        <v>83.75</v>
      </c>
      <c r="C264" s="8">
        <v>82</v>
      </c>
      <c r="D264" s="8">
        <f t="shared" si="18"/>
        <v>-17</v>
      </c>
      <c r="E264" s="6">
        <v>90</v>
      </c>
      <c r="F264" s="34">
        <f t="shared" si="19"/>
        <v>6180.75</v>
      </c>
      <c r="G264" s="83"/>
    </row>
    <row r="265" spans="1:7" x14ac:dyDescent="0.45">
      <c r="A265" s="3" t="s">
        <v>226</v>
      </c>
      <c r="B265" s="4">
        <v>104.55</v>
      </c>
      <c r="C265" s="8">
        <v>82</v>
      </c>
      <c r="D265" s="8">
        <f t="shared" si="18"/>
        <v>-17</v>
      </c>
      <c r="E265" s="6">
        <v>92</v>
      </c>
      <c r="F265" s="34">
        <f t="shared" si="19"/>
        <v>7887.2520000000004</v>
      </c>
      <c r="G265" s="83"/>
    </row>
    <row r="266" spans="1:7" x14ac:dyDescent="0.45">
      <c r="A266" s="3" t="s">
        <v>227</v>
      </c>
      <c r="B266" s="4">
        <v>107.35</v>
      </c>
      <c r="C266" s="8">
        <v>82</v>
      </c>
      <c r="D266" s="8">
        <f t="shared" si="18"/>
        <v>-17</v>
      </c>
      <c r="E266" s="6">
        <v>92</v>
      </c>
      <c r="F266" s="34">
        <f t="shared" si="19"/>
        <v>8098.4839999999986</v>
      </c>
      <c r="G266" s="83"/>
    </row>
    <row r="267" spans="1:7" x14ac:dyDescent="0.45">
      <c r="A267" s="3" t="s">
        <v>228</v>
      </c>
      <c r="B267" s="4">
        <v>57.05</v>
      </c>
      <c r="C267" s="8">
        <v>82</v>
      </c>
      <c r="D267" s="8">
        <f t="shared" si="18"/>
        <v>-17</v>
      </c>
      <c r="E267" s="6">
        <v>92</v>
      </c>
      <c r="F267" s="34">
        <f t="shared" si="19"/>
        <v>4303.851999999999</v>
      </c>
      <c r="G267" s="83"/>
    </row>
    <row r="268" spans="1:7" x14ac:dyDescent="0.45">
      <c r="A268" s="3" t="s">
        <v>229</v>
      </c>
      <c r="B268" s="4">
        <v>57.4</v>
      </c>
      <c r="C268" s="8">
        <v>82</v>
      </c>
      <c r="D268" s="8">
        <f t="shared" si="18"/>
        <v>-17</v>
      </c>
      <c r="E268" s="6">
        <v>92</v>
      </c>
      <c r="F268" s="34">
        <f t="shared" si="19"/>
        <v>4330.2560000000003</v>
      </c>
      <c r="G268" s="83"/>
    </row>
    <row r="269" spans="1:7" x14ac:dyDescent="0.45">
      <c r="A269" s="3" t="s">
        <v>230</v>
      </c>
      <c r="B269" s="4">
        <v>90.3</v>
      </c>
      <c r="C269" s="8">
        <v>82</v>
      </c>
      <c r="D269" s="8">
        <f>65-C269</f>
        <v>-17</v>
      </c>
      <c r="E269" s="6">
        <v>92</v>
      </c>
      <c r="F269" s="34">
        <f t="shared" si="19"/>
        <v>6812.2319999999991</v>
      </c>
      <c r="G269" s="83"/>
    </row>
    <row r="270" spans="1:7" x14ac:dyDescent="0.45">
      <c r="A270" s="3" t="s">
        <v>231</v>
      </c>
      <c r="B270" s="4">
        <v>84.45</v>
      </c>
      <c r="C270" s="8">
        <v>82</v>
      </c>
      <c r="D270" s="8">
        <f>65-C270</f>
        <v>-17</v>
      </c>
      <c r="E270" s="6">
        <v>92</v>
      </c>
      <c r="F270" s="34">
        <f t="shared" si="19"/>
        <v>6370.9080000000013</v>
      </c>
      <c r="G270" s="83"/>
    </row>
    <row r="271" spans="1:7" x14ac:dyDescent="0.45">
      <c r="A271" s="3" t="s">
        <v>232</v>
      </c>
      <c r="B271" s="4">
        <v>52.2</v>
      </c>
      <c r="C271" s="8">
        <v>82</v>
      </c>
      <c r="D271" s="8">
        <f>65-C271</f>
        <v>-17</v>
      </c>
      <c r="E271" s="6">
        <v>92</v>
      </c>
      <c r="F271" s="34">
        <f t="shared" si="19"/>
        <v>3937.9680000000003</v>
      </c>
      <c r="G271" s="83"/>
    </row>
    <row r="272" spans="1:7" x14ac:dyDescent="0.45">
      <c r="A272" s="3" t="s">
        <v>233</v>
      </c>
      <c r="B272" s="4">
        <v>131</v>
      </c>
      <c r="C272" s="8">
        <v>80</v>
      </c>
      <c r="D272" s="8">
        <v>15</v>
      </c>
      <c r="E272" s="6">
        <v>82</v>
      </c>
      <c r="F272" s="34">
        <f t="shared" si="19"/>
        <v>8593.6</v>
      </c>
      <c r="G272" s="83"/>
    </row>
    <row r="273" spans="1:8" x14ac:dyDescent="0.45">
      <c r="A273" s="3" t="s">
        <v>234</v>
      </c>
      <c r="B273" s="4">
        <v>152</v>
      </c>
      <c r="C273" s="8">
        <v>80</v>
      </c>
      <c r="D273" s="8">
        <v>15</v>
      </c>
      <c r="E273" s="6">
        <v>82</v>
      </c>
      <c r="F273" s="34">
        <f t="shared" si="19"/>
        <v>9971.1999999999989</v>
      </c>
      <c r="G273" s="83"/>
    </row>
    <row r="274" spans="1:8" x14ac:dyDescent="0.45">
      <c r="A274" s="3" t="s">
        <v>898</v>
      </c>
      <c r="B274" s="4">
        <v>75.75</v>
      </c>
      <c r="C274" s="8">
        <v>79.53</v>
      </c>
      <c r="D274" s="8">
        <v>16.53</v>
      </c>
      <c r="E274" s="6">
        <v>84.5</v>
      </c>
      <c r="F274" s="34">
        <f t="shared" ref="F274:F290" si="20">(((B274*C274)/100)*E274)</f>
        <v>5090.6158875000001</v>
      </c>
      <c r="G274" s="83"/>
    </row>
    <row r="275" spans="1:8" x14ac:dyDescent="0.45">
      <c r="A275" s="3" t="s">
        <v>899</v>
      </c>
      <c r="B275" s="4">
        <v>88.5</v>
      </c>
      <c r="C275" s="8">
        <v>79.53</v>
      </c>
      <c r="D275" s="8">
        <v>16.53</v>
      </c>
      <c r="E275" s="6">
        <v>84.5</v>
      </c>
      <c r="F275" s="34">
        <f t="shared" si="20"/>
        <v>5947.452225</v>
      </c>
      <c r="G275" s="83"/>
    </row>
    <row r="276" spans="1:8" x14ac:dyDescent="0.45">
      <c r="A276" s="3" t="s">
        <v>990</v>
      </c>
      <c r="B276" s="4">
        <v>91.15</v>
      </c>
      <c r="C276" s="8">
        <v>74.03</v>
      </c>
      <c r="D276" s="8">
        <f>60-Table1[[#This Row],[MELTING]]</f>
        <v>-14.030000000000001</v>
      </c>
      <c r="E276" s="6">
        <v>90</v>
      </c>
      <c r="F276" s="34">
        <f t="shared" si="20"/>
        <v>6073.05105</v>
      </c>
      <c r="G276" s="83"/>
      <c r="H276" s="110">
        <f>Table1[[#This Row],[AMOUNT]]+F277+F278</f>
        <v>17366.327550000002</v>
      </c>
    </row>
    <row r="277" spans="1:8" x14ac:dyDescent="0.45">
      <c r="A277" s="3" t="s">
        <v>991</v>
      </c>
      <c r="B277" s="4">
        <v>87.6</v>
      </c>
      <c r="C277" s="8">
        <v>74.03</v>
      </c>
      <c r="D277" s="8">
        <f>60-Table1[[#This Row],[MELTING]]</f>
        <v>-14.030000000000001</v>
      </c>
      <c r="E277" s="6">
        <v>90</v>
      </c>
      <c r="F277" s="34">
        <f t="shared" si="20"/>
        <v>5836.5252</v>
      </c>
      <c r="G277" s="83"/>
    </row>
    <row r="278" spans="1:8" x14ac:dyDescent="0.45">
      <c r="A278" s="3" t="s">
        <v>992</v>
      </c>
      <c r="B278" s="4">
        <v>81.900000000000006</v>
      </c>
      <c r="C278" s="8">
        <v>74.03</v>
      </c>
      <c r="D278" s="8">
        <f>60-Table1[[#This Row],[MELTING]]</f>
        <v>-14.030000000000001</v>
      </c>
      <c r="E278" s="6">
        <v>90</v>
      </c>
      <c r="F278" s="34">
        <f t="shared" si="20"/>
        <v>5456.7513000000008</v>
      </c>
      <c r="G278" s="83"/>
    </row>
    <row r="279" spans="1:8" x14ac:dyDescent="0.45">
      <c r="A279" s="3" t="s">
        <v>1196</v>
      </c>
      <c r="B279" s="4">
        <v>91.3</v>
      </c>
      <c r="C279" s="8">
        <v>75.03</v>
      </c>
      <c r="D279" s="8">
        <f>65-Table1[[#This Row],[MELTING]]</f>
        <v>-10.030000000000001</v>
      </c>
      <c r="E279" s="6">
        <v>90</v>
      </c>
      <c r="F279" s="34">
        <f t="shared" ref="F279:F289" si="21">(((B279*C279)/100)*E279)</f>
        <v>6165.2150999999994</v>
      </c>
      <c r="G279" s="83"/>
    </row>
    <row r="280" spans="1:8" x14ac:dyDescent="0.45">
      <c r="A280" s="3" t="s">
        <v>1197</v>
      </c>
      <c r="B280" s="4">
        <v>113</v>
      </c>
      <c r="C280" s="8">
        <v>80</v>
      </c>
      <c r="D280" s="8">
        <f>65-Table1[[#This Row],[MELTING]]</f>
        <v>-15</v>
      </c>
      <c r="E280" s="6">
        <v>86.4</v>
      </c>
      <c r="F280" s="34">
        <f t="shared" si="21"/>
        <v>7810.5600000000013</v>
      </c>
      <c r="G280" s="83"/>
    </row>
    <row r="281" spans="1:8" x14ac:dyDescent="0.45">
      <c r="A281" s="3" t="s">
        <v>1198</v>
      </c>
      <c r="B281" s="4">
        <v>122</v>
      </c>
      <c r="C281" s="8">
        <v>80</v>
      </c>
      <c r="D281" s="8">
        <f>65-Table1[[#This Row],[MELTING]]</f>
        <v>-15</v>
      </c>
      <c r="E281" s="6">
        <v>86.4</v>
      </c>
      <c r="F281" s="34">
        <f t="shared" si="21"/>
        <v>8432.64</v>
      </c>
      <c r="G281" s="83"/>
    </row>
    <row r="282" spans="1:8" x14ac:dyDescent="0.45">
      <c r="A282" s="3" t="s">
        <v>1199</v>
      </c>
      <c r="B282" s="4">
        <v>122</v>
      </c>
      <c r="C282" s="8">
        <v>80</v>
      </c>
      <c r="D282" s="8">
        <f>65-Table1[[#This Row],[MELTING]]</f>
        <v>-15</v>
      </c>
      <c r="E282" s="6">
        <v>86.4</v>
      </c>
      <c r="F282" s="34">
        <f t="shared" si="21"/>
        <v>8432.64</v>
      </c>
      <c r="G282" s="83"/>
    </row>
    <row r="283" spans="1:8" x14ac:dyDescent="0.45">
      <c r="A283" s="3" t="s">
        <v>1200</v>
      </c>
      <c r="B283" s="4">
        <v>149</v>
      </c>
      <c r="C283" s="8">
        <v>80</v>
      </c>
      <c r="D283" s="8">
        <f>65-Table1[[#This Row],[MELTING]]</f>
        <v>-15</v>
      </c>
      <c r="E283" s="6">
        <v>86.4</v>
      </c>
      <c r="F283" s="34">
        <f t="shared" si="21"/>
        <v>10298.880000000001</v>
      </c>
      <c r="G283" s="83"/>
    </row>
    <row r="284" spans="1:8" x14ac:dyDescent="0.45">
      <c r="A284" s="3" t="s">
        <v>1201</v>
      </c>
      <c r="B284" s="4">
        <v>169.55</v>
      </c>
      <c r="C284" s="8">
        <v>80</v>
      </c>
      <c r="D284" s="8">
        <f>65-Table1[[#This Row],[MELTING]]</f>
        <v>-15</v>
      </c>
      <c r="E284" s="6">
        <v>86.4</v>
      </c>
      <c r="F284" s="34">
        <f t="shared" si="21"/>
        <v>11719.296</v>
      </c>
      <c r="G284" s="83"/>
    </row>
    <row r="285" spans="1:8" x14ac:dyDescent="0.45">
      <c r="A285" s="3" t="s">
        <v>1202</v>
      </c>
      <c r="B285" s="4">
        <v>102.6</v>
      </c>
      <c r="C285" s="8">
        <v>80</v>
      </c>
      <c r="D285" s="8">
        <f>65-Table1[[#This Row],[MELTING]]</f>
        <v>-15</v>
      </c>
      <c r="E285" s="6">
        <v>86.4</v>
      </c>
      <c r="F285" s="34">
        <f t="shared" si="21"/>
        <v>7091.7120000000004</v>
      </c>
      <c r="G285" s="83"/>
    </row>
    <row r="286" spans="1:8" x14ac:dyDescent="0.45">
      <c r="A286" s="3" t="s">
        <v>1203</v>
      </c>
      <c r="B286" s="4">
        <v>208.6</v>
      </c>
      <c r="C286" s="8">
        <v>80</v>
      </c>
      <c r="D286" s="8">
        <f>65-Table1[[#This Row],[MELTING]]</f>
        <v>-15</v>
      </c>
      <c r="E286" s="6">
        <v>86.4</v>
      </c>
      <c r="F286" s="34">
        <f t="shared" si="21"/>
        <v>14418.432000000001</v>
      </c>
      <c r="G286" s="83"/>
    </row>
    <row r="287" spans="1:8" x14ac:dyDescent="0.45">
      <c r="A287" s="3" t="s">
        <v>1204</v>
      </c>
      <c r="B287" s="4">
        <v>131.5</v>
      </c>
      <c r="C287" s="8">
        <v>80</v>
      </c>
      <c r="D287" s="8">
        <f>65-Table1[[#This Row],[MELTING]]</f>
        <v>-15</v>
      </c>
      <c r="E287" s="6">
        <v>86.4</v>
      </c>
      <c r="F287" s="34">
        <f t="shared" si="21"/>
        <v>9089.2800000000007</v>
      </c>
      <c r="G287" s="83"/>
    </row>
    <row r="288" spans="1:8" x14ac:dyDescent="0.45">
      <c r="A288" s="3" t="s">
        <v>1205</v>
      </c>
      <c r="B288" s="4">
        <v>161</v>
      </c>
      <c r="C288" s="8">
        <v>80</v>
      </c>
      <c r="D288" s="8">
        <f>65-Table1[[#This Row],[MELTING]]</f>
        <v>-15</v>
      </c>
      <c r="E288" s="6">
        <v>86.4</v>
      </c>
      <c r="F288" s="34">
        <f t="shared" si="21"/>
        <v>11128.320000000002</v>
      </c>
      <c r="G288" s="83"/>
    </row>
    <row r="289" spans="1:7" x14ac:dyDescent="0.45">
      <c r="A289" s="3" t="s">
        <v>1206</v>
      </c>
      <c r="B289" s="4">
        <v>118.5</v>
      </c>
      <c r="C289" s="8">
        <v>80</v>
      </c>
      <c r="D289" s="8">
        <f>65-Table1[[#This Row],[MELTING]]</f>
        <v>-15</v>
      </c>
      <c r="E289" s="6">
        <v>86.4</v>
      </c>
      <c r="F289" s="34">
        <f t="shared" si="21"/>
        <v>8190.72</v>
      </c>
      <c r="G289" s="83"/>
    </row>
    <row r="290" spans="1:7" x14ac:dyDescent="0.45">
      <c r="A290" s="3" t="s">
        <v>235</v>
      </c>
      <c r="B290" s="4">
        <v>48.38</v>
      </c>
      <c r="C290" s="8">
        <v>65</v>
      </c>
      <c r="D290" s="8">
        <f>-C290+55</f>
        <v>-10</v>
      </c>
      <c r="E290" s="6">
        <v>89</v>
      </c>
      <c r="F290" s="34">
        <f t="shared" si="20"/>
        <v>2798.7830000000004</v>
      </c>
      <c r="G290" s="83"/>
    </row>
    <row r="291" spans="1:7" x14ac:dyDescent="0.45">
      <c r="A291" s="3" t="s">
        <v>236</v>
      </c>
      <c r="B291" s="4">
        <v>43.14</v>
      </c>
      <c r="C291" s="8">
        <v>65</v>
      </c>
      <c r="D291" s="8">
        <f t="shared" ref="D291:D316" si="22">-C291+55</f>
        <v>-10</v>
      </c>
      <c r="E291" s="6">
        <v>89</v>
      </c>
      <c r="F291" s="34">
        <f t="shared" ref="F291:F334" si="23">(((B291*C291)/100)*E291)</f>
        <v>2495.6489999999999</v>
      </c>
      <c r="G291" s="83"/>
    </row>
    <row r="292" spans="1:7" x14ac:dyDescent="0.45">
      <c r="A292" s="3" t="s">
        <v>237</v>
      </c>
      <c r="B292" s="4">
        <v>38.369999999999997</v>
      </c>
      <c r="C292" s="8">
        <v>65</v>
      </c>
      <c r="D292" s="8">
        <f t="shared" si="22"/>
        <v>-10</v>
      </c>
      <c r="E292" s="6">
        <v>89</v>
      </c>
      <c r="F292" s="34">
        <f t="shared" si="23"/>
        <v>2219.7044999999998</v>
      </c>
      <c r="G292" s="83"/>
    </row>
    <row r="293" spans="1:7" x14ac:dyDescent="0.45">
      <c r="A293" s="3" t="s">
        <v>238</v>
      </c>
      <c r="B293" s="4">
        <v>40.409999999999997</v>
      </c>
      <c r="C293" s="8">
        <v>65</v>
      </c>
      <c r="D293" s="8">
        <f t="shared" si="22"/>
        <v>-10</v>
      </c>
      <c r="E293" s="6">
        <v>89</v>
      </c>
      <c r="F293" s="34">
        <f t="shared" si="23"/>
        <v>2337.7184999999999</v>
      </c>
      <c r="G293" s="83"/>
    </row>
    <row r="294" spans="1:7" x14ac:dyDescent="0.45">
      <c r="A294" s="3" t="s">
        <v>239</v>
      </c>
      <c r="B294" s="4">
        <v>39.96</v>
      </c>
      <c r="C294" s="8">
        <v>65</v>
      </c>
      <c r="D294" s="8">
        <f t="shared" si="22"/>
        <v>-10</v>
      </c>
      <c r="E294" s="6">
        <v>89</v>
      </c>
      <c r="F294" s="34">
        <f t="shared" si="23"/>
        <v>2311.6860000000001</v>
      </c>
      <c r="G294" s="83"/>
    </row>
    <row r="295" spans="1:7" x14ac:dyDescent="0.45">
      <c r="A295" s="3" t="s">
        <v>240</v>
      </c>
      <c r="B295" s="4">
        <v>25.95</v>
      </c>
      <c r="C295" s="8">
        <v>65</v>
      </c>
      <c r="D295" s="8">
        <f t="shared" si="22"/>
        <v>-10</v>
      </c>
      <c r="E295" s="6">
        <v>89</v>
      </c>
      <c r="F295" s="34">
        <f t="shared" si="23"/>
        <v>1501.2075</v>
      </c>
      <c r="G295" s="83"/>
    </row>
    <row r="296" spans="1:7" x14ac:dyDescent="0.45">
      <c r="A296" s="3" t="s">
        <v>241</v>
      </c>
      <c r="B296" s="4">
        <v>59.32</v>
      </c>
      <c r="C296" s="8">
        <v>65</v>
      </c>
      <c r="D296" s="8">
        <f t="shared" si="22"/>
        <v>-10</v>
      </c>
      <c r="E296" s="6">
        <v>89</v>
      </c>
      <c r="F296" s="34">
        <f t="shared" si="23"/>
        <v>3431.6619999999998</v>
      </c>
      <c r="G296" s="83"/>
    </row>
    <row r="297" spans="1:7" x14ac:dyDescent="0.45">
      <c r="A297" s="3" t="s">
        <v>242</v>
      </c>
      <c r="B297" s="4">
        <v>61.89</v>
      </c>
      <c r="C297" s="8">
        <v>65</v>
      </c>
      <c r="D297" s="8">
        <f t="shared" si="22"/>
        <v>-10</v>
      </c>
      <c r="E297" s="6">
        <v>89</v>
      </c>
      <c r="F297" s="34">
        <f t="shared" si="23"/>
        <v>3580.3364999999999</v>
      </c>
      <c r="G297" s="83"/>
    </row>
    <row r="298" spans="1:7" x14ac:dyDescent="0.45">
      <c r="A298" s="3" t="s">
        <v>243</v>
      </c>
      <c r="B298" s="4">
        <v>32.46</v>
      </c>
      <c r="C298" s="8">
        <v>65</v>
      </c>
      <c r="D298" s="8">
        <f t="shared" si="22"/>
        <v>-10</v>
      </c>
      <c r="E298" s="6">
        <v>89</v>
      </c>
      <c r="F298" s="34">
        <f t="shared" si="23"/>
        <v>1877.8109999999999</v>
      </c>
      <c r="G298" s="83"/>
    </row>
    <row r="299" spans="1:7" x14ac:dyDescent="0.45">
      <c r="A299" s="3" t="s">
        <v>244</v>
      </c>
      <c r="B299" s="4">
        <v>37.200000000000003</v>
      </c>
      <c r="C299" s="8">
        <v>65</v>
      </c>
      <c r="D299" s="8">
        <f t="shared" si="22"/>
        <v>-10</v>
      </c>
      <c r="E299" s="6">
        <v>89</v>
      </c>
      <c r="F299" s="34">
        <f t="shared" si="23"/>
        <v>2152.02</v>
      </c>
      <c r="G299" s="83"/>
    </row>
    <row r="300" spans="1:7" x14ac:dyDescent="0.45">
      <c r="A300" s="3" t="s">
        <v>245</v>
      </c>
      <c r="B300" s="4">
        <v>45.85</v>
      </c>
      <c r="C300" s="8">
        <v>65</v>
      </c>
      <c r="D300" s="8">
        <f t="shared" si="22"/>
        <v>-10</v>
      </c>
      <c r="E300" s="6">
        <v>89</v>
      </c>
      <c r="F300" s="34">
        <f t="shared" si="23"/>
        <v>2652.4224999999997</v>
      </c>
      <c r="G300" s="83"/>
    </row>
    <row r="301" spans="1:7" x14ac:dyDescent="0.45">
      <c r="A301" s="3" t="s">
        <v>246</v>
      </c>
      <c r="B301" s="4">
        <v>38.58</v>
      </c>
      <c r="C301" s="8">
        <v>65</v>
      </c>
      <c r="D301" s="8">
        <f t="shared" si="22"/>
        <v>-10</v>
      </c>
      <c r="E301" s="6">
        <v>89</v>
      </c>
      <c r="F301" s="34">
        <f t="shared" si="23"/>
        <v>2231.8530000000001</v>
      </c>
      <c r="G301" s="83"/>
    </row>
    <row r="302" spans="1:7" x14ac:dyDescent="0.45">
      <c r="A302" s="3" t="s">
        <v>247</v>
      </c>
      <c r="B302" s="4">
        <v>69.849999999999994</v>
      </c>
      <c r="C302" s="8">
        <v>65</v>
      </c>
      <c r="D302" s="8">
        <f t="shared" si="22"/>
        <v>-10</v>
      </c>
      <c r="E302" s="6">
        <v>89</v>
      </c>
      <c r="F302" s="34">
        <f t="shared" si="23"/>
        <v>4040.8225000000002</v>
      </c>
      <c r="G302" s="83"/>
    </row>
    <row r="303" spans="1:7" x14ac:dyDescent="0.45">
      <c r="A303" s="3" t="s">
        <v>248</v>
      </c>
      <c r="B303" s="4">
        <v>66.37</v>
      </c>
      <c r="C303" s="8">
        <v>65</v>
      </c>
      <c r="D303" s="8">
        <f t="shared" si="22"/>
        <v>-10</v>
      </c>
      <c r="E303" s="6">
        <v>89</v>
      </c>
      <c r="F303" s="34">
        <f t="shared" si="23"/>
        <v>3839.5045000000005</v>
      </c>
      <c r="G303" s="83"/>
    </row>
    <row r="304" spans="1:7" x14ac:dyDescent="0.45">
      <c r="A304" s="3" t="s">
        <v>249</v>
      </c>
      <c r="B304" s="4">
        <v>70.95</v>
      </c>
      <c r="C304" s="8">
        <v>65</v>
      </c>
      <c r="D304" s="8">
        <f t="shared" si="22"/>
        <v>-10</v>
      </c>
      <c r="E304" s="6">
        <v>89</v>
      </c>
      <c r="F304" s="34">
        <f t="shared" si="23"/>
        <v>4104.4574999999995</v>
      </c>
      <c r="G304" s="83"/>
    </row>
    <row r="305" spans="1:7" x14ac:dyDescent="0.45">
      <c r="A305" s="3" t="s">
        <v>250</v>
      </c>
      <c r="B305" s="4">
        <v>49.92</v>
      </c>
      <c r="C305" s="8">
        <v>65</v>
      </c>
      <c r="D305" s="8">
        <f t="shared" si="22"/>
        <v>-10</v>
      </c>
      <c r="E305" s="6">
        <v>89</v>
      </c>
      <c r="F305" s="34">
        <f t="shared" si="23"/>
        <v>2887.8719999999998</v>
      </c>
      <c r="G305" s="83"/>
    </row>
    <row r="306" spans="1:7" x14ac:dyDescent="0.45">
      <c r="A306" s="3" t="s">
        <v>251</v>
      </c>
      <c r="B306" s="4">
        <v>21.4</v>
      </c>
      <c r="C306" s="8">
        <v>65</v>
      </c>
      <c r="D306" s="8">
        <f t="shared" si="22"/>
        <v>-10</v>
      </c>
      <c r="E306" s="6">
        <v>89</v>
      </c>
      <c r="F306" s="34">
        <f t="shared" si="23"/>
        <v>1237.99</v>
      </c>
      <c r="G306" s="83"/>
    </row>
    <row r="307" spans="1:7" x14ac:dyDescent="0.45">
      <c r="A307" s="3" t="s">
        <v>252</v>
      </c>
      <c r="B307" s="4">
        <v>25.58</v>
      </c>
      <c r="C307" s="8">
        <v>65</v>
      </c>
      <c r="D307" s="8">
        <f t="shared" si="22"/>
        <v>-10</v>
      </c>
      <c r="E307" s="6">
        <v>89</v>
      </c>
      <c r="F307" s="34">
        <f t="shared" si="23"/>
        <v>1479.8029999999999</v>
      </c>
      <c r="G307" s="83"/>
    </row>
    <row r="308" spans="1:7" x14ac:dyDescent="0.45">
      <c r="A308" s="3" t="s">
        <v>253</v>
      </c>
      <c r="B308" s="4">
        <v>20.78</v>
      </c>
      <c r="C308" s="8">
        <v>65</v>
      </c>
      <c r="D308" s="8">
        <f t="shared" si="22"/>
        <v>-10</v>
      </c>
      <c r="E308" s="6">
        <v>89</v>
      </c>
      <c r="F308" s="34">
        <f t="shared" si="23"/>
        <v>1202.123</v>
      </c>
      <c r="G308" s="83"/>
    </row>
    <row r="309" spans="1:7" x14ac:dyDescent="0.45">
      <c r="A309" s="3" t="s">
        <v>254</v>
      </c>
      <c r="B309" s="4">
        <v>25.83</v>
      </c>
      <c r="C309" s="8">
        <v>65</v>
      </c>
      <c r="D309" s="8">
        <f t="shared" si="22"/>
        <v>-10</v>
      </c>
      <c r="E309" s="6">
        <v>89</v>
      </c>
      <c r="F309" s="34">
        <f t="shared" si="23"/>
        <v>1494.2654999999997</v>
      </c>
      <c r="G309" s="83"/>
    </row>
    <row r="310" spans="1:7" x14ac:dyDescent="0.45">
      <c r="A310" s="3" t="s">
        <v>255</v>
      </c>
      <c r="B310" s="4">
        <v>25.11</v>
      </c>
      <c r="C310" s="8">
        <v>65</v>
      </c>
      <c r="D310" s="8">
        <f t="shared" si="22"/>
        <v>-10</v>
      </c>
      <c r="E310" s="6">
        <v>89</v>
      </c>
      <c r="F310" s="34">
        <f t="shared" si="23"/>
        <v>1452.6134999999999</v>
      </c>
      <c r="G310" s="83"/>
    </row>
    <row r="311" spans="1:7" x14ac:dyDescent="0.45">
      <c r="A311" s="3" t="s">
        <v>256</v>
      </c>
      <c r="B311" s="4">
        <v>21.8</v>
      </c>
      <c r="C311" s="8">
        <v>65</v>
      </c>
      <c r="D311" s="8">
        <f t="shared" si="22"/>
        <v>-10</v>
      </c>
      <c r="E311" s="6">
        <v>89</v>
      </c>
      <c r="F311" s="34">
        <f t="shared" si="23"/>
        <v>1261.1299999999999</v>
      </c>
      <c r="G311" s="83"/>
    </row>
    <row r="312" spans="1:7" x14ac:dyDescent="0.45">
      <c r="A312" s="3" t="s">
        <v>257</v>
      </c>
      <c r="B312" s="4">
        <v>25</v>
      </c>
      <c r="C312" s="8">
        <v>65</v>
      </c>
      <c r="D312" s="8">
        <f t="shared" si="22"/>
        <v>-10</v>
      </c>
      <c r="E312" s="6">
        <v>89</v>
      </c>
      <c r="F312" s="34">
        <f t="shared" si="23"/>
        <v>1446.25</v>
      </c>
      <c r="G312" s="83"/>
    </row>
    <row r="313" spans="1:7" x14ac:dyDescent="0.45">
      <c r="A313" s="3" t="s">
        <v>258</v>
      </c>
      <c r="B313" s="4">
        <v>49.45</v>
      </c>
      <c r="C313" s="8">
        <v>65</v>
      </c>
      <c r="D313" s="8">
        <f t="shared" si="22"/>
        <v>-10</v>
      </c>
      <c r="E313" s="6">
        <v>89</v>
      </c>
      <c r="F313" s="34">
        <f t="shared" si="23"/>
        <v>2860.6824999999999</v>
      </c>
      <c r="G313" s="83"/>
    </row>
    <row r="314" spans="1:7" x14ac:dyDescent="0.45">
      <c r="A314" s="3" t="s">
        <v>259</v>
      </c>
      <c r="B314" s="4">
        <v>54.15</v>
      </c>
      <c r="C314" s="8">
        <v>65</v>
      </c>
      <c r="D314" s="8">
        <f t="shared" si="22"/>
        <v>-10</v>
      </c>
      <c r="E314" s="6">
        <v>89</v>
      </c>
      <c r="F314" s="34">
        <f t="shared" si="23"/>
        <v>3132.5774999999999</v>
      </c>
      <c r="G314" s="83"/>
    </row>
    <row r="315" spans="1:7" x14ac:dyDescent="0.45">
      <c r="A315" s="3" t="s">
        <v>260</v>
      </c>
      <c r="B315" s="4">
        <v>53.35</v>
      </c>
      <c r="C315" s="8">
        <v>65</v>
      </c>
      <c r="D315" s="8">
        <f>-C315+55</f>
        <v>-10</v>
      </c>
      <c r="E315" s="6">
        <v>89</v>
      </c>
      <c r="F315" s="34">
        <f>(((B315*C315)/100)*E315)</f>
        <v>3086.2975000000001</v>
      </c>
      <c r="G315" s="83"/>
    </row>
    <row r="316" spans="1:7" x14ac:dyDescent="0.45">
      <c r="A316" s="3" t="s">
        <v>261</v>
      </c>
      <c r="B316" s="4">
        <v>47.48</v>
      </c>
      <c r="C316" s="8">
        <v>65</v>
      </c>
      <c r="D316" s="8">
        <f t="shared" si="22"/>
        <v>-10</v>
      </c>
      <c r="E316" s="6">
        <v>89</v>
      </c>
      <c r="F316" s="34">
        <f t="shared" si="23"/>
        <v>2746.7179999999998</v>
      </c>
      <c r="G316" s="83"/>
    </row>
    <row r="317" spans="1:7" x14ac:dyDescent="0.45">
      <c r="A317" s="3" t="s">
        <v>262</v>
      </c>
      <c r="B317" s="4">
        <v>56.37</v>
      </c>
      <c r="C317" s="8">
        <v>65</v>
      </c>
      <c r="D317" s="8">
        <f>-C317+55</f>
        <v>-10</v>
      </c>
      <c r="E317" s="6">
        <v>89</v>
      </c>
      <c r="F317" s="34">
        <f>(((B317*C317)/100)*E317)</f>
        <v>3261.0044999999996</v>
      </c>
      <c r="G317" s="83"/>
    </row>
    <row r="318" spans="1:7" x14ac:dyDescent="0.45">
      <c r="A318" s="3" t="s">
        <v>263</v>
      </c>
      <c r="B318" s="4">
        <v>71.08</v>
      </c>
      <c r="C318" s="8">
        <v>82</v>
      </c>
      <c r="D318" s="8">
        <f>65-C318</f>
        <v>-17</v>
      </c>
      <c r="E318" s="6">
        <v>90</v>
      </c>
      <c r="F318" s="34">
        <f t="shared" si="23"/>
        <v>5245.7039999999997</v>
      </c>
      <c r="G318" s="83"/>
    </row>
    <row r="319" spans="1:7" x14ac:dyDescent="0.45">
      <c r="A319" s="3" t="s">
        <v>264</v>
      </c>
      <c r="B319" s="4">
        <v>70.7</v>
      </c>
      <c r="C319" s="8">
        <v>82</v>
      </c>
      <c r="D319" s="8">
        <f t="shared" ref="D319:D334" si="24">65-C319</f>
        <v>-17</v>
      </c>
      <c r="E319" s="6">
        <v>90</v>
      </c>
      <c r="F319" s="34">
        <f t="shared" si="23"/>
        <v>5217.6600000000008</v>
      </c>
      <c r="G319" s="83"/>
    </row>
    <row r="320" spans="1:7" x14ac:dyDescent="0.45">
      <c r="A320" s="3" t="s">
        <v>265</v>
      </c>
      <c r="B320" s="4">
        <v>31.6</v>
      </c>
      <c r="C320" s="8">
        <v>82</v>
      </c>
      <c r="D320" s="8">
        <f t="shared" si="24"/>
        <v>-17</v>
      </c>
      <c r="E320" s="6">
        <v>90</v>
      </c>
      <c r="F320" s="34">
        <f t="shared" si="23"/>
        <v>2332.0800000000004</v>
      </c>
      <c r="G320" s="83"/>
    </row>
    <row r="321" spans="1:7" x14ac:dyDescent="0.45">
      <c r="A321" s="3" t="s">
        <v>266</v>
      </c>
      <c r="B321" s="4">
        <v>36</v>
      </c>
      <c r="C321" s="8">
        <v>82</v>
      </c>
      <c r="D321" s="8">
        <f t="shared" si="24"/>
        <v>-17</v>
      </c>
      <c r="E321" s="6">
        <v>90</v>
      </c>
      <c r="F321" s="34">
        <f t="shared" si="23"/>
        <v>2656.8</v>
      </c>
      <c r="G321" s="83"/>
    </row>
    <row r="322" spans="1:7" x14ac:dyDescent="0.45">
      <c r="A322" s="3" t="s">
        <v>267</v>
      </c>
      <c r="B322" s="4">
        <v>49.8</v>
      </c>
      <c r="C322" s="8">
        <v>82</v>
      </c>
      <c r="D322" s="8">
        <f t="shared" si="24"/>
        <v>-17</v>
      </c>
      <c r="E322" s="6">
        <v>90</v>
      </c>
      <c r="F322" s="34">
        <f t="shared" si="23"/>
        <v>3675.24</v>
      </c>
      <c r="G322" s="83"/>
    </row>
    <row r="323" spans="1:7" x14ac:dyDescent="0.45">
      <c r="A323" s="3" t="s">
        <v>268</v>
      </c>
      <c r="B323" s="4">
        <v>49.2</v>
      </c>
      <c r="C323" s="8">
        <v>82</v>
      </c>
      <c r="D323" s="8">
        <f t="shared" si="24"/>
        <v>-17</v>
      </c>
      <c r="E323" s="6">
        <v>90</v>
      </c>
      <c r="F323" s="34">
        <f t="shared" si="23"/>
        <v>3630.96</v>
      </c>
      <c r="G323" s="83"/>
    </row>
    <row r="324" spans="1:7" x14ac:dyDescent="0.45">
      <c r="A324" s="3" t="s">
        <v>269</v>
      </c>
      <c r="B324" s="4">
        <v>44.3</v>
      </c>
      <c r="C324" s="8">
        <v>82</v>
      </c>
      <c r="D324" s="8">
        <f t="shared" si="24"/>
        <v>-17</v>
      </c>
      <c r="E324" s="6">
        <v>90</v>
      </c>
      <c r="F324" s="34">
        <f t="shared" si="23"/>
        <v>3269.34</v>
      </c>
      <c r="G324" s="83"/>
    </row>
    <row r="325" spans="1:7" x14ac:dyDescent="0.45">
      <c r="A325" s="3" t="s">
        <v>270</v>
      </c>
      <c r="B325" s="4">
        <v>32.700000000000003</v>
      </c>
      <c r="C325" s="8">
        <v>82</v>
      </c>
      <c r="D325" s="8">
        <f t="shared" si="24"/>
        <v>-17</v>
      </c>
      <c r="E325" s="6">
        <v>90</v>
      </c>
      <c r="F325" s="34">
        <f t="shared" si="23"/>
        <v>2413.2600000000002</v>
      </c>
      <c r="G325" s="83"/>
    </row>
    <row r="326" spans="1:7" x14ac:dyDescent="0.45">
      <c r="A326" s="3" t="s">
        <v>271</v>
      </c>
      <c r="B326" s="4">
        <v>39.5</v>
      </c>
      <c r="C326" s="8">
        <v>82</v>
      </c>
      <c r="D326" s="8">
        <f t="shared" si="24"/>
        <v>-17</v>
      </c>
      <c r="E326" s="6">
        <v>90</v>
      </c>
      <c r="F326" s="34">
        <f t="shared" si="23"/>
        <v>2915.1</v>
      </c>
      <c r="G326" s="83"/>
    </row>
    <row r="327" spans="1:7" x14ac:dyDescent="0.45">
      <c r="A327" s="3" t="s">
        <v>272</v>
      </c>
      <c r="B327" s="4">
        <v>36.700000000000003</v>
      </c>
      <c r="C327" s="8">
        <v>82</v>
      </c>
      <c r="D327" s="8">
        <f t="shared" si="24"/>
        <v>-17</v>
      </c>
      <c r="E327" s="6">
        <v>90</v>
      </c>
      <c r="F327" s="34">
        <f t="shared" si="23"/>
        <v>2708.46</v>
      </c>
      <c r="G327" s="83"/>
    </row>
    <row r="328" spans="1:7" x14ac:dyDescent="0.45">
      <c r="A328" s="3" t="s">
        <v>273</v>
      </c>
      <c r="B328" s="4">
        <v>39.200000000000003</v>
      </c>
      <c r="C328" s="8">
        <v>82</v>
      </c>
      <c r="D328" s="8">
        <f t="shared" si="24"/>
        <v>-17</v>
      </c>
      <c r="E328" s="6">
        <v>90</v>
      </c>
      <c r="F328" s="34">
        <f t="shared" si="23"/>
        <v>2892.96</v>
      </c>
      <c r="G328" s="83"/>
    </row>
    <row r="329" spans="1:7" x14ac:dyDescent="0.45">
      <c r="A329" s="3" t="s">
        <v>274</v>
      </c>
      <c r="B329" s="4">
        <v>25.75</v>
      </c>
      <c r="C329" s="8">
        <v>82</v>
      </c>
      <c r="D329" s="8">
        <f t="shared" si="24"/>
        <v>-17</v>
      </c>
      <c r="E329" s="6">
        <v>90</v>
      </c>
      <c r="F329" s="34">
        <f t="shared" si="23"/>
        <v>1900.35</v>
      </c>
      <c r="G329" s="83"/>
    </row>
    <row r="330" spans="1:7" x14ac:dyDescent="0.45">
      <c r="A330" s="3" t="s">
        <v>275</v>
      </c>
      <c r="B330" s="4">
        <v>31.7</v>
      </c>
      <c r="C330" s="8">
        <v>82</v>
      </c>
      <c r="D330" s="8">
        <f t="shared" si="24"/>
        <v>-17</v>
      </c>
      <c r="E330" s="6">
        <v>90</v>
      </c>
      <c r="F330" s="34">
        <f t="shared" si="23"/>
        <v>2339.46</v>
      </c>
      <c r="G330" s="83"/>
    </row>
    <row r="331" spans="1:7" x14ac:dyDescent="0.45">
      <c r="A331" s="3" t="s">
        <v>276</v>
      </c>
      <c r="B331" s="4">
        <v>34</v>
      </c>
      <c r="C331" s="8">
        <v>82</v>
      </c>
      <c r="D331" s="8">
        <f t="shared" si="24"/>
        <v>-17</v>
      </c>
      <c r="E331" s="6">
        <v>90</v>
      </c>
      <c r="F331" s="34">
        <f t="shared" si="23"/>
        <v>2509.1999999999998</v>
      </c>
      <c r="G331" s="83"/>
    </row>
    <row r="332" spans="1:7" x14ac:dyDescent="0.45">
      <c r="A332" s="3" t="s">
        <v>277</v>
      </c>
      <c r="B332" s="4">
        <v>40</v>
      </c>
      <c r="C332" s="8">
        <v>82</v>
      </c>
      <c r="D332" s="8">
        <f t="shared" si="24"/>
        <v>-17</v>
      </c>
      <c r="E332" s="6">
        <v>90</v>
      </c>
      <c r="F332" s="34">
        <f t="shared" si="23"/>
        <v>2951.9999999999995</v>
      </c>
      <c r="G332" s="83"/>
    </row>
    <row r="333" spans="1:7" x14ac:dyDescent="0.45">
      <c r="A333" s="3" t="s">
        <v>278</v>
      </c>
      <c r="B333" s="4">
        <v>24.86</v>
      </c>
      <c r="C333" s="8">
        <v>82</v>
      </c>
      <c r="D333" s="8">
        <f t="shared" si="24"/>
        <v>-17</v>
      </c>
      <c r="E333" s="6">
        <v>92</v>
      </c>
      <c r="F333" s="34">
        <f t="shared" si="23"/>
        <v>1875.4384</v>
      </c>
      <c r="G333" s="83"/>
    </row>
    <row r="334" spans="1:7" x14ac:dyDescent="0.45">
      <c r="A334" s="3" t="s">
        <v>279</v>
      </c>
      <c r="B334" s="4">
        <v>20.65</v>
      </c>
      <c r="C334" s="8">
        <v>82</v>
      </c>
      <c r="D334" s="8">
        <f t="shared" si="24"/>
        <v>-17</v>
      </c>
      <c r="E334" s="6">
        <v>92</v>
      </c>
      <c r="F334" s="34">
        <f t="shared" si="23"/>
        <v>1557.836</v>
      </c>
      <c r="G334" s="83"/>
    </row>
    <row r="335" spans="1:7" x14ac:dyDescent="0.45">
      <c r="A335" s="9" t="s">
        <v>280</v>
      </c>
      <c r="B335" s="10">
        <v>27.2</v>
      </c>
      <c r="C335" s="11">
        <v>82</v>
      </c>
      <c r="D335" s="11">
        <v>-17</v>
      </c>
      <c r="E335" s="12">
        <v>92</v>
      </c>
      <c r="F335" s="35">
        <v>2051.9699999999998</v>
      </c>
      <c r="G335" s="83"/>
    </row>
    <row r="336" spans="1:7" x14ac:dyDescent="0.45">
      <c r="A336" s="3" t="s">
        <v>281</v>
      </c>
      <c r="B336" s="4">
        <v>19.7</v>
      </c>
      <c r="C336" s="8">
        <v>82</v>
      </c>
      <c r="D336" s="8">
        <v>17</v>
      </c>
      <c r="E336" s="8">
        <v>86.14</v>
      </c>
      <c r="F336" s="34">
        <f t="shared" ref="F336:F371" si="25">(((B336*C336)/100)*E336)</f>
        <v>1391.5055600000001</v>
      </c>
      <c r="G336" s="83"/>
    </row>
    <row r="337" spans="1:8" x14ac:dyDescent="0.45">
      <c r="A337" s="3" t="s">
        <v>282</v>
      </c>
      <c r="B337" s="4">
        <v>32.9</v>
      </c>
      <c r="C337" s="8">
        <v>82</v>
      </c>
      <c r="D337" s="8">
        <v>17</v>
      </c>
      <c r="E337" s="8">
        <v>86.14</v>
      </c>
      <c r="F337" s="34">
        <f t="shared" si="25"/>
        <v>2323.88492</v>
      </c>
      <c r="G337" s="83"/>
    </row>
    <row r="338" spans="1:8" x14ac:dyDescent="0.45">
      <c r="A338" s="3" t="s">
        <v>900</v>
      </c>
      <c r="B338" s="4">
        <v>47</v>
      </c>
      <c r="C338" s="8">
        <v>79.53</v>
      </c>
      <c r="D338" s="8">
        <f>63-Table1[[#This Row],[MELTING]]</f>
        <v>-16.53</v>
      </c>
      <c r="E338" s="8">
        <v>84.5</v>
      </c>
      <c r="F338" s="34">
        <f t="shared" si="25"/>
        <v>3158.53395</v>
      </c>
      <c r="G338" s="83"/>
    </row>
    <row r="339" spans="1:8" x14ac:dyDescent="0.45">
      <c r="A339" s="3" t="s">
        <v>901</v>
      </c>
      <c r="B339" s="4">
        <v>49</v>
      </c>
      <c r="C339" s="8">
        <v>79.53</v>
      </c>
      <c r="D339" s="8">
        <f>63-Table1[[#This Row],[MELTING]]</f>
        <v>-16.53</v>
      </c>
      <c r="E339" s="8">
        <v>84.5</v>
      </c>
      <c r="F339" s="34">
        <f t="shared" si="25"/>
        <v>3292.9396500000003</v>
      </c>
      <c r="G339" s="83"/>
    </row>
    <row r="340" spans="1:8" x14ac:dyDescent="0.45">
      <c r="A340" s="3" t="s">
        <v>902</v>
      </c>
      <c r="B340" s="4">
        <v>48.1</v>
      </c>
      <c r="C340" s="8">
        <v>79.53</v>
      </c>
      <c r="D340" s="8">
        <f>63-Table1[[#This Row],[MELTING]]</f>
        <v>-16.53</v>
      </c>
      <c r="E340" s="8">
        <v>84.5</v>
      </c>
      <c r="F340" s="34">
        <f t="shared" si="25"/>
        <v>3232.4570849999996</v>
      </c>
      <c r="G340" s="83"/>
    </row>
    <row r="341" spans="1:8" x14ac:dyDescent="0.45">
      <c r="A341" s="3" t="s">
        <v>903</v>
      </c>
      <c r="B341" s="4">
        <v>42.5</v>
      </c>
      <c r="C341" s="8">
        <v>79.53</v>
      </c>
      <c r="D341" s="8">
        <f>63-Table1[[#This Row],[MELTING]]</f>
        <v>-16.53</v>
      </c>
      <c r="E341" s="8">
        <v>84.5</v>
      </c>
      <c r="F341" s="34">
        <f t="shared" si="25"/>
        <v>2856.1211249999997</v>
      </c>
      <c r="G341" s="83"/>
    </row>
    <row r="342" spans="1:8" x14ac:dyDescent="0.45">
      <c r="A342" s="3" t="s">
        <v>928</v>
      </c>
      <c r="B342" s="4">
        <v>37.1</v>
      </c>
      <c r="C342" s="8">
        <v>80</v>
      </c>
      <c r="D342" s="8">
        <f>65-Table1[[#This Row],[MELTING]]</f>
        <v>-15</v>
      </c>
      <c r="E342" s="8">
        <v>85</v>
      </c>
      <c r="F342" s="34">
        <f t="shared" ref="F342:F351" si="26">(((B342*C342)/100)*E342)</f>
        <v>2522.8000000000002</v>
      </c>
      <c r="G342" s="83"/>
    </row>
    <row r="343" spans="1:8" x14ac:dyDescent="0.45">
      <c r="A343" s="3" t="s">
        <v>993</v>
      </c>
      <c r="B343" s="4">
        <v>46.07</v>
      </c>
      <c r="C343" s="8">
        <v>74.03</v>
      </c>
      <c r="D343" s="8">
        <f>60-Table1[[#This Row],[MELTING]]</f>
        <v>-14.030000000000001</v>
      </c>
      <c r="E343" s="8">
        <v>90</v>
      </c>
      <c r="F343" s="34">
        <f t="shared" si="26"/>
        <v>3069.5058899999999</v>
      </c>
      <c r="G343" s="83"/>
    </row>
    <row r="344" spans="1:8" x14ac:dyDescent="0.45">
      <c r="A344" s="3" t="s">
        <v>994</v>
      </c>
      <c r="B344" s="4">
        <v>48.6</v>
      </c>
      <c r="C344" s="8">
        <v>74.03</v>
      </c>
      <c r="D344" s="8">
        <f>60-Table1[[#This Row],[MELTING]]</f>
        <v>-14.030000000000001</v>
      </c>
      <c r="E344" s="8">
        <v>90</v>
      </c>
      <c r="F344" s="34">
        <f t="shared" si="26"/>
        <v>3238.0722000000001</v>
      </c>
      <c r="G344" s="83"/>
    </row>
    <row r="345" spans="1:8" x14ac:dyDescent="0.45">
      <c r="A345" s="3" t="s">
        <v>995</v>
      </c>
      <c r="B345" s="4">
        <v>50.9</v>
      </c>
      <c r="C345" s="8">
        <v>74.03</v>
      </c>
      <c r="D345" s="8">
        <f>60-Table1[[#This Row],[MELTING]]</f>
        <v>-14.030000000000001</v>
      </c>
      <c r="E345" s="8">
        <v>90</v>
      </c>
      <c r="F345" s="34">
        <f t="shared" si="26"/>
        <v>3391.3143</v>
      </c>
      <c r="G345" s="83"/>
    </row>
    <row r="346" spans="1:8" x14ac:dyDescent="0.45">
      <c r="A346" s="3" t="s">
        <v>996</v>
      </c>
      <c r="B346" s="4">
        <v>53.3</v>
      </c>
      <c r="C346" s="8">
        <v>74.03</v>
      </c>
      <c r="D346" s="8">
        <f>60-Table1[[#This Row],[MELTING]]</f>
        <v>-14.030000000000001</v>
      </c>
      <c r="E346" s="8">
        <v>90</v>
      </c>
      <c r="F346" s="34">
        <f t="shared" si="26"/>
        <v>3551.2191000000003</v>
      </c>
      <c r="G346" s="83"/>
    </row>
    <row r="347" spans="1:8" x14ac:dyDescent="0.45">
      <c r="A347" s="3" t="s">
        <v>997</v>
      </c>
      <c r="B347" s="4">
        <v>52.05</v>
      </c>
      <c r="C347" s="8">
        <v>74.03</v>
      </c>
      <c r="D347" s="8">
        <f>60-Table1[[#This Row],[MELTING]]</f>
        <v>-14.030000000000001</v>
      </c>
      <c r="E347" s="8">
        <v>90</v>
      </c>
      <c r="F347" s="34">
        <f t="shared" si="26"/>
        <v>3467.9353500000002</v>
      </c>
      <c r="G347" s="83"/>
    </row>
    <row r="348" spans="1:8" x14ac:dyDescent="0.45">
      <c r="A348" s="3" t="s">
        <v>998</v>
      </c>
      <c r="B348" s="4">
        <v>53.4</v>
      </c>
      <c r="C348" s="8">
        <v>74.03</v>
      </c>
      <c r="D348" s="8">
        <f>60-Table1[[#This Row],[MELTING]]</f>
        <v>-14.030000000000001</v>
      </c>
      <c r="E348" s="8">
        <v>90</v>
      </c>
      <c r="F348" s="34">
        <f t="shared" si="26"/>
        <v>3557.8817999999997</v>
      </c>
      <c r="G348" s="83"/>
    </row>
    <row r="349" spans="1:8" x14ac:dyDescent="0.45">
      <c r="A349" s="3" t="s">
        <v>999</v>
      </c>
      <c r="B349" s="4">
        <v>43.75</v>
      </c>
      <c r="C349" s="8">
        <v>74.03</v>
      </c>
      <c r="D349" s="8">
        <f>60-Table1[[#This Row],[MELTING]]</f>
        <v>-14.030000000000001</v>
      </c>
      <c r="E349" s="8">
        <v>90</v>
      </c>
      <c r="F349" s="34">
        <f t="shared" si="26"/>
        <v>2914.9312500000001</v>
      </c>
      <c r="G349" s="83"/>
    </row>
    <row r="350" spans="1:8" x14ac:dyDescent="0.45">
      <c r="A350" s="3" t="s">
        <v>1000</v>
      </c>
      <c r="B350" s="4">
        <v>37.65</v>
      </c>
      <c r="C350" s="8">
        <v>74.03</v>
      </c>
      <c r="D350" s="8">
        <f>60-Table1[[#This Row],[MELTING]]</f>
        <v>-14.030000000000001</v>
      </c>
      <c r="E350" s="8">
        <v>90</v>
      </c>
      <c r="F350" s="34">
        <f t="shared" si="26"/>
        <v>2508.5065499999996</v>
      </c>
      <c r="G350" s="83"/>
    </row>
    <row r="351" spans="1:8" x14ac:dyDescent="0.45">
      <c r="A351" s="3" t="s">
        <v>1001</v>
      </c>
      <c r="B351" s="4">
        <v>37</v>
      </c>
      <c r="C351" s="8">
        <v>74.03</v>
      </c>
      <c r="D351" s="8">
        <f>60-Table1[[#This Row],[MELTING]]</f>
        <v>-14.030000000000001</v>
      </c>
      <c r="E351" s="8">
        <v>90</v>
      </c>
      <c r="F351" s="34">
        <f t="shared" si="26"/>
        <v>2465.1990000000001</v>
      </c>
      <c r="G351" s="83"/>
      <c r="H351" s="110"/>
    </row>
    <row r="352" spans="1:8" x14ac:dyDescent="0.45">
      <c r="A352" s="3" t="s">
        <v>1171</v>
      </c>
      <c r="B352" s="4">
        <v>33.4</v>
      </c>
      <c r="C352" s="8">
        <v>74.03</v>
      </c>
      <c r="D352" s="8">
        <f>60-Table1[[#This Row],[MELTING]]</f>
        <v>-14.030000000000001</v>
      </c>
      <c r="E352" s="8">
        <v>90</v>
      </c>
      <c r="F352" s="34">
        <f t="shared" ref="F352:F370" si="27">(((B352*C352)/100)*E352)</f>
        <v>2225.3417999999997</v>
      </c>
      <c r="G352" s="83"/>
      <c r="H352" s="110"/>
    </row>
    <row r="353" spans="1:8" x14ac:dyDescent="0.45">
      <c r="A353" s="3" t="s">
        <v>1172</v>
      </c>
      <c r="B353" s="4">
        <v>24.8</v>
      </c>
      <c r="C353" s="8">
        <v>79</v>
      </c>
      <c r="D353" s="8">
        <f>65-Table1[[#This Row],[MELTING]]</f>
        <v>-14</v>
      </c>
      <c r="E353" s="8">
        <v>86.4</v>
      </c>
      <c r="F353" s="34">
        <f>(((B353*C353)/100)*E353)</f>
        <v>1692.7488000000001</v>
      </c>
      <c r="G353" s="83"/>
      <c r="H353" s="110"/>
    </row>
    <row r="354" spans="1:8" x14ac:dyDescent="0.45">
      <c r="A354" s="3" t="s">
        <v>1173</v>
      </c>
      <c r="B354" s="4">
        <v>19.600000000000001</v>
      </c>
      <c r="C354" s="8">
        <v>79</v>
      </c>
      <c r="D354" s="8">
        <f>65-Table1[[#This Row],[MELTING]]</f>
        <v>-14</v>
      </c>
      <c r="E354" s="8">
        <v>86.4</v>
      </c>
      <c r="F354" s="34">
        <f t="shared" si="27"/>
        <v>1337.8176000000003</v>
      </c>
      <c r="G354" s="83"/>
      <c r="H354" s="110"/>
    </row>
    <row r="355" spans="1:8" x14ac:dyDescent="0.45">
      <c r="A355" s="3" t="s">
        <v>1174</v>
      </c>
      <c r="B355" s="4">
        <v>30.15</v>
      </c>
      <c r="C355" s="8">
        <v>79</v>
      </c>
      <c r="D355" s="8">
        <f>65-Table1[[#This Row],[MELTING]]</f>
        <v>-14</v>
      </c>
      <c r="E355" s="8">
        <v>86.4</v>
      </c>
      <c r="F355" s="34">
        <f t="shared" si="27"/>
        <v>2057.9184</v>
      </c>
      <c r="G355" s="83"/>
      <c r="H355" s="110"/>
    </row>
    <row r="356" spans="1:8" x14ac:dyDescent="0.45">
      <c r="A356" s="3" t="s">
        <v>1175</v>
      </c>
      <c r="B356" s="4">
        <v>34.200000000000003</v>
      </c>
      <c r="C356" s="8">
        <v>79</v>
      </c>
      <c r="D356" s="8">
        <f>65-Table1[[#This Row],[MELTING]]</f>
        <v>-14</v>
      </c>
      <c r="E356" s="8">
        <v>86.4</v>
      </c>
      <c r="F356" s="34">
        <f t="shared" si="27"/>
        <v>2334.3552000000004</v>
      </c>
      <c r="G356" s="83"/>
      <c r="H356" s="110"/>
    </row>
    <row r="357" spans="1:8" x14ac:dyDescent="0.45">
      <c r="A357" s="3" t="s">
        <v>1176</v>
      </c>
      <c r="B357" s="4">
        <v>31.6</v>
      </c>
      <c r="C357" s="8">
        <v>79</v>
      </c>
      <c r="D357" s="8">
        <f>65-Table1[[#This Row],[MELTING]]</f>
        <v>-14</v>
      </c>
      <c r="E357" s="8">
        <v>86.4</v>
      </c>
      <c r="F357" s="34">
        <f t="shared" si="27"/>
        <v>2156.8896000000004</v>
      </c>
      <c r="G357" s="83"/>
      <c r="H357" s="110"/>
    </row>
    <row r="358" spans="1:8" x14ac:dyDescent="0.45">
      <c r="A358" s="3" t="s">
        <v>1177</v>
      </c>
      <c r="B358" s="4">
        <v>40.1</v>
      </c>
      <c r="C358" s="8">
        <v>79</v>
      </c>
      <c r="D358" s="8">
        <f>65-Table1[[#This Row],[MELTING]]</f>
        <v>-14</v>
      </c>
      <c r="E358" s="8">
        <v>86.4</v>
      </c>
      <c r="F358" s="34">
        <f t="shared" si="27"/>
        <v>2737.0656000000004</v>
      </c>
      <c r="G358" s="83"/>
      <c r="H358" s="110"/>
    </row>
    <row r="359" spans="1:8" x14ac:dyDescent="0.45">
      <c r="A359" s="3" t="s">
        <v>1178</v>
      </c>
      <c r="B359" s="4">
        <v>33.6</v>
      </c>
      <c r="C359" s="8">
        <v>79</v>
      </c>
      <c r="D359" s="8">
        <f>65-Table1[[#This Row],[MELTING]]</f>
        <v>-14</v>
      </c>
      <c r="E359" s="8">
        <v>86.4</v>
      </c>
      <c r="F359" s="34">
        <f t="shared" si="27"/>
        <v>2293.4016000000001</v>
      </c>
      <c r="G359" s="83"/>
      <c r="H359" s="110"/>
    </row>
    <row r="360" spans="1:8" x14ac:dyDescent="0.45">
      <c r="A360" s="3" t="s">
        <v>1179</v>
      </c>
      <c r="B360" s="4">
        <v>39.450000000000003</v>
      </c>
      <c r="C360" s="8">
        <v>79</v>
      </c>
      <c r="D360" s="8">
        <f>65-Table1[[#This Row],[MELTING]]</f>
        <v>-14</v>
      </c>
      <c r="E360" s="8">
        <v>86.4</v>
      </c>
      <c r="F360" s="34">
        <f t="shared" si="27"/>
        <v>2692.6992000000005</v>
      </c>
      <c r="G360" s="83"/>
      <c r="H360" s="110"/>
    </row>
    <row r="361" spans="1:8" x14ac:dyDescent="0.45">
      <c r="A361" s="3" t="s">
        <v>1180</v>
      </c>
      <c r="B361" s="4">
        <v>35.6</v>
      </c>
      <c r="C361" s="8">
        <v>79</v>
      </c>
      <c r="D361" s="8">
        <f>65-Table1[[#This Row],[MELTING]]</f>
        <v>-14</v>
      </c>
      <c r="E361" s="8">
        <v>86.4</v>
      </c>
      <c r="F361" s="34">
        <f t="shared" si="27"/>
        <v>2429.9136000000003</v>
      </c>
      <c r="G361" s="83"/>
      <c r="H361" s="110"/>
    </row>
    <row r="362" spans="1:8" x14ac:dyDescent="0.45">
      <c r="A362" s="3" t="s">
        <v>1181</v>
      </c>
      <c r="B362" s="4">
        <v>33.1</v>
      </c>
      <c r="C362" s="8">
        <v>79</v>
      </c>
      <c r="D362" s="8">
        <f>65-Table1[[#This Row],[MELTING]]</f>
        <v>-14</v>
      </c>
      <c r="E362" s="8">
        <v>86.4</v>
      </c>
      <c r="F362" s="34">
        <f t="shared" si="27"/>
        <v>2259.2736000000004</v>
      </c>
      <c r="G362" s="83"/>
      <c r="H362" s="110"/>
    </row>
    <row r="363" spans="1:8" x14ac:dyDescent="0.45">
      <c r="A363" s="3" t="s">
        <v>1182</v>
      </c>
      <c r="B363" s="4">
        <v>35.1</v>
      </c>
      <c r="C363" s="8">
        <v>79</v>
      </c>
      <c r="D363" s="8">
        <f>65-Table1[[#This Row],[MELTING]]</f>
        <v>-14</v>
      </c>
      <c r="E363" s="8">
        <v>86.4</v>
      </c>
      <c r="F363" s="34">
        <f t="shared" si="27"/>
        <v>2395.7856000000002</v>
      </c>
      <c r="G363" s="83"/>
      <c r="H363" s="110"/>
    </row>
    <row r="364" spans="1:8" x14ac:dyDescent="0.45">
      <c r="A364" s="3" t="s">
        <v>1183</v>
      </c>
      <c r="B364" s="4">
        <v>41.2</v>
      </c>
      <c r="C364" s="8">
        <v>79</v>
      </c>
      <c r="D364" s="8">
        <f>65-Table1[[#This Row],[MELTING]]</f>
        <v>-14</v>
      </c>
      <c r="E364" s="8">
        <v>86.4</v>
      </c>
      <c r="F364" s="34">
        <f t="shared" si="27"/>
        <v>2812.1472000000003</v>
      </c>
      <c r="G364" s="83"/>
      <c r="H364" s="110"/>
    </row>
    <row r="365" spans="1:8" x14ac:dyDescent="0.45">
      <c r="A365" s="3" t="s">
        <v>1184</v>
      </c>
      <c r="B365" s="4">
        <v>36.5</v>
      </c>
      <c r="C365" s="8">
        <v>79</v>
      </c>
      <c r="D365" s="8">
        <f>65-Table1[[#This Row],[MELTING]]</f>
        <v>-14</v>
      </c>
      <c r="E365" s="8">
        <v>86.4</v>
      </c>
      <c r="F365" s="34">
        <f t="shared" si="27"/>
        <v>2491.3440000000001</v>
      </c>
      <c r="G365" s="83"/>
      <c r="H365" s="110"/>
    </row>
    <row r="366" spans="1:8" x14ac:dyDescent="0.45">
      <c r="A366" s="3" t="s">
        <v>1185</v>
      </c>
      <c r="B366" s="4">
        <v>20.5</v>
      </c>
      <c r="C366" s="8">
        <v>79</v>
      </c>
      <c r="D366" s="8">
        <f>65-Table1[[#This Row],[MELTING]]</f>
        <v>-14</v>
      </c>
      <c r="E366" s="8">
        <v>86.4</v>
      </c>
      <c r="F366" s="34">
        <f t="shared" si="27"/>
        <v>1399.248</v>
      </c>
      <c r="G366" s="83"/>
      <c r="H366" s="110"/>
    </row>
    <row r="367" spans="1:8" x14ac:dyDescent="0.45">
      <c r="A367" s="3" t="s">
        <v>1186</v>
      </c>
      <c r="B367" s="4">
        <v>116.35</v>
      </c>
      <c r="C367" s="8">
        <v>79</v>
      </c>
      <c r="D367" s="8">
        <f>65-Table1[[#This Row],[MELTING]]</f>
        <v>-14</v>
      </c>
      <c r="E367" s="8">
        <v>86.4</v>
      </c>
      <c r="F367" s="34">
        <f t="shared" si="27"/>
        <v>7941.5856000000003</v>
      </c>
      <c r="G367" s="83"/>
      <c r="H367" s="110"/>
    </row>
    <row r="368" spans="1:8" x14ac:dyDescent="0.45">
      <c r="A368" s="3" t="s">
        <v>1187</v>
      </c>
      <c r="B368" s="4">
        <v>190</v>
      </c>
      <c r="C368" s="8">
        <v>79</v>
      </c>
      <c r="D368" s="8">
        <f>65-Table1[[#This Row],[MELTING]]</f>
        <v>-14</v>
      </c>
      <c r="E368" s="8">
        <v>86.4</v>
      </c>
      <c r="F368" s="34">
        <f t="shared" si="27"/>
        <v>12968.640000000001</v>
      </c>
      <c r="G368" s="83"/>
      <c r="H368" s="110"/>
    </row>
    <row r="369" spans="1:8" x14ac:dyDescent="0.45">
      <c r="A369" s="3" t="s">
        <v>1188</v>
      </c>
      <c r="B369" s="4">
        <v>132.75</v>
      </c>
      <c r="C369" s="8">
        <v>79</v>
      </c>
      <c r="D369" s="8">
        <f>65-Table1[[#This Row],[MELTING]]</f>
        <v>-14</v>
      </c>
      <c r="E369" s="8">
        <v>86.4</v>
      </c>
      <c r="F369" s="34">
        <f t="shared" si="27"/>
        <v>9060.9840000000004</v>
      </c>
      <c r="G369" s="83"/>
      <c r="H369" s="110"/>
    </row>
    <row r="370" spans="1:8" x14ac:dyDescent="0.45">
      <c r="A370" s="3" t="s">
        <v>1189</v>
      </c>
      <c r="B370" s="4">
        <v>39</v>
      </c>
      <c r="C370" s="8">
        <v>79</v>
      </c>
      <c r="D370" s="8">
        <f>65-Table1[[#This Row],[MELTING]]</f>
        <v>-14</v>
      </c>
      <c r="E370" s="8">
        <v>86.4</v>
      </c>
      <c r="F370" s="34">
        <f t="shared" si="27"/>
        <v>2661.9839999999999</v>
      </c>
      <c r="G370" s="83"/>
      <c r="H370" s="110"/>
    </row>
    <row r="371" spans="1:8" x14ac:dyDescent="0.45">
      <c r="A371" s="3" t="s">
        <v>283</v>
      </c>
      <c r="B371" s="4">
        <v>20.2</v>
      </c>
      <c r="C371" s="8">
        <v>65</v>
      </c>
      <c r="D371" s="8">
        <f>55-C371</f>
        <v>-10</v>
      </c>
      <c r="E371" s="6">
        <v>89.9</v>
      </c>
      <c r="F371" s="34">
        <f t="shared" si="25"/>
        <v>1180.3870000000002</v>
      </c>
      <c r="G371" s="83"/>
    </row>
    <row r="372" spans="1:8" x14ac:dyDescent="0.45">
      <c r="A372" s="3" t="s">
        <v>284</v>
      </c>
      <c r="B372" s="4">
        <v>22.11</v>
      </c>
      <c r="C372" s="8">
        <v>65</v>
      </c>
      <c r="D372" s="8">
        <f t="shared" ref="D372:D378" si="28">55-C372</f>
        <v>-10</v>
      </c>
      <c r="E372" s="6">
        <v>89</v>
      </c>
      <c r="F372" s="34">
        <f t="shared" ref="F372:F378" si="29">(((B372*C372)/100)*E372)</f>
        <v>1279.0635</v>
      </c>
      <c r="G372" s="83"/>
    </row>
    <row r="373" spans="1:8" x14ac:dyDescent="0.45">
      <c r="A373" s="3" t="s">
        <v>285</v>
      </c>
      <c r="B373" s="4">
        <v>20.11</v>
      </c>
      <c r="C373" s="8">
        <v>65</v>
      </c>
      <c r="D373" s="8">
        <f t="shared" si="28"/>
        <v>-10</v>
      </c>
      <c r="E373" s="6">
        <v>89</v>
      </c>
      <c r="F373" s="34">
        <f t="shared" si="29"/>
        <v>1163.3634999999999</v>
      </c>
      <c r="G373" s="83"/>
    </row>
    <row r="374" spans="1:8" x14ac:dyDescent="0.45">
      <c r="A374" s="3" t="s">
        <v>286</v>
      </c>
      <c r="B374" s="4">
        <v>13.54</v>
      </c>
      <c r="C374" s="8">
        <v>65</v>
      </c>
      <c r="D374" s="8">
        <f t="shared" si="28"/>
        <v>-10</v>
      </c>
      <c r="E374" s="6">
        <v>89</v>
      </c>
      <c r="F374" s="34">
        <f t="shared" si="29"/>
        <v>783.28899999999987</v>
      </c>
      <c r="G374" s="83"/>
    </row>
    <row r="375" spans="1:8" x14ac:dyDescent="0.45">
      <c r="A375" s="3" t="s">
        <v>287</v>
      </c>
      <c r="B375" s="4">
        <v>20.51</v>
      </c>
      <c r="C375" s="8">
        <v>65</v>
      </c>
      <c r="D375" s="8">
        <f t="shared" si="28"/>
        <v>-10</v>
      </c>
      <c r="E375" s="6">
        <v>89</v>
      </c>
      <c r="F375" s="34">
        <f t="shared" si="29"/>
        <v>1186.5035</v>
      </c>
      <c r="G375" s="83"/>
    </row>
    <row r="376" spans="1:8" x14ac:dyDescent="0.45">
      <c r="A376" s="3" t="s">
        <v>288</v>
      </c>
      <c r="B376" s="4">
        <v>36.67</v>
      </c>
      <c r="C376" s="8">
        <v>65</v>
      </c>
      <c r="D376" s="8">
        <f t="shared" si="28"/>
        <v>-10</v>
      </c>
      <c r="E376" s="6">
        <v>89</v>
      </c>
      <c r="F376" s="34">
        <f t="shared" si="29"/>
        <v>2121.3595000000005</v>
      </c>
      <c r="G376" s="83"/>
    </row>
    <row r="377" spans="1:8" x14ac:dyDescent="0.45">
      <c r="A377" s="3" t="s">
        <v>289</v>
      </c>
      <c r="B377" s="4">
        <v>31.98</v>
      </c>
      <c r="C377" s="8">
        <v>65</v>
      </c>
      <c r="D377" s="8">
        <f t="shared" si="28"/>
        <v>-10</v>
      </c>
      <c r="E377" s="6">
        <v>89</v>
      </c>
      <c r="F377" s="34">
        <f t="shared" si="29"/>
        <v>1850.0429999999999</v>
      </c>
      <c r="G377" s="83"/>
    </row>
    <row r="378" spans="1:8" x14ac:dyDescent="0.45">
      <c r="A378" s="3" t="s">
        <v>290</v>
      </c>
      <c r="B378" s="4">
        <v>30.94</v>
      </c>
      <c r="C378" s="8">
        <v>65</v>
      </c>
      <c r="D378" s="8">
        <f t="shared" si="28"/>
        <v>-10</v>
      </c>
      <c r="E378" s="6">
        <v>89</v>
      </c>
      <c r="F378" s="34">
        <f t="shared" si="29"/>
        <v>1789.8790000000001</v>
      </c>
      <c r="G378" s="83"/>
    </row>
    <row r="379" spans="1:8" x14ac:dyDescent="0.45">
      <c r="A379" s="3" t="s">
        <v>291</v>
      </c>
      <c r="B379" s="4">
        <v>41.1</v>
      </c>
      <c r="C379" s="8">
        <v>76.5</v>
      </c>
      <c r="D379" s="8">
        <f>55-C379</f>
        <v>-21.5</v>
      </c>
      <c r="E379" s="6">
        <v>89.9</v>
      </c>
      <c r="F379" s="34">
        <f>(((B379*C379)/100)*E379)</f>
        <v>2826.5908500000005</v>
      </c>
      <c r="G379" s="83"/>
    </row>
    <row r="380" spans="1:8" x14ac:dyDescent="0.45">
      <c r="A380" s="3" t="s">
        <v>292</v>
      </c>
      <c r="B380" s="4">
        <v>48.5</v>
      </c>
      <c r="C380" s="8">
        <v>76.5</v>
      </c>
      <c r="D380" s="8">
        <f t="shared" ref="D380:D392" si="30">55-C380</f>
        <v>-21.5</v>
      </c>
      <c r="E380" s="6">
        <v>89.9</v>
      </c>
      <c r="F380" s="34">
        <f>(((B380*C380)/100)*E380)</f>
        <v>3335.5147500000003</v>
      </c>
      <c r="G380" s="83"/>
    </row>
    <row r="381" spans="1:8" x14ac:dyDescent="0.45">
      <c r="A381" s="3" t="s">
        <v>293</v>
      </c>
      <c r="B381" s="4">
        <v>56.1</v>
      </c>
      <c r="C381" s="8">
        <v>76.5</v>
      </c>
      <c r="D381" s="8">
        <f t="shared" si="30"/>
        <v>-21.5</v>
      </c>
      <c r="E381" s="6">
        <v>89.9</v>
      </c>
      <c r="F381" s="34">
        <f t="shared" ref="F381:F392" si="31">(((B381*C381)/100)*E381)</f>
        <v>3858.1933500000009</v>
      </c>
      <c r="G381" s="83"/>
    </row>
    <row r="382" spans="1:8" x14ac:dyDescent="0.45">
      <c r="A382" s="3" t="s">
        <v>294</v>
      </c>
      <c r="B382" s="4">
        <v>36.5</v>
      </c>
      <c r="C382" s="8">
        <v>76.5</v>
      </c>
      <c r="D382" s="8">
        <f t="shared" si="30"/>
        <v>-21.5</v>
      </c>
      <c r="E382" s="6">
        <v>89.9</v>
      </c>
      <c r="F382" s="34">
        <f t="shared" si="31"/>
        <v>2510.2327500000001</v>
      </c>
      <c r="G382" s="83"/>
    </row>
    <row r="383" spans="1:8" x14ac:dyDescent="0.45">
      <c r="A383" s="3" t="s">
        <v>295</v>
      </c>
      <c r="B383" s="4">
        <v>40.06</v>
      </c>
      <c r="C383" s="8">
        <v>76.5</v>
      </c>
      <c r="D383" s="8">
        <f t="shared" si="30"/>
        <v>-21.5</v>
      </c>
      <c r="E383" s="6">
        <v>89.9</v>
      </c>
      <c r="F383" s="34">
        <f t="shared" si="31"/>
        <v>2755.0664100000004</v>
      </c>
      <c r="G383" s="83"/>
    </row>
    <row r="384" spans="1:8" x14ac:dyDescent="0.45">
      <c r="A384" s="3" t="s">
        <v>296</v>
      </c>
      <c r="B384" s="4">
        <v>31.1</v>
      </c>
      <c r="C384" s="8">
        <v>76.5</v>
      </c>
      <c r="D384" s="8">
        <f t="shared" si="30"/>
        <v>-21.5</v>
      </c>
      <c r="E384" s="6">
        <v>89.9</v>
      </c>
      <c r="F384" s="34">
        <f t="shared" si="31"/>
        <v>2138.8558499999999</v>
      </c>
      <c r="G384" s="83"/>
    </row>
    <row r="385" spans="1:7" x14ac:dyDescent="0.45">
      <c r="A385" s="3" t="s">
        <v>297</v>
      </c>
      <c r="B385" s="4">
        <v>32.25</v>
      </c>
      <c r="C385" s="8">
        <v>76.5</v>
      </c>
      <c r="D385" s="8">
        <f t="shared" si="30"/>
        <v>-21.5</v>
      </c>
      <c r="E385" s="6">
        <v>89.9</v>
      </c>
      <c r="F385" s="34">
        <f t="shared" si="31"/>
        <v>2217.9453750000002</v>
      </c>
      <c r="G385" s="83"/>
    </row>
    <row r="386" spans="1:7" x14ac:dyDescent="0.45">
      <c r="A386" s="3" t="s">
        <v>298</v>
      </c>
      <c r="B386" s="4">
        <v>25.1</v>
      </c>
      <c r="C386" s="8">
        <v>76.5</v>
      </c>
      <c r="D386" s="8">
        <f t="shared" si="30"/>
        <v>-21.5</v>
      </c>
      <c r="E386" s="6">
        <v>89.9</v>
      </c>
      <c r="F386" s="34">
        <f t="shared" si="31"/>
        <v>1726.2148500000001</v>
      </c>
      <c r="G386" s="83"/>
    </row>
    <row r="387" spans="1:7" x14ac:dyDescent="0.45">
      <c r="A387" s="3" t="s">
        <v>299</v>
      </c>
      <c r="B387" s="4">
        <v>40.200000000000003</v>
      </c>
      <c r="C387" s="8">
        <v>76.5</v>
      </c>
      <c r="D387" s="8">
        <f t="shared" si="30"/>
        <v>-21.5</v>
      </c>
      <c r="E387" s="6">
        <v>89.9</v>
      </c>
      <c r="F387" s="34">
        <f t="shared" si="31"/>
        <v>2764.6947</v>
      </c>
      <c r="G387" s="83"/>
    </row>
    <row r="388" spans="1:7" x14ac:dyDescent="0.45">
      <c r="A388" s="3" t="s">
        <v>300</v>
      </c>
      <c r="B388" s="4">
        <v>50.25</v>
      </c>
      <c r="C388" s="8">
        <v>82</v>
      </c>
      <c r="D388" s="8">
        <f t="shared" si="30"/>
        <v>-27</v>
      </c>
      <c r="E388" s="6">
        <v>92</v>
      </c>
      <c r="F388" s="34">
        <f t="shared" si="31"/>
        <v>3790.8599999999997</v>
      </c>
      <c r="G388" s="83"/>
    </row>
    <row r="389" spans="1:7" x14ac:dyDescent="0.45">
      <c r="A389" s="3" t="s">
        <v>301</v>
      </c>
      <c r="B389" s="4">
        <v>35</v>
      </c>
      <c r="C389" s="8">
        <v>82</v>
      </c>
      <c r="D389" s="8">
        <f t="shared" si="30"/>
        <v>-27</v>
      </c>
      <c r="E389" s="6">
        <v>92</v>
      </c>
      <c r="F389" s="34">
        <f t="shared" si="31"/>
        <v>2640.4</v>
      </c>
      <c r="G389" s="83"/>
    </row>
    <row r="390" spans="1:7" x14ac:dyDescent="0.45">
      <c r="A390" s="3" t="s">
        <v>302</v>
      </c>
      <c r="B390" s="4">
        <v>40.35</v>
      </c>
      <c r="C390" s="8">
        <v>82</v>
      </c>
      <c r="D390" s="8">
        <f t="shared" si="30"/>
        <v>-27</v>
      </c>
      <c r="E390" s="6">
        <v>92</v>
      </c>
      <c r="F390" s="34">
        <f t="shared" si="31"/>
        <v>3044.0040000000004</v>
      </c>
      <c r="G390" s="83"/>
    </row>
    <row r="391" spans="1:7" x14ac:dyDescent="0.45">
      <c r="A391" s="3" t="s">
        <v>303</v>
      </c>
      <c r="B391" s="4">
        <v>31.2</v>
      </c>
      <c r="C391" s="8">
        <v>82</v>
      </c>
      <c r="D391" s="8">
        <f t="shared" si="30"/>
        <v>-27</v>
      </c>
      <c r="E391" s="6">
        <v>92</v>
      </c>
      <c r="F391" s="34">
        <f t="shared" si="31"/>
        <v>2353.7280000000001</v>
      </c>
      <c r="G391" s="83"/>
    </row>
    <row r="392" spans="1:7" x14ac:dyDescent="0.45">
      <c r="A392" s="3" t="s">
        <v>304</v>
      </c>
      <c r="B392" s="4">
        <v>49.2</v>
      </c>
      <c r="C392" s="8">
        <v>82</v>
      </c>
      <c r="D392" s="8">
        <f t="shared" si="30"/>
        <v>-27</v>
      </c>
      <c r="E392" s="6">
        <v>92</v>
      </c>
      <c r="F392" s="34">
        <f t="shared" si="31"/>
        <v>3711.6480000000001</v>
      </c>
      <c r="G392" s="83"/>
    </row>
    <row r="393" spans="1:7" x14ac:dyDescent="0.45">
      <c r="A393" s="3" t="s">
        <v>305</v>
      </c>
      <c r="B393" s="4">
        <v>38.85</v>
      </c>
      <c r="C393" s="8">
        <v>65</v>
      </c>
      <c r="D393" s="8">
        <v>10</v>
      </c>
      <c r="E393" s="6">
        <v>83.17</v>
      </c>
      <c r="F393" s="34">
        <f>(((B393*C393)/100)*E393)</f>
        <v>2100.2504250000002</v>
      </c>
      <c r="G393" s="83"/>
    </row>
    <row r="394" spans="1:7" x14ac:dyDescent="0.45">
      <c r="A394" s="3" t="s">
        <v>306</v>
      </c>
      <c r="B394" s="4">
        <v>3</v>
      </c>
      <c r="C394" s="8">
        <v>92.5</v>
      </c>
      <c r="D394" s="8">
        <v>92.5</v>
      </c>
      <c r="E394" s="6">
        <v>130</v>
      </c>
      <c r="F394" s="34">
        <f>B394*E394</f>
        <v>390</v>
      </c>
      <c r="G394" s="83"/>
    </row>
    <row r="395" spans="1:7" x14ac:dyDescent="0.45">
      <c r="A395" s="3" t="s">
        <v>307</v>
      </c>
      <c r="B395" s="4">
        <v>2.81</v>
      </c>
      <c r="C395" s="8">
        <v>92.5</v>
      </c>
      <c r="D395" s="8">
        <v>92.5</v>
      </c>
      <c r="E395" s="6">
        <v>130</v>
      </c>
      <c r="F395" s="34">
        <f t="shared" ref="F395:F412" si="32">B395*E395</f>
        <v>365.3</v>
      </c>
      <c r="G395" s="83"/>
    </row>
    <row r="396" spans="1:7" x14ac:dyDescent="0.45">
      <c r="A396" s="3" t="s">
        <v>308</v>
      </c>
      <c r="B396" s="4">
        <v>2.75</v>
      </c>
      <c r="C396" s="8">
        <v>92.5</v>
      </c>
      <c r="D396" s="8">
        <v>92.5</v>
      </c>
      <c r="E396" s="6">
        <v>130</v>
      </c>
      <c r="F396" s="34">
        <f t="shared" si="32"/>
        <v>357.5</v>
      </c>
      <c r="G396" s="83"/>
    </row>
    <row r="397" spans="1:7" x14ac:dyDescent="0.45">
      <c r="A397" s="3" t="s">
        <v>309</v>
      </c>
      <c r="B397" s="4">
        <v>1.28</v>
      </c>
      <c r="C397" s="8">
        <v>92.5</v>
      </c>
      <c r="D397" s="8">
        <v>92.5</v>
      </c>
      <c r="E397" s="6">
        <v>130</v>
      </c>
      <c r="F397" s="34">
        <f t="shared" si="32"/>
        <v>166.4</v>
      </c>
      <c r="G397" s="83"/>
    </row>
    <row r="398" spans="1:7" x14ac:dyDescent="0.45">
      <c r="A398" s="3" t="s">
        <v>310</v>
      </c>
      <c r="B398" s="4">
        <v>2.65</v>
      </c>
      <c r="C398" s="8">
        <v>92.5</v>
      </c>
      <c r="D398" s="8">
        <v>92.5</v>
      </c>
      <c r="E398" s="6">
        <v>130</v>
      </c>
      <c r="F398" s="34">
        <f t="shared" si="32"/>
        <v>344.5</v>
      </c>
      <c r="G398" s="83"/>
    </row>
    <row r="399" spans="1:7" x14ac:dyDescent="0.45">
      <c r="A399" s="3" t="s">
        <v>311</v>
      </c>
      <c r="B399" s="4">
        <v>2.8</v>
      </c>
      <c r="C399" s="8">
        <v>92.5</v>
      </c>
      <c r="D399" s="8">
        <v>92.5</v>
      </c>
      <c r="E399" s="6">
        <v>165</v>
      </c>
      <c r="F399" s="34">
        <f t="shared" si="32"/>
        <v>461.99999999999994</v>
      </c>
      <c r="G399" s="83"/>
    </row>
    <row r="400" spans="1:7" x14ac:dyDescent="0.45">
      <c r="A400" s="3" t="s">
        <v>312</v>
      </c>
      <c r="B400" s="4">
        <v>2.0699999999999998</v>
      </c>
      <c r="C400" s="8">
        <v>92.5</v>
      </c>
      <c r="D400" s="8">
        <v>92.5</v>
      </c>
      <c r="E400" s="6">
        <v>165</v>
      </c>
      <c r="F400" s="34">
        <f t="shared" si="32"/>
        <v>341.54999999999995</v>
      </c>
      <c r="G400" s="83"/>
    </row>
    <row r="401" spans="1:7" x14ac:dyDescent="0.45">
      <c r="A401" s="3" t="s">
        <v>313</v>
      </c>
      <c r="B401" s="4">
        <v>1.87</v>
      </c>
      <c r="C401" s="8">
        <v>92.5</v>
      </c>
      <c r="D401" s="8">
        <v>92.5</v>
      </c>
      <c r="E401" s="6">
        <v>165</v>
      </c>
      <c r="F401" s="34">
        <f t="shared" si="32"/>
        <v>308.55</v>
      </c>
      <c r="G401" s="83"/>
    </row>
    <row r="402" spans="1:7" x14ac:dyDescent="0.45">
      <c r="A402" s="3" t="s">
        <v>314</v>
      </c>
      <c r="B402" s="4">
        <v>1.7</v>
      </c>
      <c r="C402" s="8">
        <v>92.5</v>
      </c>
      <c r="D402" s="8">
        <v>92.5</v>
      </c>
      <c r="E402" s="6">
        <v>165</v>
      </c>
      <c r="F402" s="34">
        <f t="shared" si="32"/>
        <v>280.5</v>
      </c>
      <c r="G402" s="83"/>
    </row>
    <row r="403" spans="1:7" x14ac:dyDescent="0.45">
      <c r="A403" s="3" t="s">
        <v>315</v>
      </c>
      <c r="B403" s="4">
        <v>2.17</v>
      </c>
      <c r="C403" s="8">
        <v>92.5</v>
      </c>
      <c r="D403" s="8">
        <v>92.5</v>
      </c>
      <c r="E403" s="6">
        <v>165</v>
      </c>
      <c r="F403" s="34">
        <f t="shared" si="32"/>
        <v>358.05</v>
      </c>
      <c r="G403" s="83"/>
    </row>
    <row r="404" spans="1:7" x14ac:dyDescent="0.45">
      <c r="A404" s="3" t="s">
        <v>316</v>
      </c>
      <c r="B404" s="4">
        <v>1.51</v>
      </c>
      <c r="C404" s="8">
        <v>92.5</v>
      </c>
      <c r="D404" s="8">
        <v>92.5</v>
      </c>
      <c r="E404" s="6">
        <v>165</v>
      </c>
      <c r="F404" s="34">
        <f t="shared" si="32"/>
        <v>249.15</v>
      </c>
      <c r="G404" s="83"/>
    </row>
    <row r="405" spans="1:7" x14ac:dyDescent="0.45">
      <c r="A405" s="3" t="s">
        <v>317</v>
      </c>
      <c r="B405" s="4">
        <v>1.25</v>
      </c>
      <c r="C405" s="8">
        <v>92.5</v>
      </c>
      <c r="D405" s="8">
        <v>92.5</v>
      </c>
      <c r="E405" s="6">
        <v>165</v>
      </c>
      <c r="F405" s="34">
        <f t="shared" si="32"/>
        <v>206.25</v>
      </c>
      <c r="G405" s="83"/>
    </row>
    <row r="406" spans="1:7" x14ac:dyDescent="0.45">
      <c r="A406" s="3" t="s">
        <v>318</v>
      </c>
      <c r="B406" s="4">
        <v>1.1499999999999999</v>
      </c>
      <c r="C406" s="8">
        <v>92.5</v>
      </c>
      <c r="D406" s="8">
        <v>92.5</v>
      </c>
      <c r="E406" s="6">
        <v>165</v>
      </c>
      <c r="F406" s="34">
        <f t="shared" si="32"/>
        <v>189.74999999999997</v>
      </c>
      <c r="G406" s="83"/>
    </row>
    <row r="407" spans="1:7" x14ac:dyDescent="0.45">
      <c r="A407" s="3" t="s">
        <v>319</v>
      </c>
      <c r="B407" s="4">
        <v>1.08</v>
      </c>
      <c r="C407" s="8">
        <v>92.5</v>
      </c>
      <c r="D407" s="8">
        <v>92.5</v>
      </c>
      <c r="E407" s="6">
        <v>165</v>
      </c>
      <c r="F407" s="34">
        <f t="shared" si="32"/>
        <v>178.20000000000002</v>
      </c>
      <c r="G407" s="83"/>
    </row>
    <row r="408" spans="1:7" x14ac:dyDescent="0.45">
      <c r="A408" s="3" t="s">
        <v>320</v>
      </c>
      <c r="B408" s="4">
        <v>1.3</v>
      </c>
      <c r="C408" s="8">
        <v>92.5</v>
      </c>
      <c r="D408" s="8">
        <v>92.5</v>
      </c>
      <c r="E408" s="6">
        <v>165</v>
      </c>
      <c r="F408" s="34">
        <f t="shared" si="32"/>
        <v>214.5</v>
      </c>
      <c r="G408" s="83"/>
    </row>
    <row r="409" spans="1:7" x14ac:dyDescent="0.45">
      <c r="A409" s="3" t="s">
        <v>321</v>
      </c>
      <c r="B409" s="4">
        <v>1.1000000000000001</v>
      </c>
      <c r="C409" s="8">
        <v>92.5</v>
      </c>
      <c r="D409" s="8">
        <v>92.5</v>
      </c>
      <c r="E409" s="6">
        <v>165</v>
      </c>
      <c r="F409" s="34">
        <f t="shared" si="32"/>
        <v>181.50000000000003</v>
      </c>
      <c r="G409" s="83"/>
    </row>
    <row r="410" spans="1:7" x14ac:dyDescent="0.45">
      <c r="A410" s="3" t="s">
        <v>322</v>
      </c>
      <c r="B410" s="4">
        <v>1.06</v>
      </c>
      <c r="C410" s="8">
        <v>92.5</v>
      </c>
      <c r="D410" s="8">
        <v>92.5</v>
      </c>
      <c r="E410" s="6">
        <v>165</v>
      </c>
      <c r="F410" s="34">
        <f t="shared" si="32"/>
        <v>174.9</v>
      </c>
      <c r="G410" s="83"/>
    </row>
    <row r="411" spans="1:7" x14ac:dyDescent="0.45">
      <c r="A411" s="3" t="s">
        <v>323</v>
      </c>
      <c r="B411" s="4">
        <v>1.17</v>
      </c>
      <c r="C411" s="8">
        <v>92.5</v>
      </c>
      <c r="D411" s="8">
        <v>92.5</v>
      </c>
      <c r="E411" s="6">
        <v>165</v>
      </c>
      <c r="F411" s="34">
        <f t="shared" si="32"/>
        <v>193.04999999999998</v>
      </c>
      <c r="G411" s="83"/>
    </row>
    <row r="412" spans="1:7" x14ac:dyDescent="0.45">
      <c r="A412" s="3" t="s">
        <v>324</v>
      </c>
      <c r="B412" s="4">
        <v>1.17</v>
      </c>
      <c r="C412" s="8">
        <v>92.5</v>
      </c>
      <c r="D412" s="8">
        <v>92.5</v>
      </c>
      <c r="E412" s="6">
        <v>165</v>
      </c>
      <c r="F412" s="34">
        <f t="shared" si="32"/>
        <v>193.04999999999998</v>
      </c>
      <c r="G412" s="83"/>
    </row>
    <row r="413" spans="1:7" x14ac:dyDescent="0.45">
      <c r="A413" s="3" t="s">
        <v>325</v>
      </c>
      <c r="B413" s="4">
        <v>2.95</v>
      </c>
      <c r="C413" s="7">
        <v>65</v>
      </c>
      <c r="D413" s="7">
        <v>85</v>
      </c>
      <c r="E413" s="6">
        <v>100</v>
      </c>
      <c r="F413" s="34">
        <f>(((B413*C413)/100)*E413)</f>
        <v>191.75</v>
      </c>
      <c r="G413" s="83"/>
    </row>
    <row r="414" spans="1:7" x14ac:dyDescent="0.45">
      <c r="A414" s="3" t="s">
        <v>326</v>
      </c>
      <c r="B414" s="4">
        <v>2.4500000000000002</v>
      </c>
      <c r="C414" s="7">
        <v>92.5</v>
      </c>
      <c r="D414" s="7">
        <v>92.5</v>
      </c>
      <c r="E414" s="6">
        <v>145</v>
      </c>
      <c r="F414" s="34">
        <f>B414*E414</f>
        <v>355.25</v>
      </c>
      <c r="G414" s="83"/>
    </row>
    <row r="415" spans="1:7" x14ac:dyDescent="0.45">
      <c r="A415" s="3" t="s">
        <v>327</v>
      </c>
      <c r="B415" s="4">
        <v>2.6</v>
      </c>
      <c r="C415" s="7">
        <v>92.5</v>
      </c>
      <c r="D415" s="7">
        <v>92.5</v>
      </c>
      <c r="E415" s="6">
        <v>145</v>
      </c>
      <c r="F415" s="34">
        <f t="shared" ref="F415" si="33">B415*E415</f>
        <v>377</v>
      </c>
      <c r="G415" s="83"/>
    </row>
    <row r="416" spans="1:7" x14ac:dyDescent="0.45">
      <c r="A416" s="3" t="s">
        <v>328</v>
      </c>
      <c r="B416" s="4">
        <v>1.95</v>
      </c>
      <c r="C416" s="8">
        <v>92.5</v>
      </c>
      <c r="D416" s="8">
        <v>92.5</v>
      </c>
      <c r="E416" s="8">
        <v>135.13</v>
      </c>
      <c r="F416" s="34">
        <f>B416*E416</f>
        <v>263.50349999999997</v>
      </c>
      <c r="G416" s="83"/>
    </row>
    <row r="417" spans="1:8" x14ac:dyDescent="0.45">
      <c r="A417" s="3" t="s">
        <v>329</v>
      </c>
      <c r="B417" s="4">
        <v>1.05</v>
      </c>
      <c r="C417" s="8">
        <v>92.5</v>
      </c>
      <c r="D417" s="8">
        <v>92.5</v>
      </c>
      <c r="E417" s="8">
        <v>135.13</v>
      </c>
      <c r="F417" s="34">
        <f>B417*E417</f>
        <v>141.88650000000001</v>
      </c>
      <c r="G417" s="83"/>
    </row>
    <row r="418" spans="1:8" x14ac:dyDescent="0.45">
      <c r="A418" s="3" t="s">
        <v>888</v>
      </c>
      <c r="B418" s="4">
        <v>4</v>
      </c>
      <c r="C418" s="8">
        <v>92.5</v>
      </c>
      <c r="D418" s="8">
        <v>92.5</v>
      </c>
      <c r="E418" s="8">
        <v>160</v>
      </c>
      <c r="F418" s="34">
        <f t="shared" ref="F418:F419" si="34">B418*E418</f>
        <v>640</v>
      </c>
      <c r="G418" s="83"/>
    </row>
    <row r="419" spans="1:8" x14ac:dyDescent="0.45">
      <c r="A419" s="3" t="s">
        <v>889</v>
      </c>
      <c r="B419" s="4">
        <v>2.66</v>
      </c>
      <c r="C419" s="8">
        <v>92.5</v>
      </c>
      <c r="D419" s="8">
        <v>92.5</v>
      </c>
      <c r="E419" s="8">
        <v>160</v>
      </c>
      <c r="F419" s="34">
        <f t="shared" si="34"/>
        <v>425.6</v>
      </c>
      <c r="G419" s="83"/>
      <c r="H419" s="117"/>
    </row>
    <row r="420" spans="1:8" x14ac:dyDescent="0.45">
      <c r="A420" s="3" t="s">
        <v>890</v>
      </c>
      <c r="B420" s="4">
        <v>1.52</v>
      </c>
      <c r="C420" s="8">
        <v>92.5</v>
      </c>
      <c r="D420" s="8">
        <v>92.5</v>
      </c>
      <c r="E420" s="8">
        <v>160</v>
      </c>
      <c r="F420" s="34">
        <f>B420*E420</f>
        <v>243.2</v>
      </c>
      <c r="G420" s="83"/>
    </row>
    <row r="421" spans="1:8" x14ac:dyDescent="0.45">
      <c r="A421" s="3" t="s">
        <v>929</v>
      </c>
      <c r="B421" s="4">
        <v>1.5</v>
      </c>
      <c r="C421" s="8">
        <v>92.5</v>
      </c>
      <c r="D421" s="8">
        <v>92.5</v>
      </c>
      <c r="E421" s="8">
        <v>175</v>
      </c>
      <c r="F421" s="34">
        <f t="shared" ref="F421:F428" si="35">B421*E421</f>
        <v>262.5</v>
      </c>
      <c r="G421" s="83"/>
    </row>
    <row r="422" spans="1:8" x14ac:dyDescent="0.45">
      <c r="A422" s="3" t="s">
        <v>930</v>
      </c>
      <c r="B422" s="4">
        <v>1.35</v>
      </c>
      <c r="C422" s="8">
        <v>92.5</v>
      </c>
      <c r="D422" s="8">
        <v>92.5</v>
      </c>
      <c r="E422" s="8">
        <v>175</v>
      </c>
      <c r="F422" s="34">
        <f t="shared" si="35"/>
        <v>236.25000000000003</v>
      </c>
      <c r="G422" s="83"/>
      <c r="H422" s="110"/>
    </row>
    <row r="423" spans="1:8" x14ac:dyDescent="0.45">
      <c r="A423" s="3" t="s">
        <v>931</v>
      </c>
      <c r="B423" s="4">
        <v>1.5</v>
      </c>
      <c r="C423" s="8">
        <v>92.5</v>
      </c>
      <c r="D423" s="8">
        <v>92.5</v>
      </c>
      <c r="E423" s="8">
        <v>175</v>
      </c>
      <c r="F423" s="34">
        <f t="shared" si="35"/>
        <v>262.5</v>
      </c>
      <c r="G423" s="83"/>
    </row>
    <row r="424" spans="1:8" x14ac:dyDescent="0.45">
      <c r="A424" s="3" t="s">
        <v>932</v>
      </c>
      <c r="B424" s="4">
        <v>1.5</v>
      </c>
      <c r="C424" s="8">
        <v>92.5</v>
      </c>
      <c r="D424" s="8">
        <v>92.5</v>
      </c>
      <c r="E424" s="8">
        <v>175</v>
      </c>
      <c r="F424" s="34">
        <f t="shared" si="35"/>
        <v>262.5</v>
      </c>
      <c r="G424" s="83"/>
    </row>
    <row r="425" spans="1:8" x14ac:dyDescent="0.45">
      <c r="A425" s="3" t="s">
        <v>933</v>
      </c>
      <c r="B425" s="4">
        <v>2.21</v>
      </c>
      <c r="C425" s="8">
        <v>92.5</v>
      </c>
      <c r="D425" s="8">
        <v>92.5</v>
      </c>
      <c r="E425" s="8">
        <v>175</v>
      </c>
      <c r="F425" s="34">
        <f t="shared" si="35"/>
        <v>386.75</v>
      </c>
      <c r="G425" s="83"/>
    </row>
    <row r="426" spans="1:8" x14ac:dyDescent="0.45">
      <c r="A426" s="3" t="s">
        <v>934</v>
      </c>
      <c r="B426" s="4">
        <v>2.25</v>
      </c>
      <c r="C426" s="8">
        <v>92.5</v>
      </c>
      <c r="D426" s="8">
        <v>92.5</v>
      </c>
      <c r="E426" s="8">
        <v>175</v>
      </c>
      <c r="F426" s="34">
        <f t="shared" si="35"/>
        <v>393.75</v>
      </c>
      <c r="G426" s="83"/>
    </row>
    <row r="427" spans="1:8" x14ac:dyDescent="0.45">
      <c r="A427" s="3" t="s">
        <v>935</v>
      </c>
      <c r="B427" s="4">
        <v>1.5</v>
      </c>
      <c r="C427" s="8">
        <v>92.5</v>
      </c>
      <c r="D427" s="8">
        <v>92.5</v>
      </c>
      <c r="E427" s="8">
        <v>175</v>
      </c>
      <c r="F427" s="34">
        <f t="shared" si="35"/>
        <v>262.5</v>
      </c>
      <c r="G427" s="83"/>
    </row>
    <row r="428" spans="1:8" x14ac:dyDescent="0.45">
      <c r="A428" s="3" t="s">
        <v>936</v>
      </c>
      <c r="B428" s="4">
        <v>1.5</v>
      </c>
      <c r="C428" s="8">
        <v>92.5</v>
      </c>
      <c r="D428" s="8">
        <v>92.5</v>
      </c>
      <c r="E428" s="8">
        <v>175</v>
      </c>
      <c r="F428" s="34">
        <f t="shared" si="35"/>
        <v>262.5</v>
      </c>
      <c r="G428" s="83"/>
    </row>
    <row r="429" spans="1:8" x14ac:dyDescent="0.45">
      <c r="A429" s="3" t="s">
        <v>330</v>
      </c>
      <c r="B429" s="4">
        <v>4.72</v>
      </c>
      <c r="C429" s="8">
        <v>92.5</v>
      </c>
      <c r="D429" s="8">
        <v>92.5</v>
      </c>
      <c r="E429" s="6">
        <v>140</v>
      </c>
      <c r="F429" s="34">
        <f>B429*E429</f>
        <v>660.8</v>
      </c>
      <c r="G429" s="83"/>
    </row>
    <row r="430" spans="1:8" x14ac:dyDescent="0.45">
      <c r="A430" s="3" t="s">
        <v>331</v>
      </c>
      <c r="B430" s="4">
        <v>4.5</v>
      </c>
      <c r="C430" s="8">
        <v>92.5</v>
      </c>
      <c r="D430" s="8">
        <v>92.5</v>
      </c>
      <c r="E430" s="6">
        <v>140</v>
      </c>
      <c r="F430" s="34">
        <f t="shared" ref="F430:F493" si="36">B430*E430</f>
        <v>630</v>
      </c>
      <c r="G430" s="83"/>
    </row>
    <row r="431" spans="1:8" x14ac:dyDescent="0.45">
      <c r="A431" s="3" t="s">
        <v>332</v>
      </c>
      <c r="B431" s="4">
        <v>4.6500000000000004</v>
      </c>
      <c r="C431" s="8">
        <v>92.5</v>
      </c>
      <c r="D431" s="8">
        <v>92.5</v>
      </c>
      <c r="E431" s="6">
        <v>140</v>
      </c>
      <c r="F431" s="34">
        <f t="shared" si="36"/>
        <v>651</v>
      </c>
      <c r="G431" s="83"/>
    </row>
    <row r="432" spans="1:8" x14ac:dyDescent="0.45">
      <c r="A432" s="3" t="s">
        <v>333</v>
      </c>
      <c r="B432" s="4">
        <v>4.46</v>
      </c>
      <c r="C432" s="8">
        <v>92.5</v>
      </c>
      <c r="D432" s="8">
        <v>92.5</v>
      </c>
      <c r="E432" s="6">
        <v>140</v>
      </c>
      <c r="F432" s="34">
        <f t="shared" si="36"/>
        <v>624.4</v>
      </c>
      <c r="G432" s="83"/>
    </row>
    <row r="433" spans="1:7" x14ac:dyDescent="0.45">
      <c r="A433" s="3" t="s">
        <v>334</v>
      </c>
      <c r="B433" s="4">
        <v>3.35</v>
      </c>
      <c r="C433" s="8">
        <v>92.5</v>
      </c>
      <c r="D433" s="8">
        <v>92.5</v>
      </c>
      <c r="E433" s="6">
        <v>140</v>
      </c>
      <c r="F433" s="34">
        <f t="shared" si="36"/>
        <v>469</v>
      </c>
      <c r="G433" s="83"/>
    </row>
    <row r="434" spans="1:7" x14ac:dyDescent="0.45">
      <c r="A434" s="3" t="s">
        <v>335</v>
      </c>
      <c r="B434" s="4">
        <v>3.78</v>
      </c>
      <c r="C434" s="8">
        <v>92.5</v>
      </c>
      <c r="D434" s="8">
        <v>92.5</v>
      </c>
      <c r="E434" s="6">
        <v>140</v>
      </c>
      <c r="F434" s="34">
        <f t="shared" si="36"/>
        <v>529.19999999999993</v>
      </c>
      <c r="G434" s="83"/>
    </row>
    <row r="435" spans="1:7" x14ac:dyDescent="0.45">
      <c r="A435" s="3" t="s">
        <v>336</v>
      </c>
      <c r="B435" s="4">
        <v>4.0999999999999996</v>
      </c>
      <c r="C435" s="8">
        <v>92.5</v>
      </c>
      <c r="D435" s="8">
        <v>92.5</v>
      </c>
      <c r="E435" s="6">
        <v>140</v>
      </c>
      <c r="F435" s="34">
        <f t="shared" si="36"/>
        <v>574</v>
      </c>
      <c r="G435" s="83"/>
    </row>
    <row r="436" spans="1:7" x14ac:dyDescent="0.45">
      <c r="A436" s="3" t="s">
        <v>337</v>
      </c>
      <c r="B436" s="4">
        <v>5.08</v>
      </c>
      <c r="C436" s="8">
        <v>92.5</v>
      </c>
      <c r="D436" s="8">
        <v>92.5</v>
      </c>
      <c r="E436" s="6">
        <v>140</v>
      </c>
      <c r="F436" s="34">
        <f t="shared" si="36"/>
        <v>711.2</v>
      </c>
      <c r="G436" s="83"/>
    </row>
    <row r="437" spans="1:7" x14ac:dyDescent="0.45">
      <c r="A437" s="3" t="s">
        <v>338</v>
      </c>
      <c r="B437" s="4">
        <v>4.9000000000000004</v>
      </c>
      <c r="C437" s="8">
        <v>92.5</v>
      </c>
      <c r="D437" s="8">
        <v>92.5</v>
      </c>
      <c r="E437" s="6">
        <v>140</v>
      </c>
      <c r="F437" s="34">
        <f t="shared" si="36"/>
        <v>686</v>
      </c>
      <c r="G437" s="83"/>
    </row>
    <row r="438" spans="1:7" x14ac:dyDescent="0.45">
      <c r="A438" s="3" t="s">
        <v>339</v>
      </c>
      <c r="B438" s="4">
        <v>4.46</v>
      </c>
      <c r="C438" s="8">
        <v>92.5</v>
      </c>
      <c r="D438" s="8">
        <v>92.5</v>
      </c>
      <c r="E438" s="6">
        <v>140</v>
      </c>
      <c r="F438" s="34">
        <f t="shared" si="36"/>
        <v>624.4</v>
      </c>
      <c r="G438" s="83"/>
    </row>
    <row r="439" spans="1:7" x14ac:dyDescent="0.45">
      <c r="A439" s="3" t="s">
        <v>340</v>
      </c>
      <c r="B439" s="4">
        <v>4.0599999999999996</v>
      </c>
      <c r="C439" s="8">
        <v>92.5</v>
      </c>
      <c r="D439" s="8">
        <v>92.5</v>
      </c>
      <c r="E439" s="6">
        <v>140</v>
      </c>
      <c r="F439" s="34">
        <f t="shared" si="36"/>
        <v>568.4</v>
      </c>
      <c r="G439" s="83"/>
    </row>
    <row r="440" spans="1:7" x14ac:dyDescent="0.45">
      <c r="A440" s="3" t="s">
        <v>341</v>
      </c>
      <c r="B440" s="4">
        <v>3.95</v>
      </c>
      <c r="C440" s="8">
        <v>92.5</v>
      </c>
      <c r="D440" s="8">
        <v>92.5</v>
      </c>
      <c r="E440" s="6">
        <v>140</v>
      </c>
      <c r="F440" s="34">
        <f t="shared" si="36"/>
        <v>553</v>
      </c>
      <c r="G440" s="83"/>
    </row>
    <row r="441" spans="1:7" x14ac:dyDescent="0.45">
      <c r="A441" s="3" t="s">
        <v>342</v>
      </c>
      <c r="B441" s="4">
        <v>3.92</v>
      </c>
      <c r="C441" s="8">
        <v>92.5</v>
      </c>
      <c r="D441" s="8">
        <v>92.5</v>
      </c>
      <c r="E441" s="6">
        <v>140</v>
      </c>
      <c r="F441" s="34">
        <f t="shared" si="36"/>
        <v>548.79999999999995</v>
      </c>
      <c r="G441" s="83"/>
    </row>
    <row r="442" spans="1:7" x14ac:dyDescent="0.45">
      <c r="A442" s="3" t="s">
        <v>343</v>
      </c>
      <c r="B442" s="4">
        <v>1.81</v>
      </c>
      <c r="C442" s="8">
        <v>92.5</v>
      </c>
      <c r="D442" s="8">
        <v>92.5</v>
      </c>
      <c r="E442" s="6">
        <v>140</v>
      </c>
      <c r="F442" s="34">
        <f t="shared" si="36"/>
        <v>253.4</v>
      </c>
      <c r="G442" s="83"/>
    </row>
    <row r="443" spans="1:7" x14ac:dyDescent="0.45">
      <c r="A443" s="3" t="s">
        <v>344</v>
      </c>
      <c r="B443" s="4">
        <v>2.2999999999999998</v>
      </c>
      <c r="C443" s="8">
        <v>92.5</v>
      </c>
      <c r="D443" s="8">
        <v>92.5</v>
      </c>
      <c r="E443" s="6">
        <v>140</v>
      </c>
      <c r="F443" s="34">
        <f t="shared" si="36"/>
        <v>322</v>
      </c>
      <c r="G443" s="83"/>
    </row>
    <row r="444" spans="1:7" x14ac:dyDescent="0.45">
      <c r="A444" s="3" t="s">
        <v>345</v>
      </c>
      <c r="B444" s="4">
        <v>3.6</v>
      </c>
      <c r="C444" s="8">
        <v>92.5</v>
      </c>
      <c r="D444" s="8">
        <v>92.5</v>
      </c>
      <c r="E444" s="6">
        <v>140</v>
      </c>
      <c r="F444" s="34">
        <f t="shared" si="36"/>
        <v>504</v>
      </c>
      <c r="G444" s="83"/>
    </row>
    <row r="445" spans="1:7" x14ac:dyDescent="0.45">
      <c r="A445" s="3" t="s">
        <v>346</v>
      </c>
      <c r="B445" s="4">
        <v>4.0999999999999996</v>
      </c>
      <c r="C445" s="8">
        <v>92.5</v>
      </c>
      <c r="D445" s="8">
        <v>92.5</v>
      </c>
      <c r="E445" s="6">
        <v>140</v>
      </c>
      <c r="F445" s="34">
        <f t="shared" si="36"/>
        <v>574</v>
      </c>
      <c r="G445" s="83"/>
    </row>
    <row r="446" spans="1:7" x14ac:dyDescent="0.45">
      <c r="A446" s="3" t="s">
        <v>347</v>
      </c>
      <c r="B446" s="4">
        <v>2.95</v>
      </c>
      <c r="C446" s="8">
        <v>92.5</v>
      </c>
      <c r="D446" s="8">
        <v>92.5</v>
      </c>
      <c r="E446" s="6">
        <v>140</v>
      </c>
      <c r="F446" s="34">
        <f t="shared" si="36"/>
        <v>413</v>
      </c>
      <c r="G446" s="83"/>
    </row>
    <row r="447" spans="1:7" x14ac:dyDescent="0.45">
      <c r="A447" s="3" t="s">
        <v>348</v>
      </c>
      <c r="B447" s="4">
        <v>3.07</v>
      </c>
      <c r="C447" s="8">
        <v>92.5</v>
      </c>
      <c r="D447" s="8">
        <v>92.5</v>
      </c>
      <c r="E447" s="6">
        <v>140</v>
      </c>
      <c r="F447" s="34">
        <f t="shared" si="36"/>
        <v>429.79999999999995</v>
      </c>
      <c r="G447" s="83"/>
    </row>
    <row r="448" spans="1:7" x14ac:dyDescent="0.45">
      <c r="A448" s="3" t="s">
        <v>349</v>
      </c>
      <c r="B448" s="4">
        <v>3.15</v>
      </c>
      <c r="C448" s="8">
        <v>92.5</v>
      </c>
      <c r="D448" s="8">
        <v>92.5</v>
      </c>
      <c r="E448" s="6">
        <v>140</v>
      </c>
      <c r="F448" s="34">
        <f t="shared" si="36"/>
        <v>441</v>
      </c>
      <c r="G448" s="83"/>
    </row>
    <row r="449" spans="1:7" x14ac:dyDescent="0.45">
      <c r="A449" s="3" t="s">
        <v>350</v>
      </c>
      <c r="B449" s="4">
        <v>2.57</v>
      </c>
      <c r="C449" s="8">
        <v>92.5</v>
      </c>
      <c r="D449" s="8">
        <v>92.5</v>
      </c>
      <c r="E449" s="6">
        <v>140</v>
      </c>
      <c r="F449" s="34">
        <f t="shared" si="36"/>
        <v>359.79999999999995</v>
      </c>
      <c r="G449" s="83"/>
    </row>
    <row r="450" spans="1:7" x14ac:dyDescent="0.45">
      <c r="A450" s="3" t="s">
        <v>351</v>
      </c>
      <c r="B450" s="4">
        <v>3.45</v>
      </c>
      <c r="C450" s="8">
        <v>92.5</v>
      </c>
      <c r="D450" s="8">
        <v>92.5</v>
      </c>
      <c r="E450" s="6">
        <v>140</v>
      </c>
      <c r="F450" s="34">
        <f t="shared" si="36"/>
        <v>483</v>
      </c>
      <c r="G450" s="83"/>
    </row>
    <row r="451" spans="1:7" x14ac:dyDescent="0.45">
      <c r="A451" s="3" t="s">
        <v>352</v>
      </c>
      <c r="B451" s="4">
        <v>3.15</v>
      </c>
      <c r="C451" s="8">
        <v>92.5</v>
      </c>
      <c r="D451" s="8">
        <v>92.5</v>
      </c>
      <c r="E451" s="6">
        <v>140</v>
      </c>
      <c r="F451" s="34">
        <f t="shared" si="36"/>
        <v>441</v>
      </c>
      <c r="G451" s="83"/>
    </row>
    <row r="452" spans="1:7" x14ac:dyDescent="0.45">
      <c r="A452" s="3" t="s">
        <v>353</v>
      </c>
      <c r="B452" s="4">
        <v>2.5499999999999998</v>
      </c>
      <c r="C452" s="8">
        <v>92.5</v>
      </c>
      <c r="D452" s="8">
        <v>92.5</v>
      </c>
      <c r="E452" s="6">
        <v>140</v>
      </c>
      <c r="F452" s="34">
        <f t="shared" si="36"/>
        <v>357</v>
      </c>
      <c r="G452" s="83"/>
    </row>
    <row r="453" spans="1:7" x14ac:dyDescent="0.45">
      <c r="A453" s="3" t="s">
        <v>354</v>
      </c>
      <c r="B453" s="4">
        <v>3.7</v>
      </c>
      <c r="C453" s="8">
        <v>92.5</v>
      </c>
      <c r="D453" s="8">
        <v>92.5</v>
      </c>
      <c r="E453" s="6">
        <v>140</v>
      </c>
      <c r="F453" s="34">
        <f t="shared" si="36"/>
        <v>518</v>
      </c>
      <c r="G453" s="83"/>
    </row>
    <row r="454" spans="1:7" x14ac:dyDescent="0.45">
      <c r="A454" s="3" t="s">
        <v>355</v>
      </c>
      <c r="B454" s="4">
        <v>3.81</v>
      </c>
      <c r="C454" s="8">
        <v>92.5</v>
      </c>
      <c r="D454" s="8">
        <v>92.5</v>
      </c>
      <c r="E454" s="6">
        <v>140</v>
      </c>
      <c r="F454" s="34">
        <f t="shared" si="36"/>
        <v>533.4</v>
      </c>
      <c r="G454" s="83"/>
    </row>
    <row r="455" spans="1:7" x14ac:dyDescent="0.45">
      <c r="A455" s="3" t="s">
        <v>356</v>
      </c>
      <c r="B455" s="4">
        <v>3.31</v>
      </c>
      <c r="C455" s="8">
        <v>92.5</v>
      </c>
      <c r="D455" s="8">
        <v>92.5</v>
      </c>
      <c r="E455" s="6">
        <v>140</v>
      </c>
      <c r="F455" s="34">
        <f t="shared" si="36"/>
        <v>463.40000000000003</v>
      </c>
      <c r="G455" s="83"/>
    </row>
    <row r="456" spans="1:7" x14ac:dyDescent="0.45">
      <c r="A456" s="3" t="s">
        <v>357</v>
      </c>
      <c r="B456" s="4">
        <v>1.4</v>
      </c>
      <c r="C456" s="8">
        <v>92.5</v>
      </c>
      <c r="D456" s="8">
        <v>92.5</v>
      </c>
      <c r="E456" s="6">
        <v>140</v>
      </c>
      <c r="F456" s="34">
        <f t="shared" si="36"/>
        <v>196</v>
      </c>
      <c r="G456" s="83"/>
    </row>
    <row r="457" spans="1:7" x14ac:dyDescent="0.45">
      <c r="A457" s="3" t="s">
        <v>358</v>
      </c>
      <c r="B457" s="4">
        <v>1.92</v>
      </c>
      <c r="C457" s="8">
        <v>92.5</v>
      </c>
      <c r="D457" s="8">
        <v>92.5</v>
      </c>
      <c r="E457" s="6">
        <v>140</v>
      </c>
      <c r="F457" s="34">
        <f t="shared" si="36"/>
        <v>268.8</v>
      </c>
      <c r="G457" s="83"/>
    </row>
    <row r="458" spans="1:7" x14ac:dyDescent="0.45">
      <c r="A458" s="3" t="s">
        <v>359</v>
      </c>
      <c r="B458" s="4">
        <v>1.96</v>
      </c>
      <c r="C458" s="8">
        <v>92.5</v>
      </c>
      <c r="D458" s="8">
        <v>92.5</v>
      </c>
      <c r="E458" s="6">
        <v>140</v>
      </c>
      <c r="F458" s="34">
        <f t="shared" si="36"/>
        <v>274.39999999999998</v>
      </c>
      <c r="G458" s="83"/>
    </row>
    <row r="459" spans="1:7" x14ac:dyDescent="0.45">
      <c r="A459" s="3" t="s">
        <v>360</v>
      </c>
      <c r="B459" s="4">
        <v>1.87</v>
      </c>
      <c r="C459" s="8">
        <v>92.5</v>
      </c>
      <c r="D459" s="8">
        <v>92.5</v>
      </c>
      <c r="E459" s="6">
        <v>140</v>
      </c>
      <c r="F459" s="34">
        <f t="shared" si="36"/>
        <v>261.8</v>
      </c>
      <c r="G459" s="83"/>
    </row>
    <row r="460" spans="1:7" x14ac:dyDescent="0.45">
      <c r="A460" s="3" t="s">
        <v>361</v>
      </c>
      <c r="B460" s="4">
        <v>1.9</v>
      </c>
      <c r="C460" s="8">
        <v>92.5</v>
      </c>
      <c r="D460" s="8">
        <v>92.5</v>
      </c>
      <c r="E460" s="6">
        <v>140</v>
      </c>
      <c r="F460" s="34">
        <f t="shared" si="36"/>
        <v>266</v>
      </c>
      <c r="G460" s="83"/>
    </row>
    <row r="461" spans="1:7" x14ac:dyDescent="0.45">
      <c r="A461" s="3" t="s">
        <v>362</v>
      </c>
      <c r="B461" s="4">
        <v>1.31</v>
      </c>
      <c r="C461" s="8">
        <v>92.5</v>
      </c>
      <c r="D461" s="8">
        <v>92.5</v>
      </c>
      <c r="E461" s="6">
        <v>140</v>
      </c>
      <c r="F461" s="34">
        <f t="shared" si="36"/>
        <v>183.4</v>
      </c>
      <c r="G461" s="83"/>
    </row>
    <row r="462" spans="1:7" x14ac:dyDescent="0.45">
      <c r="A462" s="3" t="s">
        <v>363</v>
      </c>
      <c r="B462" s="4">
        <v>1.75</v>
      </c>
      <c r="C462" s="8">
        <v>92.5</v>
      </c>
      <c r="D462" s="8">
        <v>92.5</v>
      </c>
      <c r="E462" s="6">
        <v>140</v>
      </c>
      <c r="F462" s="34">
        <f t="shared" si="36"/>
        <v>245</v>
      </c>
      <c r="G462" s="83"/>
    </row>
    <row r="463" spans="1:7" x14ac:dyDescent="0.45">
      <c r="A463" s="3" t="s">
        <v>364</v>
      </c>
      <c r="B463" s="4">
        <v>1.8</v>
      </c>
      <c r="C463" s="8">
        <v>92.5</v>
      </c>
      <c r="D463" s="8">
        <v>92.5</v>
      </c>
      <c r="E463" s="6">
        <v>140</v>
      </c>
      <c r="F463" s="34">
        <f t="shared" si="36"/>
        <v>252</v>
      </c>
      <c r="G463" s="83"/>
    </row>
    <row r="464" spans="1:7" x14ac:dyDescent="0.45">
      <c r="A464" s="3" t="s">
        <v>365</v>
      </c>
      <c r="B464" s="4">
        <v>1.68</v>
      </c>
      <c r="C464" s="8">
        <v>92.5</v>
      </c>
      <c r="D464" s="8">
        <v>92.5</v>
      </c>
      <c r="E464" s="6">
        <v>140</v>
      </c>
      <c r="F464" s="34">
        <f t="shared" si="36"/>
        <v>235.2</v>
      </c>
      <c r="G464" s="83"/>
    </row>
    <row r="465" spans="1:7" x14ac:dyDescent="0.45">
      <c r="A465" s="3" t="s">
        <v>366</v>
      </c>
      <c r="B465" s="4">
        <v>2.9</v>
      </c>
      <c r="C465" s="8">
        <v>92.5</v>
      </c>
      <c r="D465" s="8">
        <v>92.5</v>
      </c>
      <c r="E465" s="6">
        <v>140</v>
      </c>
      <c r="F465" s="34">
        <f t="shared" si="36"/>
        <v>406</v>
      </c>
      <c r="G465" s="83"/>
    </row>
    <row r="466" spans="1:7" x14ac:dyDescent="0.45">
      <c r="A466" s="3" t="s">
        <v>367</v>
      </c>
      <c r="B466" s="4">
        <v>1.28</v>
      </c>
      <c r="C466" s="8">
        <v>92.5</v>
      </c>
      <c r="D466" s="8">
        <v>92.5</v>
      </c>
      <c r="E466" s="6">
        <v>140</v>
      </c>
      <c r="F466" s="34">
        <f t="shared" si="36"/>
        <v>179.20000000000002</v>
      </c>
      <c r="G466" s="83"/>
    </row>
    <row r="467" spans="1:7" x14ac:dyDescent="0.45">
      <c r="A467" s="3" t="s">
        <v>368</v>
      </c>
      <c r="B467" s="4">
        <v>1.5</v>
      </c>
      <c r="C467" s="8">
        <v>92.5</v>
      </c>
      <c r="D467" s="8">
        <v>92.5</v>
      </c>
      <c r="E467" s="6">
        <v>140</v>
      </c>
      <c r="F467" s="34">
        <f t="shared" si="36"/>
        <v>210</v>
      </c>
      <c r="G467" s="83"/>
    </row>
    <row r="468" spans="1:7" x14ac:dyDescent="0.45">
      <c r="A468" s="3" t="s">
        <v>369</v>
      </c>
      <c r="B468" s="4">
        <v>1.8</v>
      </c>
      <c r="C468" s="8">
        <v>92.5</v>
      </c>
      <c r="D468" s="8">
        <v>92.5</v>
      </c>
      <c r="E468" s="6">
        <v>140</v>
      </c>
      <c r="F468" s="34">
        <f t="shared" si="36"/>
        <v>252</v>
      </c>
      <c r="G468" s="83"/>
    </row>
    <row r="469" spans="1:7" x14ac:dyDescent="0.45">
      <c r="A469" s="3" t="s">
        <v>370</v>
      </c>
      <c r="B469" s="4">
        <v>1.7</v>
      </c>
      <c r="C469" s="8">
        <v>92.5</v>
      </c>
      <c r="D469" s="8">
        <v>92.5</v>
      </c>
      <c r="E469" s="6">
        <v>140</v>
      </c>
      <c r="F469" s="34">
        <f t="shared" si="36"/>
        <v>238</v>
      </c>
      <c r="G469" s="83"/>
    </row>
    <row r="470" spans="1:7" x14ac:dyDescent="0.45">
      <c r="A470" s="3" t="s">
        <v>371</v>
      </c>
      <c r="B470" s="4">
        <v>1.5</v>
      </c>
      <c r="C470" s="8">
        <v>92.5</v>
      </c>
      <c r="D470" s="8">
        <v>92.5</v>
      </c>
      <c r="E470" s="6">
        <v>140</v>
      </c>
      <c r="F470" s="34">
        <f t="shared" si="36"/>
        <v>210</v>
      </c>
      <c r="G470" s="83"/>
    </row>
    <row r="471" spans="1:7" x14ac:dyDescent="0.45">
      <c r="A471" s="3" t="s">
        <v>372</v>
      </c>
      <c r="B471" s="4">
        <v>1.6</v>
      </c>
      <c r="C471" s="8">
        <v>92.5</v>
      </c>
      <c r="D471" s="8">
        <v>92.5</v>
      </c>
      <c r="E471" s="6">
        <v>140</v>
      </c>
      <c r="F471" s="34">
        <f t="shared" si="36"/>
        <v>224</v>
      </c>
      <c r="G471" s="83"/>
    </row>
    <row r="472" spans="1:7" x14ac:dyDescent="0.45">
      <c r="A472" s="3" t="s">
        <v>373</v>
      </c>
      <c r="B472" s="4">
        <v>1.6</v>
      </c>
      <c r="C472" s="8">
        <v>92.5</v>
      </c>
      <c r="D472" s="8">
        <v>92.5</v>
      </c>
      <c r="E472" s="6">
        <v>140</v>
      </c>
      <c r="F472" s="34">
        <f t="shared" si="36"/>
        <v>224</v>
      </c>
      <c r="G472" s="83"/>
    </row>
    <row r="473" spans="1:7" x14ac:dyDescent="0.45">
      <c r="A473" s="3" t="s">
        <v>374</v>
      </c>
      <c r="B473" s="4">
        <v>1.4</v>
      </c>
      <c r="C473" s="8">
        <v>92.5</v>
      </c>
      <c r="D473" s="8">
        <v>92.5</v>
      </c>
      <c r="E473" s="6">
        <v>140</v>
      </c>
      <c r="F473" s="34">
        <f t="shared" si="36"/>
        <v>196</v>
      </c>
      <c r="G473" s="83"/>
    </row>
    <row r="474" spans="1:7" x14ac:dyDescent="0.45">
      <c r="A474" s="3" t="s">
        <v>375</v>
      </c>
      <c r="B474" s="4">
        <v>1.6</v>
      </c>
      <c r="C474" s="8">
        <v>92.5</v>
      </c>
      <c r="D474" s="8">
        <v>92.5</v>
      </c>
      <c r="E474" s="6">
        <v>140</v>
      </c>
      <c r="F474" s="34">
        <f t="shared" si="36"/>
        <v>224</v>
      </c>
      <c r="G474" s="83"/>
    </row>
    <row r="475" spans="1:7" x14ac:dyDescent="0.45">
      <c r="A475" s="3" t="s">
        <v>376</v>
      </c>
      <c r="B475" s="4">
        <v>1.35</v>
      </c>
      <c r="C475" s="8">
        <v>92.5</v>
      </c>
      <c r="D475" s="8">
        <v>92.5</v>
      </c>
      <c r="E475" s="6">
        <v>140</v>
      </c>
      <c r="F475" s="34">
        <f t="shared" si="36"/>
        <v>189</v>
      </c>
      <c r="G475" s="83"/>
    </row>
    <row r="476" spans="1:7" x14ac:dyDescent="0.45">
      <c r="A476" s="3" t="s">
        <v>377</v>
      </c>
      <c r="B476" s="4">
        <v>1.6</v>
      </c>
      <c r="C476" s="8">
        <v>92.5</v>
      </c>
      <c r="D476" s="8">
        <v>92.5</v>
      </c>
      <c r="E476" s="6">
        <v>140</v>
      </c>
      <c r="F476" s="34">
        <f t="shared" si="36"/>
        <v>224</v>
      </c>
      <c r="G476" s="83"/>
    </row>
    <row r="477" spans="1:7" x14ac:dyDescent="0.45">
      <c r="A477" s="3" t="s">
        <v>378</v>
      </c>
      <c r="B477" s="4">
        <v>1.4</v>
      </c>
      <c r="C477" s="8">
        <v>92.5</v>
      </c>
      <c r="D477" s="8">
        <v>92.5</v>
      </c>
      <c r="E477" s="6">
        <v>140</v>
      </c>
      <c r="F477" s="34">
        <f t="shared" si="36"/>
        <v>196</v>
      </c>
      <c r="G477" s="83"/>
    </row>
    <row r="478" spans="1:7" x14ac:dyDescent="0.45">
      <c r="A478" s="3" t="s">
        <v>379</v>
      </c>
      <c r="B478" s="4">
        <v>1.25</v>
      </c>
      <c r="C478" s="8">
        <v>92.5</v>
      </c>
      <c r="D478" s="8">
        <v>92.5</v>
      </c>
      <c r="E478" s="6">
        <v>140</v>
      </c>
      <c r="F478" s="34">
        <f t="shared" si="36"/>
        <v>175</v>
      </c>
      <c r="G478" s="83"/>
    </row>
    <row r="479" spans="1:7" x14ac:dyDescent="0.45">
      <c r="A479" s="3" t="s">
        <v>380</v>
      </c>
      <c r="B479" s="4">
        <v>1.81</v>
      </c>
      <c r="C479" s="8">
        <v>92.5</v>
      </c>
      <c r="D479" s="8">
        <v>92.5</v>
      </c>
      <c r="E479" s="6">
        <v>140</v>
      </c>
      <c r="F479" s="34">
        <f t="shared" si="36"/>
        <v>253.4</v>
      </c>
      <c r="G479" s="83"/>
    </row>
    <row r="480" spans="1:7" x14ac:dyDescent="0.45">
      <c r="A480" s="3" t="s">
        <v>381</v>
      </c>
      <c r="B480" s="4">
        <v>1.25</v>
      </c>
      <c r="C480" s="8">
        <v>92.5</v>
      </c>
      <c r="D480" s="8">
        <v>92.5</v>
      </c>
      <c r="E480" s="6">
        <v>140</v>
      </c>
      <c r="F480" s="34">
        <f t="shared" si="36"/>
        <v>175</v>
      </c>
      <c r="G480" s="83"/>
    </row>
    <row r="481" spans="1:7" x14ac:dyDescent="0.45">
      <c r="A481" s="3" t="s">
        <v>382</v>
      </c>
      <c r="B481" s="4">
        <v>1.51</v>
      </c>
      <c r="C481" s="8">
        <v>92.5</v>
      </c>
      <c r="D481" s="8">
        <v>92.5</v>
      </c>
      <c r="E481" s="6">
        <v>140</v>
      </c>
      <c r="F481" s="34">
        <f t="shared" si="36"/>
        <v>211.4</v>
      </c>
      <c r="G481" s="83"/>
    </row>
    <row r="482" spans="1:7" x14ac:dyDescent="0.45">
      <c r="A482" s="3" t="s">
        <v>383</v>
      </c>
      <c r="B482" s="4">
        <v>1.35</v>
      </c>
      <c r="C482" s="8">
        <v>92.5</v>
      </c>
      <c r="D482" s="8">
        <v>92.5</v>
      </c>
      <c r="E482" s="6">
        <v>140</v>
      </c>
      <c r="F482" s="34">
        <f t="shared" si="36"/>
        <v>189</v>
      </c>
      <c r="G482" s="83"/>
    </row>
    <row r="483" spans="1:7" x14ac:dyDescent="0.45">
      <c r="A483" s="3" t="s">
        <v>384</v>
      </c>
      <c r="B483" s="4">
        <v>5.73</v>
      </c>
      <c r="C483" s="8">
        <v>92.5</v>
      </c>
      <c r="D483" s="8">
        <v>92.5</v>
      </c>
      <c r="E483" s="6">
        <v>127</v>
      </c>
      <c r="F483" s="34">
        <f t="shared" si="36"/>
        <v>727.71</v>
      </c>
      <c r="G483" s="83"/>
    </row>
    <row r="484" spans="1:7" x14ac:dyDescent="0.45">
      <c r="A484" s="3" t="s">
        <v>385</v>
      </c>
      <c r="B484" s="4">
        <v>6.39</v>
      </c>
      <c r="C484" s="8">
        <v>92.5</v>
      </c>
      <c r="D484" s="8">
        <v>92.5</v>
      </c>
      <c r="E484" s="6">
        <v>127</v>
      </c>
      <c r="F484" s="34">
        <f t="shared" si="36"/>
        <v>811.53</v>
      </c>
      <c r="G484" s="83"/>
    </row>
    <row r="485" spans="1:7" x14ac:dyDescent="0.45">
      <c r="A485" s="3" t="s">
        <v>386</v>
      </c>
      <c r="B485" s="4">
        <v>5.31</v>
      </c>
      <c r="C485" s="8">
        <v>92.5</v>
      </c>
      <c r="D485" s="8">
        <v>92.5</v>
      </c>
      <c r="E485" s="6">
        <v>127</v>
      </c>
      <c r="F485" s="34">
        <f t="shared" si="36"/>
        <v>674.37</v>
      </c>
      <c r="G485" s="83"/>
    </row>
    <row r="486" spans="1:7" x14ac:dyDescent="0.45">
      <c r="A486" s="3" t="s">
        <v>387</v>
      </c>
      <c r="B486" s="4">
        <v>5.12</v>
      </c>
      <c r="C486" s="8">
        <v>92.5</v>
      </c>
      <c r="D486" s="8">
        <v>92.5</v>
      </c>
      <c r="E486" s="6">
        <v>127</v>
      </c>
      <c r="F486" s="34">
        <f t="shared" si="36"/>
        <v>650.24</v>
      </c>
      <c r="G486" s="83"/>
    </row>
    <row r="487" spans="1:7" x14ac:dyDescent="0.45">
      <c r="A487" s="3" t="s">
        <v>388</v>
      </c>
      <c r="B487" s="4">
        <v>5.52</v>
      </c>
      <c r="C487" s="8">
        <v>92.5</v>
      </c>
      <c r="D487" s="8">
        <v>92.5</v>
      </c>
      <c r="E487" s="6">
        <v>127</v>
      </c>
      <c r="F487" s="34">
        <f t="shared" si="36"/>
        <v>701.04</v>
      </c>
      <c r="G487" s="83"/>
    </row>
    <row r="488" spans="1:7" x14ac:dyDescent="0.45">
      <c r="A488" s="3" t="s">
        <v>389</v>
      </c>
      <c r="B488" s="4">
        <v>5.58</v>
      </c>
      <c r="C488" s="8">
        <v>92.5</v>
      </c>
      <c r="D488" s="8">
        <v>92.5</v>
      </c>
      <c r="E488" s="6">
        <v>127</v>
      </c>
      <c r="F488" s="34">
        <f t="shared" si="36"/>
        <v>708.66</v>
      </c>
      <c r="G488" s="83"/>
    </row>
    <row r="489" spans="1:7" x14ac:dyDescent="0.45">
      <c r="A489" s="3" t="s">
        <v>390</v>
      </c>
      <c r="B489" s="4">
        <v>5.39</v>
      </c>
      <c r="C489" s="8">
        <v>92.5</v>
      </c>
      <c r="D489" s="8">
        <v>92.5</v>
      </c>
      <c r="E489" s="6">
        <v>127</v>
      </c>
      <c r="F489" s="34">
        <f t="shared" si="36"/>
        <v>684.53</v>
      </c>
      <c r="G489" s="83"/>
    </row>
    <row r="490" spans="1:7" x14ac:dyDescent="0.45">
      <c r="A490" s="3" t="s">
        <v>391</v>
      </c>
      <c r="B490" s="4">
        <v>5.8</v>
      </c>
      <c r="C490" s="8">
        <v>92.5</v>
      </c>
      <c r="D490" s="8">
        <v>92.5</v>
      </c>
      <c r="E490" s="6">
        <v>127</v>
      </c>
      <c r="F490" s="34">
        <f t="shared" si="36"/>
        <v>736.6</v>
      </c>
      <c r="G490" s="83"/>
    </row>
    <row r="491" spans="1:7" x14ac:dyDescent="0.45">
      <c r="A491" s="3" t="s">
        <v>392</v>
      </c>
      <c r="B491" s="4">
        <v>5</v>
      </c>
      <c r="C491" s="8">
        <v>92.5</v>
      </c>
      <c r="D491" s="8">
        <v>92.5</v>
      </c>
      <c r="E491" s="6">
        <v>127</v>
      </c>
      <c r="F491" s="34">
        <f t="shared" si="36"/>
        <v>635</v>
      </c>
      <c r="G491" s="83"/>
    </row>
    <row r="492" spans="1:7" x14ac:dyDescent="0.45">
      <c r="A492" s="3" t="s">
        <v>393</v>
      </c>
      <c r="B492" s="4">
        <v>5.3</v>
      </c>
      <c r="C492" s="8">
        <v>92.5</v>
      </c>
      <c r="D492" s="8">
        <v>92.5</v>
      </c>
      <c r="E492" s="6">
        <v>127</v>
      </c>
      <c r="F492" s="34">
        <f t="shared" si="36"/>
        <v>673.1</v>
      </c>
      <c r="G492" s="83"/>
    </row>
    <row r="493" spans="1:7" x14ac:dyDescent="0.45">
      <c r="A493" s="3" t="s">
        <v>394</v>
      </c>
      <c r="B493" s="4">
        <v>5.49</v>
      </c>
      <c r="C493" s="8">
        <v>92.5</v>
      </c>
      <c r="D493" s="8">
        <v>92.5</v>
      </c>
      <c r="E493" s="6">
        <v>127</v>
      </c>
      <c r="F493" s="34">
        <f t="shared" si="36"/>
        <v>697.23</v>
      </c>
      <c r="G493" s="83"/>
    </row>
    <row r="494" spans="1:7" x14ac:dyDescent="0.45">
      <c r="A494" s="3" t="s">
        <v>395</v>
      </c>
      <c r="B494" s="4">
        <v>5.1100000000000003</v>
      </c>
      <c r="C494" s="8">
        <v>92.5</v>
      </c>
      <c r="D494" s="8">
        <v>92.5</v>
      </c>
      <c r="E494" s="6">
        <v>127</v>
      </c>
      <c r="F494" s="34">
        <f t="shared" ref="F494:F557" si="37">B494*E494</f>
        <v>648.97</v>
      </c>
      <c r="G494" s="83"/>
    </row>
    <row r="495" spans="1:7" x14ac:dyDescent="0.45">
      <c r="A495" s="3" t="s">
        <v>396</v>
      </c>
      <c r="B495" s="4">
        <v>5</v>
      </c>
      <c r="C495" s="8">
        <v>92.5</v>
      </c>
      <c r="D495" s="8">
        <v>92.5</v>
      </c>
      <c r="E495" s="6">
        <v>127</v>
      </c>
      <c r="F495" s="34">
        <f t="shared" si="37"/>
        <v>635</v>
      </c>
      <c r="G495" s="83"/>
    </row>
    <row r="496" spans="1:7" x14ac:dyDescent="0.45">
      <c r="A496" s="3" t="s">
        <v>397</v>
      </c>
      <c r="B496" s="4">
        <v>5.31</v>
      </c>
      <c r="C496" s="8">
        <v>92.5</v>
      </c>
      <c r="D496" s="8">
        <v>92.5</v>
      </c>
      <c r="E496" s="6">
        <v>127</v>
      </c>
      <c r="F496" s="34">
        <f t="shared" si="37"/>
        <v>674.37</v>
      </c>
      <c r="G496" s="83"/>
    </row>
    <row r="497" spans="1:7" x14ac:dyDescent="0.45">
      <c r="A497" s="3" t="s">
        <v>398</v>
      </c>
      <c r="B497" s="4">
        <v>5.37</v>
      </c>
      <c r="C497" s="8">
        <v>92.5</v>
      </c>
      <c r="D497" s="8">
        <v>92.5</v>
      </c>
      <c r="E497" s="6">
        <v>127</v>
      </c>
      <c r="F497" s="34">
        <f t="shared" si="37"/>
        <v>681.99</v>
      </c>
      <c r="G497" s="83"/>
    </row>
    <row r="498" spans="1:7" x14ac:dyDescent="0.45">
      <c r="A498" s="3" t="s">
        <v>399</v>
      </c>
      <c r="B498" s="4">
        <v>5.44</v>
      </c>
      <c r="C498" s="8">
        <v>92.5</v>
      </c>
      <c r="D498" s="8">
        <v>92.5</v>
      </c>
      <c r="E498" s="6">
        <v>127</v>
      </c>
      <c r="F498" s="34">
        <f t="shared" si="37"/>
        <v>690.88</v>
      </c>
      <c r="G498" s="83"/>
    </row>
    <row r="499" spans="1:7" x14ac:dyDescent="0.45">
      <c r="A499" s="3" t="s">
        <v>400</v>
      </c>
      <c r="B499" s="4">
        <v>4.92</v>
      </c>
      <c r="C499" s="8">
        <v>92.5</v>
      </c>
      <c r="D499" s="8">
        <v>92.5</v>
      </c>
      <c r="E499" s="6">
        <v>127</v>
      </c>
      <c r="F499" s="34">
        <f t="shared" si="37"/>
        <v>624.84</v>
      </c>
      <c r="G499" s="83"/>
    </row>
    <row r="500" spans="1:7" x14ac:dyDescent="0.45">
      <c r="A500" s="3" t="s">
        <v>401</v>
      </c>
      <c r="B500" s="4">
        <v>5.12</v>
      </c>
      <c r="C500" s="8">
        <v>92.5</v>
      </c>
      <c r="D500" s="8">
        <v>92.5</v>
      </c>
      <c r="E500" s="6">
        <v>127</v>
      </c>
      <c r="F500" s="34">
        <f t="shared" si="37"/>
        <v>650.24</v>
      </c>
      <c r="G500" s="83"/>
    </row>
    <row r="501" spans="1:7" x14ac:dyDescent="0.45">
      <c r="A501" s="3" t="s">
        <v>402</v>
      </c>
      <c r="B501" s="4">
        <v>5.29</v>
      </c>
      <c r="C501" s="8">
        <v>92.5</v>
      </c>
      <c r="D501" s="8">
        <v>92.5</v>
      </c>
      <c r="E501" s="6">
        <v>127</v>
      </c>
      <c r="F501" s="34">
        <f t="shared" si="37"/>
        <v>671.83</v>
      </c>
      <c r="G501" s="83"/>
    </row>
    <row r="502" spans="1:7" x14ac:dyDescent="0.45">
      <c r="A502" s="3" t="s">
        <v>403</v>
      </c>
      <c r="B502" s="4">
        <v>4.7</v>
      </c>
      <c r="C502" s="8">
        <v>92.5</v>
      </c>
      <c r="D502" s="8">
        <v>92.5</v>
      </c>
      <c r="E502" s="6">
        <v>127</v>
      </c>
      <c r="F502" s="34">
        <f t="shared" si="37"/>
        <v>596.9</v>
      </c>
      <c r="G502" s="83"/>
    </row>
    <row r="503" spans="1:7" x14ac:dyDescent="0.45">
      <c r="A503" s="3" t="s">
        <v>404</v>
      </c>
      <c r="B503" s="4">
        <v>5.82</v>
      </c>
      <c r="C503" s="8">
        <v>92.5</v>
      </c>
      <c r="D503" s="8">
        <v>92.5</v>
      </c>
      <c r="E503" s="6">
        <v>127</v>
      </c>
      <c r="F503" s="34">
        <f t="shared" si="37"/>
        <v>739.14</v>
      </c>
      <c r="G503" s="83"/>
    </row>
    <row r="504" spans="1:7" x14ac:dyDescent="0.45">
      <c r="A504" s="3" t="s">
        <v>405</v>
      </c>
      <c r="B504" s="4">
        <v>2.09</v>
      </c>
      <c r="C504" s="8">
        <v>92.5</v>
      </c>
      <c r="D504" s="8">
        <v>92.5</v>
      </c>
      <c r="E504" s="6">
        <v>127</v>
      </c>
      <c r="F504" s="34">
        <f t="shared" si="37"/>
        <v>265.43</v>
      </c>
      <c r="G504" s="83"/>
    </row>
    <row r="505" spans="1:7" x14ac:dyDescent="0.45">
      <c r="A505" s="3" t="s">
        <v>406</v>
      </c>
      <c r="B505" s="4">
        <v>4.4000000000000004</v>
      </c>
      <c r="C505" s="8">
        <v>92.5</v>
      </c>
      <c r="D505" s="8">
        <v>92.5</v>
      </c>
      <c r="E505" s="6">
        <v>127</v>
      </c>
      <c r="F505" s="34">
        <f t="shared" si="37"/>
        <v>558.80000000000007</v>
      </c>
      <c r="G505" s="83"/>
    </row>
    <row r="506" spans="1:7" x14ac:dyDescent="0.45">
      <c r="A506" s="3" t="s">
        <v>407</v>
      </c>
      <c r="B506" s="4">
        <v>3.44</v>
      </c>
      <c r="C506" s="8">
        <v>92.5</v>
      </c>
      <c r="D506" s="8">
        <v>92.5</v>
      </c>
      <c r="E506" s="6">
        <v>127</v>
      </c>
      <c r="F506" s="34">
        <f t="shared" si="37"/>
        <v>436.88</v>
      </c>
      <c r="G506" s="83"/>
    </row>
    <row r="507" spans="1:7" x14ac:dyDescent="0.45">
      <c r="A507" s="3" t="s">
        <v>408</v>
      </c>
      <c r="B507" s="4">
        <v>3.46</v>
      </c>
      <c r="C507" s="8">
        <v>92.5</v>
      </c>
      <c r="D507" s="8">
        <v>92.5</v>
      </c>
      <c r="E507" s="6">
        <v>127</v>
      </c>
      <c r="F507" s="34">
        <f t="shared" si="37"/>
        <v>439.42</v>
      </c>
      <c r="G507" s="83"/>
    </row>
    <row r="508" spans="1:7" x14ac:dyDescent="0.45">
      <c r="A508" s="3" t="s">
        <v>409</v>
      </c>
      <c r="B508" s="4">
        <v>4.63</v>
      </c>
      <c r="C508" s="8">
        <v>92.5</v>
      </c>
      <c r="D508" s="8">
        <v>92.5</v>
      </c>
      <c r="E508" s="6">
        <v>127</v>
      </c>
      <c r="F508" s="34">
        <f t="shared" si="37"/>
        <v>588.01</v>
      </c>
      <c r="G508" s="83"/>
    </row>
    <row r="509" spans="1:7" x14ac:dyDescent="0.45">
      <c r="A509" s="3" t="s">
        <v>410</v>
      </c>
      <c r="B509" s="4">
        <v>4.1399999999999997</v>
      </c>
      <c r="C509" s="8">
        <v>92.5</v>
      </c>
      <c r="D509" s="8">
        <v>92.5</v>
      </c>
      <c r="E509" s="6">
        <v>127</v>
      </c>
      <c r="F509" s="34">
        <f t="shared" si="37"/>
        <v>525.78</v>
      </c>
      <c r="G509" s="83"/>
    </row>
    <row r="510" spans="1:7" x14ac:dyDescent="0.45">
      <c r="A510" s="3" t="s">
        <v>411</v>
      </c>
      <c r="B510" s="4">
        <v>4.0599999999999996</v>
      </c>
      <c r="C510" s="8">
        <v>92.5</v>
      </c>
      <c r="D510" s="8">
        <v>92.5</v>
      </c>
      <c r="E510" s="6">
        <v>127</v>
      </c>
      <c r="F510" s="34">
        <f t="shared" si="37"/>
        <v>515.62</v>
      </c>
      <c r="G510" s="83"/>
    </row>
    <row r="511" spans="1:7" x14ac:dyDescent="0.45">
      <c r="A511" s="3" t="s">
        <v>412</v>
      </c>
      <c r="B511" s="4">
        <v>4.3499999999999996</v>
      </c>
      <c r="C511" s="8">
        <v>92.5</v>
      </c>
      <c r="D511" s="8">
        <v>92.5</v>
      </c>
      <c r="E511" s="6">
        <v>127</v>
      </c>
      <c r="F511" s="34">
        <f t="shared" si="37"/>
        <v>552.44999999999993</v>
      </c>
      <c r="G511" s="83"/>
    </row>
    <row r="512" spans="1:7" x14ac:dyDescent="0.45">
      <c r="A512" s="3" t="s">
        <v>413</v>
      </c>
      <c r="B512" s="4">
        <v>3.35</v>
      </c>
      <c r="C512" s="8">
        <v>92.5</v>
      </c>
      <c r="D512" s="8">
        <v>92.5</v>
      </c>
      <c r="E512" s="6">
        <v>127</v>
      </c>
      <c r="F512" s="34">
        <f t="shared" si="37"/>
        <v>425.45</v>
      </c>
      <c r="G512" s="83"/>
    </row>
    <row r="513" spans="1:7" x14ac:dyDescent="0.45">
      <c r="A513" s="3" t="s">
        <v>414</v>
      </c>
      <c r="B513" s="4">
        <v>2.2599999999999998</v>
      </c>
      <c r="C513" s="8">
        <v>92.5</v>
      </c>
      <c r="D513" s="8">
        <v>92.5</v>
      </c>
      <c r="E513" s="6">
        <v>127</v>
      </c>
      <c r="F513" s="34">
        <f t="shared" si="37"/>
        <v>287.02</v>
      </c>
      <c r="G513" s="83"/>
    </row>
    <row r="514" spans="1:7" x14ac:dyDescent="0.45">
      <c r="A514" s="3" t="s">
        <v>415</v>
      </c>
      <c r="B514" s="4">
        <v>4.25</v>
      </c>
      <c r="C514" s="8">
        <v>92.5</v>
      </c>
      <c r="D514" s="8">
        <v>92.5</v>
      </c>
      <c r="E514" s="6">
        <v>127</v>
      </c>
      <c r="F514" s="34">
        <f t="shared" si="37"/>
        <v>539.75</v>
      </c>
      <c r="G514" s="83"/>
    </row>
    <row r="515" spans="1:7" x14ac:dyDescent="0.45">
      <c r="A515" s="3" t="s">
        <v>416</v>
      </c>
      <c r="B515" s="4">
        <v>5.0199999999999996</v>
      </c>
      <c r="C515" s="8">
        <v>92.5</v>
      </c>
      <c r="D515" s="8">
        <v>92.5</v>
      </c>
      <c r="E515" s="6">
        <v>127</v>
      </c>
      <c r="F515" s="34">
        <f t="shared" si="37"/>
        <v>637.54</v>
      </c>
      <c r="G515" s="83"/>
    </row>
    <row r="516" spans="1:7" x14ac:dyDescent="0.45">
      <c r="A516" s="3" t="s">
        <v>417</v>
      </c>
      <c r="B516" s="4">
        <v>3.87</v>
      </c>
      <c r="C516" s="8">
        <v>92.5</v>
      </c>
      <c r="D516" s="8">
        <v>92.5</v>
      </c>
      <c r="E516" s="6">
        <v>127</v>
      </c>
      <c r="F516" s="34">
        <f t="shared" si="37"/>
        <v>491.49</v>
      </c>
      <c r="G516" s="83"/>
    </row>
    <row r="517" spans="1:7" x14ac:dyDescent="0.45">
      <c r="A517" s="3" t="s">
        <v>418</v>
      </c>
      <c r="B517" s="4">
        <v>4.1100000000000003</v>
      </c>
      <c r="C517" s="8">
        <v>92.5</v>
      </c>
      <c r="D517" s="8">
        <v>92.5</v>
      </c>
      <c r="E517" s="6">
        <v>127</v>
      </c>
      <c r="F517" s="34">
        <f t="shared" si="37"/>
        <v>521.97</v>
      </c>
      <c r="G517" s="83"/>
    </row>
    <row r="518" spans="1:7" x14ac:dyDescent="0.45">
      <c r="A518" s="3" t="s">
        <v>419</v>
      </c>
      <c r="B518" s="4">
        <v>2.76</v>
      </c>
      <c r="C518" s="8">
        <v>92.5</v>
      </c>
      <c r="D518" s="8">
        <v>92.5</v>
      </c>
      <c r="E518" s="6">
        <v>127</v>
      </c>
      <c r="F518" s="34">
        <f t="shared" si="37"/>
        <v>350.52</v>
      </c>
      <c r="G518" s="83"/>
    </row>
    <row r="519" spans="1:7" x14ac:dyDescent="0.45">
      <c r="A519" s="3" t="s">
        <v>420</v>
      </c>
      <c r="B519" s="4">
        <v>1.93</v>
      </c>
      <c r="C519" s="8">
        <v>92.5</v>
      </c>
      <c r="D519" s="8">
        <v>92.5</v>
      </c>
      <c r="E519" s="6">
        <v>127</v>
      </c>
      <c r="F519" s="34">
        <f t="shared" si="37"/>
        <v>245.10999999999999</v>
      </c>
      <c r="G519" s="83"/>
    </row>
    <row r="520" spans="1:7" x14ac:dyDescent="0.45">
      <c r="A520" s="3" t="s">
        <v>421</v>
      </c>
      <c r="B520" s="4">
        <v>2.76</v>
      </c>
      <c r="C520" s="8">
        <v>92.5</v>
      </c>
      <c r="D520" s="8">
        <v>92.5</v>
      </c>
      <c r="E520" s="6">
        <v>127</v>
      </c>
      <c r="F520" s="34">
        <f t="shared" si="37"/>
        <v>350.52</v>
      </c>
      <c r="G520" s="83"/>
    </row>
    <row r="521" spans="1:7" x14ac:dyDescent="0.45">
      <c r="A521" s="3" t="s">
        <v>422</v>
      </c>
      <c r="B521" s="4">
        <v>2.88</v>
      </c>
      <c r="C521" s="8">
        <v>92.5</v>
      </c>
      <c r="D521" s="8">
        <v>92.5</v>
      </c>
      <c r="E521" s="6">
        <v>127</v>
      </c>
      <c r="F521" s="34">
        <f t="shared" si="37"/>
        <v>365.76</v>
      </c>
      <c r="G521" s="83"/>
    </row>
    <row r="522" spans="1:7" x14ac:dyDescent="0.45">
      <c r="A522" s="3" t="s">
        <v>423</v>
      </c>
      <c r="B522" s="4">
        <v>4.09</v>
      </c>
      <c r="C522" s="8">
        <v>92.5</v>
      </c>
      <c r="D522" s="8">
        <v>92.5</v>
      </c>
      <c r="E522" s="6">
        <v>127</v>
      </c>
      <c r="F522" s="34">
        <f t="shared" si="37"/>
        <v>519.42999999999995</v>
      </c>
      <c r="G522" s="83"/>
    </row>
    <row r="523" spans="1:7" x14ac:dyDescent="0.45">
      <c r="A523" s="3" t="s">
        <v>424</v>
      </c>
      <c r="B523" s="4">
        <v>3.03</v>
      </c>
      <c r="C523" s="8">
        <v>92.5</v>
      </c>
      <c r="D523" s="8">
        <v>92.5</v>
      </c>
      <c r="E523" s="6">
        <v>127</v>
      </c>
      <c r="F523" s="34">
        <f t="shared" si="37"/>
        <v>384.81</v>
      </c>
      <c r="G523" s="83"/>
    </row>
    <row r="524" spans="1:7" x14ac:dyDescent="0.45">
      <c r="A524" s="3" t="s">
        <v>425</v>
      </c>
      <c r="B524" s="4">
        <v>2.0699999999999998</v>
      </c>
      <c r="C524" s="8">
        <v>92.5</v>
      </c>
      <c r="D524" s="8">
        <v>92.5</v>
      </c>
      <c r="E524" s="6">
        <v>127</v>
      </c>
      <c r="F524" s="34">
        <f t="shared" si="37"/>
        <v>262.89</v>
      </c>
      <c r="G524" s="83"/>
    </row>
    <row r="525" spans="1:7" x14ac:dyDescent="0.45">
      <c r="A525" s="3" t="s">
        <v>426</v>
      </c>
      <c r="B525" s="4">
        <v>2.85</v>
      </c>
      <c r="C525" s="8">
        <v>92.5</v>
      </c>
      <c r="D525" s="8">
        <v>92.5</v>
      </c>
      <c r="E525" s="6">
        <v>127</v>
      </c>
      <c r="F525" s="34">
        <f t="shared" si="37"/>
        <v>361.95</v>
      </c>
      <c r="G525" s="83"/>
    </row>
    <row r="526" spans="1:7" x14ac:dyDescent="0.45">
      <c r="A526" s="3" t="s">
        <v>427</v>
      </c>
      <c r="B526" s="4">
        <v>2.73</v>
      </c>
      <c r="C526" s="8">
        <v>92.5</v>
      </c>
      <c r="D526" s="8">
        <v>92.5</v>
      </c>
      <c r="E526" s="6">
        <v>127</v>
      </c>
      <c r="F526" s="34">
        <f t="shared" si="37"/>
        <v>346.71</v>
      </c>
      <c r="G526" s="83"/>
    </row>
    <row r="527" spans="1:7" x14ac:dyDescent="0.45">
      <c r="A527" s="3" t="s">
        <v>428</v>
      </c>
      <c r="B527" s="4">
        <v>3.82</v>
      </c>
      <c r="C527" s="8">
        <v>92.5</v>
      </c>
      <c r="D527" s="8">
        <v>92.5</v>
      </c>
      <c r="E527" s="6">
        <v>127</v>
      </c>
      <c r="F527" s="34">
        <f t="shared" si="37"/>
        <v>485.14</v>
      </c>
      <c r="G527" s="83"/>
    </row>
    <row r="528" spans="1:7" x14ac:dyDescent="0.45">
      <c r="A528" s="3" t="s">
        <v>429</v>
      </c>
      <c r="B528" s="4">
        <v>2.73</v>
      </c>
      <c r="C528" s="8">
        <v>92.5</v>
      </c>
      <c r="D528" s="8">
        <v>92.5</v>
      </c>
      <c r="E528" s="6">
        <v>127</v>
      </c>
      <c r="F528" s="34">
        <f t="shared" si="37"/>
        <v>346.71</v>
      </c>
      <c r="G528" s="83"/>
    </row>
    <row r="529" spans="1:7" x14ac:dyDescent="0.45">
      <c r="A529" s="3" t="s">
        <v>430</v>
      </c>
      <c r="B529" s="4">
        <v>3.06</v>
      </c>
      <c r="C529" s="8">
        <v>92.5</v>
      </c>
      <c r="D529" s="8">
        <v>92.5</v>
      </c>
      <c r="E529" s="6">
        <v>127</v>
      </c>
      <c r="F529" s="34">
        <f t="shared" si="37"/>
        <v>388.62</v>
      </c>
      <c r="G529" s="83"/>
    </row>
    <row r="530" spans="1:7" x14ac:dyDescent="0.45">
      <c r="A530" s="3" t="s">
        <v>431</v>
      </c>
      <c r="B530" s="4">
        <v>1.88</v>
      </c>
      <c r="C530" s="8">
        <v>92.5</v>
      </c>
      <c r="D530" s="8">
        <v>92.5</v>
      </c>
      <c r="E530" s="6">
        <v>127</v>
      </c>
      <c r="F530" s="34">
        <f t="shared" si="37"/>
        <v>238.76</v>
      </c>
      <c r="G530" s="83"/>
    </row>
    <row r="531" spans="1:7" x14ac:dyDescent="0.45">
      <c r="A531" s="3" t="s">
        <v>432</v>
      </c>
      <c r="B531" s="4">
        <v>2.0099999999999998</v>
      </c>
      <c r="C531" s="8">
        <v>92.5</v>
      </c>
      <c r="D531" s="8">
        <v>92.5</v>
      </c>
      <c r="E531" s="6">
        <v>127</v>
      </c>
      <c r="F531" s="34">
        <f t="shared" si="37"/>
        <v>255.26999999999998</v>
      </c>
      <c r="G531" s="83"/>
    </row>
    <row r="532" spans="1:7" x14ac:dyDescent="0.45">
      <c r="A532" s="3" t="s">
        <v>433</v>
      </c>
      <c r="B532" s="4">
        <v>2.58</v>
      </c>
      <c r="C532" s="8">
        <v>92.5</v>
      </c>
      <c r="D532" s="8">
        <v>92.5</v>
      </c>
      <c r="E532" s="6">
        <v>127</v>
      </c>
      <c r="F532" s="34">
        <f t="shared" si="37"/>
        <v>327.66000000000003</v>
      </c>
      <c r="G532" s="83"/>
    </row>
    <row r="533" spans="1:7" x14ac:dyDescent="0.45">
      <c r="A533" s="3" t="s">
        <v>434</v>
      </c>
      <c r="B533" s="4">
        <v>2.72</v>
      </c>
      <c r="C533" s="8">
        <v>92.5</v>
      </c>
      <c r="D533" s="8">
        <v>92.5</v>
      </c>
      <c r="E533" s="6">
        <v>127</v>
      </c>
      <c r="F533" s="34">
        <f t="shared" si="37"/>
        <v>345.44</v>
      </c>
      <c r="G533" s="83"/>
    </row>
    <row r="534" spans="1:7" x14ac:dyDescent="0.45">
      <c r="A534" s="3" t="s">
        <v>435</v>
      </c>
      <c r="B534" s="4">
        <v>2.68</v>
      </c>
      <c r="C534" s="8">
        <v>92.5</v>
      </c>
      <c r="D534" s="8">
        <v>92.5</v>
      </c>
      <c r="E534" s="6">
        <v>127</v>
      </c>
      <c r="F534" s="34">
        <f t="shared" si="37"/>
        <v>340.36</v>
      </c>
      <c r="G534" s="83"/>
    </row>
    <row r="535" spans="1:7" x14ac:dyDescent="0.45">
      <c r="A535" s="3" t="s">
        <v>436</v>
      </c>
      <c r="B535" s="4">
        <v>2.6</v>
      </c>
      <c r="C535" s="8">
        <v>92.5</v>
      </c>
      <c r="D535" s="8">
        <v>92.5</v>
      </c>
      <c r="E535" s="6">
        <v>127</v>
      </c>
      <c r="F535" s="34">
        <f t="shared" si="37"/>
        <v>330.2</v>
      </c>
      <c r="G535" s="83"/>
    </row>
    <row r="536" spans="1:7" x14ac:dyDescent="0.45">
      <c r="A536" s="3" t="s">
        <v>437</v>
      </c>
      <c r="B536" s="4">
        <v>1.03</v>
      </c>
      <c r="C536" s="8">
        <v>92.5</v>
      </c>
      <c r="D536" s="8">
        <v>92.5</v>
      </c>
      <c r="E536" s="6">
        <v>127</v>
      </c>
      <c r="F536" s="34">
        <f t="shared" si="37"/>
        <v>130.81</v>
      </c>
      <c r="G536" s="83"/>
    </row>
    <row r="537" spans="1:7" x14ac:dyDescent="0.45">
      <c r="A537" s="3" t="s">
        <v>438</v>
      </c>
      <c r="B537" s="4">
        <v>2.48</v>
      </c>
      <c r="C537" s="8">
        <v>92.5</v>
      </c>
      <c r="D537" s="8">
        <v>92.5</v>
      </c>
      <c r="E537" s="6">
        <v>127</v>
      </c>
      <c r="F537" s="34">
        <f t="shared" si="37"/>
        <v>314.95999999999998</v>
      </c>
      <c r="G537" s="83"/>
    </row>
    <row r="538" spans="1:7" x14ac:dyDescent="0.45">
      <c r="A538" s="3" t="s">
        <v>439</v>
      </c>
      <c r="B538" s="4">
        <v>2.39</v>
      </c>
      <c r="C538" s="8">
        <v>92.5</v>
      </c>
      <c r="D538" s="8">
        <v>92.5</v>
      </c>
      <c r="E538" s="6">
        <v>127</v>
      </c>
      <c r="F538" s="34">
        <f t="shared" si="37"/>
        <v>303.53000000000003</v>
      </c>
      <c r="G538" s="83"/>
    </row>
    <row r="539" spans="1:7" x14ac:dyDescent="0.45">
      <c r="A539" s="3" t="s">
        <v>440</v>
      </c>
      <c r="B539" s="4">
        <v>2.6</v>
      </c>
      <c r="C539" s="8">
        <v>92.5</v>
      </c>
      <c r="D539" s="8">
        <v>92.5</v>
      </c>
      <c r="E539" s="6">
        <v>127</v>
      </c>
      <c r="F539" s="34">
        <f t="shared" si="37"/>
        <v>330.2</v>
      </c>
      <c r="G539" s="83"/>
    </row>
    <row r="540" spans="1:7" x14ac:dyDescent="0.45">
      <c r="A540" s="3" t="s">
        <v>441</v>
      </c>
      <c r="B540" s="4">
        <v>0.98</v>
      </c>
      <c r="C540" s="8">
        <v>92.5</v>
      </c>
      <c r="D540" s="8">
        <v>92.5</v>
      </c>
      <c r="E540" s="6">
        <v>127</v>
      </c>
      <c r="F540" s="34">
        <f t="shared" si="37"/>
        <v>124.46</v>
      </c>
      <c r="G540" s="83"/>
    </row>
    <row r="541" spans="1:7" x14ac:dyDescent="0.45">
      <c r="A541" s="3" t="s">
        <v>442</v>
      </c>
      <c r="B541" s="4">
        <v>1.1100000000000001</v>
      </c>
      <c r="C541" s="8">
        <v>92.5</v>
      </c>
      <c r="D541" s="8">
        <v>92.5</v>
      </c>
      <c r="E541" s="6">
        <v>127</v>
      </c>
      <c r="F541" s="34">
        <f t="shared" si="37"/>
        <v>140.97</v>
      </c>
      <c r="G541" s="83"/>
    </row>
    <row r="542" spans="1:7" x14ac:dyDescent="0.45">
      <c r="A542" s="3" t="s">
        <v>443</v>
      </c>
      <c r="B542" s="4">
        <v>1.1499999999999999</v>
      </c>
      <c r="C542" s="8">
        <v>92.5</v>
      </c>
      <c r="D542" s="8">
        <v>92.5</v>
      </c>
      <c r="E542" s="6">
        <v>127</v>
      </c>
      <c r="F542" s="34">
        <f t="shared" si="37"/>
        <v>146.04999999999998</v>
      </c>
      <c r="G542" s="83"/>
    </row>
    <row r="543" spans="1:7" x14ac:dyDescent="0.45">
      <c r="A543" s="3" t="s">
        <v>444</v>
      </c>
      <c r="B543" s="4">
        <v>2.99</v>
      </c>
      <c r="C543" s="8">
        <v>92.5</v>
      </c>
      <c r="D543" s="8">
        <v>92.5</v>
      </c>
      <c r="E543" s="6">
        <v>127</v>
      </c>
      <c r="F543" s="34">
        <f t="shared" si="37"/>
        <v>379.73</v>
      </c>
      <c r="G543" s="83"/>
    </row>
    <row r="544" spans="1:7" x14ac:dyDescent="0.45">
      <c r="A544" s="3" t="s">
        <v>445</v>
      </c>
      <c r="B544" s="4">
        <v>2.56</v>
      </c>
      <c r="C544" s="8">
        <v>92.5</v>
      </c>
      <c r="D544" s="8">
        <v>92.5</v>
      </c>
      <c r="E544" s="6">
        <v>127</v>
      </c>
      <c r="F544" s="34">
        <f t="shared" si="37"/>
        <v>325.12</v>
      </c>
      <c r="G544" s="83"/>
    </row>
    <row r="545" spans="1:7" x14ac:dyDescent="0.45">
      <c r="A545" s="3" t="s">
        <v>446</v>
      </c>
      <c r="B545" s="4">
        <v>2.63</v>
      </c>
      <c r="C545" s="8">
        <v>92.5</v>
      </c>
      <c r="D545" s="8">
        <v>92.5</v>
      </c>
      <c r="E545" s="6">
        <v>127</v>
      </c>
      <c r="F545" s="34">
        <f t="shared" si="37"/>
        <v>334.01</v>
      </c>
      <c r="G545" s="83"/>
    </row>
    <row r="546" spans="1:7" x14ac:dyDescent="0.45">
      <c r="A546" s="3" t="s">
        <v>447</v>
      </c>
      <c r="B546" s="4">
        <v>1.07</v>
      </c>
      <c r="C546" s="8">
        <v>92.5</v>
      </c>
      <c r="D546" s="8">
        <v>92.5</v>
      </c>
      <c r="E546" s="6">
        <v>127</v>
      </c>
      <c r="F546" s="34">
        <f t="shared" si="37"/>
        <v>135.89000000000001</v>
      </c>
      <c r="G546" s="83"/>
    </row>
    <row r="547" spans="1:7" x14ac:dyDescent="0.45">
      <c r="A547" s="3" t="s">
        <v>448</v>
      </c>
      <c r="B547" s="4">
        <v>2.76</v>
      </c>
      <c r="C547" s="8">
        <v>92.5</v>
      </c>
      <c r="D547" s="8">
        <v>92.5</v>
      </c>
      <c r="E547" s="6">
        <v>127</v>
      </c>
      <c r="F547" s="34">
        <f t="shared" si="37"/>
        <v>350.52</v>
      </c>
      <c r="G547" s="83"/>
    </row>
    <row r="548" spans="1:7" x14ac:dyDescent="0.45">
      <c r="A548" s="3" t="s">
        <v>449</v>
      </c>
      <c r="B548" s="4">
        <v>2.52</v>
      </c>
      <c r="C548" s="8">
        <v>92.5</v>
      </c>
      <c r="D548" s="8">
        <v>92.5</v>
      </c>
      <c r="E548" s="6">
        <v>127</v>
      </c>
      <c r="F548" s="34">
        <f t="shared" si="37"/>
        <v>320.04000000000002</v>
      </c>
      <c r="G548" s="83"/>
    </row>
    <row r="549" spans="1:7" x14ac:dyDescent="0.45">
      <c r="A549" s="3" t="s">
        <v>450</v>
      </c>
      <c r="B549" s="4">
        <v>1.1200000000000001</v>
      </c>
      <c r="C549" s="8">
        <v>92.5</v>
      </c>
      <c r="D549" s="8">
        <v>92.5</v>
      </c>
      <c r="E549" s="6">
        <v>127</v>
      </c>
      <c r="F549" s="34">
        <f t="shared" si="37"/>
        <v>142.24</v>
      </c>
      <c r="G549" s="83"/>
    </row>
    <row r="550" spans="1:7" x14ac:dyDescent="0.45">
      <c r="A550" s="3" t="s">
        <v>451</v>
      </c>
      <c r="B550" s="4">
        <v>1.26</v>
      </c>
      <c r="C550" s="8">
        <v>92.5</v>
      </c>
      <c r="D550" s="8">
        <v>92.5</v>
      </c>
      <c r="E550" s="6">
        <v>127</v>
      </c>
      <c r="F550" s="34">
        <f t="shared" si="37"/>
        <v>160.02000000000001</v>
      </c>
      <c r="G550" s="83"/>
    </row>
    <row r="551" spans="1:7" x14ac:dyDescent="0.45">
      <c r="A551" s="3" t="s">
        <v>452</v>
      </c>
      <c r="B551" s="4">
        <v>2.4</v>
      </c>
      <c r="C551" s="8">
        <v>92.5</v>
      </c>
      <c r="D551" s="8">
        <v>92.5</v>
      </c>
      <c r="E551" s="6">
        <v>127</v>
      </c>
      <c r="F551" s="34">
        <f t="shared" si="37"/>
        <v>304.8</v>
      </c>
      <c r="G551" s="83"/>
    </row>
    <row r="552" spans="1:7" x14ac:dyDescent="0.45">
      <c r="A552" s="3" t="s">
        <v>453</v>
      </c>
      <c r="B552" s="4">
        <v>2.72</v>
      </c>
      <c r="C552" s="8">
        <v>92.5</v>
      </c>
      <c r="D552" s="8">
        <v>92.5</v>
      </c>
      <c r="E552" s="6">
        <v>127</v>
      </c>
      <c r="F552" s="34">
        <f t="shared" si="37"/>
        <v>345.44</v>
      </c>
      <c r="G552" s="83"/>
    </row>
    <row r="553" spans="1:7" x14ac:dyDescent="0.45">
      <c r="A553" s="3" t="s">
        <v>454</v>
      </c>
      <c r="B553" s="4">
        <v>2.31</v>
      </c>
      <c r="C553" s="8">
        <v>92.5</v>
      </c>
      <c r="D553" s="8">
        <v>92.5</v>
      </c>
      <c r="E553" s="6">
        <v>127</v>
      </c>
      <c r="F553" s="34">
        <f t="shared" si="37"/>
        <v>293.37</v>
      </c>
      <c r="G553" s="83"/>
    </row>
    <row r="554" spans="1:7" x14ac:dyDescent="0.45">
      <c r="A554" s="3" t="s">
        <v>455</v>
      </c>
      <c r="B554" s="4">
        <v>1.1100000000000001</v>
      </c>
      <c r="C554" s="8">
        <v>92.5</v>
      </c>
      <c r="D554" s="8">
        <v>92.5</v>
      </c>
      <c r="E554" s="6">
        <v>127</v>
      </c>
      <c r="F554" s="34">
        <f t="shared" si="37"/>
        <v>140.97</v>
      </c>
      <c r="G554" s="83"/>
    </row>
    <row r="555" spans="1:7" x14ac:dyDescent="0.45">
      <c r="A555" s="3" t="s">
        <v>456</v>
      </c>
      <c r="B555" s="4">
        <v>2.79</v>
      </c>
      <c r="C555" s="8">
        <v>92.5</v>
      </c>
      <c r="D555" s="8">
        <v>92.5</v>
      </c>
      <c r="E555" s="6">
        <v>127</v>
      </c>
      <c r="F555" s="34">
        <f t="shared" si="37"/>
        <v>354.33</v>
      </c>
      <c r="G555" s="83"/>
    </row>
    <row r="556" spans="1:7" x14ac:dyDescent="0.45">
      <c r="A556" s="3" t="s">
        <v>457</v>
      </c>
      <c r="B556" s="4">
        <v>0.96</v>
      </c>
      <c r="C556" s="8">
        <v>92.5</v>
      </c>
      <c r="D556" s="8">
        <v>92.5</v>
      </c>
      <c r="E556" s="6">
        <v>127</v>
      </c>
      <c r="F556" s="34">
        <f t="shared" si="37"/>
        <v>121.92</v>
      </c>
      <c r="G556" s="83"/>
    </row>
    <row r="557" spans="1:7" x14ac:dyDescent="0.45">
      <c r="A557" s="3" t="s">
        <v>458</v>
      </c>
      <c r="B557" s="4">
        <v>1.1399999999999999</v>
      </c>
      <c r="C557" s="8">
        <v>92.5</v>
      </c>
      <c r="D557" s="8">
        <v>92.5</v>
      </c>
      <c r="E557" s="6">
        <v>127</v>
      </c>
      <c r="F557" s="34">
        <f t="shared" si="37"/>
        <v>144.78</v>
      </c>
      <c r="G557" s="83"/>
    </row>
    <row r="558" spans="1:7" x14ac:dyDescent="0.45">
      <c r="A558" s="3" t="s">
        <v>459</v>
      </c>
      <c r="B558" s="4">
        <v>1.22</v>
      </c>
      <c r="C558" s="8">
        <v>92.5</v>
      </c>
      <c r="D558" s="8">
        <v>92.5</v>
      </c>
      <c r="E558" s="6">
        <v>127</v>
      </c>
      <c r="F558" s="34">
        <f t="shared" ref="F558:F621" si="38">B558*E558</f>
        <v>154.94</v>
      </c>
      <c r="G558" s="83"/>
    </row>
    <row r="559" spans="1:7" x14ac:dyDescent="0.45">
      <c r="A559" s="3" t="s">
        <v>460</v>
      </c>
      <c r="B559" s="4">
        <v>1.1200000000000001</v>
      </c>
      <c r="C559" s="8">
        <v>92.5</v>
      </c>
      <c r="D559" s="8">
        <v>92.5</v>
      </c>
      <c r="E559" s="6">
        <v>127</v>
      </c>
      <c r="F559" s="34">
        <f t="shared" si="38"/>
        <v>142.24</v>
      </c>
      <c r="G559" s="83"/>
    </row>
    <row r="560" spans="1:7" x14ac:dyDescent="0.45">
      <c r="A560" s="3" t="s">
        <v>461</v>
      </c>
      <c r="B560" s="4">
        <v>1.25</v>
      </c>
      <c r="C560" s="8">
        <v>92.5</v>
      </c>
      <c r="D560" s="8">
        <v>92.5</v>
      </c>
      <c r="E560" s="6">
        <v>127</v>
      </c>
      <c r="F560" s="34">
        <f t="shared" si="38"/>
        <v>158.75</v>
      </c>
      <c r="G560" s="83"/>
    </row>
    <row r="561" spans="1:7" x14ac:dyDescent="0.45">
      <c r="A561" s="3" t="s">
        <v>462</v>
      </c>
      <c r="B561" s="4">
        <v>1.1299999999999999</v>
      </c>
      <c r="C561" s="8">
        <v>92.5</v>
      </c>
      <c r="D561" s="8">
        <v>92.5</v>
      </c>
      <c r="E561" s="6">
        <v>127</v>
      </c>
      <c r="F561" s="34">
        <f t="shared" si="38"/>
        <v>143.51</v>
      </c>
      <c r="G561" s="83"/>
    </row>
    <row r="562" spans="1:7" x14ac:dyDescent="0.45">
      <c r="A562" s="3" t="s">
        <v>463</v>
      </c>
      <c r="B562" s="4">
        <v>1.1299999999999999</v>
      </c>
      <c r="C562" s="8">
        <v>92.5</v>
      </c>
      <c r="D562" s="8">
        <v>92.5</v>
      </c>
      <c r="E562" s="6">
        <v>127</v>
      </c>
      <c r="F562" s="34">
        <f t="shared" si="38"/>
        <v>143.51</v>
      </c>
      <c r="G562" s="83"/>
    </row>
    <row r="563" spans="1:7" x14ac:dyDescent="0.45">
      <c r="A563" s="3" t="s">
        <v>464</v>
      </c>
      <c r="B563" s="4">
        <v>5.42</v>
      </c>
      <c r="C563" s="8">
        <v>92.5</v>
      </c>
      <c r="D563" s="8">
        <v>92.5</v>
      </c>
      <c r="E563" s="6">
        <v>127</v>
      </c>
      <c r="F563" s="34">
        <f t="shared" si="38"/>
        <v>688.34</v>
      </c>
      <c r="G563" s="83"/>
    </row>
    <row r="564" spans="1:7" x14ac:dyDescent="0.45">
      <c r="A564" s="3" t="s">
        <v>465</v>
      </c>
      <c r="B564" s="4">
        <v>5.25</v>
      </c>
      <c r="C564" s="8">
        <v>92.5</v>
      </c>
      <c r="D564" s="8">
        <v>92.5</v>
      </c>
      <c r="E564" s="6">
        <v>140</v>
      </c>
      <c r="F564" s="34">
        <f t="shared" si="38"/>
        <v>735</v>
      </c>
      <c r="G564" s="83"/>
    </row>
    <row r="565" spans="1:7" x14ac:dyDescent="0.45">
      <c r="A565" s="3" t="s">
        <v>466</v>
      </c>
      <c r="B565" s="4">
        <v>2.0499999999999998</v>
      </c>
      <c r="C565" s="8">
        <v>92.5</v>
      </c>
      <c r="D565" s="8">
        <v>92.5</v>
      </c>
      <c r="E565" s="6">
        <v>131.65</v>
      </c>
      <c r="F565" s="34">
        <f t="shared" si="38"/>
        <v>269.88249999999999</v>
      </c>
      <c r="G565" s="83"/>
    </row>
    <row r="566" spans="1:7" x14ac:dyDescent="0.45">
      <c r="A566" s="3" t="s">
        <v>467</v>
      </c>
      <c r="B566" s="4">
        <v>3</v>
      </c>
      <c r="C566" s="8">
        <v>92.5</v>
      </c>
      <c r="D566" s="8">
        <v>92.5</v>
      </c>
      <c r="E566" s="6">
        <v>131.65</v>
      </c>
      <c r="F566" s="34">
        <f t="shared" si="38"/>
        <v>394.95000000000005</v>
      </c>
      <c r="G566" s="83"/>
    </row>
    <row r="567" spans="1:7" x14ac:dyDescent="0.45">
      <c r="A567" s="3" t="s">
        <v>468</v>
      </c>
      <c r="B567" s="4">
        <v>2.14</v>
      </c>
      <c r="C567" s="8">
        <v>92.5</v>
      </c>
      <c r="D567" s="8">
        <v>92.5</v>
      </c>
      <c r="E567" s="6">
        <v>131.65</v>
      </c>
      <c r="F567" s="34">
        <f t="shared" si="38"/>
        <v>281.73100000000005</v>
      </c>
      <c r="G567" s="83"/>
    </row>
    <row r="568" spans="1:7" x14ac:dyDescent="0.45">
      <c r="A568" s="3" t="s">
        <v>469</v>
      </c>
      <c r="B568" s="4">
        <v>2.12</v>
      </c>
      <c r="C568" s="8">
        <v>92.5</v>
      </c>
      <c r="D568" s="8">
        <v>92.5</v>
      </c>
      <c r="E568" s="6">
        <v>131.65</v>
      </c>
      <c r="F568" s="34">
        <f t="shared" si="38"/>
        <v>279.09800000000001</v>
      </c>
      <c r="G568" s="83"/>
    </row>
    <row r="569" spans="1:7" x14ac:dyDescent="0.45">
      <c r="A569" s="3" t="s">
        <v>470</v>
      </c>
      <c r="B569" s="4">
        <v>2.2000000000000002</v>
      </c>
      <c r="C569" s="8">
        <v>92.5</v>
      </c>
      <c r="D569" s="8">
        <v>92.5</v>
      </c>
      <c r="E569" s="6">
        <v>131.65</v>
      </c>
      <c r="F569" s="34">
        <f t="shared" si="38"/>
        <v>289.63000000000005</v>
      </c>
      <c r="G569" s="83"/>
    </row>
    <row r="570" spans="1:7" x14ac:dyDescent="0.45">
      <c r="A570" s="3" t="s">
        <v>471</v>
      </c>
      <c r="B570" s="4">
        <v>2.7</v>
      </c>
      <c r="C570" s="8">
        <v>92.5</v>
      </c>
      <c r="D570" s="8">
        <v>92.5</v>
      </c>
      <c r="E570" s="6">
        <v>131.65</v>
      </c>
      <c r="F570" s="34">
        <f t="shared" si="38"/>
        <v>355.45500000000004</v>
      </c>
      <c r="G570" s="83"/>
    </row>
    <row r="571" spans="1:7" x14ac:dyDescent="0.45">
      <c r="A571" s="3" t="s">
        <v>472</v>
      </c>
      <c r="B571" s="4">
        <v>3</v>
      </c>
      <c r="C571" s="8">
        <v>92.5</v>
      </c>
      <c r="D571" s="8">
        <v>92.5</v>
      </c>
      <c r="E571" s="6">
        <v>131.65</v>
      </c>
      <c r="F571" s="34">
        <f t="shared" si="38"/>
        <v>394.95000000000005</v>
      </c>
      <c r="G571" s="83"/>
    </row>
    <row r="572" spans="1:7" x14ac:dyDescent="0.45">
      <c r="A572" s="3" t="s">
        <v>473</v>
      </c>
      <c r="B572" s="4">
        <v>5.67</v>
      </c>
      <c r="C572" s="8">
        <v>92.5</v>
      </c>
      <c r="D572" s="8">
        <v>92.5</v>
      </c>
      <c r="E572" s="6">
        <v>131.65</v>
      </c>
      <c r="F572" s="34">
        <f>B572*E572</f>
        <v>746.45550000000003</v>
      </c>
      <c r="G572" s="83"/>
    </row>
    <row r="573" spans="1:7" x14ac:dyDescent="0.45">
      <c r="A573" s="3" t="s">
        <v>474</v>
      </c>
      <c r="B573" s="4">
        <v>5.82</v>
      </c>
      <c r="C573" s="8">
        <v>92.5</v>
      </c>
      <c r="D573" s="8">
        <v>92.5</v>
      </c>
      <c r="E573" s="6">
        <v>131.65</v>
      </c>
      <c r="F573" s="34">
        <f t="shared" si="38"/>
        <v>766.20300000000009</v>
      </c>
      <c r="G573" s="83"/>
    </row>
    <row r="574" spans="1:7" x14ac:dyDescent="0.45">
      <c r="A574" s="3" t="s">
        <v>475</v>
      </c>
      <c r="B574" s="4">
        <v>6.12</v>
      </c>
      <c r="C574" s="8">
        <v>92.5</v>
      </c>
      <c r="D574" s="8">
        <v>92.5</v>
      </c>
      <c r="E574" s="6">
        <v>131.65</v>
      </c>
      <c r="F574" s="34">
        <f t="shared" si="38"/>
        <v>805.69800000000009</v>
      </c>
      <c r="G574" s="83"/>
    </row>
    <row r="575" spans="1:7" x14ac:dyDescent="0.45">
      <c r="A575" s="3" t="s">
        <v>476</v>
      </c>
      <c r="B575" s="4">
        <v>5.95</v>
      </c>
      <c r="C575" s="8">
        <v>92.5</v>
      </c>
      <c r="D575" s="8">
        <v>92.5</v>
      </c>
      <c r="E575" s="6">
        <v>131.65</v>
      </c>
      <c r="F575" s="34">
        <f t="shared" si="38"/>
        <v>783.31750000000011</v>
      </c>
      <c r="G575" s="83"/>
    </row>
    <row r="576" spans="1:7" x14ac:dyDescent="0.45">
      <c r="A576" s="3" t="s">
        <v>477</v>
      </c>
      <c r="B576" s="4">
        <v>5.7</v>
      </c>
      <c r="C576" s="8">
        <v>92.5</v>
      </c>
      <c r="D576" s="8">
        <v>92.5</v>
      </c>
      <c r="E576" s="6">
        <v>131.65</v>
      </c>
      <c r="F576" s="34">
        <f t="shared" si="38"/>
        <v>750.40500000000009</v>
      </c>
      <c r="G576" s="83"/>
    </row>
    <row r="577" spans="1:7" x14ac:dyDescent="0.45">
      <c r="A577" s="3" t="s">
        <v>478</v>
      </c>
      <c r="B577" s="4">
        <v>5.72</v>
      </c>
      <c r="C577" s="8">
        <v>92.5</v>
      </c>
      <c r="D577" s="8">
        <v>92.5</v>
      </c>
      <c r="E577" s="6">
        <v>131.65</v>
      </c>
      <c r="F577" s="34">
        <f t="shared" si="38"/>
        <v>753.03800000000001</v>
      </c>
      <c r="G577" s="83"/>
    </row>
    <row r="578" spans="1:7" x14ac:dyDescent="0.45">
      <c r="A578" s="3" t="s">
        <v>479</v>
      </c>
      <c r="B578" s="4">
        <v>5.88</v>
      </c>
      <c r="C578" s="8">
        <v>92.5</v>
      </c>
      <c r="D578" s="8">
        <v>92.5</v>
      </c>
      <c r="E578" s="6">
        <v>131.65</v>
      </c>
      <c r="F578" s="34">
        <f t="shared" si="38"/>
        <v>774.10199999999998</v>
      </c>
      <c r="G578" s="83"/>
    </row>
    <row r="579" spans="1:7" x14ac:dyDescent="0.45">
      <c r="A579" s="3" t="s">
        <v>480</v>
      </c>
      <c r="B579" s="4">
        <v>3.55</v>
      </c>
      <c r="C579" s="8">
        <v>92.5</v>
      </c>
      <c r="D579" s="8">
        <v>92.5</v>
      </c>
      <c r="E579" s="6">
        <v>131.65</v>
      </c>
      <c r="F579" s="34">
        <f t="shared" si="38"/>
        <v>467.35750000000002</v>
      </c>
      <c r="G579" s="83"/>
    </row>
    <row r="580" spans="1:7" x14ac:dyDescent="0.45">
      <c r="A580" s="3" t="s">
        <v>481</v>
      </c>
      <c r="B580" s="4">
        <v>3.4</v>
      </c>
      <c r="C580" s="8">
        <v>92.5</v>
      </c>
      <c r="D580" s="8">
        <v>92.5</v>
      </c>
      <c r="E580" s="6">
        <v>131.65</v>
      </c>
      <c r="F580" s="34">
        <f t="shared" si="38"/>
        <v>447.61</v>
      </c>
      <c r="G580" s="83"/>
    </row>
    <row r="581" spans="1:7" x14ac:dyDescent="0.45">
      <c r="A581" s="3" t="s">
        <v>482</v>
      </c>
      <c r="B581" s="4">
        <v>3.5</v>
      </c>
      <c r="C581" s="8">
        <v>92.5</v>
      </c>
      <c r="D581" s="8">
        <v>92.5</v>
      </c>
      <c r="E581" s="6">
        <v>131.65</v>
      </c>
      <c r="F581" s="34">
        <f t="shared" si="38"/>
        <v>460.77500000000003</v>
      </c>
      <c r="G581" s="83"/>
    </row>
    <row r="582" spans="1:7" x14ac:dyDescent="0.45">
      <c r="A582" s="3" t="s">
        <v>483</v>
      </c>
      <c r="B582" s="4">
        <v>3.3</v>
      </c>
      <c r="C582" s="8">
        <v>92.5</v>
      </c>
      <c r="D582" s="8">
        <v>92.5</v>
      </c>
      <c r="E582" s="6">
        <v>131.65</v>
      </c>
      <c r="F582" s="34">
        <f t="shared" si="38"/>
        <v>434.44499999999999</v>
      </c>
      <c r="G582" s="83"/>
    </row>
    <row r="583" spans="1:7" x14ac:dyDescent="0.45">
      <c r="A583" s="3" t="s">
        <v>484</v>
      </c>
      <c r="B583" s="4">
        <v>4.0999999999999996</v>
      </c>
      <c r="C583" s="8">
        <v>92.5</v>
      </c>
      <c r="D583" s="8">
        <v>92.5</v>
      </c>
      <c r="E583" s="6">
        <v>131.65</v>
      </c>
      <c r="F583" s="34">
        <f t="shared" si="38"/>
        <v>539.76499999999999</v>
      </c>
      <c r="G583" s="83"/>
    </row>
    <row r="584" spans="1:7" x14ac:dyDescent="0.45">
      <c r="A584" s="3" t="s">
        <v>485</v>
      </c>
      <c r="B584" s="4">
        <v>5.22</v>
      </c>
      <c r="C584" s="8">
        <v>92.5</v>
      </c>
      <c r="D584" s="8">
        <v>92.5</v>
      </c>
      <c r="E584" s="6">
        <v>131.65</v>
      </c>
      <c r="F584" s="34">
        <f t="shared" si="38"/>
        <v>687.21299999999997</v>
      </c>
      <c r="G584" s="83"/>
    </row>
    <row r="585" spans="1:7" x14ac:dyDescent="0.45">
      <c r="A585" s="3" t="s">
        <v>486</v>
      </c>
      <c r="B585" s="4">
        <v>4.05</v>
      </c>
      <c r="C585" s="8">
        <v>92.5</v>
      </c>
      <c r="D585" s="8">
        <v>92.5</v>
      </c>
      <c r="E585" s="6">
        <v>131.65</v>
      </c>
      <c r="F585" s="34">
        <f t="shared" si="38"/>
        <v>533.1825</v>
      </c>
      <c r="G585" s="83"/>
    </row>
    <row r="586" spans="1:7" x14ac:dyDescent="0.45">
      <c r="A586" s="3" t="s">
        <v>487</v>
      </c>
      <c r="B586" s="4">
        <v>3.75</v>
      </c>
      <c r="C586" s="8">
        <v>92.5</v>
      </c>
      <c r="D586" s="8">
        <v>92.5</v>
      </c>
      <c r="E586" s="6">
        <v>131.65</v>
      </c>
      <c r="F586" s="34">
        <f t="shared" si="38"/>
        <v>493.6875</v>
      </c>
      <c r="G586" s="83"/>
    </row>
    <row r="587" spans="1:7" x14ac:dyDescent="0.45">
      <c r="A587" s="3" t="s">
        <v>488</v>
      </c>
      <c r="B587" s="4">
        <v>3.5</v>
      </c>
      <c r="C587" s="8">
        <v>92.5</v>
      </c>
      <c r="D587" s="8">
        <v>92.5</v>
      </c>
      <c r="E587" s="6">
        <v>131.65</v>
      </c>
      <c r="F587" s="34">
        <f t="shared" si="38"/>
        <v>460.77500000000003</v>
      </c>
      <c r="G587" s="83"/>
    </row>
    <row r="588" spans="1:7" x14ac:dyDescent="0.45">
      <c r="A588" s="3" t="s">
        <v>489</v>
      </c>
      <c r="B588" s="4">
        <v>1.2</v>
      </c>
      <c r="C588" s="8">
        <v>92.5</v>
      </c>
      <c r="D588" s="8">
        <v>92.5</v>
      </c>
      <c r="E588" s="6">
        <v>131.65</v>
      </c>
      <c r="F588" s="34">
        <f t="shared" si="38"/>
        <v>157.97999999999999</v>
      </c>
      <c r="G588" s="83"/>
    </row>
    <row r="589" spans="1:7" x14ac:dyDescent="0.45">
      <c r="A589" s="3" t="s">
        <v>490</v>
      </c>
      <c r="B589" s="4">
        <v>1.25</v>
      </c>
      <c r="C589" s="8">
        <v>92.5</v>
      </c>
      <c r="D589" s="8">
        <v>92.5</v>
      </c>
      <c r="E589" s="6">
        <v>131.65</v>
      </c>
      <c r="F589" s="34">
        <f t="shared" si="38"/>
        <v>164.5625</v>
      </c>
      <c r="G589" s="83"/>
    </row>
    <row r="590" spans="1:7" x14ac:dyDescent="0.45">
      <c r="A590" s="3" t="s">
        <v>491</v>
      </c>
      <c r="B590" s="4">
        <v>1.25</v>
      </c>
      <c r="C590" s="8">
        <v>92.5</v>
      </c>
      <c r="D590" s="8">
        <v>92.5</v>
      </c>
      <c r="E590" s="6">
        <v>131.65</v>
      </c>
      <c r="F590" s="34">
        <f t="shared" si="38"/>
        <v>164.5625</v>
      </c>
      <c r="G590" s="83"/>
    </row>
    <row r="591" spans="1:7" x14ac:dyDescent="0.45">
      <c r="A591" s="3" t="s">
        <v>492</v>
      </c>
      <c r="B591" s="4">
        <v>1.1000000000000001</v>
      </c>
      <c r="C591" s="8">
        <v>92.5</v>
      </c>
      <c r="D591" s="8">
        <v>92.5</v>
      </c>
      <c r="E591" s="6">
        <v>131.65</v>
      </c>
      <c r="F591" s="34">
        <f t="shared" si="38"/>
        <v>144.81500000000003</v>
      </c>
      <c r="G591" s="83"/>
    </row>
    <row r="592" spans="1:7" x14ac:dyDescent="0.45">
      <c r="A592" s="3" t="s">
        <v>493</v>
      </c>
      <c r="B592" s="4">
        <v>1.1000000000000001</v>
      </c>
      <c r="C592" s="8">
        <v>92.5</v>
      </c>
      <c r="D592" s="8">
        <v>92.5</v>
      </c>
      <c r="E592" s="6">
        <v>131.65</v>
      </c>
      <c r="F592" s="34">
        <f t="shared" si="38"/>
        <v>144.81500000000003</v>
      </c>
      <c r="G592" s="83"/>
    </row>
    <row r="593" spans="1:7" x14ac:dyDescent="0.45">
      <c r="A593" s="3" t="s">
        <v>494</v>
      </c>
      <c r="B593" s="4">
        <v>1.31</v>
      </c>
      <c r="C593" s="8">
        <v>92.5</v>
      </c>
      <c r="D593" s="8">
        <v>92.5</v>
      </c>
      <c r="E593" s="6">
        <v>131.65</v>
      </c>
      <c r="F593" s="34">
        <f t="shared" si="38"/>
        <v>172.4615</v>
      </c>
      <c r="G593" s="83"/>
    </row>
    <row r="594" spans="1:7" x14ac:dyDescent="0.45">
      <c r="A594" s="3" t="s">
        <v>495</v>
      </c>
      <c r="B594" s="4">
        <v>1.3</v>
      </c>
      <c r="C594" s="8">
        <v>92.5</v>
      </c>
      <c r="D594" s="8">
        <v>92.5</v>
      </c>
      <c r="E594" s="6">
        <v>131.65</v>
      </c>
      <c r="F594" s="34">
        <f t="shared" si="38"/>
        <v>171.14500000000001</v>
      </c>
      <c r="G594" s="83"/>
    </row>
    <row r="595" spans="1:7" x14ac:dyDescent="0.45">
      <c r="A595" s="3" t="s">
        <v>496</v>
      </c>
      <c r="B595" s="4">
        <v>1.3</v>
      </c>
      <c r="C595" s="8">
        <v>92.5</v>
      </c>
      <c r="D595" s="8">
        <v>92.5</v>
      </c>
      <c r="E595" s="6">
        <v>131.65</v>
      </c>
      <c r="F595" s="34">
        <f t="shared" si="38"/>
        <v>171.14500000000001</v>
      </c>
      <c r="G595" s="83"/>
    </row>
    <row r="596" spans="1:7" x14ac:dyDescent="0.45">
      <c r="A596" s="3" t="s">
        <v>497</v>
      </c>
      <c r="B596" s="4">
        <v>1.25</v>
      </c>
      <c r="C596" s="8">
        <v>92.5</v>
      </c>
      <c r="D596" s="8">
        <v>92.5</v>
      </c>
      <c r="E596" s="6">
        <v>131.65</v>
      </c>
      <c r="F596" s="34">
        <f t="shared" si="38"/>
        <v>164.5625</v>
      </c>
      <c r="G596" s="83"/>
    </row>
    <row r="597" spans="1:7" x14ac:dyDescent="0.45">
      <c r="A597" s="3" t="s">
        <v>498</v>
      </c>
      <c r="B597" s="4">
        <v>1.2</v>
      </c>
      <c r="C597" s="8">
        <v>92.5</v>
      </c>
      <c r="D597" s="8">
        <v>92.5</v>
      </c>
      <c r="E597" s="6">
        <v>131.65</v>
      </c>
      <c r="F597" s="34">
        <f t="shared" si="38"/>
        <v>157.97999999999999</v>
      </c>
      <c r="G597" s="83"/>
    </row>
    <row r="598" spans="1:7" x14ac:dyDescent="0.45">
      <c r="A598" s="3" t="s">
        <v>499</v>
      </c>
      <c r="B598" s="4">
        <v>1.2</v>
      </c>
      <c r="C598" s="8">
        <v>92.5</v>
      </c>
      <c r="D598" s="8">
        <v>92.5</v>
      </c>
      <c r="E598" s="6">
        <v>131.65</v>
      </c>
      <c r="F598" s="34">
        <f t="shared" si="38"/>
        <v>157.97999999999999</v>
      </c>
      <c r="G598" s="83"/>
    </row>
    <row r="599" spans="1:7" x14ac:dyDescent="0.45">
      <c r="A599" s="3" t="s">
        <v>500</v>
      </c>
      <c r="B599" s="4">
        <v>1.31</v>
      </c>
      <c r="C599" s="8">
        <v>92.5</v>
      </c>
      <c r="D599" s="8">
        <v>92.5</v>
      </c>
      <c r="E599" s="6">
        <v>131.65</v>
      </c>
      <c r="F599" s="34">
        <f t="shared" si="38"/>
        <v>172.4615</v>
      </c>
      <c r="G599" s="83"/>
    </row>
    <row r="600" spans="1:7" x14ac:dyDescent="0.45">
      <c r="A600" s="3" t="s">
        <v>501</v>
      </c>
      <c r="B600" s="4">
        <v>1.36</v>
      </c>
      <c r="C600" s="8">
        <v>92.5</v>
      </c>
      <c r="D600" s="8">
        <v>92.5</v>
      </c>
      <c r="E600" s="6">
        <v>131.65</v>
      </c>
      <c r="F600" s="34">
        <f t="shared" si="38"/>
        <v>179.04400000000001</v>
      </c>
      <c r="G600" s="83"/>
    </row>
    <row r="601" spans="1:7" x14ac:dyDescent="0.45">
      <c r="A601" s="3" t="s">
        <v>502</v>
      </c>
      <c r="B601" s="4">
        <v>1.1499999999999999</v>
      </c>
      <c r="C601" s="8">
        <v>92.5</v>
      </c>
      <c r="D601" s="8">
        <v>92.5</v>
      </c>
      <c r="E601" s="6">
        <v>131.65</v>
      </c>
      <c r="F601" s="34">
        <f t="shared" si="38"/>
        <v>151.39750000000001</v>
      </c>
      <c r="G601" s="83"/>
    </row>
    <row r="602" spans="1:7" x14ac:dyDescent="0.45">
      <c r="A602" s="3" t="s">
        <v>503</v>
      </c>
      <c r="B602" s="4">
        <v>1.1499999999999999</v>
      </c>
      <c r="C602" s="8">
        <v>92.5</v>
      </c>
      <c r="D602" s="8">
        <v>92.5</v>
      </c>
      <c r="E602" s="6">
        <v>131.65</v>
      </c>
      <c r="F602" s="34">
        <f t="shared" si="38"/>
        <v>151.39750000000001</v>
      </c>
      <c r="G602" s="83"/>
    </row>
    <row r="603" spans="1:7" x14ac:dyDescent="0.45">
      <c r="A603" s="3" t="s">
        <v>504</v>
      </c>
      <c r="B603" s="4">
        <v>1.4</v>
      </c>
      <c r="C603" s="8">
        <v>92.5</v>
      </c>
      <c r="D603" s="8">
        <v>92.5</v>
      </c>
      <c r="E603" s="6">
        <v>131.65</v>
      </c>
      <c r="F603" s="34">
        <f t="shared" si="38"/>
        <v>184.31</v>
      </c>
      <c r="G603" s="83"/>
    </row>
    <row r="604" spans="1:7" x14ac:dyDescent="0.45">
      <c r="A604" s="3" t="s">
        <v>505</v>
      </c>
      <c r="B604" s="4">
        <v>1.3</v>
      </c>
      <c r="C604" s="8">
        <v>92.5</v>
      </c>
      <c r="D604" s="8">
        <v>92.5</v>
      </c>
      <c r="E604" s="6">
        <v>131.65</v>
      </c>
      <c r="F604" s="34">
        <f t="shared" si="38"/>
        <v>171.14500000000001</v>
      </c>
      <c r="G604" s="83"/>
    </row>
    <row r="605" spans="1:7" x14ac:dyDescent="0.45">
      <c r="A605" s="3" t="s">
        <v>506</v>
      </c>
      <c r="B605" s="4">
        <v>1.2</v>
      </c>
      <c r="C605" s="8">
        <v>92.5</v>
      </c>
      <c r="D605" s="8">
        <v>92.5</v>
      </c>
      <c r="E605" s="6">
        <v>131.65</v>
      </c>
      <c r="F605" s="34">
        <f t="shared" si="38"/>
        <v>157.97999999999999</v>
      </c>
      <c r="G605" s="83"/>
    </row>
    <row r="606" spans="1:7" x14ac:dyDescent="0.45">
      <c r="A606" s="3" t="s">
        <v>507</v>
      </c>
      <c r="B606" s="4">
        <v>1.4</v>
      </c>
      <c r="C606" s="8">
        <v>92.5</v>
      </c>
      <c r="D606" s="8">
        <v>92.5</v>
      </c>
      <c r="E606" s="6">
        <v>131.65</v>
      </c>
      <c r="F606" s="34">
        <f t="shared" si="38"/>
        <v>184.31</v>
      </c>
      <c r="G606" s="83"/>
    </row>
    <row r="607" spans="1:7" x14ac:dyDescent="0.45">
      <c r="A607" s="3" t="s">
        <v>508</v>
      </c>
      <c r="B607" s="4">
        <v>1.21</v>
      </c>
      <c r="C607" s="8">
        <v>92.5</v>
      </c>
      <c r="D607" s="8">
        <v>92.5</v>
      </c>
      <c r="E607" s="6">
        <v>131.65</v>
      </c>
      <c r="F607" s="34">
        <f t="shared" si="38"/>
        <v>159.29650000000001</v>
      </c>
      <c r="G607" s="83"/>
    </row>
    <row r="608" spans="1:7" x14ac:dyDescent="0.45">
      <c r="A608" s="3" t="s">
        <v>509</v>
      </c>
      <c r="B608" s="4">
        <v>1.2</v>
      </c>
      <c r="C608" s="8">
        <v>92.5</v>
      </c>
      <c r="D608" s="8">
        <v>92.5</v>
      </c>
      <c r="E608" s="6">
        <v>131.65</v>
      </c>
      <c r="F608" s="34">
        <f t="shared" si="38"/>
        <v>157.97999999999999</v>
      </c>
      <c r="G608" s="83"/>
    </row>
    <row r="609" spans="1:7" x14ac:dyDescent="0.45">
      <c r="A609" s="3" t="s">
        <v>510</v>
      </c>
      <c r="B609" s="4">
        <v>1.35</v>
      </c>
      <c r="C609" s="8">
        <v>92.5</v>
      </c>
      <c r="D609" s="8">
        <v>92.5</v>
      </c>
      <c r="E609" s="6">
        <v>131.65</v>
      </c>
      <c r="F609" s="34">
        <f t="shared" si="38"/>
        <v>177.72750000000002</v>
      </c>
      <c r="G609" s="83"/>
    </row>
    <row r="610" spans="1:7" x14ac:dyDescent="0.45">
      <c r="A610" s="3" t="s">
        <v>511</v>
      </c>
      <c r="B610" s="4">
        <v>1.1000000000000001</v>
      </c>
      <c r="C610" s="8">
        <v>92.5</v>
      </c>
      <c r="D610" s="8">
        <v>92.5</v>
      </c>
      <c r="E610" s="6">
        <v>131.65</v>
      </c>
      <c r="F610" s="34">
        <f t="shared" si="38"/>
        <v>144.81500000000003</v>
      </c>
      <c r="G610" s="83"/>
    </row>
    <row r="611" spans="1:7" x14ac:dyDescent="0.45">
      <c r="A611" s="3" t="s">
        <v>512</v>
      </c>
      <c r="B611" s="4">
        <v>1.2</v>
      </c>
      <c r="C611" s="8">
        <v>92.5</v>
      </c>
      <c r="D611" s="8">
        <v>92.5</v>
      </c>
      <c r="E611" s="6">
        <v>131.65</v>
      </c>
      <c r="F611" s="34">
        <f t="shared" si="38"/>
        <v>157.97999999999999</v>
      </c>
      <c r="G611" s="83"/>
    </row>
    <row r="612" spans="1:7" x14ac:dyDescent="0.45">
      <c r="A612" s="3" t="s">
        <v>513</v>
      </c>
      <c r="B612" s="4">
        <v>1.51</v>
      </c>
      <c r="C612" s="8">
        <v>92.5</v>
      </c>
      <c r="D612" s="8">
        <v>92.5</v>
      </c>
      <c r="E612" s="6">
        <v>131.65</v>
      </c>
      <c r="F612" s="34">
        <f t="shared" si="38"/>
        <v>198.79150000000001</v>
      </c>
      <c r="G612" s="83"/>
    </row>
    <row r="613" spans="1:7" x14ac:dyDescent="0.45">
      <c r="A613" s="3" t="s">
        <v>514</v>
      </c>
      <c r="B613" s="4">
        <v>1.25</v>
      </c>
      <c r="C613" s="8">
        <v>92.5</v>
      </c>
      <c r="D613" s="8">
        <v>92.5</v>
      </c>
      <c r="E613" s="6">
        <v>131.65</v>
      </c>
      <c r="F613" s="34">
        <f t="shared" si="38"/>
        <v>164.5625</v>
      </c>
      <c r="G613" s="83"/>
    </row>
    <row r="614" spans="1:7" x14ac:dyDescent="0.45">
      <c r="A614" s="3" t="s">
        <v>515</v>
      </c>
      <c r="B614" s="4">
        <v>1.31</v>
      </c>
      <c r="C614" s="8">
        <v>92.5</v>
      </c>
      <c r="D614" s="8">
        <v>92.5</v>
      </c>
      <c r="E614" s="6">
        <v>131.65</v>
      </c>
      <c r="F614" s="34">
        <f t="shared" si="38"/>
        <v>172.4615</v>
      </c>
      <c r="G614" s="83"/>
    </row>
    <row r="615" spans="1:7" x14ac:dyDescent="0.45">
      <c r="A615" s="3" t="s">
        <v>516</v>
      </c>
      <c r="B615" s="4">
        <v>1.5</v>
      </c>
      <c r="C615" s="8">
        <v>92.5</v>
      </c>
      <c r="D615" s="8">
        <v>92.5</v>
      </c>
      <c r="E615" s="6">
        <v>131.65</v>
      </c>
      <c r="F615" s="34">
        <f t="shared" si="38"/>
        <v>197.47500000000002</v>
      </c>
      <c r="G615" s="83"/>
    </row>
    <row r="616" spans="1:7" x14ac:dyDescent="0.45">
      <c r="A616" s="3" t="s">
        <v>517</v>
      </c>
      <c r="B616" s="4">
        <v>1.2</v>
      </c>
      <c r="C616" s="8">
        <v>92.5</v>
      </c>
      <c r="D616" s="8">
        <v>92.5</v>
      </c>
      <c r="E616" s="6">
        <v>131.65</v>
      </c>
      <c r="F616" s="34">
        <f t="shared" si="38"/>
        <v>157.97999999999999</v>
      </c>
      <c r="G616" s="83"/>
    </row>
    <row r="617" spans="1:7" x14ac:dyDescent="0.45">
      <c r="A617" s="3" t="s">
        <v>518</v>
      </c>
      <c r="B617" s="4">
        <v>1.32</v>
      </c>
      <c r="C617" s="8">
        <v>92.5</v>
      </c>
      <c r="D617" s="8">
        <v>92.5</v>
      </c>
      <c r="E617" s="6">
        <v>131.65</v>
      </c>
      <c r="F617" s="34">
        <f t="shared" si="38"/>
        <v>173.77800000000002</v>
      </c>
      <c r="G617" s="83"/>
    </row>
    <row r="618" spans="1:7" x14ac:dyDescent="0.45">
      <c r="A618" s="3" t="s">
        <v>519</v>
      </c>
      <c r="B618" s="4">
        <v>1.33</v>
      </c>
      <c r="C618" s="8">
        <v>92.5</v>
      </c>
      <c r="D618" s="8">
        <v>92.5</v>
      </c>
      <c r="E618" s="6">
        <v>131.65</v>
      </c>
      <c r="F618" s="34">
        <f t="shared" si="38"/>
        <v>175.09450000000001</v>
      </c>
      <c r="G618" s="83"/>
    </row>
    <row r="619" spans="1:7" x14ac:dyDescent="0.45">
      <c r="A619" s="3" t="s">
        <v>520</v>
      </c>
      <c r="B619" s="4">
        <v>1.1200000000000001</v>
      </c>
      <c r="C619" s="8">
        <v>92.5</v>
      </c>
      <c r="D619" s="8">
        <v>92.5</v>
      </c>
      <c r="E619" s="6">
        <v>131.65</v>
      </c>
      <c r="F619" s="34">
        <f t="shared" si="38"/>
        <v>147.44800000000001</v>
      </c>
      <c r="G619" s="83"/>
    </row>
    <row r="620" spans="1:7" x14ac:dyDescent="0.45">
      <c r="A620" s="3" t="s">
        <v>521</v>
      </c>
      <c r="B620" s="4">
        <v>1.18</v>
      </c>
      <c r="C620" s="8">
        <v>92.5</v>
      </c>
      <c r="D620" s="8">
        <v>92.5</v>
      </c>
      <c r="E620" s="6">
        <v>131.65</v>
      </c>
      <c r="F620" s="34">
        <f t="shared" si="38"/>
        <v>155.34700000000001</v>
      </c>
      <c r="G620" s="83"/>
    </row>
    <row r="621" spans="1:7" x14ac:dyDescent="0.45">
      <c r="A621" s="3" t="s">
        <v>522</v>
      </c>
      <c r="B621" s="4">
        <v>1.22</v>
      </c>
      <c r="C621" s="8">
        <v>92.5</v>
      </c>
      <c r="D621" s="8">
        <v>92.5</v>
      </c>
      <c r="E621" s="6">
        <v>131.65</v>
      </c>
      <c r="F621" s="34">
        <f t="shared" si="38"/>
        <v>160.613</v>
      </c>
      <c r="G621" s="83"/>
    </row>
    <row r="622" spans="1:7" x14ac:dyDescent="0.45">
      <c r="A622" s="3" t="s">
        <v>523</v>
      </c>
      <c r="B622" s="4">
        <v>1.41</v>
      </c>
      <c r="C622" s="8">
        <v>92.5</v>
      </c>
      <c r="D622" s="8">
        <v>92.5</v>
      </c>
      <c r="E622" s="6">
        <v>131.65</v>
      </c>
      <c r="F622" s="34">
        <f t="shared" ref="F622:F631" si="39">B622*E622</f>
        <v>185.62649999999999</v>
      </c>
      <c r="G622" s="83"/>
    </row>
    <row r="623" spans="1:7" x14ac:dyDescent="0.45">
      <c r="A623" s="3" t="s">
        <v>524</v>
      </c>
      <c r="B623" s="4">
        <v>1.26</v>
      </c>
      <c r="C623" s="8">
        <v>92.5</v>
      </c>
      <c r="D623" s="8">
        <v>92.5</v>
      </c>
      <c r="E623" s="6">
        <v>131.65</v>
      </c>
      <c r="F623" s="34">
        <f t="shared" si="39"/>
        <v>165.87900000000002</v>
      </c>
      <c r="G623" s="83"/>
    </row>
    <row r="624" spans="1:7" x14ac:dyDescent="0.45">
      <c r="A624" s="3" t="s">
        <v>525</v>
      </c>
      <c r="B624" s="4">
        <v>1.31</v>
      </c>
      <c r="C624" s="8">
        <v>92.5</v>
      </c>
      <c r="D624" s="8">
        <v>92.5</v>
      </c>
      <c r="E624" s="6">
        <v>131.65</v>
      </c>
      <c r="F624" s="34">
        <f t="shared" si="39"/>
        <v>172.4615</v>
      </c>
      <c r="G624" s="83"/>
    </row>
    <row r="625" spans="1:7" x14ac:dyDescent="0.45">
      <c r="A625" s="3" t="s">
        <v>526</v>
      </c>
      <c r="B625" s="4">
        <v>1.19</v>
      </c>
      <c r="C625" s="8">
        <v>92.5</v>
      </c>
      <c r="D625" s="8">
        <v>92.5</v>
      </c>
      <c r="E625" s="6">
        <v>131.65</v>
      </c>
      <c r="F625" s="34">
        <f t="shared" si="39"/>
        <v>156.6635</v>
      </c>
      <c r="G625" s="83"/>
    </row>
    <row r="626" spans="1:7" x14ac:dyDescent="0.45">
      <c r="A626" s="3" t="s">
        <v>527</v>
      </c>
      <c r="B626" s="4">
        <v>1.4</v>
      </c>
      <c r="C626" s="8">
        <v>92.5</v>
      </c>
      <c r="D626" s="8">
        <v>92.5</v>
      </c>
      <c r="E626" s="6">
        <v>131.65</v>
      </c>
      <c r="F626" s="34">
        <f t="shared" si="39"/>
        <v>184.31</v>
      </c>
      <c r="G626" s="83"/>
    </row>
    <row r="627" spans="1:7" x14ac:dyDescent="0.45">
      <c r="A627" s="3" t="s">
        <v>528</v>
      </c>
      <c r="B627" s="4">
        <v>1.2</v>
      </c>
      <c r="C627" s="8">
        <v>92.5</v>
      </c>
      <c r="D627" s="8">
        <v>92.5</v>
      </c>
      <c r="E627" s="6">
        <v>131.65</v>
      </c>
      <c r="F627" s="34">
        <f t="shared" si="39"/>
        <v>157.97999999999999</v>
      </c>
      <c r="G627" s="83"/>
    </row>
    <row r="628" spans="1:7" x14ac:dyDescent="0.45">
      <c r="A628" s="3" t="s">
        <v>529</v>
      </c>
      <c r="B628" s="4">
        <v>1.17</v>
      </c>
      <c r="C628" s="8">
        <v>92.5</v>
      </c>
      <c r="D628" s="8">
        <v>92.5</v>
      </c>
      <c r="E628" s="6">
        <v>131.65</v>
      </c>
      <c r="F628" s="34">
        <f t="shared" si="39"/>
        <v>154.03049999999999</v>
      </c>
      <c r="G628" s="83"/>
    </row>
    <row r="629" spans="1:7" x14ac:dyDescent="0.45">
      <c r="A629" s="3" t="s">
        <v>530</v>
      </c>
      <c r="B629" s="4">
        <v>1.32</v>
      </c>
      <c r="C629" s="8">
        <v>92.5</v>
      </c>
      <c r="D629" s="8">
        <v>92.5</v>
      </c>
      <c r="E629" s="6">
        <v>131.65</v>
      </c>
      <c r="F629" s="34">
        <f t="shared" si="39"/>
        <v>173.77800000000002</v>
      </c>
      <c r="G629" s="83"/>
    </row>
    <row r="630" spans="1:7" x14ac:dyDescent="0.45">
      <c r="A630" s="3" t="s">
        <v>531</v>
      </c>
      <c r="B630" s="4">
        <v>1.28</v>
      </c>
      <c r="C630" s="8">
        <v>92.5</v>
      </c>
      <c r="D630" s="8">
        <v>92.5</v>
      </c>
      <c r="E630" s="6">
        <v>131.65</v>
      </c>
      <c r="F630" s="34">
        <f t="shared" si="39"/>
        <v>168.512</v>
      </c>
      <c r="G630" s="83"/>
    </row>
    <row r="631" spans="1:7" x14ac:dyDescent="0.45">
      <c r="A631" s="3" t="s">
        <v>532</v>
      </c>
      <c r="B631" s="4">
        <v>1.25</v>
      </c>
      <c r="C631" s="8">
        <v>92.5</v>
      </c>
      <c r="D631" s="8">
        <v>92.5</v>
      </c>
      <c r="E631" s="6">
        <v>131.65</v>
      </c>
      <c r="F631" s="34">
        <f t="shared" si="39"/>
        <v>164.5625</v>
      </c>
      <c r="G631" s="83"/>
    </row>
    <row r="632" spans="1:7" x14ac:dyDescent="0.45">
      <c r="A632" s="3" t="s">
        <v>533</v>
      </c>
      <c r="B632" s="4">
        <v>1.32</v>
      </c>
      <c r="C632" s="8">
        <v>92.5</v>
      </c>
      <c r="D632" s="8">
        <v>92.5</v>
      </c>
      <c r="E632" s="6">
        <v>131.65</v>
      </c>
      <c r="F632" s="34">
        <f>B632*E632</f>
        <v>173.77800000000002</v>
      </c>
      <c r="G632" s="83"/>
    </row>
    <row r="633" spans="1:7" x14ac:dyDescent="0.45">
      <c r="A633" s="3" t="s">
        <v>534</v>
      </c>
      <c r="B633" s="4">
        <v>1.4</v>
      </c>
      <c r="C633" s="8">
        <v>92.5</v>
      </c>
      <c r="D633" s="8">
        <v>92.5</v>
      </c>
      <c r="E633" s="6">
        <v>131.65</v>
      </c>
      <c r="F633" s="34">
        <f t="shared" ref="F633:F696" si="40">B633*E633</f>
        <v>184.31</v>
      </c>
      <c r="G633" s="83"/>
    </row>
    <row r="634" spans="1:7" x14ac:dyDescent="0.45">
      <c r="A634" s="3" t="s">
        <v>535</v>
      </c>
      <c r="B634" s="4">
        <v>1.35</v>
      </c>
      <c r="C634" s="8">
        <v>92.5</v>
      </c>
      <c r="D634" s="8">
        <v>92.5</v>
      </c>
      <c r="E634" s="6">
        <v>131.65</v>
      </c>
      <c r="F634" s="34">
        <f t="shared" si="40"/>
        <v>177.72750000000002</v>
      </c>
      <c r="G634" s="83"/>
    </row>
    <row r="635" spans="1:7" x14ac:dyDescent="0.45">
      <c r="A635" s="3" t="s">
        <v>536</v>
      </c>
      <c r="B635" s="4">
        <v>1.68</v>
      </c>
      <c r="C635" s="8">
        <v>92.5</v>
      </c>
      <c r="D635" s="8">
        <v>92.5</v>
      </c>
      <c r="E635" s="8">
        <v>125.57</v>
      </c>
      <c r="F635" s="34">
        <f t="shared" si="40"/>
        <v>210.95759999999999</v>
      </c>
      <c r="G635" s="83"/>
    </row>
    <row r="636" spans="1:7" x14ac:dyDescent="0.45">
      <c r="A636" s="3" t="s">
        <v>537</v>
      </c>
      <c r="B636" s="4">
        <v>1.75</v>
      </c>
      <c r="C636" s="8">
        <v>92.5</v>
      </c>
      <c r="D636" s="8">
        <v>92.5</v>
      </c>
      <c r="E636" s="8">
        <v>125.57</v>
      </c>
      <c r="F636" s="34">
        <f t="shared" si="40"/>
        <v>219.7475</v>
      </c>
      <c r="G636" s="83"/>
    </row>
    <row r="637" spans="1:7" x14ac:dyDescent="0.45">
      <c r="A637" s="3" t="s">
        <v>538</v>
      </c>
      <c r="B637" s="4">
        <v>2.96</v>
      </c>
      <c r="C637" s="8">
        <v>92.5</v>
      </c>
      <c r="D637" s="8">
        <v>92.5</v>
      </c>
      <c r="E637" s="8">
        <v>125.57</v>
      </c>
      <c r="F637" s="34">
        <f t="shared" si="40"/>
        <v>371.68719999999996</v>
      </c>
      <c r="G637" s="83"/>
    </row>
    <row r="638" spans="1:7" x14ac:dyDescent="0.45">
      <c r="A638" s="3" t="s">
        <v>539</v>
      </c>
      <c r="B638" s="4">
        <v>1.76</v>
      </c>
      <c r="C638" s="8">
        <v>92.5</v>
      </c>
      <c r="D638" s="8">
        <v>92.5</v>
      </c>
      <c r="E638" s="8">
        <v>125.57</v>
      </c>
      <c r="F638" s="34">
        <f t="shared" si="40"/>
        <v>221.00319999999999</v>
      </c>
      <c r="G638" s="83"/>
    </row>
    <row r="639" spans="1:7" x14ac:dyDescent="0.45">
      <c r="A639" s="3" t="s">
        <v>540</v>
      </c>
      <c r="B639" s="4">
        <v>1.7</v>
      </c>
      <c r="C639" s="8">
        <v>92.5</v>
      </c>
      <c r="D639" s="8">
        <v>92.5</v>
      </c>
      <c r="E639" s="8">
        <v>125.57</v>
      </c>
      <c r="F639" s="34">
        <f t="shared" si="40"/>
        <v>213.46899999999999</v>
      </c>
      <c r="G639" s="83"/>
    </row>
    <row r="640" spans="1:7" x14ac:dyDescent="0.45">
      <c r="A640" s="3" t="s">
        <v>541</v>
      </c>
      <c r="B640" s="4">
        <v>1.85</v>
      </c>
      <c r="C640" s="8">
        <v>92.5</v>
      </c>
      <c r="D640" s="8">
        <v>92.5</v>
      </c>
      <c r="E640" s="8">
        <v>125.57</v>
      </c>
      <c r="F640" s="34">
        <f t="shared" si="40"/>
        <v>232.30449999999999</v>
      </c>
      <c r="G640" s="83"/>
    </row>
    <row r="641" spans="1:7" x14ac:dyDescent="0.45">
      <c r="A641" s="3" t="s">
        <v>542</v>
      </c>
      <c r="B641" s="4">
        <v>2.04</v>
      </c>
      <c r="C641" s="8">
        <v>92.5</v>
      </c>
      <c r="D641" s="8">
        <v>92.5</v>
      </c>
      <c r="E641" s="8">
        <v>125.57</v>
      </c>
      <c r="F641" s="34">
        <f t="shared" si="40"/>
        <v>256.1628</v>
      </c>
      <c r="G641" s="83"/>
    </row>
    <row r="642" spans="1:7" x14ac:dyDescent="0.45">
      <c r="A642" s="3" t="s">
        <v>543</v>
      </c>
      <c r="B642" s="4">
        <v>1.76</v>
      </c>
      <c r="C642" s="8">
        <v>92.5</v>
      </c>
      <c r="D642" s="8">
        <v>92.5</v>
      </c>
      <c r="E642" s="8">
        <v>125.57</v>
      </c>
      <c r="F642" s="34">
        <f t="shared" si="40"/>
        <v>221.00319999999999</v>
      </c>
      <c r="G642" s="83"/>
    </row>
    <row r="643" spans="1:7" x14ac:dyDescent="0.45">
      <c r="A643" s="3" t="s">
        <v>544</v>
      </c>
      <c r="B643" s="4">
        <v>2.25</v>
      </c>
      <c r="C643" s="8">
        <v>92.5</v>
      </c>
      <c r="D643" s="8">
        <v>92.5</v>
      </c>
      <c r="E643" s="8">
        <v>125.57</v>
      </c>
      <c r="F643" s="34">
        <f>B643*E643</f>
        <v>282.53249999999997</v>
      </c>
      <c r="G643" s="83"/>
    </row>
    <row r="644" spans="1:7" x14ac:dyDescent="0.45">
      <c r="A644" s="3" t="s">
        <v>545</v>
      </c>
      <c r="B644" s="4">
        <v>1.81</v>
      </c>
      <c r="C644" s="8">
        <v>92.5</v>
      </c>
      <c r="D644" s="8">
        <v>92.5</v>
      </c>
      <c r="E644" s="8">
        <v>125.57</v>
      </c>
      <c r="F644" s="34">
        <f t="shared" si="40"/>
        <v>227.2817</v>
      </c>
      <c r="G644" s="83"/>
    </row>
    <row r="645" spans="1:7" x14ac:dyDescent="0.45">
      <c r="A645" s="3" t="s">
        <v>546</v>
      </c>
      <c r="B645" s="4">
        <v>1.73</v>
      </c>
      <c r="C645" s="8">
        <v>92.5</v>
      </c>
      <c r="D645" s="8">
        <v>92.5</v>
      </c>
      <c r="E645" s="8">
        <v>125.57</v>
      </c>
      <c r="F645" s="34">
        <f>B645*E645</f>
        <v>217.23609999999999</v>
      </c>
      <c r="G645" s="83"/>
    </row>
    <row r="646" spans="1:7" x14ac:dyDescent="0.45">
      <c r="A646" s="3" t="s">
        <v>547</v>
      </c>
      <c r="B646" s="4">
        <v>1.88</v>
      </c>
      <c r="C646" s="8">
        <v>92.5</v>
      </c>
      <c r="D646" s="8">
        <v>92.5</v>
      </c>
      <c r="E646" s="8">
        <v>125.57</v>
      </c>
      <c r="F646" s="34">
        <f t="shared" si="40"/>
        <v>236.07159999999996</v>
      </c>
      <c r="G646" s="83"/>
    </row>
    <row r="647" spans="1:7" x14ac:dyDescent="0.45">
      <c r="A647" s="3" t="s">
        <v>548</v>
      </c>
      <c r="B647" s="4">
        <v>1.82</v>
      </c>
      <c r="C647" s="8">
        <v>92.5</v>
      </c>
      <c r="D647" s="8">
        <v>92.5</v>
      </c>
      <c r="E647" s="8">
        <v>125.57</v>
      </c>
      <c r="F647" s="34">
        <f t="shared" si="40"/>
        <v>228.53739999999999</v>
      </c>
      <c r="G647" s="83"/>
    </row>
    <row r="648" spans="1:7" x14ac:dyDescent="0.45">
      <c r="A648" s="3" t="s">
        <v>549</v>
      </c>
      <c r="B648" s="4">
        <v>3.54</v>
      </c>
      <c r="C648" s="8">
        <v>92.5</v>
      </c>
      <c r="D648" s="8">
        <v>92.5</v>
      </c>
      <c r="E648" s="8">
        <v>125.57</v>
      </c>
      <c r="F648" s="34">
        <f t="shared" si="40"/>
        <v>444.51779999999997</v>
      </c>
      <c r="G648" s="83"/>
    </row>
    <row r="649" spans="1:7" x14ac:dyDescent="0.45">
      <c r="A649" s="3" t="s">
        <v>550</v>
      </c>
      <c r="B649" s="4">
        <v>2.12</v>
      </c>
      <c r="C649" s="8">
        <v>92.5</v>
      </c>
      <c r="D649" s="8">
        <v>92.5</v>
      </c>
      <c r="E649" s="8">
        <v>125.57</v>
      </c>
      <c r="F649" s="34">
        <f t="shared" si="40"/>
        <v>266.20839999999998</v>
      </c>
      <c r="G649" s="83"/>
    </row>
    <row r="650" spans="1:7" x14ac:dyDescent="0.45">
      <c r="A650" s="3" t="s">
        <v>551</v>
      </c>
      <c r="B650" s="4">
        <v>1.93</v>
      </c>
      <c r="C650" s="8">
        <v>92.5</v>
      </c>
      <c r="D650" s="8">
        <v>92.5</v>
      </c>
      <c r="E650" s="8">
        <v>125.57</v>
      </c>
      <c r="F650" s="34">
        <f t="shared" si="40"/>
        <v>242.35009999999997</v>
      </c>
      <c r="G650" s="83"/>
    </row>
    <row r="651" spans="1:7" x14ac:dyDescent="0.45">
      <c r="A651" s="3" t="s">
        <v>552</v>
      </c>
      <c r="B651" s="4">
        <v>1.85</v>
      </c>
      <c r="C651" s="8">
        <v>92.5</v>
      </c>
      <c r="D651" s="8">
        <v>92.5</v>
      </c>
      <c r="E651" s="8">
        <v>125.57</v>
      </c>
      <c r="F651" s="34">
        <f t="shared" si="40"/>
        <v>232.30449999999999</v>
      </c>
      <c r="G651" s="83"/>
    </row>
    <row r="652" spans="1:7" x14ac:dyDescent="0.45">
      <c r="A652" s="3" t="s">
        <v>553</v>
      </c>
      <c r="B652" s="4">
        <v>1.91</v>
      </c>
      <c r="C652" s="8">
        <v>92.5</v>
      </c>
      <c r="D652" s="8">
        <v>92.5</v>
      </c>
      <c r="E652" s="8">
        <v>125.57</v>
      </c>
      <c r="F652" s="34">
        <f t="shared" si="40"/>
        <v>239.83869999999999</v>
      </c>
      <c r="G652" s="83"/>
    </row>
    <row r="653" spans="1:7" x14ac:dyDescent="0.45">
      <c r="A653" s="3" t="s">
        <v>554</v>
      </c>
      <c r="B653" s="4">
        <v>1.85</v>
      </c>
      <c r="C653" s="8">
        <v>92.5</v>
      </c>
      <c r="D653" s="8">
        <v>92.5</v>
      </c>
      <c r="E653" s="8">
        <v>125.57</v>
      </c>
      <c r="F653" s="34">
        <f t="shared" si="40"/>
        <v>232.30449999999999</v>
      </c>
      <c r="G653" s="83"/>
    </row>
    <row r="654" spans="1:7" x14ac:dyDescent="0.45">
      <c r="A654" s="3" t="s">
        <v>555</v>
      </c>
      <c r="B654" s="4">
        <v>3.1</v>
      </c>
      <c r="C654" s="8">
        <v>92.5</v>
      </c>
      <c r="D654" s="8">
        <v>92.5</v>
      </c>
      <c r="E654" s="8">
        <v>125.57</v>
      </c>
      <c r="F654" s="34">
        <f t="shared" si="40"/>
        <v>389.267</v>
      </c>
      <c r="G654" s="83"/>
    </row>
    <row r="655" spans="1:7" x14ac:dyDescent="0.45">
      <c r="A655" s="3" t="s">
        <v>556</v>
      </c>
      <c r="B655" s="4">
        <v>4.3</v>
      </c>
      <c r="C655" s="8">
        <v>92.5</v>
      </c>
      <c r="D655" s="8">
        <v>92.5</v>
      </c>
      <c r="E655" s="8">
        <v>125.57</v>
      </c>
      <c r="F655" s="34">
        <f t="shared" si="40"/>
        <v>539.95099999999991</v>
      </c>
      <c r="G655" s="83"/>
    </row>
    <row r="656" spans="1:7" x14ac:dyDescent="0.45">
      <c r="A656" s="3" t="s">
        <v>557</v>
      </c>
      <c r="B656" s="4">
        <v>4.66</v>
      </c>
      <c r="C656" s="8">
        <v>92.5</v>
      </c>
      <c r="D656" s="8">
        <v>92.5</v>
      </c>
      <c r="E656" s="8">
        <v>125.57</v>
      </c>
      <c r="F656" s="34">
        <f t="shared" si="40"/>
        <v>585.15620000000001</v>
      </c>
      <c r="G656" s="83"/>
    </row>
    <row r="657" spans="1:7" x14ac:dyDescent="0.45">
      <c r="A657" s="3" t="s">
        <v>558</v>
      </c>
      <c r="B657" s="4">
        <v>3.87</v>
      </c>
      <c r="C657" s="8">
        <v>92.5</v>
      </c>
      <c r="D657" s="8">
        <v>92.5</v>
      </c>
      <c r="E657" s="8">
        <v>125.57</v>
      </c>
      <c r="F657" s="34">
        <f t="shared" si="40"/>
        <v>485.95589999999999</v>
      </c>
      <c r="G657" s="83"/>
    </row>
    <row r="658" spans="1:7" x14ac:dyDescent="0.45">
      <c r="A658" s="3" t="s">
        <v>559</v>
      </c>
      <c r="B658" s="4">
        <v>4</v>
      </c>
      <c r="C658" s="8">
        <v>92.5</v>
      </c>
      <c r="D658" s="8">
        <v>92.5</v>
      </c>
      <c r="E658" s="8">
        <v>125.57</v>
      </c>
      <c r="F658" s="34">
        <f t="shared" si="40"/>
        <v>502.28</v>
      </c>
      <c r="G658" s="83"/>
    </row>
    <row r="659" spans="1:7" x14ac:dyDescent="0.45">
      <c r="A659" s="3" t="s">
        <v>560</v>
      </c>
      <c r="B659" s="4">
        <v>4.32</v>
      </c>
      <c r="C659" s="8">
        <v>92.5</v>
      </c>
      <c r="D659" s="8">
        <v>92.5</v>
      </c>
      <c r="E659" s="8">
        <v>125.57</v>
      </c>
      <c r="F659" s="34">
        <f t="shared" si="40"/>
        <v>542.4624</v>
      </c>
      <c r="G659" s="83"/>
    </row>
    <row r="660" spans="1:7" x14ac:dyDescent="0.45">
      <c r="A660" s="3" t="s">
        <v>561</v>
      </c>
      <c r="B660" s="4">
        <v>4.74</v>
      </c>
      <c r="C660" s="8">
        <v>92.5</v>
      </c>
      <c r="D660" s="8">
        <v>92.5</v>
      </c>
      <c r="E660" s="8">
        <v>125.57</v>
      </c>
      <c r="F660" s="34">
        <f t="shared" si="40"/>
        <v>595.20180000000005</v>
      </c>
      <c r="G660" s="83"/>
    </row>
    <row r="661" spans="1:7" x14ac:dyDescent="0.45">
      <c r="A661" s="3" t="s">
        <v>562</v>
      </c>
      <c r="B661" s="4">
        <v>4</v>
      </c>
      <c r="C661" s="8">
        <v>92.5</v>
      </c>
      <c r="D661" s="8">
        <v>92.5</v>
      </c>
      <c r="E661" s="8">
        <v>125.57</v>
      </c>
      <c r="F661" s="34">
        <f t="shared" si="40"/>
        <v>502.28</v>
      </c>
      <c r="G661" s="83"/>
    </row>
    <row r="662" spans="1:7" x14ac:dyDescent="0.45">
      <c r="A662" s="3" t="s">
        <v>907</v>
      </c>
      <c r="B662" s="4">
        <v>1.61</v>
      </c>
      <c r="C662" s="8">
        <v>92.5</v>
      </c>
      <c r="D662" s="8">
        <v>92.5</v>
      </c>
      <c r="E662" s="8">
        <v>135</v>
      </c>
      <c r="F662" s="34">
        <f t="shared" si="40"/>
        <v>217.35000000000002</v>
      </c>
      <c r="G662" s="83"/>
    </row>
    <row r="663" spans="1:7" x14ac:dyDescent="0.45">
      <c r="A663" s="3" t="s">
        <v>908</v>
      </c>
      <c r="B663" s="4">
        <v>2</v>
      </c>
      <c r="C663" s="8">
        <v>92.5</v>
      </c>
      <c r="D663" s="8">
        <v>92.5</v>
      </c>
      <c r="E663" s="8">
        <v>135</v>
      </c>
      <c r="F663" s="34">
        <f t="shared" si="40"/>
        <v>270</v>
      </c>
      <c r="G663" s="83"/>
    </row>
    <row r="664" spans="1:7" x14ac:dyDescent="0.45">
      <c r="A664" s="3" t="s">
        <v>909</v>
      </c>
      <c r="B664" s="4">
        <v>2.5</v>
      </c>
      <c r="C664" s="8">
        <v>92.5</v>
      </c>
      <c r="D664" s="8">
        <v>92.5</v>
      </c>
      <c r="E664" s="8">
        <v>135</v>
      </c>
      <c r="F664" s="34">
        <f t="shared" si="40"/>
        <v>337.5</v>
      </c>
      <c r="G664" s="83"/>
    </row>
    <row r="665" spans="1:7" x14ac:dyDescent="0.45">
      <c r="A665" s="3" t="s">
        <v>910</v>
      </c>
      <c r="B665" s="4">
        <v>2.4500000000000002</v>
      </c>
      <c r="C665" s="8">
        <v>92.5</v>
      </c>
      <c r="D665" s="8">
        <v>92.5</v>
      </c>
      <c r="E665" s="8">
        <v>135</v>
      </c>
      <c r="F665" s="34">
        <f t="shared" si="40"/>
        <v>330.75</v>
      </c>
      <c r="G665" s="83"/>
    </row>
    <row r="666" spans="1:7" x14ac:dyDescent="0.45">
      <c r="A666" s="3" t="s">
        <v>911</v>
      </c>
      <c r="B666" s="4">
        <v>2</v>
      </c>
      <c r="C666" s="8">
        <v>92.5</v>
      </c>
      <c r="D666" s="8">
        <v>92.5</v>
      </c>
      <c r="E666" s="8">
        <v>135</v>
      </c>
      <c r="F666" s="34">
        <f t="shared" si="40"/>
        <v>270</v>
      </c>
      <c r="G666" s="83"/>
    </row>
    <row r="667" spans="1:7" x14ac:dyDescent="0.45">
      <c r="A667" s="3" t="s">
        <v>912</v>
      </c>
      <c r="B667" s="4">
        <v>2.7</v>
      </c>
      <c r="C667" s="8">
        <v>92.5</v>
      </c>
      <c r="D667" s="8">
        <v>92.5</v>
      </c>
      <c r="E667" s="8">
        <v>135</v>
      </c>
      <c r="F667" s="34">
        <f t="shared" si="40"/>
        <v>364.5</v>
      </c>
      <c r="G667" s="83"/>
    </row>
    <row r="668" spans="1:7" x14ac:dyDescent="0.45">
      <c r="A668" s="3" t="s">
        <v>913</v>
      </c>
      <c r="B668" s="4">
        <v>2.02</v>
      </c>
      <c r="C668" s="8">
        <v>92.5</v>
      </c>
      <c r="D668" s="8">
        <v>92.5</v>
      </c>
      <c r="E668" s="8">
        <v>135</v>
      </c>
      <c r="F668" s="34">
        <f t="shared" si="40"/>
        <v>272.7</v>
      </c>
      <c r="G668" s="83"/>
    </row>
    <row r="669" spans="1:7" x14ac:dyDescent="0.45">
      <c r="A669" s="3" t="s">
        <v>914</v>
      </c>
      <c r="B669" s="4">
        <v>1.8</v>
      </c>
      <c r="C669" s="8">
        <v>92.5</v>
      </c>
      <c r="D669" s="8">
        <v>92.5</v>
      </c>
      <c r="E669" s="8">
        <v>135</v>
      </c>
      <c r="F669" s="34">
        <f t="shared" si="40"/>
        <v>243</v>
      </c>
      <c r="G669" s="83"/>
    </row>
    <row r="670" spans="1:7" x14ac:dyDescent="0.45">
      <c r="A670" s="3" t="s">
        <v>915</v>
      </c>
      <c r="B670" s="4">
        <v>1.95</v>
      </c>
      <c r="C670" s="8">
        <v>92.5</v>
      </c>
      <c r="D670" s="8">
        <v>92.5</v>
      </c>
      <c r="E670" s="8">
        <v>135</v>
      </c>
      <c r="F670" s="34">
        <f>B670*E670</f>
        <v>263.25</v>
      </c>
      <c r="G670" s="83"/>
    </row>
    <row r="671" spans="1:7" x14ac:dyDescent="0.45">
      <c r="A671" s="3" t="s">
        <v>916</v>
      </c>
      <c r="B671" s="4">
        <v>1.25</v>
      </c>
      <c r="C671" s="8">
        <v>92.5</v>
      </c>
      <c r="D671" s="8">
        <v>92.5</v>
      </c>
      <c r="E671" s="8">
        <v>135</v>
      </c>
      <c r="F671" s="34">
        <f t="shared" si="40"/>
        <v>168.75</v>
      </c>
      <c r="G671" s="83"/>
    </row>
    <row r="672" spans="1:7" x14ac:dyDescent="0.45">
      <c r="A672" s="3" t="s">
        <v>1114</v>
      </c>
      <c r="B672" s="4">
        <v>3.01</v>
      </c>
      <c r="C672" s="8">
        <v>92.5</v>
      </c>
      <c r="D672" s="8">
        <v>92.5</v>
      </c>
      <c r="E672" s="8">
        <v>123</v>
      </c>
      <c r="F672" s="34">
        <f t="shared" si="40"/>
        <v>370.22999999999996</v>
      </c>
      <c r="G672" s="83"/>
    </row>
    <row r="673" spans="1:7" x14ac:dyDescent="0.45">
      <c r="A673" s="3" t="s">
        <v>1115</v>
      </c>
      <c r="B673" s="4">
        <v>3.3</v>
      </c>
      <c r="C673" s="8">
        <v>92.5</v>
      </c>
      <c r="D673" s="8">
        <v>92.5</v>
      </c>
      <c r="E673" s="8">
        <v>123</v>
      </c>
      <c r="F673" s="34">
        <f t="shared" si="40"/>
        <v>405.9</v>
      </c>
      <c r="G673" s="83"/>
    </row>
    <row r="674" spans="1:7" x14ac:dyDescent="0.45">
      <c r="A674" s="3" t="s">
        <v>1116</v>
      </c>
      <c r="B674" s="4">
        <v>2.93</v>
      </c>
      <c r="C674" s="8">
        <v>92.5</v>
      </c>
      <c r="D674" s="8">
        <v>92.5</v>
      </c>
      <c r="E674" s="8">
        <v>123</v>
      </c>
      <c r="F674" s="34">
        <f t="shared" si="40"/>
        <v>360.39000000000004</v>
      </c>
      <c r="G674" s="83"/>
    </row>
    <row r="675" spans="1:7" x14ac:dyDescent="0.45">
      <c r="A675" s="3" t="s">
        <v>1117</v>
      </c>
      <c r="B675" s="4">
        <v>2.27</v>
      </c>
      <c r="C675" s="8">
        <v>92.5</v>
      </c>
      <c r="D675" s="8">
        <v>92.5</v>
      </c>
      <c r="E675" s="8">
        <v>123</v>
      </c>
      <c r="F675" s="34">
        <f>B675*E675</f>
        <v>279.20999999999998</v>
      </c>
      <c r="G675" s="83"/>
    </row>
    <row r="676" spans="1:7" x14ac:dyDescent="0.45">
      <c r="A676" s="3" t="s">
        <v>1118</v>
      </c>
      <c r="B676" s="4">
        <v>3.39</v>
      </c>
      <c r="C676" s="8">
        <v>92.5</v>
      </c>
      <c r="D676" s="8">
        <v>92.5</v>
      </c>
      <c r="E676" s="8">
        <v>123</v>
      </c>
      <c r="F676" s="34">
        <f>B676*E676</f>
        <v>416.97</v>
      </c>
      <c r="G676" s="83"/>
    </row>
    <row r="677" spans="1:7" x14ac:dyDescent="0.45">
      <c r="A677" s="3" t="s">
        <v>1119</v>
      </c>
      <c r="B677" s="4">
        <v>1.95</v>
      </c>
      <c r="C677" s="8">
        <v>92.5</v>
      </c>
      <c r="D677" s="8">
        <v>92.5</v>
      </c>
      <c r="E677" s="8">
        <v>123</v>
      </c>
      <c r="F677" s="34">
        <f t="shared" si="40"/>
        <v>239.85</v>
      </c>
      <c r="G677" s="83"/>
    </row>
    <row r="678" spans="1:7" x14ac:dyDescent="0.45">
      <c r="A678" s="3" t="s">
        <v>1120</v>
      </c>
      <c r="B678" s="4">
        <v>2.4500000000000002</v>
      </c>
      <c r="C678" s="8">
        <v>92.5</v>
      </c>
      <c r="D678" s="8">
        <v>92.5</v>
      </c>
      <c r="E678" s="8">
        <v>123</v>
      </c>
      <c r="F678" s="34">
        <f t="shared" si="40"/>
        <v>301.35000000000002</v>
      </c>
      <c r="G678" s="83"/>
    </row>
    <row r="679" spans="1:7" x14ac:dyDescent="0.45">
      <c r="A679" s="3" t="s">
        <v>1121</v>
      </c>
      <c r="B679" s="4">
        <v>3.45</v>
      </c>
      <c r="C679" s="8">
        <v>92.5</v>
      </c>
      <c r="D679" s="8">
        <v>92.5</v>
      </c>
      <c r="E679" s="8">
        <v>123</v>
      </c>
      <c r="F679" s="34">
        <f t="shared" si="40"/>
        <v>424.35</v>
      </c>
      <c r="G679" s="83"/>
    </row>
    <row r="680" spans="1:7" x14ac:dyDescent="0.45">
      <c r="A680" s="3" t="s">
        <v>1122</v>
      </c>
      <c r="B680" s="4">
        <v>2.97</v>
      </c>
      <c r="C680" s="8">
        <v>92.5</v>
      </c>
      <c r="D680" s="8">
        <v>92.5</v>
      </c>
      <c r="E680" s="8">
        <v>123</v>
      </c>
      <c r="F680" s="34">
        <f t="shared" si="40"/>
        <v>365.31</v>
      </c>
      <c r="G680" s="83"/>
    </row>
    <row r="681" spans="1:7" x14ac:dyDescent="0.45">
      <c r="A681" s="3" t="s">
        <v>1123</v>
      </c>
      <c r="B681" s="4">
        <v>2.75</v>
      </c>
      <c r="C681" s="8">
        <v>92.5</v>
      </c>
      <c r="D681" s="8">
        <v>92.5</v>
      </c>
      <c r="E681" s="8">
        <v>123</v>
      </c>
      <c r="F681" s="34">
        <f t="shared" si="40"/>
        <v>338.25</v>
      </c>
      <c r="G681" s="83"/>
    </row>
    <row r="682" spans="1:7" x14ac:dyDescent="0.45">
      <c r="A682" s="3" t="s">
        <v>1124</v>
      </c>
      <c r="B682" s="4">
        <v>3.3</v>
      </c>
      <c r="C682" s="8">
        <v>92.5</v>
      </c>
      <c r="D682" s="8">
        <v>92.5</v>
      </c>
      <c r="E682" s="8">
        <v>123</v>
      </c>
      <c r="F682" s="34">
        <f t="shared" si="40"/>
        <v>405.9</v>
      </c>
      <c r="G682" s="83"/>
    </row>
    <row r="683" spans="1:7" x14ac:dyDescent="0.45">
      <c r="A683" s="3" t="s">
        <v>1125</v>
      </c>
      <c r="B683" s="4">
        <v>2.4</v>
      </c>
      <c r="C683" s="8">
        <v>92.5</v>
      </c>
      <c r="D683" s="8">
        <v>92.5</v>
      </c>
      <c r="E683" s="8">
        <v>123</v>
      </c>
      <c r="F683" s="34">
        <f>B683*E683</f>
        <v>295.2</v>
      </c>
      <c r="G683" s="83"/>
    </row>
    <row r="684" spans="1:7" x14ac:dyDescent="0.45">
      <c r="A684" s="3" t="s">
        <v>1126</v>
      </c>
      <c r="B684" s="4">
        <v>1.86</v>
      </c>
      <c r="C684" s="8">
        <v>92.5</v>
      </c>
      <c r="D684" s="8">
        <v>92.5</v>
      </c>
      <c r="E684" s="8">
        <v>123</v>
      </c>
      <c r="F684" s="34">
        <f t="shared" si="40"/>
        <v>228.78</v>
      </c>
      <c r="G684" s="83"/>
    </row>
    <row r="685" spans="1:7" x14ac:dyDescent="0.45">
      <c r="A685" s="3" t="s">
        <v>1127</v>
      </c>
      <c r="B685" s="4">
        <v>1.6</v>
      </c>
      <c r="C685" s="8">
        <v>92.5</v>
      </c>
      <c r="D685" s="8">
        <v>92.5</v>
      </c>
      <c r="E685" s="8">
        <v>123</v>
      </c>
      <c r="F685" s="34">
        <f t="shared" si="40"/>
        <v>196.8</v>
      </c>
      <c r="G685" s="83"/>
    </row>
    <row r="686" spans="1:7" x14ac:dyDescent="0.45">
      <c r="A686" s="3" t="s">
        <v>1128</v>
      </c>
      <c r="B686" s="4">
        <v>1.61</v>
      </c>
      <c r="C686" s="8">
        <v>92.5</v>
      </c>
      <c r="D686" s="8">
        <v>92.5</v>
      </c>
      <c r="E686" s="8">
        <v>123</v>
      </c>
      <c r="F686" s="34">
        <f t="shared" si="40"/>
        <v>198.03</v>
      </c>
      <c r="G686" s="83"/>
    </row>
    <row r="687" spans="1:7" x14ac:dyDescent="0.45">
      <c r="A687" s="3" t="s">
        <v>1129</v>
      </c>
      <c r="B687" s="4">
        <v>1.83</v>
      </c>
      <c r="C687" s="8">
        <v>92.5</v>
      </c>
      <c r="D687" s="8">
        <v>92.5</v>
      </c>
      <c r="E687" s="8">
        <v>123</v>
      </c>
      <c r="F687" s="34">
        <f t="shared" si="40"/>
        <v>225.09</v>
      </c>
      <c r="G687" s="83"/>
    </row>
    <row r="688" spans="1:7" x14ac:dyDescent="0.45">
      <c r="A688" s="3" t="s">
        <v>1130</v>
      </c>
      <c r="B688" s="4">
        <v>1.58</v>
      </c>
      <c r="C688" s="8">
        <v>92.5</v>
      </c>
      <c r="D688" s="8">
        <v>92.5</v>
      </c>
      <c r="E688" s="8">
        <v>123</v>
      </c>
      <c r="F688" s="34">
        <f t="shared" si="40"/>
        <v>194.34</v>
      </c>
      <c r="G688" s="83"/>
    </row>
    <row r="689" spans="1:7" x14ac:dyDescent="0.45">
      <c r="A689" s="3" t="s">
        <v>1131</v>
      </c>
      <c r="B689" s="4">
        <v>2.17</v>
      </c>
      <c r="C689" s="8">
        <v>92.5</v>
      </c>
      <c r="D689" s="8">
        <v>92.5</v>
      </c>
      <c r="E689" s="8">
        <v>123</v>
      </c>
      <c r="F689" s="34">
        <f>B689*E689</f>
        <v>266.90999999999997</v>
      </c>
      <c r="G689" s="83"/>
    </row>
    <row r="690" spans="1:7" x14ac:dyDescent="0.45">
      <c r="A690" s="3" t="s">
        <v>1132</v>
      </c>
      <c r="B690" s="4">
        <v>2.36</v>
      </c>
      <c r="C690" s="8">
        <v>92.5</v>
      </c>
      <c r="D690" s="8">
        <v>92.5</v>
      </c>
      <c r="E690" s="8">
        <v>123</v>
      </c>
      <c r="F690" s="34">
        <f t="shared" si="40"/>
        <v>290.27999999999997</v>
      </c>
      <c r="G690" s="83"/>
    </row>
    <row r="691" spans="1:7" x14ac:dyDescent="0.45">
      <c r="A691" s="3" t="s">
        <v>1133</v>
      </c>
      <c r="B691" s="4">
        <v>1.61</v>
      </c>
      <c r="C691" s="8">
        <v>92.5</v>
      </c>
      <c r="D691" s="8">
        <v>92.5</v>
      </c>
      <c r="E691" s="8">
        <v>123</v>
      </c>
      <c r="F691" s="34">
        <f t="shared" si="40"/>
        <v>198.03</v>
      </c>
      <c r="G691" s="83"/>
    </row>
    <row r="692" spans="1:7" x14ac:dyDescent="0.45">
      <c r="A692" s="3" t="s">
        <v>1134</v>
      </c>
      <c r="B692" s="4">
        <v>1.72</v>
      </c>
      <c r="C692" s="8">
        <v>92.5</v>
      </c>
      <c r="D692" s="8">
        <v>92.5</v>
      </c>
      <c r="E692" s="8">
        <v>123</v>
      </c>
      <c r="F692" s="34">
        <f t="shared" si="40"/>
        <v>211.56</v>
      </c>
      <c r="G692" s="83"/>
    </row>
    <row r="693" spans="1:7" x14ac:dyDescent="0.45">
      <c r="A693" s="3" t="s">
        <v>1135</v>
      </c>
      <c r="B693" s="4">
        <v>1.61</v>
      </c>
      <c r="C693" s="8">
        <v>92.5</v>
      </c>
      <c r="D693" s="8">
        <v>92.5</v>
      </c>
      <c r="E693" s="8">
        <v>123</v>
      </c>
      <c r="F693" s="34">
        <f t="shared" si="40"/>
        <v>198.03</v>
      </c>
      <c r="G693" s="83"/>
    </row>
    <row r="694" spans="1:7" x14ac:dyDescent="0.45">
      <c r="A694" s="3" t="s">
        <v>1136</v>
      </c>
      <c r="B694" s="4">
        <v>1.81</v>
      </c>
      <c r="C694" s="8">
        <v>92.5</v>
      </c>
      <c r="D694" s="8">
        <v>92.5</v>
      </c>
      <c r="E694" s="8">
        <v>123</v>
      </c>
      <c r="F694" s="34">
        <f t="shared" si="40"/>
        <v>222.63</v>
      </c>
      <c r="G694" s="83"/>
    </row>
    <row r="695" spans="1:7" x14ac:dyDescent="0.45">
      <c r="A695" s="3" t="s">
        <v>1137</v>
      </c>
      <c r="B695" s="4">
        <v>2.2000000000000002</v>
      </c>
      <c r="C695" s="8">
        <v>92.5</v>
      </c>
      <c r="D695" s="8">
        <v>92.5</v>
      </c>
      <c r="E695" s="8">
        <v>123</v>
      </c>
      <c r="F695" s="34">
        <f t="shared" si="40"/>
        <v>270.60000000000002</v>
      </c>
      <c r="G695" s="83"/>
    </row>
    <row r="696" spans="1:7" x14ac:dyDescent="0.45">
      <c r="A696" s="3" t="s">
        <v>1138</v>
      </c>
      <c r="B696" s="4">
        <v>2.0499999999999998</v>
      </c>
      <c r="C696" s="8">
        <v>92.5</v>
      </c>
      <c r="D696" s="8">
        <v>92.5</v>
      </c>
      <c r="E696" s="8">
        <v>123</v>
      </c>
      <c r="F696" s="34">
        <f t="shared" si="40"/>
        <v>252.14999999999998</v>
      </c>
      <c r="G696" s="83"/>
    </row>
    <row r="697" spans="1:7" x14ac:dyDescent="0.45">
      <c r="A697" s="3" t="s">
        <v>1139</v>
      </c>
      <c r="B697" s="4">
        <v>2.25</v>
      </c>
      <c r="C697" s="8">
        <v>92.5</v>
      </c>
      <c r="D697" s="8">
        <v>92.5</v>
      </c>
      <c r="E697" s="8">
        <v>123</v>
      </c>
      <c r="F697" s="34">
        <f t="shared" ref="F697:F706" si="41">B697*E697</f>
        <v>276.75</v>
      </c>
      <c r="G697" s="83"/>
    </row>
    <row r="698" spans="1:7" x14ac:dyDescent="0.45">
      <c r="A698" s="3" t="s">
        <v>1140</v>
      </c>
      <c r="B698" s="4">
        <v>2.02</v>
      </c>
      <c r="C698" s="8">
        <v>92.5</v>
      </c>
      <c r="D698" s="8">
        <v>92.5</v>
      </c>
      <c r="E698" s="8">
        <v>123</v>
      </c>
      <c r="F698" s="34">
        <f t="shared" si="41"/>
        <v>248.46</v>
      </c>
      <c r="G698" s="83"/>
    </row>
    <row r="699" spans="1:7" x14ac:dyDescent="0.45">
      <c r="A699" s="3" t="s">
        <v>1141</v>
      </c>
      <c r="B699" s="4">
        <v>2.65</v>
      </c>
      <c r="C699" s="8">
        <v>92.5</v>
      </c>
      <c r="D699" s="8">
        <v>92.5</v>
      </c>
      <c r="E699" s="8">
        <v>123</v>
      </c>
      <c r="F699" s="34">
        <f t="shared" si="41"/>
        <v>325.95</v>
      </c>
      <c r="G699" s="83"/>
    </row>
    <row r="700" spans="1:7" x14ac:dyDescent="0.45">
      <c r="A700" s="3" t="s">
        <v>1142</v>
      </c>
      <c r="B700" s="4">
        <v>1.62</v>
      </c>
      <c r="C700" s="8">
        <v>92.5</v>
      </c>
      <c r="D700" s="8">
        <v>92.5</v>
      </c>
      <c r="E700" s="8">
        <v>123</v>
      </c>
      <c r="F700" s="34">
        <f t="shared" si="41"/>
        <v>199.26000000000002</v>
      </c>
      <c r="G700" s="83"/>
    </row>
    <row r="701" spans="1:7" x14ac:dyDescent="0.45">
      <c r="A701" s="3" t="s">
        <v>1143</v>
      </c>
      <c r="B701" s="4">
        <v>4</v>
      </c>
      <c r="C701" s="8">
        <v>92.5</v>
      </c>
      <c r="D701" s="8">
        <v>92.5</v>
      </c>
      <c r="E701" s="8">
        <v>123</v>
      </c>
      <c r="F701" s="34">
        <f t="shared" si="41"/>
        <v>492</v>
      </c>
      <c r="G701" s="83"/>
    </row>
    <row r="702" spans="1:7" x14ac:dyDescent="0.45">
      <c r="A702" s="3" t="s">
        <v>1144</v>
      </c>
      <c r="B702" s="4">
        <v>4.42</v>
      </c>
      <c r="C702" s="8">
        <v>92.5</v>
      </c>
      <c r="D702" s="8">
        <v>92.5</v>
      </c>
      <c r="E702" s="8">
        <v>123</v>
      </c>
      <c r="F702" s="34">
        <f t="shared" si="41"/>
        <v>543.66</v>
      </c>
      <c r="G702" s="83"/>
    </row>
    <row r="703" spans="1:7" x14ac:dyDescent="0.45">
      <c r="A703" s="3" t="s">
        <v>1145</v>
      </c>
      <c r="B703" s="4">
        <v>4.1500000000000004</v>
      </c>
      <c r="C703" s="8">
        <v>92.5</v>
      </c>
      <c r="D703" s="8">
        <v>92.5</v>
      </c>
      <c r="E703" s="8">
        <v>123</v>
      </c>
      <c r="F703" s="34">
        <f t="shared" si="41"/>
        <v>510.45000000000005</v>
      </c>
      <c r="G703" s="83"/>
    </row>
    <row r="704" spans="1:7" x14ac:dyDescent="0.45">
      <c r="A704" s="3" t="s">
        <v>1146</v>
      </c>
      <c r="B704" s="4">
        <v>4.6500000000000004</v>
      </c>
      <c r="C704" s="8">
        <v>92.5</v>
      </c>
      <c r="D704" s="8">
        <v>92.5</v>
      </c>
      <c r="E704" s="8">
        <v>123</v>
      </c>
      <c r="F704" s="34">
        <f t="shared" si="41"/>
        <v>571.95000000000005</v>
      </c>
      <c r="G704" s="83"/>
    </row>
    <row r="705" spans="1:7" x14ac:dyDescent="0.45">
      <c r="A705" s="3" t="s">
        <v>1147</v>
      </c>
      <c r="B705" s="4">
        <v>4.18</v>
      </c>
      <c r="C705" s="8">
        <v>92.5</v>
      </c>
      <c r="D705" s="8">
        <v>92.5</v>
      </c>
      <c r="E705" s="8">
        <v>123</v>
      </c>
      <c r="F705" s="34">
        <f t="shared" si="41"/>
        <v>514.14</v>
      </c>
      <c r="G705" s="83"/>
    </row>
    <row r="706" spans="1:7" x14ac:dyDescent="0.45">
      <c r="A706" s="3" t="s">
        <v>1148</v>
      </c>
      <c r="B706" s="4">
        <v>4.18</v>
      </c>
      <c r="C706" s="8">
        <v>92.5</v>
      </c>
      <c r="D706" s="8">
        <v>92.5</v>
      </c>
      <c r="E706" s="8">
        <v>123</v>
      </c>
      <c r="F706" s="34">
        <f t="shared" si="41"/>
        <v>514.14</v>
      </c>
      <c r="G706" s="83"/>
    </row>
    <row r="707" spans="1:7" x14ac:dyDescent="0.45">
      <c r="A707" s="3" t="s">
        <v>1149</v>
      </c>
      <c r="B707" s="4">
        <v>4.01</v>
      </c>
      <c r="C707" s="8">
        <v>92.5</v>
      </c>
      <c r="D707" s="8">
        <v>92.5</v>
      </c>
      <c r="E707" s="8">
        <v>123</v>
      </c>
      <c r="F707" s="34">
        <f>B707*E707</f>
        <v>493.22999999999996</v>
      </c>
      <c r="G707" s="83"/>
    </row>
    <row r="708" spans="1:7" x14ac:dyDescent="0.45">
      <c r="A708" s="3" t="s">
        <v>563</v>
      </c>
      <c r="B708" s="4">
        <v>31.25</v>
      </c>
      <c r="C708" s="7">
        <v>86</v>
      </c>
      <c r="D708" s="7">
        <f>65-C708</f>
        <v>-21</v>
      </c>
      <c r="E708" s="6">
        <v>90</v>
      </c>
      <c r="F708" s="34">
        <f t="shared" ref="F708" si="42">(((B708*C708)/100)*E708)</f>
        <v>2418.75</v>
      </c>
      <c r="G708" s="83"/>
    </row>
    <row r="709" spans="1:7" x14ac:dyDescent="0.45">
      <c r="A709" s="3" t="s">
        <v>564</v>
      </c>
      <c r="B709" s="4">
        <v>11.6</v>
      </c>
      <c r="C709" s="7">
        <v>86</v>
      </c>
      <c r="D709" s="7">
        <f t="shared" ref="D709:D764" si="43">65-C709</f>
        <v>-21</v>
      </c>
      <c r="E709" s="6">
        <v>90</v>
      </c>
      <c r="F709" s="34">
        <f t="shared" ref="F709:F741" si="44">(((B709*C709)/100)*E709)</f>
        <v>897.84</v>
      </c>
      <c r="G709" s="83"/>
    </row>
    <row r="710" spans="1:7" x14ac:dyDescent="0.45">
      <c r="A710" s="3" t="s">
        <v>565</v>
      </c>
      <c r="B710" s="4">
        <v>21.75</v>
      </c>
      <c r="C710" s="7">
        <v>86</v>
      </c>
      <c r="D710" s="7">
        <f t="shared" si="43"/>
        <v>-21</v>
      </c>
      <c r="E710" s="6">
        <v>90</v>
      </c>
      <c r="F710" s="34">
        <f t="shared" si="44"/>
        <v>1683.4499999999998</v>
      </c>
      <c r="G710" s="83"/>
    </row>
    <row r="711" spans="1:7" x14ac:dyDescent="0.45">
      <c r="A711" s="3" t="s">
        <v>566</v>
      </c>
      <c r="B711" s="4">
        <v>16.649999999999999</v>
      </c>
      <c r="C711" s="7">
        <v>86</v>
      </c>
      <c r="D711" s="7">
        <f t="shared" si="43"/>
        <v>-21</v>
      </c>
      <c r="E711" s="6">
        <v>90</v>
      </c>
      <c r="F711" s="34">
        <f t="shared" si="44"/>
        <v>1288.7099999999998</v>
      </c>
      <c r="G711" s="83"/>
    </row>
    <row r="712" spans="1:7" x14ac:dyDescent="0.45">
      <c r="A712" s="3" t="s">
        <v>567</v>
      </c>
      <c r="B712" s="4">
        <v>14.15</v>
      </c>
      <c r="C712" s="7">
        <v>86</v>
      </c>
      <c r="D712" s="7">
        <f t="shared" si="43"/>
        <v>-21</v>
      </c>
      <c r="E712" s="6">
        <v>90</v>
      </c>
      <c r="F712" s="34">
        <f t="shared" si="44"/>
        <v>1095.21</v>
      </c>
      <c r="G712" s="83"/>
    </row>
    <row r="713" spans="1:7" x14ac:dyDescent="0.45">
      <c r="A713" s="3" t="s">
        <v>568</v>
      </c>
      <c r="B713" s="4">
        <v>15.6</v>
      </c>
      <c r="C713" s="7">
        <v>86</v>
      </c>
      <c r="D713" s="7">
        <f t="shared" si="43"/>
        <v>-21</v>
      </c>
      <c r="E713" s="6">
        <v>90</v>
      </c>
      <c r="F713" s="34">
        <f t="shared" si="44"/>
        <v>1207.4399999999998</v>
      </c>
      <c r="G713" s="83"/>
    </row>
    <row r="714" spans="1:7" x14ac:dyDescent="0.45">
      <c r="A714" s="3" t="s">
        <v>569</v>
      </c>
      <c r="B714" s="4">
        <v>13.25</v>
      </c>
      <c r="C714" s="7">
        <v>86</v>
      </c>
      <c r="D714" s="7">
        <f t="shared" si="43"/>
        <v>-21</v>
      </c>
      <c r="E714" s="6">
        <v>90</v>
      </c>
      <c r="F714" s="34">
        <f t="shared" si="44"/>
        <v>1025.55</v>
      </c>
      <c r="G714" s="83"/>
    </row>
    <row r="715" spans="1:7" x14ac:dyDescent="0.45">
      <c r="A715" s="3" t="s">
        <v>570</v>
      </c>
      <c r="B715" s="4">
        <v>12.45</v>
      </c>
      <c r="C715" s="7">
        <v>86</v>
      </c>
      <c r="D715" s="7">
        <f t="shared" si="43"/>
        <v>-21</v>
      </c>
      <c r="E715" s="6">
        <v>90</v>
      </c>
      <c r="F715" s="34">
        <f t="shared" si="44"/>
        <v>963.63000000000011</v>
      </c>
      <c r="G715" s="83"/>
    </row>
    <row r="716" spans="1:7" x14ac:dyDescent="0.45">
      <c r="A716" s="3" t="s">
        <v>571</v>
      </c>
      <c r="B716" s="4">
        <v>15.6</v>
      </c>
      <c r="C716" s="7">
        <v>86</v>
      </c>
      <c r="D716" s="7">
        <f t="shared" si="43"/>
        <v>-21</v>
      </c>
      <c r="E716" s="6">
        <v>90</v>
      </c>
      <c r="F716" s="34">
        <f t="shared" si="44"/>
        <v>1207.4399999999998</v>
      </c>
      <c r="G716" s="83"/>
    </row>
    <row r="717" spans="1:7" x14ac:dyDescent="0.45">
      <c r="A717" s="3" t="s">
        <v>572</v>
      </c>
      <c r="B717" s="4">
        <v>27.5</v>
      </c>
      <c r="C717" s="7">
        <v>86</v>
      </c>
      <c r="D717" s="7">
        <f t="shared" si="43"/>
        <v>-21</v>
      </c>
      <c r="E717" s="6">
        <v>90</v>
      </c>
      <c r="F717" s="34">
        <f t="shared" si="44"/>
        <v>2128.5</v>
      </c>
      <c r="G717" s="83"/>
    </row>
    <row r="718" spans="1:7" x14ac:dyDescent="0.45">
      <c r="A718" s="3" t="s">
        <v>573</v>
      </c>
      <c r="B718" s="4">
        <v>13.9</v>
      </c>
      <c r="C718" s="7">
        <v>86</v>
      </c>
      <c r="D718" s="7">
        <f t="shared" si="43"/>
        <v>-21</v>
      </c>
      <c r="E718" s="6">
        <v>90</v>
      </c>
      <c r="F718" s="34">
        <f t="shared" si="44"/>
        <v>1075.8600000000001</v>
      </c>
      <c r="G718" s="83"/>
    </row>
    <row r="719" spans="1:7" x14ac:dyDescent="0.45">
      <c r="A719" s="3" t="s">
        <v>574</v>
      </c>
      <c r="B719" s="4">
        <v>24.82</v>
      </c>
      <c r="C719" s="7">
        <v>86</v>
      </c>
      <c r="D719" s="7">
        <f t="shared" si="43"/>
        <v>-21</v>
      </c>
      <c r="E719" s="6">
        <v>90</v>
      </c>
      <c r="F719" s="34">
        <f t="shared" si="44"/>
        <v>1921.0679999999998</v>
      </c>
      <c r="G719" s="83"/>
    </row>
    <row r="720" spans="1:7" x14ac:dyDescent="0.45">
      <c r="A720" s="3" t="s">
        <v>575</v>
      </c>
      <c r="B720" s="4">
        <v>13.95</v>
      </c>
      <c r="C720" s="7">
        <v>86</v>
      </c>
      <c r="D720" s="7">
        <f t="shared" si="43"/>
        <v>-21</v>
      </c>
      <c r="E720" s="6">
        <v>90</v>
      </c>
      <c r="F720" s="34">
        <f t="shared" si="44"/>
        <v>1079.73</v>
      </c>
      <c r="G720" s="83"/>
    </row>
    <row r="721" spans="1:7" x14ac:dyDescent="0.45">
      <c r="A721" s="3" t="s">
        <v>576</v>
      </c>
      <c r="B721" s="4">
        <v>16.95</v>
      </c>
      <c r="C721" s="7">
        <v>86</v>
      </c>
      <c r="D721" s="7">
        <f t="shared" si="43"/>
        <v>-21</v>
      </c>
      <c r="E721" s="6">
        <v>90</v>
      </c>
      <c r="F721" s="34">
        <f t="shared" si="44"/>
        <v>1311.93</v>
      </c>
      <c r="G721" s="83"/>
    </row>
    <row r="722" spans="1:7" x14ac:dyDescent="0.45">
      <c r="A722" s="3" t="s">
        <v>577</v>
      </c>
      <c r="B722" s="4">
        <v>9.35</v>
      </c>
      <c r="C722" s="7">
        <v>86</v>
      </c>
      <c r="D722" s="7">
        <f t="shared" si="43"/>
        <v>-21</v>
      </c>
      <c r="E722" s="6">
        <v>90</v>
      </c>
      <c r="F722" s="34">
        <f t="shared" si="44"/>
        <v>723.69</v>
      </c>
      <c r="G722" s="83"/>
    </row>
    <row r="723" spans="1:7" x14ac:dyDescent="0.45">
      <c r="A723" s="3" t="s">
        <v>578</v>
      </c>
      <c r="B723" s="4">
        <v>17.3</v>
      </c>
      <c r="C723" s="7">
        <v>86</v>
      </c>
      <c r="D723" s="7">
        <f t="shared" si="43"/>
        <v>-21</v>
      </c>
      <c r="E723" s="6">
        <v>90</v>
      </c>
      <c r="F723" s="34">
        <f t="shared" si="44"/>
        <v>1339.02</v>
      </c>
      <c r="G723" s="83"/>
    </row>
    <row r="724" spans="1:7" x14ac:dyDescent="0.45">
      <c r="A724" s="3" t="s">
        <v>579</v>
      </c>
      <c r="B724" s="4">
        <v>12.05</v>
      </c>
      <c r="C724" s="7">
        <v>92.5</v>
      </c>
      <c r="D724" s="7">
        <f t="shared" si="43"/>
        <v>-27.5</v>
      </c>
      <c r="E724" s="6">
        <v>102.5</v>
      </c>
      <c r="F724" s="34">
        <f t="shared" si="44"/>
        <v>1142.4906249999999</v>
      </c>
      <c r="G724" s="83"/>
    </row>
    <row r="725" spans="1:7" x14ac:dyDescent="0.45">
      <c r="A725" s="3" t="s">
        <v>580</v>
      </c>
      <c r="B725" s="4">
        <v>7.66</v>
      </c>
      <c r="C725" s="7">
        <v>92.5</v>
      </c>
      <c r="D725" s="7">
        <f t="shared" si="43"/>
        <v>-27.5</v>
      </c>
      <c r="E725" s="6">
        <v>102.5</v>
      </c>
      <c r="F725" s="34">
        <f t="shared" si="44"/>
        <v>726.26375000000007</v>
      </c>
      <c r="G725" s="83"/>
    </row>
    <row r="726" spans="1:7" x14ac:dyDescent="0.45">
      <c r="A726" s="3" t="s">
        <v>581</v>
      </c>
      <c r="B726" s="4">
        <v>8.5</v>
      </c>
      <c r="C726" s="7">
        <v>92.5</v>
      </c>
      <c r="D726" s="7">
        <f t="shared" si="43"/>
        <v>-27.5</v>
      </c>
      <c r="E726" s="6">
        <v>102.5</v>
      </c>
      <c r="F726" s="34">
        <f t="shared" si="44"/>
        <v>805.90625</v>
      </c>
      <c r="G726" s="83"/>
    </row>
    <row r="727" spans="1:7" x14ac:dyDescent="0.45">
      <c r="A727" s="3" t="s">
        <v>582</v>
      </c>
      <c r="B727" s="4">
        <v>7.41</v>
      </c>
      <c r="C727" s="7">
        <v>92.5</v>
      </c>
      <c r="D727" s="7">
        <f t="shared" si="43"/>
        <v>-27.5</v>
      </c>
      <c r="E727" s="6">
        <v>102.5</v>
      </c>
      <c r="F727" s="34">
        <f t="shared" si="44"/>
        <v>702.56062500000007</v>
      </c>
      <c r="G727" s="83"/>
    </row>
    <row r="728" spans="1:7" x14ac:dyDescent="0.45">
      <c r="A728" s="3" t="s">
        <v>583</v>
      </c>
      <c r="B728" s="4">
        <v>8.4</v>
      </c>
      <c r="C728" s="7">
        <v>92.5</v>
      </c>
      <c r="D728" s="7">
        <f t="shared" si="43"/>
        <v>-27.5</v>
      </c>
      <c r="E728" s="6">
        <v>102.5</v>
      </c>
      <c r="F728" s="34">
        <f t="shared" si="44"/>
        <v>796.42499999999995</v>
      </c>
      <c r="G728" s="83"/>
    </row>
    <row r="729" spans="1:7" x14ac:dyDescent="0.45">
      <c r="A729" s="3" t="s">
        <v>584</v>
      </c>
      <c r="B729" s="4">
        <v>12.5</v>
      </c>
      <c r="C729" s="7">
        <v>92.5</v>
      </c>
      <c r="D729" s="7">
        <f t="shared" si="43"/>
        <v>-27.5</v>
      </c>
      <c r="E729" s="6">
        <v>102.5</v>
      </c>
      <c r="F729" s="34">
        <f t="shared" si="44"/>
        <v>1185.15625</v>
      </c>
      <c r="G729" s="83"/>
    </row>
    <row r="730" spans="1:7" x14ac:dyDescent="0.45">
      <c r="A730" s="3" t="s">
        <v>585</v>
      </c>
      <c r="B730" s="4">
        <v>14.5</v>
      </c>
      <c r="C730" s="7">
        <v>92.5</v>
      </c>
      <c r="D730" s="7">
        <f t="shared" si="43"/>
        <v>-27.5</v>
      </c>
      <c r="E730" s="6">
        <v>102.5</v>
      </c>
      <c r="F730" s="34">
        <f t="shared" si="44"/>
        <v>1374.78125</v>
      </c>
      <c r="G730" s="83"/>
    </row>
    <row r="731" spans="1:7" x14ac:dyDescent="0.45">
      <c r="A731" s="3" t="s">
        <v>586</v>
      </c>
      <c r="B731" s="4">
        <v>8.75</v>
      </c>
      <c r="C731" s="7">
        <v>92.5</v>
      </c>
      <c r="D731" s="7">
        <f t="shared" si="43"/>
        <v>-27.5</v>
      </c>
      <c r="E731" s="6">
        <v>102.5</v>
      </c>
      <c r="F731" s="34">
        <f t="shared" si="44"/>
        <v>829.609375</v>
      </c>
      <c r="G731" s="83"/>
    </row>
    <row r="732" spans="1:7" x14ac:dyDescent="0.45">
      <c r="A732" s="3" t="s">
        <v>587</v>
      </c>
      <c r="B732" s="4">
        <v>15.8</v>
      </c>
      <c r="C732" s="7">
        <v>92.5</v>
      </c>
      <c r="D732" s="7">
        <f t="shared" si="43"/>
        <v>-27.5</v>
      </c>
      <c r="E732" s="6">
        <v>102.5</v>
      </c>
      <c r="F732" s="34">
        <f t="shared" si="44"/>
        <v>1498.0374999999999</v>
      </c>
      <c r="G732" s="83"/>
    </row>
    <row r="733" spans="1:7" x14ac:dyDescent="0.45">
      <c r="A733" s="3" t="s">
        <v>588</v>
      </c>
      <c r="B733" s="4">
        <v>14</v>
      </c>
      <c r="C733" s="7">
        <v>92.5</v>
      </c>
      <c r="D733" s="7">
        <f t="shared" si="43"/>
        <v>-27.5</v>
      </c>
      <c r="E733" s="6">
        <v>102.5</v>
      </c>
      <c r="F733" s="34">
        <f t="shared" si="44"/>
        <v>1327.375</v>
      </c>
      <c r="G733" s="83"/>
    </row>
    <row r="734" spans="1:7" x14ac:dyDescent="0.45">
      <c r="A734" s="3" t="s">
        <v>589</v>
      </c>
      <c r="B734" s="4">
        <v>15.2</v>
      </c>
      <c r="C734" s="7">
        <v>90</v>
      </c>
      <c r="D734" s="7">
        <f t="shared" si="43"/>
        <v>-25</v>
      </c>
      <c r="E734" s="6">
        <v>91</v>
      </c>
      <c r="F734" s="34">
        <f t="shared" si="44"/>
        <v>1244.8799999999999</v>
      </c>
      <c r="G734" s="83"/>
    </row>
    <row r="735" spans="1:7" x14ac:dyDescent="0.45">
      <c r="A735" s="3" t="s">
        <v>590</v>
      </c>
      <c r="B735" s="4">
        <v>15.6</v>
      </c>
      <c r="C735" s="7">
        <v>90</v>
      </c>
      <c r="D735" s="7">
        <f t="shared" si="43"/>
        <v>-25</v>
      </c>
      <c r="E735" s="6">
        <v>91</v>
      </c>
      <c r="F735" s="34">
        <f t="shared" si="44"/>
        <v>1277.6399999999999</v>
      </c>
      <c r="G735" s="83"/>
    </row>
    <row r="736" spans="1:7" x14ac:dyDescent="0.45">
      <c r="A736" s="3" t="s">
        <v>591</v>
      </c>
      <c r="B736" s="4">
        <v>14.8</v>
      </c>
      <c r="C736" s="7">
        <v>86</v>
      </c>
      <c r="D736" s="7">
        <f t="shared" si="43"/>
        <v>-21</v>
      </c>
      <c r="E736" s="6">
        <v>89</v>
      </c>
      <c r="F736" s="34">
        <f t="shared" si="44"/>
        <v>1132.7919999999999</v>
      </c>
      <c r="G736" s="83"/>
    </row>
    <row r="737" spans="1:7" x14ac:dyDescent="0.45">
      <c r="A737" s="3" t="s">
        <v>592</v>
      </c>
      <c r="B737" s="4">
        <v>19.05</v>
      </c>
      <c r="C737" s="7">
        <v>86</v>
      </c>
      <c r="D737" s="7">
        <f t="shared" si="43"/>
        <v>-21</v>
      </c>
      <c r="E737" s="6">
        <v>89</v>
      </c>
      <c r="F737" s="34">
        <f t="shared" si="44"/>
        <v>1458.087</v>
      </c>
      <c r="G737" s="83"/>
    </row>
    <row r="738" spans="1:7" x14ac:dyDescent="0.45">
      <c r="A738" s="3" t="s">
        <v>593</v>
      </c>
      <c r="B738" s="4">
        <v>15.4</v>
      </c>
      <c r="C738" s="7">
        <v>86</v>
      </c>
      <c r="D738" s="7">
        <f t="shared" si="43"/>
        <v>-21</v>
      </c>
      <c r="E738" s="6">
        <v>89</v>
      </c>
      <c r="F738" s="34">
        <f t="shared" si="44"/>
        <v>1178.7160000000001</v>
      </c>
      <c r="G738" s="83"/>
    </row>
    <row r="739" spans="1:7" x14ac:dyDescent="0.45">
      <c r="A739" s="3" t="s">
        <v>594</v>
      </c>
      <c r="B739" s="4">
        <v>13.75</v>
      </c>
      <c r="C739" s="7">
        <v>86</v>
      </c>
      <c r="D739" s="7">
        <f t="shared" si="43"/>
        <v>-21</v>
      </c>
      <c r="E739" s="6">
        <v>89</v>
      </c>
      <c r="F739" s="34">
        <f t="shared" si="44"/>
        <v>1052.425</v>
      </c>
      <c r="G739" s="83"/>
    </row>
    <row r="740" spans="1:7" x14ac:dyDescent="0.45">
      <c r="A740" s="3" t="s">
        <v>595</v>
      </c>
      <c r="B740" s="4">
        <v>14.95</v>
      </c>
      <c r="C740" s="7">
        <v>86</v>
      </c>
      <c r="D740" s="7">
        <f t="shared" si="43"/>
        <v>-21</v>
      </c>
      <c r="E740" s="6">
        <v>89</v>
      </c>
      <c r="F740" s="34">
        <f t="shared" si="44"/>
        <v>1144.2730000000001</v>
      </c>
      <c r="G740" s="83"/>
    </row>
    <row r="741" spans="1:7" x14ac:dyDescent="0.45">
      <c r="A741" s="3" t="s">
        <v>596</v>
      </c>
      <c r="B741" s="4">
        <v>12.3</v>
      </c>
      <c r="C741" s="7">
        <v>87</v>
      </c>
      <c r="D741" s="7">
        <v>-21</v>
      </c>
      <c r="E741" s="6">
        <v>89</v>
      </c>
      <c r="F741" s="34">
        <f t="shared" si="44"/>
        <v>952.38900000000001</v>
      </c>
      <c r="G741" s="83"/>
    </row>
    <row r="742" spans="1:7" x14ac:dyDescent="0.45">
      <c r="A742" s="3" t="s">
        <v>597</v>
      </c>
      <c r="B742" s="4">
        <v>41.7</v>
      </c>
      <c r="C742" s="7">
        <v>92.5</v>
      </c>
      <c r="D742" s="7">
        <f t="shared" si="43"/>
        <v>-27.5</v>
      </c>
      <c r="E742" s="6">
        <v>90</v>
      </c>
      <c r="F742" s="34">
        <f>E742*B742</f>
        <v>3753.0000000000005</v>
      </c>
      <c r="G742" s="83"/>
    </row>
    <row r="743" spans="1:7" x14ac:dyDescent="0.45">
      <c r="A743" s="3" t="s">
        <v>598</v>
      </c>
      <c r="B743" s="4">
        <v>19</v>
      </c>
      <c r="C743" s="7">
        <v>92.5</v>
      </c>
      <c r="D743" s="7">
        <f t="shared" si="43"/>
        <v>-27.5</v>
      </c>
      <c r="E743" s="6">
        <v>90</v>
      </c>
      <c r="F743" s="34">
        <f t="shared" ref="F743:F750" si="45">E743*B743</f>
        <v>1710</v>
      </c>
      <c r="G743" s="83"/>
    </row>
    <row r="744" spans="1:7" x14ac:dyDescent="0.45">
      <c r="A744" s="3" t="s">
        <v>599</v>
      </c>
      <c r="B744" s="4">
        <v>10.75</v>
      </c>
      <c r="C744" s="7">
        <v>92.5</v>
      </c>
      <c r="D744" s="7">
        <f t="shared" si="43"/>
        <v>-27.5</v>
      </c>
      <c r="E744" s="6">
        <v>90</v>
      </c>
      <c r="F744" s="34">
        <f t="shared" si="45"/>
        <v>967.5</v>
      </c>
      <c r="G744" s="83"/>
    </row>
    <row r="745" spans="1:7" x14ac:dyDescent="0.45">
      <c r="A745" s="3" t="s">
        <v>600</v>
      </c>
      <c r="B745" s="4">
        <v>35.9</v>
      </c>
      <c r="C745" s="7">
        <v>92.5</v>
      </c>
      <c r="D745" s="7">
        <f t="shared" si="43"/>
        <v>-27.5</v>
      </c>
      <c r="E745" s="6">
        <v>90</v>
      </c>
      <c r="F745" s="34">
        <f t="shared" si="45"/>
        <v>3231</v>
      </c>
      <c r="G745" s="83"/>
    </row>
    <row r="746" spans="1:7" x14ac:dyDescent="0.45">
      <c r="A746" s="3" t="s">
        <v>601</v>
      </c>
      <c r="B746" s="4">
        <v>33.11</v>
      </c>
      <c r="C746" s="7">
        <v>92.5</v>
      </c>
      <c r="D746" s="7">
        <f t="shared" si="43"/>
        <v>-27.5</v>
      </c>
      <c r="E746" s="6">
        <v>90</v>
      </c>
      <c r="F746" s="34">
        <f t="shared" si="45"/>
        <v>2979.9</v>
      </c>
      <c r="G746" s="83"/>
    </row>
    <row r="747" spans="1:7" x14ac:dyDescent="0.45">
      <c r="A747" s="3" t="s">
        <v>602</v>
      </c>
      <c r="B747" s="4">
        <v>26.8</v>
      </c>
      <c r="C747" s="7">
        <v>92.5</v>
      </c>
      <c r="D747" s="7">
        <f t="shared" si="43"/>
        <v>-27.5</v>
      </c>
      <c r="E747" s="6">
        <v>90</v>
      </c>
      <c r="F747" s="34">
        <f t="shared" si="45"/>
        <v>2412</v>
      </c>
      <c r="G747" s="83"/>
    </row>
    <row r="748" spans="1:7" x14ac:dyDescent="0.45">
      <c r="A748" s="3" t="s">
        <v>603</v>
      </c>
      <c r="B748" s="4">
        <v>38.299999999999997</v>
      </c>
      <c r="C748" s="7">
        <v>92.5</v>
      </c>
      <c r="D748" s="7">
        <f t="shared" si="43"/>
        <v>-27.5</v>
      </c>
      <c r="E748" s="6">
        <v>90</v>
      </c>
      <c r="F748" s="34">
        <f t="shared" si="45"/>
        <v>3446.9999999999995</v>
      </c>
      <c r="G748" s="83"/>
    </row>
    <row r="749" spans="1:7" x14ac:dyDescent="0.45">
      <c r="A749" s="3" t="s">
        <v>604</v>
      </c>
      <c r="B749" s="4">
        <v>50.7</v>
      </c>
      <c r="C749" s="7">
        <v>92.5</v>
      </c>
      <c r="D749" s="7">
        <f t="shared" si="43"/>
        <v>-27.5</v>
      </c>
      <c r="E749" s="6">
        <v>100.5</v>
      </c>
      <c r="F749" s="34">
        <f t="shared" si="45"/>
        <v>5095.3500000000004</v>
      </c>
      <c r="G749" s="83"/>
    </row>
    <row r="750" spans="1:7" x14ac:dyDescent="0.45">
      <c r="A750" s="3" t="s">
        <v>605</v>
      </c>
      <c r="B750" s="4">
        <v>46</v>
      </c>
      <c r="C750" s="7">
        <v>92.5</v>
      </c>
      <c r="D750" s="7">
        <f t="shared" si="43"/>
        <v>-27.5</v>
      </c>
      <c r="E750" s="6">
        <v>150</v>
      </c>
      <c r="F750" s="34">
        <f t="shared" si="45"/>
        <v>6900</v>
      </c>
      <c r="G750" s="83"/>
    </row>
    <row r="751" spans="1:7" x14ac:dyDescent="0.45">
      <c r="A751" s="3" t="s">
        <v>606</v>
      </c>
      <c r="B751" s="4">
        <v>16</v>
      </c>
      <c r="C751" s="7">
        <v>86</v>
      </c>
      <c r="D751" s="7">
        <f t="shared" si="43"/>
        <v>-21</v>
      </c>
      <c r="E751" s="6">
        <v>94.8</v>
      </c>
      <c r="F751" s="34">
        <f>(((B751*C751)/100)*E751)</f>
        <v>1304.4479999999999</v>
      </c>
      <c r="G751" s="83"/>
    </row>
    <row r="752" spans="1:7" x14ac:dyDescent="0.45">
      <c r="A752" s="3" t="s">
        <v>607</v>
      </c>
      <c r="B752" s="4">
        <v>15.4</v>
      </c>
      <c r="C752" s="7">
        <v>86</v>
      </c>
      <c r="D752" s="7">
        <f t="shared" si="43"/>
        <v>-21</v>
      </c>
      <c r="E752" s="6">
        <v>94.8</v>
      </c>
      <c r="F752" s="34">
        <f t="shared" ref="F752:F764" si="46">(((B752*C752)/100)*E752)</f>
        <v>1255.5312000000001</v>
      </c>
      <c r="G752" s="83"/>
    </row>
    <row r="753" spans="1:7" x14ac:dyDescent="0.45">
      <c r="A753" s="3" t="s">
        <v>608</v>
      </c>
      <c r="B753" s="4">
        <v>16.3</v>
      </c>
      <c r="C753" s="7">
        <v>86</v>
      </c>
      <c r="D753" s="7">
        <f t="shared" si="43"/>
        <v>-21</v>
      </c>
      <c r="E753" s="6">
        <v>94.8</v>
      </c>
      <c r="F753" s="34">
        <f t="shared" si="46"/>
        <v>1328.9063999999998</v>
      </c>
      <c r="G753" s="83"/>
    </row>
    <row r="754" spans="1:7" x14ac:dyDescent="0.45">
      <c r="A754" s="3" t="s">
        <v>609</v>
      </c>
      <c r="B754" s="4">
        <v>15</v>
      </c>
      <c r="C754" s="7">
        <v>86</v>
      </c>
      <c r="D754" s="7">
        <f t="shared" si="43"/>
        <v>-21</v>
      </c>
      <c r="E754" s="6">
        <v>94.8</v>
      </c>
      <c r="F754" s="34">
        <f t="shared" si="46"/>
        <v>1222.92</v>
      </c>
      <c r="G754" s="83"/>
    </row>
    <row r="755" spans="1:7" x14ac:dyDescent="0.45">
      <c r="A755" s="3" t="s">
        <v>610</v>
      </c>
      <c r="B755" s="4">
        <v>12.7</v>
      </c>
      <c r="C755" s="7">
        <v>86</v>
      </c>
      <c r="D755" s="7">
        <f t="shared" si="43"/>
        <v>-21</v>
      </c>
      <c r="E755" s="6">
        <v>94.8</v>
      </c>
      <c r="F755" s="34">
        <f t="shared" si="46"/>
        <v>1035.4056</v>
      </c>
      <c r="G755" s="83"/>
    </row>
    <row r="756" spans="1:7" x14ac:dyDescent="0.45">
      <c r="A756" s="3" t="s">
        <v>611</v>
      </c>
      <c r="B756" s="4">
        <v>13</v>
      </c>
      <c r="C756" s="7">
        <v>86</v>
      </c>
      <c r="D756" s="7">
        <f t="shared" si="43"/>
        <v>-21</v>
      </c>
      <c r="E756" s="6">
        <v>94.8</v>
      </c>
      <c r="F756" s="34">
        <f t="shared" si="46"/>
        <v>1059.864</v>
      </c>
      <c r="G756" s="83"/>
    </row>
    <row r="757" spans="1:7" x14ac:dyDescent="0.45">
      <c r="A757" s="3" t="s">
        <v>612</v>
      </c>
      <c r="B757" s="4">
        <v>13</v>
      </c>
      <c r="C757" s="7">
        <v>86</v>
      </c>
      <c r="D757" s="7">
        <f t="shared" si="43"/>
        <v>-21</v>
      </c>
      <c r="E757" s="6">
        <v>94.8</v>
      </c>
      <c r="F757" s="34">
        <f t="shared" si="46"/>
        <v>1059.864</v>
      </c>
      <c r="G757" s="83"/>
    </row>
    <row r="758" spans="1:7" x14ac:dyDescent="0.45">
      <c r="A758" s="3" t="s">
        <v>613</v>
      </c>
      <c r="B758" s="4">
        <v>16.5</v>
      </c>
      <c r="C758" s="7">
        <v>86</v>
      </c>
      <c r="D758" s="7">
        <f t="shared" si="43"/>
        <v>-21</v>
      </c>
      <c r="E758" s="6">
        <v>94.8</v>
      </c>
      <c r="F758" s="34">
        <f t="shared" si="46"/>
        <v>1345.212</v>
      </c>
      <c r="G758" s="83"/>
    </row>
    <row r="759" spans="1:7" x14ac:dyDescent="0.45">
      <c r="A759" s="3" t="s">
        <v>614</v>
      </c>
      <c r="B759" s="4">
        <v>31.5</v>
      </c>
      <c r="C759" s="7">
        <v>86</v>
      </c>
      <c r="D759" s="7">
        <f t="shared" si="43"/>
        <v>-21</v>
      </c>
      <c r="E759" s="6">
        <v>94.8</v>
      </c>
      <c r="F759" s="34">
        <f t="shared" si="46"/>
        <v>2568.1320000000001</v>
      </c>
      <c r="G759" s="83"/>
    </row>
    <row r="760" spans="1:7" x14ac:dyDescent="0.45">
      <c r="A760" s="3" t="s">
        <v>615</v>
      </c>
      <c r="B760" s="4">
        <v>22</v>
      </c>
      <c r="C760" s="7">
        <v>86</v>
      </c>
      <c r="D760" s="7">
        <f t="shared" si="43"/>
        <v>-21</v>
      </c>
      <c r="E760" s="6">
        <v>94.8</v>
      </c>
      <c r="F760" s="34">
        <f t="shared" si="46"/>
        <v>1793.6160000000002</v>
      </c>
      <c r="G760" s="83"/>
    </row>
    <row r="761" spans="1:7" x14ac:dyDescent="0.45">
      <c r="A761" s="3" t="s">
        <v>616</v>
      </c>
      <c r="B761" s="4">
        <v>25</v>
      </c>
      <c r="C761" s="7">
        <v>86</v>
      </c>
      <c r="D761" s="7">
        <f t="shared" si="43"/>
        <v>-21</v>
      </c>
      <c r="E761" s="6">
        <v>94.8</v>
      </c>
      <c r="F761" s="34">
        <f t="shared" si="46"/>
        <v>2038.2</v>
      </c>
      <c r="G761" s="83"/>
    </row>
    <row r="762" spans="1:7" x14ac:dyDescent="0.45">
      <c r="A762" s="3" t="s">
        <v>617</v>
      </c>
      <c r="B762" s="4">
        <v>20</v>
      </c>
      <c r="C762" s="7">
        <v>86</v>
      </c>
      <c r="D762" s="7">
        <f t="shared" si="43"/>
        <v>-21</v>
      </c>
      <c r="E762" s="6">
        <v>94.8</v>
      </c>
      <c r="F762" s="34">
        <f t="shared" si="46"/>
        <v>1630.56</v>
      </c>
      <c r="G762" s="83"/>
    </row>
    <row r="763" spans="1:7" x14ac:dyDescent="0.45">
      <c r="A763" s="3" t="s">
        <v>618</v>
      </c>
      <c r="B763" s="4">
        <v>15.2</v>
      </c>
      <c r="C763" s="7">
        <v>86</v>
      </c>
      <c r="D763" s="7">
        <f t="shared" si="43"/>
        <v>-21</v>
      </c>
      <c r="E763" s="6">
        <v>94.8</v>
      </c>
      <c r="F763" s="34">
        <f t="shared" si="46"/>
        <v>1239.2256</v>
      </c>
      <c r="G763" s="83"/>
    </row>
    <row r="764" spans="1:7" x14ac:dyDescent="0.45">
      <c r="A764" s="3" t="s">
        <v>619</v>
      </c>
      <c r="B764" s="4">
        <v>18.2</v>
      </c>
      <c r="C764" s="7">
        <v>86</v>
      </c>
      <c r="D764" s="7">
        <f t="shared" si="43"/>
        <v>-21</v>
      </c>
      <c r="E764" s="6">
        <v>94.8</v>
      </c>
      <c r="F764" s="34">
        <f t="shared" si="46"/>
        <v>1483.8096</v>
      </c>
      <c r="G764" s="83"/>
    </row>
    <row r="765" spans="1:7" x14ac:dyDescent="0.45">
      <c r="A765" s="3" t="s">
        <v>620</v>
      </c>
      <c r="B765" s="4">
        <v>30</v>
      </c>
      <c r="C765" s="7">
        <v>92.5</v>
      </c>
      <c r="D765" s="7">
        <v>92.5</v>
      </c>
      <c r="E765" s="6">
        <v>115</v>
      </c>
      <c r="F765" s="34">
        <f>B765*E765</f>
        <v>3450</v>
      </c>
      <c r="G765" s="83"/>
    </row>
    <row r="766" spans="1:7" x14ac:dyDescent="0.45">
      <c r="A766" s="3" t="s">
        <v>621</v>
      </c>
      <c r="B766" s="4">
        <v>30</v>
      </c>
      <c r="C766" s="7">
        <v>92.5</v>
      </c>
      <c r="D766" s="7">
        <v>92.5</v>
      </c>
      <c r="E766" s="6">
        <v>115</v>
      </c>
      <c r="F766" s="34">
        <f>B766*E766</f>
        <v>3450</v>
      </c>
      <c r="G766" s="83"/>
    </row>
    <row r="767" spans="1:7" x14ac:dyDescent="0.45">
      <c r="A767" s="3" t="s">
        <v>622</v>
      </c>
      <c r="B767" s="4">
        <v>28.72</v>
      </c>
      <c r="C767" s="7">
        <v>92.5</v>
      </c>
      <c r="D767" s="7">
        <v>92.5</v>
      </c>
      <c r="E767" s="6">
        <v>103</v>
      </c>
      <c r="F767" s="34">
        <f>B767*E767</f>
        <v>2958.16</v>
      </c>
      <c r="G767" s="83"/>
    </row>
    <row r="768" spans="1:7" x14ac:dyDescent="0.45">
      <c r="A768" s="3" t="s">
        <v>623</v>
      </c>
      <c r="B768" s="4">
        <v>48.95</v>
      </c>
      <c r="C768" s="7">
        <v>85</v>
      </c>
      <c r="D768" s="7">
        <v>15</v>
      </c>
      <c r="E768" s="6">
        <v>83.18</v>
      </c>
      <c r="F768" s="34">
        <f t="shared" ref="F768:F781" si="47">(((B768*C768)/100)*E768)</f>
        <v>3460.9118500000004</v>
      </c>
      <c r="G768" s="83"/>
    </row>
    <row r="769" spans="1:7" x14ac:dyDescent="0.45">
      <c r="A769" s="3" t="s">
        <v>624</v>
      </c>
      <c r="B769" s="4">
        <v>24.21</v>
      </c>
      <c r="C769" s="7">
        <v>85</v>
      </c>
      <c r="D769" s="7">
        <v>15</v>
      </c>
      <c r="E769" s="6">
        <v>83.18</v>
      </c>
      <c r="F769" s="34">
        <f t="shared" si="47"/>
        <v>1711.7196300000001</v>
      </c>
      <c r="G769" s="83"/>
    </row>
    <row r="770" spans="1:7" x14ac:dyDescent="0.45">
      <c r="A770" s="3" t="s">
        <v>906</v>
      </c>
      <c r="B770" s="4">
        <v>13.31</v>
      </c>
      <c r="C770" s="7">
        <v>85</v>
      </c>
      <c r="D770" s="7">
        <f>65-Table1[[#This Row],[MELTING]]</f>
        <v>-20</v>
      </c>
      <c r="E770" s="6">
        <v>84.5</v>
      </c>
      <c r="F770" s="34">
        <f t="shared" si="47"/>
        <v>955.99075000000005</v>
      </c>
      <c r="G770" s="83"/>
    </row>
    <row r="771" spans="1:7" x14ac:dyDescent="0.45">
      <c r="A771" s="3" t="s">
        <v>1038</v>
      </c>
      <c r="B771" s="4">
        <v>31.1</v>
      </c>
      <c r="C771" s="7">
        <v>77</v>
      </c>
      <c r="D771" s="7">
        <f>65-Table1[[#This Row],[MELTING]]</f>
        <v>-12</v>
      </c>
      <c r="E771" s="6">
        <v>91.5</v>
      </c>
      <c r="F771" s="34">
        <f t="shared" si="47"/>
        <v>2191.1505000000002</v>
      </c>
      <c r="G771" s="83"/>
    </row>
    <row r="772" spans="1:7" x14ac:dyDescent="0.45">
      <c r="A772" s="3" t="s">
        <v>1039</v>
      </c>
      <c r="B772" s="4">
        <v>8.3000000000000007</v>
      </c>
      <c r="C772" s="7">
        <v>77</v>
      </c>
      <c r="D772" s="7">
        <f>65-Table1[[#This Row],[MELTING]]</f>
        <v>-12</v>
      </c>
      <c r="E772" s="6">
        <v>91.5</v>
      </c>
      <c r="F772" s="34">
        <f t="shared" si="47"/>
        <v>584.77650000000006</v>
      </c>
      <c r="G772" s="83"/>
    </row>
    <row r="773" spans="1:7" x14ac:dyDescent="0.45">
      <c r="A773" s="3" t="s">
        <v>1040</v>
      </c>
      <c r="B773" s="4">
        <v>11.9</v>
      </c>
      <c r="C773" s="7">
        <v>77</v>
      </c>
      <c r="D773" s="7">
        <f>65-Table1[[#This Row],[MELTING]]</f>
        <v>-12</v>
      </c>
      <c r="E773" s="6">
        <v>91.5</v>
      </c>
      <c r="F773" s="34">
        <f t="shared" si="47"/>
        <v>838.41449999999998</v>
      </c>
      <c r="G773" s="83"/>
    </row>
    <row r="774" spans="1:7" x14ac:dyDescent="0.45">
      <c r="A774" s="3" t="s">
        <v>1041</v>
      </c>
      <c r="B774" s="4">
        <v>12.55</v>
      </c>
      <c r="C774" s="7">
        <v>77</v>
      </c>
      <c r="D774" s="7">
        <f>65-Table1[[#This Row],[MELTING]]</f>
        <v>-12</v>
      </c>
      <c r="E774" s="6">
        <v>91.5</v>
      </c>
      <c r="F774" s="34">
        <f t="shared" si="47"/>
        <v>884.21025000000009</v>
      </c>
      <c r="G774" s="83"/>
    </row>
    <row r="775" spans="1:7" x14ac:dyDescent="0.45">
      <c r="A775" s="3" t="s">
        <v>1042</v>
      </c>
      <c r="B775" s="4">
        <v>12.6</v>
      </c>
      <c r="C775" s="7">
        <v>77</v>
      </c>
      <c r="D775" s="7">
        <f>65-Table1[[#This Row],[MELTING]]</f>
        <v>-12</v>
      </c>
      <c r="E775" s="6">
        <v>91.5</v>
      </c>
      <c r="F775" s="34">
        <f t="shared" si="47"/>
        <v>887.73299999999995</v>
      </c>
      <c r="G775" s="83"/>
    </row>
    <row r="776" spans="1:7" x14ac:dyDescent="0.45">
      <c r="A776" s="3" t="s">
        <v>1043</v>
      </c>
      <c r="B776" s="4">
        <v>17.7</v>
      </c>
      <c r="C776" s="7">
        <v>77</v>
      </c>
      <c r="D776" s="7">
        <f>65-Table1[[#This Row],[MELTING]]</f>
        <v>-12</v>
      </c>
      <c r="E776" s="6">
        <v>91.5</v>
      </c>
      <c r="F776" s="34">
        <f t="shared" si="47"/>
        <v>1247.0534999999998</v>
      </c>
      <c r="G776" s="83"/>
    </row>
    <row r="777" spans="1:7" x14ac:dyDescent="0.45">
      <c r="A777" s="3" t="s">
        <v>1044</v>
      </c>
      <c r="B777" s="4">
        <v>15.7</v>
      </c>
      <c r="C777" s="7">
        <v>77</v>
      </c>
      <c r="D777" s="7">
        <f>65-Table1[[#This Row],[MELTING]]</f>
        <v>-12</v>
      </c>
      <c r="E777" s="6">
        <v>91.5</v>
      </c>
      <c r="F777" s="34">
        <f t="shared" si="47"/>
        <v>1106.1434999999999</v>
      </c>
      <c r="G777" s="83"/>
    </row>
    <row r="778" spans="1:7" x14ac:dyDescent="0.45">
      <c r="A778" s="3" t="s">
        <v>1045</v>
      </c>
      <c r="B778" s="4">
        <v>15</v>
      </c>
      <c r="C778" s="7">
        <v>77</v>
      </c>
      <c r="D778" s="7">
        <f>65-Table1[[#This Row],[MELTING]]</f>
        <v>-12</v>
      </c>
      <c r="E778" s="6">
        <v>91.5</v>
      </c>
      <c r="F778" s="34">
        <f t="shared" si="47"/>
        <v>1056.825</v>
      </c>
      <c r="G778" s="83"/>
    </row>
    <row r="779" spans="1:7" x14ac:dyDescent="0.45">
      <c r="A779" s="3" t="s">
        <v>1046</v>
      </c>
      <c r="B779" s="4">
        <v>14.5</v>
      </c>
      <c r="C779" s="7">
        <v>77</v>
      </c>
      <c r="D779" s="7">
        <f>65-Table1[[#This Row],[MELTING]]</f>
        <v>-12</v>
      </c>
      <c r="E779" s="6">
        <v>91.5</v>
      </c>
      <c r="F779" s="34">
        <f t="shared" si="47"/>
        <v>1021.5975</v>
      </c>
      <c r="G779" s="83"/>
    </row>
    <row r="780" spans="1:7" x14ac:dyDescent="0.45">
      <c r="A780" s="3" t="s">
        <v>1047</v>
      </c>
      <c r="B780" s="4">
        <v>10.6</v>
      </c>
      <c r="C780" s="7">
        <v>77</v>
      </c>
      <c r="D780" s="7">
        <f>65-Table1[[#This Row],[MELTING]]</f>
        <v>-12</v>
      </c>
      <c r="E780" s="6">
        <v>91.5</v>
      </c>
      <c r="F780" s="34">
        <f t="shared" si="47"/>
        <v>746.82299999999987</v>
      </c>
      <c r="G780" s="83"/>
    </row>
    <row r="781" spans="1:7" x14ac:dyDescent="0.45">
      <c r="A781" s="3" t="s">
        <v>625</v>
      </c>
      <c r="B781" s="4">
        <v>13.8</v>
      </c>
      <c r="C781" s="7">
        <v>86</v>
      </c>
      <c r="D781" s="7">
        <f>21-C781</f>
        <v>-65</v>
      </c>
      <c r="E781" s="6">
        <v>90</v>
      </c>
      <c r="F781" s="34">
        <f t="shared" si="47"/>
        <v>1068.1200000000001</v>
      </c>
      <c r="G781" s="83"/>
    </row>
    <row r="782" spans="1:7" x14ac:dyDescent="0.45">
      <c r="A782" s="3" t="s">
        <v>626</v>
      </c>
      <c r="B782" s="4">
        <v>25.91</v>
      </c>
      <c r="C782" s="7">
        <v>86</v>
      </c>
      <c r="D782" s="7">
        <f t="shared" ref="D782:D850" si="48">21-C782</f>
        <v>-65</v>
      </c>
      <c r="E782" s="6">
        <v>90</v>
      </c>
      <c r="F782" s="34">
        <f t="shared" ref="F782:F801" si="49">(((B782*C782)/100)*E782)</f>
        <v>2005.4340000000002</v>
      </c>
      <c r="G782" s="83"/>
    </row>
    <row r="783" spans="1:7" x14ac:dyDescent="0.45">
      <c r="A783" s="3" t="s">
        <v>627</v>
      </c>
      <c r="B783" s="4">
        <v>10.15</v>
      </c>
      <c r="C783" s="7">
        <v>86</v>
      </c>
      <c r="D783" s="7">
        <f t="shared" si="48"/>
        <v>-65</v>
      </c>
      <c r="E783" s="6">
        <v>90</v>
      </c>
      <c r="F783" s="34">
        <f t="shared" si="49"/>
        <v>785.6099999999999</v>
      </c>
      <c r="G783" s="83"/>
    </row>
    <row r="784" spans="1:7" x14ac:dyDescent="0.45">
      <c r="A784" s="3" t="s">
        <v>628</v>
      </c>
      <c r="B784" s="4">
        <v>35</v>
      </c>
      <c r="C784" s="7">
        <v>86</v>
      </c>
      <c r="D784" s="7">
        <f t="shared" si="48"/>
        <v>-65</v>
      </c>
      <c r="E784" s="6">
        <v>90</v>
      </c>
      <c r="F784" s="34">
        <f t="shared" si="49"/>
        <v>2709</v>
      </c>
      <c r="G784" s="83"/>
    </row>
    <row r="785" spans="1:7" x14ac:dyDescent="0.45">
      <c r="A785" s="3" t="s">
        <v>629</v>
      </c>
      <c r="B785" s="4">
        <v>22.23</v>
      </c>
      <c r="C785" s="7">
        <v>86</v>
      </c>
      <c r="D785" s="7">
        <f t="shared" si="48"/>
        <v>-65</v>
      </c>
      <c r="E785" s="6">
        <v>90</v>
      </c>
      <c r="F785" s="34">
        <f t="shared" si="49"/>
        <v>1720.6019999999999</v>
      </c>
      <c r="G785" s="83"/>
    </row>
    <row r="786" spans="1:7" x14ac:dyDescent="0.45">
      <c r="A786" s="3" t="s">
        <v>630</v>
      </c>
      <c r="B786" s="4">
        <v>18.7</v>
      </c>
      <c r="C786" s="7">
        <v>86</v>
      </c>
      <c r="D786" s="7">
        <f t="shared" si="48"/>
        <v>-65</v>
      </c>
      <c r="E786" s="6">
        <v>90</v>
      </c>
      <c r="F786" s="34">
        <f t="shared" si="49"/>
        <v>1447.38</v>
      </c>
      <c r="G786" s="83"/>
    </row>
    <row r="787" spans="1:7" x14ac:dyDescent="0.45">
      <c r="A787" s="3" t="s">
        <v>631</v>
      </c>
      <c r="B787" s="4">
        <v>9.7200000000000006</v>
      </c>
      <c r="C787" s="7">
        <v>86</v>
      </c>
      <c r="D787" s="7">
        <f t="shared" si="48"/>
        <v>-65</v>
      </c>
      <c r="E787" s="6">
        <v>90</v>
      </c>
      <c r="F787" s="34">
        <f t="shared" si="49"/>
        <v>752.32800000000009</v>
      </c>
      <c r="G787" s="83"/>
    </row>
    <row r="788" spans="1:7" x14ac:dyDescent="0.45">
      <c r="A788" s="3" t="s">
        <v>632</v>
      </c>
      <c r="B788" s="4">
        <v>31.7</v>
      </c>
      <c r="C788" s="7">
        <v>86</v>
      </c>
      <c r="D788" s="7">
        <f t="shared" si="48"/>
        <v>-65</v>
      </c>
      <c r="E788" s="6">
        <v>90</v>
      </c>
      <c r="F788" s="34">
        <f t="shared" si="49"/>
        <v>2453.58</v>
      </c>
      <c r="G788" s="83"/>
    </row>
    <row r="789" spans="1:7" x14ac:dyDescent="0.45">
      <c r="A789" s="3" t="s">
        <v>633</v>
      </c>
      <c r="B789" s="4">
        <v>24.1</v>
      </c>
      <c r="C789" s="7">
        <v>86</v>
      </c>
      <c r="D789" s="7">
        <f t="shared" si="48"/>
        <v>-65</v>
      </c>
      <c r="E789" s="6">
        <v>90</v>
      </c>
      <c r="F789" s="34">
        <f t="shared" si="49"/>
        <v>1865.34</v>
      </c>
      <c r="G789" s="83"/>
    </row>
    <row r="790" spans="1:7" x14ac:dyDescent="0.45">
      <c r="A790" s="3" t="s">
        <v>634</v>
      </c>
      <c r="B790" s="4">
        <v>33.11</v>
      </c>
      <c r="C790" s="7">
        <v>86</v>
      </c>
      <c r="D790" s="7">
        <f t="shared" si="48"/>
        <v>-65</v>
      </c>
      <c r="E790" s="6">
        <v>90</v>
      </c>
      <c r="F790" s="34">
        <f t="shared" si="49"/>
        <v>2562.7139999999999</v>
      </c>
      <c r="G790" s="83"/>
    </row>
    <row r="791" spans="1:7" x14ac:dyDescent="0.45">
      <c r="A791" s="3" t="s">
        <v>635</v>
      </c>
      <c r="B791" s="4">
        <v>41.61</v>
      </c>
      <c r="C791" s="7">
        <v>86</v>
      </c>
      <c r="D791" s="7">
        <f t="shared" si="48"/>
        <v>-65</v>
      </c>
      <c r="E791" s="6">
        <v>90</v>
      </c>
      <c r="F791" s="34">
        <f t="shared" si="49"/>
        <v>3220.6139999999996</v>
      </c>
      <c r="G791" s="83"/>
    </row>
    <row r="792" spans="1:7" x14ac:dyDescent="0.45">
      <c r="A792" s="3" t="s">
        <v>636</v>
      </c>
      <c r="B792" s="4">
        <v>11.35</v>
      </c>
      <c r="C792" s="7">
        <v>86</v>
      </c>
      <c r="D792" s="7">
        <f t="shared" si="48"/>
        <v>-65</v>
      </c>
      <c r="E792" s="6">
        <v>90</v>
      </c>
      <c r="F792" s="34">
        <f t="shared" si="49"/>
        <v>878.49000000000012</v>
      </c>
      <c r="G792" s="83"/>
    </row>
    <row r="793" spans="1:7" x14ac:dyDescent="0.45">
      <c r="A793" s="3" t="s">
        <v>637</v>
      </c>
      <c r="B793" s="4">
        <v>6.75</v>
      </c>
      <c r="C793" s="7">
        <v>86</v>
      </c>
      <c r="D793" s="7">
        <f t="shared" si="48"/>
        <v>-65</v>
      </c>
      <c r="E793" s="6">
        <v>90</v>
      </c>
      <c r="F793" s="34">
        <f t="shared" si="49"/>
        <v>522.44999999999993</v>
      </c>
      <c r="G793" s="83"/>
    </row>
    <row r="794" spans="1:7" x14ac:dyDescent="0.45">
      <c r="A794" s="3" t="s">
        <v>638</v>
      </c>
      <c r="B794" s="4">
        <v>9.8000000000000007</v>
      </c>
      <c r="C794" s="7">
        <v>86</v>
      </c>
      <c r="D794" s="7">
        <f t="shared" si="48"/>
        <v>-65</v>
      </c>
      <c r="E794" s="6">
        <v>90</v>
      </c>
      <c r="F794" s="34">
        <f t="shared" si="49"/>
        <v>758.5200000000001</v>
      </c>
      <c r="G794" s="83"/>
    </row>
    <row r="795" spans="1:7" x14ac:dyDescent="0.45">
      <c r="A795" s="3" t="s">
        <v>639</v>
      </c>
      <c r="B795" s="4">
        <v>6.66</v>
      </c>
      <c r="C795" s="7">
        <v>86</v>
      </c>
      <c r="D795" s="7">
        <f t="shared" si="48"/>
        <v>-65</v>
      </c>
      <c r="E795" s="6">
        <v>90</v>
      </c>
      <c r="F795" s="34">
        <f t="shared" si="49"/>
        <v>515.48400000000004</v>
      </c>
      <c r="G795" s="83"/>
    </row>
    <row r="796" spans="1:7" x14ac:dyDescent="0.45">
      <c r="A796" s="3" t="s">
        <v>640</v>
      </c>
      <c r="B796" s="4">
        <v>5.27</v>
      </c>
      <c r="C796" s="7">
        <v>86</v>
      </c>
      <c r="D796" s="7">
        <f t="shared" si="48"/>
        <v>-65</v>
      </c>
      <c r="E796" s="6">
        <v>90</v>
      </c>
      <c r="F796" s="34">
        <f t="shared" si="49"/>
        <v>407.89799999999997</v>
      </c>
      <c r="G796" s="83"/>
    </row>
    <row r="797" spans="1:7" x14ac:dyDescent="0.45">
      <c r="A797" s="3" t="s">
        <v>641</v>
      </c>
      <c r="B797" s="4">
        <v>24.9</v>
      </c>
      <c r="C797" s="7">
        <v>86</v>
      </c>
      <c r="D797" s="7">
        <f t="shared" si="48"/>
        <v>-65</v>
      </c>
      <c r="E797" s="6">
        <v>90</v>
      </c>
      <c r="F797" s="34">
        <f t="shared" si="49"/>
        <v>1927.2600000000002</v>
      </c>
      <c r="G797" s="83"/>
    </row>
    <row r="798" spans="1:7" x14ac:dyDescent="0.45">
      <c r="A798" s="3" t="s">
        <v>642</v>
      </c>
      <c r="B798" s="4">
        <v>36</v>
      </c>
      <c r="C798" s="7">
        <v>86</v>
      </c>
      <c r="D798" s="7">
        <f t="shared" si="48"/>
        <v>-65</v>
      </c>
      <c r="E798" s="6">
        <v>90</v>
      </c>
      <c r="F798" s="34">
        <f t="shared" si="49"/>
        <v>2786.4</v>
      </c>
      <c r="G798" s="83"/>
    </row>
    <row r="799" spans="1:7" x14ac:dyDescent="0.45">
      <c r="A799" s="3" t="s">
        <v>643</v>
      </c>
      <c r="B799" s="4">
        <v>40.5</v>
      </c>
      <c r="C799" s="7">
        <v>86</v>
      </c>
      <c r="D799" s="7">
        <f t="shared" si="48"/>
        <v>-65</v>
      </c>
      <c r="E799" s="6">
        <v>90</v>
      </c>
      <c r="F799" s="34">
        <f t="shared" si="49"/>
        <v>3134.7</v>
      </c>
      <c r="G799" s="83"/>
    </row>
    <row r="800" spans="1:7" x14ac:dyDescent="0.45">
      <c r="A800" s="3" t="s">
        <v>644</v>
      </c>
      <c r="B800" s="4">
        <v>40.5</v>
      </c>
      <c r="C800" s="7">
        <v>86</v>
      </c>
      <c r="D800" s="7">
        <f t="shared" si="48"/>
        <v>-65</v>
      </c>
      <c r="E800" s="6">
        <v>90</v>
      </c>
      <c r="F800" s="34">
        <f t="shared" si="49"/>
        <v>3134.7</v>
      </c>
      <c r="G800" s="83"/>
    </row>
    <row r="801" spans="1:7" x14ac:dyDescent="0.45">
      <c r="A801" s="3" t="s">
        <v>645</v>
      </c>
      <c r="B801" s="4">
        <v>23.5</v>
      </c>
      <c r="C801" s="7">
        <v>86</v>
      </c>
      <c r="D801" s="7">
        <f t="shared" si="48"/>
        <v>-65</v>
      </c>
      <c r="E801" s="6">
        <v>90</v>
      </c>
      <c r="F801" s="34">
        <f t="shared" si="49"/>
        <v>1818.9</v>
      </c>
      <c r="G801" s="83"/>
    </row>
    <row r="802" spans="1:7" x14ac:dyDescent="0.45">
      <c r="A802" s="3" t="s">
        <v>646</v>
      </c>
      <c r="B802" s="4">
        <v>86.1</v>
      </c>
      <c r="C802" s="7">
        <v>85</v>
      </c>
      <c r="D802" s="7">
        <v>20</v>
      </c>
      <c r="E802" s="6">
        <v>94</v>
      </c>
      <c r="F802" s="34">
        <f>(((B802*C802)/100)*E802)</f>
        <v>6879.3899999999985</v>
      </c>
      <c r="G802" s="83"/>
    </row>
    <row r="803" spans="1:7" x14ac:dyDescent="0.45">
      <c r="A803" s="3" t="s">
        <v>647</v>
      </c>
      <c r="B803" s="4">
        <v>10.51</v>
      </c>
      <c r="C803" s="7">
        <v>85</v>
      </c>
      <c r="D803" s="7">
        <v>20</v>
      </c>
      <c r="E803" s="6">
        <v>95</v>
      </c>
      <c r="F803" s="34">
        <v>950</v>
      </c>
      <c r="G803" s="83"/>
    </row>
    <row r="804" spans="1:7" x14ac:dyDescent="0.45">
      <c r="A804" s="3" t="s">
        <v>1033</v>
      </c>
      <c r="B804" s="4">
        <v>17.100000000000001</v>
      </c>
      <c r="C804" s="7">
        <v>76</v>
      </c>
      <c r="D804" s="7">
        <f>65-Table1[[#This Row],[MELTING]]</f>
        <v>-11</v>
      </c>
      <c r="E804" s="6">
        <v>91.5</v>
      </c>
      <c r="F804" s="34">
        <f>(((B804*C804)/100)*E804)</f>
        <v>1189.1340000000002</v>
      </c>
      <c r="G804" s="83"/>
    </row>
    <row r="805" spans="1:7" x14ac:dyDescent="0.45">
      <c r="A805" s="3" t="s">
        <v>1034</v>
      </c>
      <c r="B805" s="4">
        <v>8</v>
      </c>
      <c r="C805" s="7">
        <v>77</v>
      </c>
      <c r="D805" s="7">
        <f>65-Table1[[#This Row],[MELTING]]</f>
        <v>-12</v>
      </c>
      <c r="E805" s="6">
        <v>91.5</v>
      </c>
      <c r="F805" s="34">
        <f>(((B805*C805)/100)*E805)</f>
        <v>563.64</v>
      </c>
      <c r="G805" s="83"/>
    </row>
    <row r="806" spans="1:7" x14ac:dyDescent="0.45">
      <c r="A806" s="3" t="s">
        <v>1035</v>
      </c>
      <c r="B806" s="4">
        <v>12.7</v>
      </c>
      <c r="C806" s="7">
        <v>77</v>
      </c>
      <c r="D806" s="7">
        <f>65-Table1[[#This Row],[MELTING]]</f>
        <v>-12</v>
      </c>
      <c r="E806" s="6">
        <v>91.5</v>
      </c>
      <c r="F806" s="34">
        <f>(((B806*C806)/100)*E806)</f>
        <v>894.77850000000001</v>
      </c>
      <c r="G806" s="83"/>
    </row>
    <row r="807" spans="1:7" x14ac:dyDescent="0.45">
      <c r="A807" s="3" t="s">
        <v>1036</v>
      </c>
      <c r="B807" s="4">
        <v>9.3000000000000007</v>
      </c>
      <c r="C807" s="7">
        <v>77</v>
      </c>
      <c r="D807" s="7">
        <f>65-Table1[[#This Row],[MELTING]]</f>
        <v>-12</v>
      </c>
      <c r="E807" s="6">
        <v>91.5</v>
      </c>
      <c r="F807" s="34">
        <f>(((B807*C807)/100)*E807)</f>
        <v>655.2315000000001</v>
      </c>
      <c r="G807" s="83"/>
    </row>
    <row r="808" spans="1:7" x14ac:dyDescent="0.45">
      <c r="A808" s="3" t="s">
        <v>1037</v>
      </c>
      <c r="B808" s="4">
        <v>23.5</v>
      </c>
      <c r="C808" s="7">
        <v>77</v>
      </c>
      <c r="D808" s="7">
        <f>65-Table1[[#This Row],[MELTING]]</f>
        <v>-12</v>
      </c>
      <c r="E808" s="6">
        <v>91.5</v>
      </c>
      <c r="F808" s="34">
        <f>(((B808*C808)/100)*E808)</f>
        <v>1655.6924999999999</v>
      </c>
      <c r="G808" s="83"/>
    </row>
    <row r="809" spans="1:7" x14ac:dyDescent="0.45">
      <c r="A809" s="3" t="s">
        <v>648</v>
      </c>
      <c r="B809" s="4">
        <v>10.5</v>
      </c>
      <c r="C809" s="7">
        <v>92.5</v>
      </c>
      <c r="D809" s="7">
        <f t="shared" si="48"/>
        <v>-71.5</v>
      </c>
      <c r="E809" s="6">
        <v>127</v>
      </c>
      <c r="F809" s="34">
        <f>B809*E809</f>
        <v>1333.5</v>
      </c>
      <c r="G809" s="83"/>
    </row>
    <row r="810" spans="1:7" x14ac:dyDescent="0.45">
      <c r="A810" s="3" t="s">
        <v>649</v>
      </c>
      <c r="B810" s="4">
        <v>7.81</v>
      </c>
      <c r="C810" s="7">
        <v>92.5</v>
      </c>
      <c r="D810" s="7">
        <f t="shared" si="48"/>
        <v>-71.5</v>
      </c>
      <c r="E810" s="6">
        <v>127</v>
      </c>
      <c r="F810" s="34">
        <f t="shared" ref="F810:F830" si="50">B810*E810</f>
        <v>991.87</v>
      </c>
      <c r="G810" s="83"/>
    </row>
    <row r="811" spans="1:7" x14ac:dyDescent="0.45">
      <c r="A811" s="3" t="s">
        <v>650</v>
      </c>
      <c r="B811" s="4">
        <v>7.52</v>
      </c>
      <c r="C811" s="7">
        <v>92.5</v>
      </c>
      <c r="D811" s="7">
        <f t="shared" si="48"/>
        <v>-71.5</v>
      </c>
      <c r="E811" s="6">
        <v>127</v>
      </c>
      <c r="F811" s="34">
        <f t="shared" si="50"/>
        <v>955.04</v>
      </c>
      <c r="G811" s="83"/>
    </row>
    <row r="812" spans="1:7" x14ac:dyDescent="0.45">
      <c r="A812" s="3" t="s">
        <v>651</v>
      </c>
      <c r="B812" s="4">
        <v>8.1</v>
      </c>
      <c r="C812" s="7">
        <v>92.5</v>
      </c>
      <c r="D812" s="7">
        <f t="shared" si="48"/>
        <v>-71.5</v>
      </c>
      <c r="E812" s="6">
        <v>127</v>
      </c>
      <c r="F812" s="34">
        <f t="shared" si="50"/>
        <v>1028.7</v>
      </c>
      <c r="G812" s="83"/>
    </row>
    <row r="813" spans="1:7" x14ac:dyDescent="0.45">
      <c r="A813" s="3" t="s">
        <v>652</v>
      </c>
      <c r="B813" s="4">
        <v>7.38</v>
      </c>
      <c r="C813" s="7">
        <v>92.5</v>
      </c>
      <c r="D813" s="7">
        <f t="shared" si="48"/>
        <v>-71.5</v>
      </c>
      <c r="E813" s="6">
        <v>127</v>
      </c>
      <c r="F813" s="34">
        <f t="shared" si="50"/>
        <v>937.26</v>
      </c>
      <c r="G813" s="83"/>
    </row>
    <row r="814" spans="1:7" x14ac:dyDescent="0.45">
      <c r="A814" s="3" t="s">
        <v>653</v>
      </c>
      <c r="B814" s="4">
        <v>6.79</v>
      </c>
      <c r="C814" s="7">
        <v>92.5</v>
      </c>
      <c r="D814" s="7">
        <f t="shared" si="48"/>
        <v>-71.5</v>
      </c>
      <c r="E814" s="6">
        <v>127</v>
      </c>
      <c r="F814" s="34">
        <f t="shared" si="50"/>
        <v>862.33</v>
      </c>
      <c r="G814" s="83"/>
    </row>
    <row r="815" spans="1:7" x14ac:dyDescent="0.45">
      <c r="A815" s="3" t="s">
        <v>654</v>
      </c>
      <c r="B815" s="4">
        <v>7.31</v>
      </c>
      <c r="C815" s="7">
        <v>92.5</v>
      </c>
      <c r="D815" s="7">
        <f t="shared" si="48"/>
        <v>-71.5</v>
      </c>
      <c r="E815" s="6">
        <v>127</v>
      </c>
      <c r="F815" s="34">
        <f t="shared" si="50"/>
        <v>928.37</v>
      </c>
      <c r="G815" s="83"/>
    </row>
    <row r="816" spans="1:7" x14ac:dyDescent="0.45">
      <c r="A816" s="3" t="s">
        <v>655</v>
      </c>
      <c r="B816" s="4">
        <v>7.4</v>
      </c>
      <c r="C816" s="7">
        <v>92.5</v>
      </c>
      <c r="D816" s="7">
        <f t="shared" si="48"/>
        <v>-71.5</v>
      </c>
      <c r="E816" s="6">
        <v>127</v>
      </c>
      <c r="F816" s="34">
        <f t="shared" si="50"/>
        <v>939.80000000000007</v>
      </c>
      <c r="G816" s="83"/>
    </row>
    <row r="817" spans="1:7" x14ac:dyDescent="0.45">
      <c r="A817" s="3" t="s">
        <v>656</v>
      </c>
      <c r="B817" s="4">
        <v>7.07</v>
      </c>
      <c r="C817" s="7">
        <v>92.5</v>
      </c>
      <c r="D817" s="7">
        <f t="shared" si="48"/>
        <v>-71.5</v>
      </c>
      <c r="E817" s="6">
        <v>127</v>
      </c>
      <c r="F817" s="34">
        <f t="shared" si="50"/>
        <v>897.89</v>
      </c>
      <c r="G817" s="83"/>
    </row>
    <row r="818" spans="1:7" x14ac:dyDescent="0.45">
      <c r="A818" s="3" t="s">
        <v>657</v>
      </c>
      <c r="B818" s="4">
        <v>6.52</v>
      </c>
      <c r="C818" s="7">
        <v>92.5</v>
      </c>
      <c r="D818" s="7">
        <f t="shared" si="48"/>
        <v>-71.5</v>
      </c>
      <c r="E818" s="6">
        <v>127</v>
      </c>
      <c r="F818" s="34">
        <f t="shared" si="50"/>
        <v>828.04</v>
      </c>
      <c r="G818" s="83"/>
    </row>
    <row r="819" spans="1:7" x14ac:dyDescent="0.45">
      <c r="A819" s="3" t="s">
        <v>658</v>
      </c>
      <c r="B819" s="4">
        <v>7.21</v>
      </c>
      <c r="C819" s="7">
        <v>92.5</v>
      </c>
      <c r="D819" s="7">
        <f t="shared" si="48"/>
        <v>-71.5</v>
      </c>
      <c r="E819" s="6">
        <v>127</v>
      </c>
      <c r="F819" s="34">
        <f t="shared" si="50"/>
        <v>915.67</v>
      </c>
      <c r="G819" s="83"/>
    </row>
    <row r="820" spans="1:7" x14ac:dyDescent="0.45">
      <c r="A820" s="3" t="s">
        <v>659</v>
      </c>
      <c r="B820" s="4">
        <v>6.37</v>
      </c>
      <c r="C820" s="7">
        <v>92.5</v>
      </c>
      <c r="D820" s="7">
        <f t="shared" si="48"/>
        <v>-71.5</v>
      </c>
      <c r="E820" s="6">
        <v>127</v>
      </c>
      <c r="F820" s="34">
        <f t="shared" si="50"/>
        <v>808.99</v>
      </c>
      <c r="G820" s="83"/>
    </row>
    <row r="821" spans="1:7" x14ac:dyDescent="0.45">
      <c r="A821" s="3" t="s">
        <v>660</v>
      </c>
      <c r="B821" s="4">
        <v>6.53</v>
      </c>
      <c r="C821" s="7">
        <v>92.5</v>
      </c>
      <c r="D821" s="7">
        <f t="shared" si="48"/>
        <v>-71.5</v>
      </c>
      <c r="E821" s="6">
        <v>127</v>
      </c>
      <c r="F821" s="34">
        <f t="shared" si="50"/>
        <v>829.31000000000006</v>
      </c>
      <c r="G821" s="83"/>
    </row>
    <row r="822" spans="1:7" x14ac:dyDescent="0.45">
      <c r="A822" s="3" t="s">
        <v>661</v>
      </c>
      <c r="B822" s="4">
        <v>6.71</v>
      </c>
      <c r="C822" s="7">
        <v>92.5</v>
      </c>
      <c r="D822" s="7">
        <f t="shared" si="48"/>
        <v>-71.5</v>
      </c>
      <c r="E822" s="6">
        <v>127</v>
      </c>
      <c r="F822" s="34">
        <f t="shared" si="50"/>
        <v>852.17</v>
      </c>
      <c r="G822" s="83"/>
    </row>
    <row r="823" spans="1:7" x14ac:dyDescent="0.45">
      <c r="A823" s="3" t="s">
        <v>662</v>
      </c>
      <c r="B823" s="4">
        <v>6.5</v>
      </c>
      <c r="C823" s="7">
        <v>92.5</v>
      </c>
      <c r="D823" s="7">
        <f t="shared" si="48"/>
        <v>-71.5</v>
      </c>
      <c r="E823" s="6">
        <v>127</v>
      </c>
      <c r="F823" s="34">
        <f t="shared" si="50"/>
        <v>825.5</v>
      </c>
      <c r="G823" s="83"/>
    </row>
    <row r="824" spans="1:7" x14ac:dyDescent="0.45">
      <c r="A824" s="3" t="s">
        <v>663</v>
      </c>
      <c r="B824" s="4">
        <v>6.76</v>
      </c>
      <c r="C824" s="7">
        <v>92.5</v>
      </c>
      <c r="D824" s="7">
        <f t="shared" si="48"/>
        <v>-71.5</v>
      </c>
      <c r="E824" s="6">
        <v>127</v>
      </c>
      <c r="F824" s="34">
        <f t="shared" si="50"/>
        <v>858.52</v>
      </c>
      <c r="G824" s="83"/>
    </row>
    <row r="825" spans="1:7" x14ac:dyDescent="0.45">
      <c r="A825" s="3" t="s">
        <v>664</v>
      </c>
      <c r="B825" s="4">
        <v>6.92</v>
      </c>
      <c r="C825" s="7">
        <v>92.5</v>
      </c>
      <c r="D825" s="7">
        <f t="shared" si="48"/>
        <v>-71.5</v>
      </c>
      <c r="E825" s="6">
        <v>127</v>
      </c>
      <c r="F825" s="34">
        <f t="shared" si="50"/>
        <v>878.84</v>
      </c>
      <c r="G825" s="83"/>
    </row>
    <row r="826" spans="1:7" x14ac:dyDescent="0.45">
      <c r="A826" s="3" t="s">
        <v>665</v>
      </c>
      <c r="B826" s="4">
        <v>6.69</v>
      </c>
      <c r="C826" s="7">
        <v>92.5</v>
      </c>
      <c r="D826" s="7">
        <f t="shared" si="48"/>
        <v>-71.5</v>
      </c>
      <c r="E826" s="6">
        <v>127</v>
      </c>
      <c r="F826" s="34">
        <f t="shared" si="50"/>
        <v>849.63</v>
      </c>
      <c r="G826" s="83"/>
    </row>
    <row r="827" spans="1:7" x14ac:dyDescent="0.45">
      <c r="A827" s="3" t="s">
        <v>666</v>
      </c>
      <c r="B827" s="4">
        <v>6.57</v>
      </c>
      <c r="C827" s="7">
        <v>92.5</v>
      </c>
      <c r="D827" s="7">
        <f t="shared" si="48"/>
        <v>-71.5</v>
      </c>
      <c r="E827" s="6">
        <v>127</v>
      </c>
      <c r="F827" s="34">
        <f t="shared" si="50"/>
        <v>834.39</v>
      </c>
      <c r="G827" s="83"/>
    </row>
    <row r="828" spans="1:7" x14ac:dyDescent="0.45">
      <c r="A828" s="3" t="s">
        <v>667</v>
      </c>
      <c r="B828" s="4">
        <v>6.3</v>
      </c>
      <c r="C828" s="7">
        <v>92.5</v>
      </c>
      <c r="D828" s="7">
        <f t="shared" si="48"/>
        <v>-71.5</v>
      </c>
      <c r="E828" s="6">
        <v>127</v>
      </c>
      <c r="F828" s="34">
        <f t="shared" si="50"/>
        <v>800.1</v>
      </c>
      <c r="G828" s="83"/>
    </row>
    <row r="829" spans="1:7" x14ac:dyDescent="0.45">
      <c r="A829" s="3" t="s">
        <v>668</v>
      </c>
      <c r="B829" s="4">
        <v>6.8</v>
      </c>
      <c r="C829" s="7">
        <v>92.5</v>
      </c>
      <c r="D829" s="7">
        <f t="shared" si="48"/>
        <v>-71.5</v>
      </c>
      <c r="E829" s="6">
        <v>127</v>
      </c>
      <c r="F829" s="34">
        <f t="shared" si="50"/>
        <v>863.6</v>
      </c>
      <c r="G829" s="83"/>
    </row>
    <row r="830" spans="1:7" x14ac:dyDescent="0.45">
      <c r="A830" s="3" t="s">
        <v>669</v>
      </c>
      <c r="B830" s="4">
        <v>10.5</v>
      </c>
      <c r="C830" s="7">
        <v>92.5</v>
      </c>
      <c r="D830" s="7">
        <f t="shared" si="48"/>
        <v>-71.5</v>
      </c>
      <c r="E830" s="6">
        <v>165</v>
      </c>
      <c r="F830" s="34">
        <f t="shared" si="50"/>
        <v>1732.5</v>
      </c>
      <c r="G830" s="83"/>
    </row>
    <row r="831" spans="1:7" x14ac:dyDescent="0.45">
      <c r="A831" s="3" t="s">
        <v>670</v>
      </c>
      <c r="B831" s="4">
        <v>7.02</v>
      </c>
      <c r="C831" s="7">
        <v>92.5</v>
      </c>
      <c r="D831" s="8">
        <v>92.5</v>
      </c>
      <c r="E831" s="8">
        <v>121.28</v>
      </c>
      <c r="F831" s="34">
        <f t="shared" ref="F831:F841" si="51">B831*E831</f>
        <v>851.38559999999995</v>
      </c>
      <c r="G831" s="83"/>
    </row>
    <row r="832" spans="1:7" x14ac:dyDescent="0.45">
      <c r="A832" s="3" t="s">
        <v>671</v>
      </c>
      <c r="B832" s="4">
        <v>8.14</v>
      </c>
      <c r="C832" s="7">
        <v>92.5</v>
      </c>
      <c r="D832" s="8">
        <v>92.5</v>
      </c>
      <c r="E832" s="8">
        <v>121.28</v>
      </c>
      <c r="F832" s="34">
        <f t="shared" si="51"/>
        <v>987.21920000000011</v>
      </c>
      <c r="G832" s="83"/>
    </row>
    <row r="833" spans="1:7" x14ac:dyDescent="0.45">
      <c r="A833" s="3" t="s">
        <v>672</v>
      </c>
      <c r="B833" s="4">
        <v>6.5</v>
      </c>
      <c r="C833" s="7">
        <v>92.5</v>
      </c>
      <c r="D833" s="8">
        <v>92.5</v>
      </c>
      <c r="E833" s="8">
        <v>121.28</v>
      </c>
      <c r="F833" s="34">
        <f t="shared" si="51"/>
        <v>788.32</v>
      </c>
      <c r="G833" s="83"/>
    </row>
    <row r="834" spans="1:7" x14ac:dyDescent="0.45">
      <c r="A834" s="3" t="s">
        <v>673</v>
      </c>
      <c r="B834" s="4">
        <v>6.6</v>
      </c>
      <c r="C834" s="7">
        <v>92.5</v>
      </c>
      <c r="D834" s="8">
        <v>92.5</v>
      </c>
      <c r="E834" s="8">
        <v>121.28</v>
      </c>
      <c r="F834" s="34">
        <f t="shared" si="51"/>
        <v>800.44799999999998</v>
      </c>
      <c r="G834" s="83"/>
    </row>
    <row r="835" spans="1:7" x14ac:dyDescent="0.45">
      <c r="A835" s="3" t="s">
        <v>1050</v>
      </c>
      <c r="B835" s="4">
        <v>8</v>
      </c>
      <c r="C835" s="7">
        <v>76</v>
      </c>
      <c r="D835" s="7">
        <f>65-Table1[[#This Row],[MELTING]]</f>
        <v>-11</v>
      </c>
      <c r="E835" s="8">
        <v>91.5</v>
      </c>
      <c r="F835" s="34">
        <f>(((B835*C835)/100)*E835)</f>
        <v>556.32000000000005</v>
      </c>
      <c r="G835" s="83"/>
    </row>
    <row r="836" spans="1:7" x14ac:dyDescent="0.45">
      <c r="A836" s="3" t="s">
        <v>1051</v>
      </c>
      <c r="B836" s="4">
        <v>4</v>
      </c>
      <c r="C836" s="7">
        <v>76</v>
      </c>
      <c r="D836" s="7">
        <f>65-Table1[[#This Row],[MELTING]]</f>
        <v>-11</v>
      </c>
      <c r="E836" s="8">
        <v>91.5</v>
      </c>
      <c r="F836" s="34">
        <f>(((B836*C836)/100)*E836)</f>
        <v>278.16000000000003</v>
      </c>
      <c r="G836" s="83"/>
    </row>
    <row r="837" spans="1:7" x14ac:dyDescent="0.45">
      <c r="A837" s="3" t="s">
        <v>1052</v>
      </c>
      <c r="B837" s="4">
        <v>6.4</v>
      </c>
      <c r="C837" s="7">
        <v>76</v>
      </c>
      <c r="D837" s="7">
        <f>65-Table1[[#This Row],[MELTING]]</f>
        <v>-11</v>
      </c>
      <c r="E837" s="8">
        <v>91.5</v>
      </c>
      <c r="F837" s="34">
        <f>(((B837*C837)/100)*E837)</f>
        <v>445.0560000000001</v>
      </c>
      <c r="G837" s="83"/>
    </row>
    <row r="838" spans="1:7" x14ac:dyDescent="0.45">
      <c r="A838" s="3" t="s">
        <v>1053</v>
      </c>
      <c r="B838" s="4">
        <v>6.2</v>
      </c>
      <c r="C838" s="7">
        <v>76</v>
      </c>
      <c r="D838" s="7">
        <f>65-Table1[[#This Row],[MELTING]]</f>
        <v>-11</v>
      </c>
      <c r="E838" s="8">
        <v>91.5</v>
      </c>
      <c r="F838" s="34">
        <f>(((B838*C838)/100)*E838)</f>
        <v>431.14799999999997</v>
      </c>
      <c r="G838" s="83"/>
    </row>
    <row r="839" spans="1:7" x14ac:dyDescent="0.45">
      <c r="A839" s="3" t="s">
        <v>1054</v>
      </c>
      <c r="B839" s="4">
        <v>11.4</v>
      </c>
      <c r="C839" s="7">
        <v>76</v>
      </c>
      <c r="D839" s="7">
        <f>65-Table1[[#This Row],[MELTING]]</f>
        <v>-11</v>
      </c>
      <c r="E839" s="8">
        <v>91.5</v>
      </c>
      <c r="F839" s="34">
        <f>(((B839*C839)/100)*E839)</f>
        <v>792.75599999999997</v>
      </c>
      <c r="G839" s="83"/>
    </row>
    <row r="840" spans="1:7" x14ac:dyDescent="0.45">
      <c r="A840" s="3" t="s">
        <v>674</v>
      </c>
      <c r="B840" s="4">
        <v>29.36</v>
      </c>
      <c r="C840" s="7">
        <v>92.5</v>
      </c>
      <c r="D840" s="7">
        <f t="shared" si="48"/>
        <v>-71.5</v>
      </c>
      <c r="E840" s="6">
        <v>101</v>
      </c>
      <c r="F840" s="34">
        <f t="shared" si="51"/>
        <v>2965.36</v>
      </c>
      <c r="G840" s="83"/>
    </row>
    <row r="841" spans="1:7" x14ac:dyDescent="0.45">
      <c r="A841" s="3" t="s">
        <v>675</v>
      </c>
      <c r="B841" s="4">
        <v>29.6</v>
      </c>
      <c r="C841" s="7">
        <v>92.5</v>
      </c>
      <c r="D841" s="7">
        <f t="shared" si="48"/>
        <v>-71.5</v>
      </c>
      <c r="E841" s="6">
        <v>101</v>
      </c>
      <c r="F841" s="34">
        <f t="shared" si="51"/>
        <v>2989.6000000000004</v>
      </c>
      <c r="G841" s="83"/>
    </row>
    <row r="842" spans="1:7" x14ac:dyDescent="0.45">
      <c r="A842" s="3" t="s">
        <v>676</v>
      </c>
      <c r="B842" s="4">
        <v>30.1</v>
      </c>
      <c r="C842" s="7">
        <v>92.5</v>
      </c>
      <c r="D842" s="7">
        <f t="shared" si="48"/>
        <v>-71.5</v>
      </c>
      <c r="E842" s="6">
        <v>101</v>
      </c>
      <c r="F842" s="34">
        <f t="shared" ref="F842" si="52">B842*E842</f>
        <v>3040.1000000000004</v>
      </c>
      <c r="G842" s="83"/>
    </row>
    <row r="843" spans="1:7" x14ac:dyDescent="0.45">
      <c r="A843" s="3" t="s">
        <v>677</v>
      </c>
      <c r="B843" s="4">
        <v>26.8</v>
      </c>
      <c r="C843" s="7">
        <v>85</v>
      </c>
      <c r="D843" s="7">
        <f t="shared" si="48"/>
        <v>-64</v>
      </c>
      <c r="E843" s="6">
        <v>89</v>
      </c>
      <c r="F843" s="34">
        <f>(((B843*C843)/100)*E843)</f>
        <v>2027.42</v>
      </c>
      <c r="G843" s="83"/>
    </row>
    <row r="844" spans="1:7" x14ac:dyDescent="0.45">
      <c r="A844" s="3" t="s">
        <v>678</v>
      </c>
      <c r="B844" s="4">
        <v>30.5</v>
      </c>
      <c r="C844" s="7">
        <v>85</v>
      </c>
      <c r="D844" s="7">
        <f t="shared" si="48"/>
        <v>-64</v>
      </c>
      <c r="E844" s="6">
        <v>89</v>
      </c>
      <c r="F844" s="34">
        <f t="shared" ref="F844:F850" si="53">(((B844*C844)/100)*E844)</f>
        <v>2307.3250000000003</v>
      </c>
      <c r="G844" s="83"/>
    </row>
    <row r="845" spans="1:7" x14ac:dyDescent="0.45">
      <c r="A845" s="3" t="s">
        <v>679</v>
      </c>
      <c r="B845" s="4">
        <v>32.799999999999997</v>
      </c>
      <c r="C845" s="7">
        <v>85</v>
      </c>
      <c r="D845" s="7">
        <f t="shared" si="48"/>
        <v>-64</v>
      </c>
      <c r="E845" s="6">
        <v>89</v>
      </c>
      <c r="F845" s="34">
        <f t="shared" si="53"/>
        <v>2481.3199999999997</v>
      </c>
      <c r="G845" s="83"/>
    </row>
    <row r="846" spans="1:7" x14ac:dyDescent="0.45">
      <c r="A846" s="3" t="s">
        <v>680</v>
      </c>
      <c r="B846" s="4">
        <v>13.9</v>
      </c>
      <c r="C846" s="7">
        <v>85</v>
      </c>
      <c r="D846" s="7">
        <f t="shared" si="48"/>
        <v>-64</v>
      </c>
      <c r="E846" s="6">
        <v>89</v>
      </c>
      <c r="F846" s="34">
        <f t="shared" si="53"/>
        <v>1051.5349999999999</v>
      </c>
      <c r="G846" s="83"/>
    </row>
    <row r="847" spans="1:7" x14ac:dyDescent="0.45">
      <c r="A847" s="3" t="s">
        <v>681</v>
      </c>
      <c r="B847" s="4">
        <v>20.350000000000001</v>
      </c>
      <c r="C847" s="7">
        <v>85</v>
      </c>
      <c r="D847" s="7">
        <f t="shared" si="48"/>
        <v>-64</v>
      </c>
      <c r="E847" s="6">
        <v>89</v>
      </c>
      <c r="F847" s="34">
        <f t="shared" si="53"/>
        <v>1539.4775000000002</v>
      </c>
      <c r="G847" s="83"/>
    </row>
    <row r="848" spans="1:7" x14ac:dyDescent="0.45">
      <c r="A848" s="3" t="s">
        <v>682</v>
      </c>
      <c r="B848" s="4">
        <v>23.15</v>
      </c>
      <c r="C848" s="7">
        <v>85</v>
      </c>
      <c r="D848" s="7">
        <f t="shared" si="48"/>
        <v>-64</v>
      </c>
      <c r="E848" s="6">
        <v>89</v>
      </c>
      <c r="F848" s="34">
        <f t="shared" si="53"/>
        <v>1751.2974999999999</v>
      </c>
      <c r="G848" s="83"/>
    </row>
    <row r="849" spans="1:7" x14ac:dyDescent="0.45">
      <c r="A849" s="3" t="s">
        <v>683</v>
      </c>
      <c r="B849" s="4">
        <v>14.75</v>
      </c>
      <c r="C849" s="7">
        <v>85</v>
      </c>
      <c r="D849" s="7">
        <f t="shared" si="48"/>
        <v>-64</v>
      </c>
      <c r="E849" s="6">
        <v>89</v>
      </c>
      <c r="F849" s="34">
        <f t="shared" si="53"/>
        <v>1115.8374999999999</v>
      </c>
      <c r="G849" s="83"/>
    </row>
    <row r="850" spans="1:7" x14ac:dyDescent="0.45">
      <c r="A850" s="3" t="s">
        <v>684</v>
      </c>
      <c r="B850" s="4">
        <v>10.42</v>
      </c>
      <c r="C850" s="7">
        <v>85</v>
      </c>
      <c r="D850" s="7">
        <f t="shared" si="48"/>
        <v>-64</v>
      </c>
      <c r="E850" s="6">
        <v>89</v>
      </c>
      <c r="F850" s="34">
        <f t="shared" si="53"/>
        <v>788.27300000000014</v>
      </c>
      <c r="G850" s="83"/>
    </row>
    <row r="851" spans="1:7" x14ac:dyDescent="0.45">
      <c r="A851" s="3" t="s">
        <v>685</v>
      </c>
      <c r="B851" s="4">
        <v>32.97</v>
      </c>
      <c r="C851" s="7">
        <v>92.5</v>
      </c>
      <c r="D851" s="7">
        <v>92.5</v>
      </c>
      <c r="E851" s="6">
        <v>102</v>
      </c>
      <c r="F851" s="34">
        <f>E851*B851</f>
        <v>3362.94</v>
      </c>
      <c r="G851" s="83"/>
    </row>
    <row r="852" spans="1:7" x14ac:dyDescent="0.45">
      <c r="A852" s="3" t="s">
        <v>686</v>
      </c>
      <c r="B852" s="4">
        <v>17.7</v>
      </c>
      <c r="C852" s="7">
        <v>85</v>
      </c>
      <c r="D852" s="7">
        <v>20</v>
      </c>
      <c r="E852" s="6">
        <v>88</v>
      </c>
      <c r="F852" s="34">
        <f t="shared" ref="F852:F863" si="54">(((B852*C852)/100)*E852)</f>
        <v>1323.96</v>
      </c>
      <c r="G852" s="83"/>
    </row>
    <row r="853" spans="1:7" x14ac:dyDescent="0.45">
      <c r="A853" s="3" t="s">
        <v>687</v>
      </c>
      <c r="B853" s="4">
        <v>29.4</v>
      </c>
      <c r="C853" s="7">
        <v>85</v>
      </c>
      <c r="D853" s="7">
        <v>20</v>
      </c>
      <c r="E853" s="6">
        <v>83.19</v>
      </c>
      <c r="F853" s="34">
        <f t="shared" si="54"/>
        <v>2078.9180999999999</v>
      </c>
      <c r="G853" s="83"/>
    </row>
    <row r="854" spans="1:7" x14ac:dyDescent="0.45">
      <c r="A854" s="3" t="s">
        <v>688</v>
      </c>
      <c r="B854" s="4">
        <v>35.049999999999997</v>
      </c>
      <c r="C854" s="7">
        <v>85</v>
      </c>
      <c r="D854" s="7">
        <v>20</v>
      </c>
      <c r="E854" s="6">
        <v>83.19</v>
      </c>
      <c r="F854" s="34">
        <f t="shared" si="54"/>
        <v>2478.4380749999996</v>
      </c>
      <c r="G854" s="83"/>
    </row>
    <row r="855" spans="1:7" x14ac:dyDescent="0.45">
      <c r="A855" s="3" t="s">
        <v>1210</v>
      </c>
      <c r="B855" s="4">
        <f>33.95/2</f>
        <v>16.975000000000001</v>
      </c>
      <c r="C855" s="7">
        <v>85</v>
      </c>
      <c r="D855" s="7">
        <v>20</v>
      </c>
      <c r="E855" s="6">
        <v>83.19</v>
      </c>
      <c r="F855" s="34">
        <f t="shared" si="54"/>
        <v>1200.3277125000002</v>
      </c>
      <c r="G855" s="83"/>
    </row>
    <row r="856" spans="1:7" x14ac:dyDescent="0.45">
      <c r="A856" s="3" t="s">
        <v>1211</v>
      </c>
      <c r="B856" s="4">
        <f>33.95/2</f>
        <v>16.975000000000001</v>
      </c>
      <c r="C856" s="7">
        <v>85</v>
      </c>
      <c r="D856" s="7">
        <v>20</v>
      </c>
      <c r="E856" s="6">
        <v>84.19</v>
      </c>
      <c r="F856" s="34">
        <f t="shared" ref="F856" si="55">(((B856*C856)/100)*E856)</f>
        <v>1214.7564625000002</v>
      </c>
      <c r="G856" s="83"/>
    </row>
    <row r="857" spans="1:7" x14ac:dyDescent="0.45">
      <c r="A857" s="3" t="s">
        <v>689</v>
      </c>
      <c r="B857" s="4">
        <v>40.200000000000003</v>
      </c>
      <c r="C857" s="7">
        <v>85</v>
      </c>
      <c r="D857" s="7">
        <v>20</v>
      </c>
      <c r="E857" s="6">
        <v>83.19</v>
      </c>
      <c r="F857" s="34">
        <f t="shared" si="54"/>
        <v>2842.6023</v>
      </c>
      <c r="G857" s="83"/>
    </row>
    <row r="858" spans="1:7" x14ac:dyDescent="0.45">
      <c r="A858" s="3" t="s">
        <v>690</v>
      </c>
      <c r="B858" s="4">
        <v>11</v>
      </c>
      <c r="C858" s="7">
        <v>85</v>
      </c>
      <c r="D858" s="7">
        <v>20</v>
      </c>
      <c r="E858" s="6">
        <v>83.19</v>
      </c>
      <c r="F858" s="34">
        <f t="shared" si="54"/>
        <v>777.8264999999999</v>
      </c>
      <c r="G858" s="83"/>
    </row>
    <row r="859" spans="1:7" x14ac:dyDescent="0.45">
      <c r="A859" s="3" t="s">
        <v>691</v>
      </c>
      <c r="B859" s="4">
        <v>22.15</v>
      </c>
      <c r="C859" s="7">
        <v>85</v>
      </c>
      <c r="D859" s="7">
        <v>20</v>
      </c>
      <c r="E859" s="6">
        <v>83.19</v>
      </c>
      <c r="F859" s="34">
        <f t="shared" si="54"/>
        <v>1566.2597249999997</v>
      </c>
      <c r="G859" s="83"/>
    </row>
    <row r="860" spans="1:7" x14ac:dyDescent="0.45">
      <c r="A860" s="3" t="s">
        <v>692</v>
      </c>
      <c r="B860" s="4">
        <v>8.56</v>
      </c>
      <c r="C860" s="7">
        <v>85</v>
      </c>
      <c r="D860" s="7">
        <v>20</v>
      </c>
      <c r="E860" s="6">
        <v>83.19</v>
      </c>
      <c r="F860" s="34">
        <f t="shared" si="54"/>
        <v>605.29043999999999</v>
      </c>
      <c r="G860" s="83"/>
    </row>
    <row r="861" spans="1:7" x14ac:dyDescent="0.45">
      <c r="A861" s="3" t="s">
        <v>693</v>
      </c>
      <c r="B861" s="4">
        <v>40.799999999999997</v>
      </c>
      <c r="C861" s="7">
        <v>85</v>
      </c>
      <c r="D861" s="7">
        <v>20</v>
      </c>
      <c r="E861" s="6">
        <v>83.19</v>
      </c>
      <c r="F861" s="34">
        <f t="shared" si="54"/>
        <v>2885.0291999999995</v>
      </c>
      <c r="G861" s="83"/>
    </row>
    <row r="862" spans="1:7" x14ac:dyDescent="0.45">
      <c r="A862" s="3" t="s">
        <v>694</v>
      </c>
      <c r="B862" s="4">
        <v>11.9</v>
      </c>
      <c r="C862" s="7">
        <v>85</v>
      </c>
      <c r="D862" s="7">
        <v>20</v>
      </c>
      <c r="E862" s="6">
        <v>83.19</v>
      </c>
      <c r="F862" s="34">
        <f t="shared" si="54"/>
        <v>841.46685000000002</v>
      </c>
      <c r="G862" s="83"/>
    </row>
    <row r="863" spans="1:7" x14ac:dyDescent="0.45">
      <c r="A863" s="13" t="s">
        <v>695</v>
      </c>
      <c r="B863" s="14">
        <v>11.45</v>
      </c>
      <c r="C863" s="15">
        <v>85</v>
      </c>
      <c r="D863" s="15">
        <v>20</v>
      </c>
      <c r="E863" s="16">
        <v>83.19</v>
      </c>
      <c r="F863" s="36">
        <f t="shared" si="54"/>
        <v>809.64667499999985</v>
      </c>
      <c r="G863" s="83" t="s">
        <v>863</v>
      </c>
    </row>
    <row r="864" spans="1:7" x14ac:dyDescent="0.45">
      <c r="A864" s="13" t="s">
        <v>948</v>
      </c>
      <c r="B864" s="14">
        <v>30.91</v>
      </c>
      <c r="C864" s="15">
        <v>82</v>
      </c>
      <c r="D864" s="15">
        <v>7</v>
      </c>
      <c r="E864" s="16">
        <v>88.6</v>
      </c>
      <c r="F864" s="36">
        <f>(((B864*C864)/100)*E864)+Table1[[#This Row],[Column1]]</f>
        <v>2285.6733199999999</v>
      </c>
      <c r="G864" s="83">
        <v>40</v>
      </c>
    </row>
    <row r="865" spans="1:8" x14ac:dyDescent="0.45">
      <c r="A865" s="13" t="s">
        <v>1048</v>
      </c>
      <c r="B865" s="14">
        <v>18.5</v>
      </c>
      <c r="C865" s="15">
        <v>76</v>
      </c>
      <c r="D865" s="15">
        <f>65-Table1[[#This Row],[MELTING]]</f>
        <v>-11</v>
      </c>
      <c r="E865" s="16">
        <v>91.5</v>
      </c>
      <c r="F865" s="36">
        <f>(((B865*C865)/100)*E865)</f>
        <v>1286.49</v>
      </c>
      <c r="G865" s="83"/>
    </row>
    <row r="866" spans="1:8" x14ac:dyDescent="0.45">
      <c r="A866" s="13" t="s">
        <v>1049</v>
      </c>
      <c r="B866" s="14">
        <v>27</v>
      </c>
      <c r="C866" s="15">
        <v>77</v>
      </c>
      <c r="D866" s="15">
        <f>65-Table1[[#This Row],[MELTING]]</f>
        <v>-12</v>
      </c>
      <c r="E866" s="16">
        <v>91.5</v>
      </c>
      <c r="F866" s="36">
        <f>(((B866*C866)/100)*E866)</f>
        <v>1902.2849999999999</v>
      </c>
      <c r="G866" s="83"/>
    </row>
    <row r="867" spans="1:8" x14ac:dyDescent="0.45">
      <c r="A867" s="13" t="s">
        <v>856</v>
      </c>
      <c r="B867" s="14">
        <v>16.64</v>
      </c>
      <c r="C867" s="15">
        <v>65</v>
      </c>
      <c r="D867" s="15">
        <v>60.9</v>
      </c>
      <c r="E867" s="16">
        <v>88.1</v>
      </c>
      <c r="F867" s="34">
        <f>((Table1[[#This Row],[MELTING]]*Table1[[#This Row],[PURE-RATE]]/100)+Table1[[#This Row],[Column1]])*Table1[[#This Row],[WEIGHT]]</f>
        <v>1119.2896000000001</v>
      </c>
      <c r="G867" s="83">
        <v>10</v>
      </c>
    </row>
    <row r="868" spans="1:8" x14ac:dyDescent="0.45">
      <c r="A868" s="13" t="s">
        <v>857</v>
      </c>
      <c r="B868" s="4">
        <v>18.899999999999999</v>
      </c>
      <c r="C868" s="7">
        <v>65</v>
      </c>
      <c r="D868" s="7">
        <v>82</v>
      </c>
      <c r="E868" s="16">
        <v>88.1</v>
      </c>
      <c r="F868" s="34">
        <f>((Table1[[#This Row],[MELTING]]*Table1[[#This Row],[PURE-RATE]]/100)+Table1[[#This Row],[Column1]])*Table1[[#This Row],[WEIGHT]]</f>
        <v>1271.3084999999999</v>
      </c>
      <c r="G868" s="83">
        <v>10</v>
      </c>
    </row>
    <row r="869" spans="1:8" x14ac:dyDescent="0.45">
      <c r="A869" s="13" t="s">
        <v>858</v>
      </c>
      <c r="B869" s="4">
        <v>28.35</v>
      </c>
      <c r="C869" s="7">
        <v>65</v>
      </c>
      <c r="D869" s="7">
        <v>60.9</v>
      </c>
      <c r="E869" s="16">
        <v>88.1</v>
      </c>
      <c r="F869" s="34">
        <f>((Table1[[#This Row],[MELTING]]*Table1[[#This Row],[PURE-RATE]]/100)+Table1[[#This Row],[Column1]])*Table1[[#This Row],[WEIGHT]]</f>
        <v>1906.9627500000001</v>
      </c>
      <c r="G869" s="83">
        <v>10</v>
      </c>
    </row>
    <row r="870" spans="1:8" x14ac:dyDescent="0.45">
      <c r="A870" s="13" t="s">
        <v>859</v>
      </c>
      <c r="B870" s="4">
        <v>24.95</v>
      </c>
      <c r="C870" s="7">
        <v>65</v>
      </c>
      <c r="D870" s="7">
        <v>60.9</v>
      </c>
      <c r="E870" s="16">
        <v>88.1</v>
      </c>
      <c r="F870" s="34">
        <f>((Table1[[#This Row],[MELTING]]*Table1[[#This Row],[PURE-RATE]]/100)+Table1[[#This Row],[Column1]])*Table1[[#This Row],[WEIGHT]]</f>
        <v>1678.2617499999999</v>
      </c>
      <c r="G870" s="83">
        <v>10</v>
      </c>
    </row>
    <row r="871" spans="1:8" x14ac:dyDescent="0.45">
      <c r="A871" s="13" t="s">
        <v>860</v>
      </c>
      <c r="B871" s="4">
        <v>22.7</v>
      </c>
      <c r="C871" s="7">
        <v>65</v>
      </c>
      <c r="D871" s="7">
        <v>60.9</v>
      </c>
      <c r="E871" s="16">
        <v>88.1</v>
      </c>
      <c r="F871" s="34">
        <f>((Table1[[#This Row],[MELTING]]*Table1[[#This Row],[PURE-RATE]]/100)+Table1[[#This Row],[Column1]])*Table1[[#This Row],[WEIGHT]]</f>
        <v>1526.9155000000001</v>
      </c>
      <c r="G871" s="83">
        <v>10</v>
      </c>
    </row>
    <row r="872" spans="1:8" x14ac:dyDescent="0.45">
      <c r="A872" s="13" t="s">
        <v>861</v>
      </c>
      <c r="B872" s="4">
        <v>35.700000000000003</v>
      </c>
      <c r="C872" s="7">
        <v>65</v>
      </c>
      <c r="D872" s="7">
        <v>60.9</v>
      </c>
      <c r="E872" s="16">
        <v>88.1</v>
      </c>
      <c r="F872" s="34">
        <f>((Table1[[#This Row],[MELTING]]*Table1[[#This Row],[PURE-RATE]]/100)+Table1[[#This Row],[Column1]])*Table1[[#This Row],[WEIGHT]]</f>
        <v>2401.3605000000002</v>
      </c>
      <c r="G872" s="83">
        <v>10</v>
      </c>
    </row>
    <row r="873" spans="1:8" x14ac:dyDescent="0.45">
      <c r="A873" s="13" t="s">
        <v>862</v>
      </c>
      <c r="B873" s="4">
        <v>16.5</v>
      </c>
      <c r="C873" s="7">
        <v>65</v>
      </c>
      <c r="D873" s="7">
        <v>60.9</v>
      </c>
      <c r="E873" s="16">
        <v>88.1</v>
      </c>
      <c r="F873" s="34">
        <f>((Table1[[#This Row],[MELTING]]*Table1[[#This Row],[PURE-RATE]]/100)+Table1[[#This Row],[Column1]])*Table1[[#This Row],[WEIGHT]]</f>
        <v>1109.8724999999999</v>
      </c>
      <c r="G873" s="83">
        <v>10</v>
      </c>
      <c r="H873" s="110"/>
    </row>
    <row r="874" spans="1:8" x14ac:dyDescent="0.45">
      <c r="A874" s="13" t="s">
        <v>904</v>
      </c>
      <c r="B874" s="14">
        <v>11.4</v>
      </c>
      <c r="C874" s="15">
        <v>80</v>
      </c>
      <c r="D874" s="15">
        <f>65-Table1[[#This Row],[MELTING]]</f>
        <v>-15</v>
      </c>
      <c r="E874" s="16">
        <v>84.5</v>
      </c>
      <c r="F874" s="34">
        <f>(((B874*C874)/100)*E874)</f>
        <v>770.64</v>
      </c>
      <c r="G874" s="83"/>
      <c r="H874" s="110"/>
    </row>
    <row r="875" spans="1:8" x14ac:dyDescent="0.45">
      <c r="A875" s="13" t="s">
        <v>905</v>
      </c>
      <c r="B875" s="14">
        <v>10.7</v>
      </c>
      <c r="C875" s="15">
        <v>80</v>
      </c>
      <c r="D875" s="15">
        <f>65-Table1[[#This Row],[MELTING]]</f>
        <v>-15</v>
      </c>
      <c r="E875" s="16">
        <v>84.5</v>
      </c>
      <c r="F875" s="34">
        <f t="shared" ref="F875:F883" si="56">(((B875*C875)/100)*E875)</f>
        <v>723.32</v>
      </c>
      <c r="G875" s="83"/>
      <c r="H875" s="110"/>
    </row>
    <row r="876" spans="1:8" x14ac:dyDescent="0.45">
      <c r="A876" s="13" t="s">
        <v>1055</v>
      </c>
      <c r="B876" s="14">
        <v>38.299999999999997</v>
      </c>
      <c r="C876" s="15">
        <v>75</v>
      </c>
      <c r="D876" s="15">
        <f>65-Table1[[#This Row],[MELTING]]</f>
        <v>-10</v>
      </c>
      <c r="E876" s="16">
        <v>91.5</v>
      </c>
      <c r="F876" s="34">
        <f>((Table1[[#This Row],[MELTING]]*Table1[[#This Row],[PURE-RATE]]/100)+Table1[[#This Row],[Column1]])*Table1[[#This Row],[WEIGHT]]</f>
        <v>3011.3374999999996</v>
      </c>
      <c r="G876" s="83">
        <v>10</v>
      </c>
      <c r="H876" s="110"/>
    </row>
    <row r="877" spans="1:8" x14ac:dyDescent="0.45">
      <c r="A877" s="13" t="s">
        <v>1056</v>
      </c>
      <c r="B877" s="14">
        <v>17.5</v>
      </c>
      <c r="C877" s="15">
        <v>75</v>
      </c>
      <c r="D877" s="15">
        <f>65-Table1[[#This Row],[MELTING]]</f>
        <v>-10</v>
      </c>
      <c r="E877" s="16">
        <v>91.5</v>
      </c>
      <c r="F877" s="34">
        <f>((Table1[[#This Row],[MELTING]]*Table1[[#This Row],[PURE-RATE]]/100)+Table1[[#This Row],[Column1]])*Table1[[#This Row],[WEIGHT]]</f>
        <v>1375.9375</v>
      </c>
      <c r="G877" s="83">
        <v>10</v>
      </c>
      <c r="H877" s="110"/>
    </row>
    <row r="878" spans="1:8" x14ac:dyDescent="0.45">
      <c r="A878" s="13" t="s">
        <v>1057</v>
      </c>
      <c r="B878" s="14">
        <v>16.100000000000001</v>
      </c>
      <c r="C878" s="15">
        <v>75</v>
      </c>
      <c r="D878" s="15">
        <f>65-Table1[[#This Row],[MELTING]]</f>
        <v>-10</v>
      </c>
      <c r="E878" s="16">
        <v>91.5</v>
      </c>
      <c r="F878" s="34">
        <f>((Table1[[#This Row],[MELTING]]*Table1[[#This Row],[PURE-RATE]]/100)+Table1[[#This Row],[Column1]])*Table1[[#This Row],[WEIGHT]]</f>
        <v>1265.8625000000002</v>
      </c>
      <c r="G878" s="83">
        <v>10</v>
      </c>
      <c r="H878" s="110"/>
    </row>
    <row r="879" spans="1:8" x14ac:dyDescent="0.45">
      <c r="A879" s="13" t="s">
        <v>1058</v>
      </c>
      <c r="B879" s="14">
        <v>19.5</v>
      </c>
      <c r="C879" s="15">
        <v>75</v>
      </c>
      <c r="D879" s="15">
        <f>65-Table1[[#This Row],[MELTING]]</f>
        <v>-10</v>
      </c>
      <c r="E879" s="16">
        <v>91.5</v>
      </c>
      <c r="F879" s="34">
        <f>((Table1[[#This Row],[MELTING]]*Table1[[#This Row],[PURE-RATE]]/100)+Table1[[#This Row],[Column1]])*Table1[[#This Row],[WEIGHT]]</f>
        <v>1533.1875</v>
      </c>
      <c r="G879" s="83">
        <v>10</v>
      </c>
      <c r="H879" s="110"/>
    </row>
    <row r="880" spans="1:8" x14ac:dyDescent="0.45">
      <c r="A880" s="13" t="s">
        <v>1059</v>
      </c>
      <c r="B880" s="14">
        <v>13.5</v>
      </c>
      <c r="C880" s="15">
        <v>76</v>
      </c>
      <c r="D880" s="15">
        <f>65-Table1[[#This Row],[MELTING]]</f>
        <v>-11</v>
      </c>
      <c r="E880" s="16">
        <v>91.5</v>
      </c>
      <c r="F880" s="34">
        <f t="shared" si="56"/>
        <v>938.79</v>
      </c>
      <c r="G880" s="83"/>
      <c r="H880" s="110"/>
    </row>
    <row r="881" spans="1:8" x14ac:dyDescent="0.45">
      <c r="A881" s="13" t="s">
        <v>1060</v>
      </c>
      <c r="B881" s="14">
        <v>14.2</v>
      </c>
      <c r="C881" s="15">
        <v>76</v>
      </c>
      <c r="D881" s="15">
        <f>65-Table1[[#This Row],[MELTING]]</f>
        <v>-11</v>
      </c>
      <c r="E881" s="16">
        <v>91.5</v>
      </c>
      <c r="F881" s="34">
        <f>(((B881*C881)/100)*E881)</f>
        <v>987.46799999999996</v>
      </c>
      <c r="G881" s="83"/>
      <c r="H881" s="110"/>
    </row>
    <row r="882" spans="1:8" x14ac:dyDescent="0.45">
      <c r="A882" s="13" t="s">
        <v>1061</v>
      </c>
      <c r="B882" s="14">
        <v>17.600000000000001</v>
      </c>
      <c r="C882" s="15">
        <v>76</v>
      </c>
      <c r="D882" s="15">
        <f>65-Table1[[#This Row],[MELTING]]</f>
        <v>-11</v>
      </c>
      <c r="E882" s="16">
        <v>91.5</v>
      </c>
      <c r="F882" s="34">
        <f t="shared" si="56"/>
        <v>1223.9040000000002</v>
      </c>
      <c r="G882" s="83"/>
      <c r="H882" s="110"/>
    </row>
    <row r="883" spans="1:8" x14ac:dyDescent="0.45">
      <c r="A883" s="13" t="s">
        <v>1062</v>
      </c>
      <c r="B883" s="14">
        <v>10.8</v>
      </c>
      <c r="C883" s="15">
        <v>76</v>
      </c>
      <c r="D883" s="15">
        <f>65-Table1[[#This Row],[MELTING]]</f>
        <v>-11</v>
      </c>
      <c r="E883" s="16">
        <v>91.5</v>
      </c>
      <c r="F883" s="34">
        <f t="shared" si="56"/>
        <v>751.03200000000004</v>
      </c>
      <c r="G883" s="83"/>
      <c r="H883" s="110"/>
    </row>
    <row r="884" spans="1:8" x14ac:dyDescent="0.45">
      <c r="A884" s="13" t="s">
        <v>864</v>
      </c>
      <c r="B884" s="14">
        <v>61.8</v>
      </c>
      <c r="C884" s="15">
        <v>80</v>
      </c>
      <c r="D884" s="15">
        <v>93</v>
      </c>
      <c r="E884" s="16">
        <v>88.1</v>
      </c>
      <c r="F884" s="34">
        <f>((Table1[[#This Row],[WASTAGE]]*Table1[[#This Row],[PURE-RATE]]/100)+G884)*Table1[[#This Row],[WEIGHT]]</f>
        <v>5140.7093999999997</v>
      </c>
      <c r="G884" s="33">
        <v>1.25</v>
      </c>
    </row>
    <row r="885" spans="1:8" x14ac:dyDescent="0.45">
      <c r="A885" s="13"/>
      <c r="B885" s="14"/>
      <c r="C885" s="15"/>
      <c r="D885" s="15"/>
      <c r="E885" s="16"/>
      <c r="F885" s="253"/>
      <c r="G885" s="33"/>
    </row>
    <row r="886" spans="1:8" s="139" customFormat="1" x14ac:dyDescent="0.45">
      <c r="A886" s="134" t="s">
        <v>895</v>
      </c>
      <c r="B886" s="135">
        <v>3.5</v>
      </c>
      <c r="C886" s="136">
        <v>65</v>
      </c>
      <c r="D886" s="136"/>
      <c r="E886" s="137">
        <v>85.5</v>
      </c>
      <c r="F886" s="138">
        <f>(((B886*C886/100)*E886))</f>
        <v>194.51249999999999</v>
      </c>
      <c r="G886" s="134"/>
    </row>
    <row r="887" spans="1:8" s="139" customFormat="1" x14ac:dyDescent="0.45">
      <c r="A887" s="134" t="s">
        <v>1082</v>
      </c>
      <c r="B887" s="135">
        <v>1</v>
      </c>
      <c r="C887" s="136"/>
      <c r="D887" s="136"/>
      <c r="E887" s="137"/>
      <c r="F887" s="138">
        <v>100</v>
      </c>
      <c r="G887" s="134"/>
    </row>
    <row r="888" spans="1:8" s="139" customFormat="1" x14ac:dyDescent="0.45">
      <c r="A888" s="134" t="s">
        <v>1083</v>
      </c>
      <c r="B888" s="135"/>
      <c r="C888" s="136"/>
      <c r="D888" s="136"/>
      <c r="E888" s="137"/>
      <c r="F888" s="138">
        <v>230</v>
      </c>
      <c r="G888" s="134"/>
    </row>
    <row r="889" spans="1:8" s="139" customFormat="1" x14ac:dyDescent="0.45">
      <c r="A889" s="134" t="s">
        <v>1190</v>
      </c>
      <c r="B889" s="135">
        <v>5.5</v>
      </c>
      <c r="C889" s="136">
        <v>82</v>
      </c>
      <c r="D889" s="136"/>
      <c r="E889" s="137">
        <v>90</v>
      </c>
      <c r="F889" s="138">
        <f>(((B889*C889)/100)*E889)</f>
        <v>405.9</v>
      </c>
      <c r="G889" s="134"/>
    </row>
    <row r="890" spans="1:8" s="139" customFormat="1" x14ac:dyDescent="0.45">
      <c r="A890" s="134" t="s">
        <v>1191</v>
      </c>
      <c r="B890" s="135">
        <v>4.5</v>
      </c>
      <c r="C890" s="136">
        <v>82</v>
      </c>
      <c r="D890" s="136"/>
      <c r="E890" s="137">
        <v>90</v>
      </c>
      <c r="F890" s="138">
        <f>(((B890*C890)/100)*E890)</f>
        <v>332.1</v>
      </c>
      <c r="G890" s="134"/>
    </row>
    <row r="891" spans="1:8" x14ac:dyDescent="0.45">
      <c r="A891" s="33" t="s">
        <v>804</v>
      </c>
      <c r="F891" s="37">
        <v>135</v>
      </c>
    </row>
    <row r="892" spans="1:8" x14ac:dyDescent="0.45">
      <c r="A892" s="33" t="s">
        <v>805</v>
      </c>
      <c r="F892" s="37">
        <v>242</v>
      </c>
    </row>
    <row r="893" spans="1:8" x14ac:dyDescent="0.45">
      <c r="A893" s="33" t="s">
        <v>806</v>
      </c>
      <c r="F893" s="37">
        <v>500</v>
      </c>
    </row>
    <row r="894" spans="1:8" x14ac:dyDescent="0.45">
      <c r="A894" s="33" t="s">
        <v>807</v>
      </c>
      <c r="F894" s="37">
        <v>110</v>
      </c>
    </row>
    <row r="895" spans="1:8" x14ac:dyDescent="0.45">
      <c r="A895" s="33" t="s">
        <v>808</v>
      </c>
      <c r="F895" s="37">
        <v>300</v>
      </c>
    </row>
    <row r="896" spans="1:8" x14ac:dyDescent="0.45">
      <c r="A896" s="33" t="s">
        <v>1004</v>
      </c>
      <c r="C896" s="1">
        <v>74.03</v>
      </c>
      <c r="D896" s="1">
        <f>60-C896</f>
        <v>-14.030000000000001</v>
      </c>
      <c r="E896" s="1">
        <v>90</v>
      </c>
      <c r="F896" s="37">
        <f t="shared" ref="F896:F904" si="57">(B896*C896/100)*E896</f>
        <v>0</v>
      </c>
    </row>
    <row r="897" spans="1:6" x14ac:dyDescent="0.45">
      <c r="A897" s="33" t="s">
        <v>1005</v>
      </c>
      <c r="B897" s="1">
        <v>6.25</v>
      </c>
      <c r="C897" s="1">
        <v>80</v>
      </c>
      <c r="D897" s="1">
        <v>-15</v>
      </c>
      <c r="E897" s="1">
        <v>93</v>
      </c>
      <c r="F897" s="37">
        <f t="shared" si="57"/>
        <v>465</v>
      </c>
    </row>
    <row r="898" spans="1:6" x14ac:dyDescent="0.45">
      <c r="A898" s="33" t="s">
        <v>1008</v>
      </c>
      <c r="B898" s="1">
        <v>6.07</v>
      </c>
      <c r="C898" s="1">
        <v>80</v>
      </c>
      <c r="D898" s="1">
        <v>-15</v>
      </c>
      <c r="E898" s="1">
        <v>93</v>
      </c>
      <c r="F898" s="37">
        <f t="shared" si="57"/>
        <v>451.608</v>
      </c>
    </row>
    <row r="899" spans="1:6" x14ac:dyDescent="0.45">
      <c r="A899" s="33" t="s">
        <v>1063</v>
      </c>
      <c r="B899" s="1">
        <v>10.4</v>
      </c>
      <c r="C899" s="1">
        <v>80</v>
      </c>
      <c r="D899" s="1">
        <v>-15</v>
      </c>
      <c r="E899" s="1">
        <v>93</v>
      </c>
      <c r="F899" s="37">
        <f t="shared" si="57"/>
        <v>773.76</v>
      </c>
    </row>
    <row r="900" spans="1:6" x14ac:dyDescent="0.45">
      <c r="A900" s="33" t="s">
        <v>1093</v>
      </c>
      <c r="B900" s="1">
        <v>9.0500000000000007</v>
      </c>
      <c r="C900" s="1">
        <v>80</v>
      </c>
      <c r="D900" s="1">
        <v>-15</v>
      </c>
      <c r="E900" s="1">
        <v>93</v>
      </c>
      <c r="F900" s="37">
        <f t="shared" si="57"/>
        <v>673.32</v>
      </c>
    </row>
    <row r="901" spans="1:6" x14ac:dyDescent="0.45">
      <c r="A901" s="33" t="s">
        <v>1214</v>
      </c>
      <c r="B901" s="1">
        <v>8.5</v>
      </c>
      <c r="C901" s="1">
        <v>80</v>
      </c>
      <c r="D901" s="1">
        <v>-15</v>
      </c>
      <c r="E901" s="1">
        <v>93</v>
      </c>
      <c r="F901" s="37">
        <f t="shared" si="57"/>
        <v>632.4</v>
      </c>
    </row>
    <row r="902" spans="1:6" x14ac:dyDescent="0.45">
      <c r="A902" s="33" t="s">
        <v>1222</v>
      </c>
      <c r="B902" s="1">
        <v>17</v>
      </c>
      <c r="C902" s="1">
        <v>80</v>
      </c>
      <c r="D902" s="1">
        <v>-15</v>
      </c>
      <c r="E902" s="1">
        <v>93</v>
      </c>
      <c r="F902" s="37">
        <f t="shared" si="57"/>
        <v>1264.8</v>
      </c>
    </row>
    <row r="903" spans="1:6" x14ac:dyDescent="0.45">
      <c r="A903" s="33" t="s">
        <v>741</v>
      </c>
      <c r="C903" s="1">
        <v>80</v>
      </c>
      <c r="D903" s="1">
        <v>-15</v>
      </c>
      <c r="E903" s="1">
        <v>93</v>
      </c>
      <c r="F903" s="37">
        <f t="shared" ref="F903" si="58">(B903*C903/100)*E903</f>
        <v>0</v>
      </c>
    </row>
    <row r="904" spans="1:6" x14ac:dyDescent="0.45">
      <c r="A904" s="33" t="s">
        <v>741</v>
      </c>
      <c r="C904" s="1">
        <v>80</v>
      </c>
      <c r="D904" s="1">
        <v>-15</v>
      </c>
      <c r="E904" s="1">
        <v>93</v>
      </c>
      <c r="F904" s="37">
        <f t="shared" si="57"/>
        <v>0</v>
      </c>
    </row>
    <row r="905" spans="1:6" x14ac:dyDescent="0.45">
      <c r="A905" s="33"/>
    </row>
    <row r="906" spans="1:6" x14ac:dyDescent="0.45">
      <c r="A906" s="33"/>
    </row>
    <row r="907" spans="1:6" x14ac:dyDescent="0.45">
      <c r="A907" s="8" t="s">
        <v>772</v>
      </c>
      <c r="B907" s="4">
        <v>24.16</v>
      </c>
      <c r="C907" s="8">
        <v>97.5</v>
      </c>
      <c r="D907" s="8">
        <v>5.5</v>
      </c>
      <c r="E907" s="8">
        <v>7059</v>
      </c>
      <c r="F907" s="81">
        <f t="shared" ref="F907:F909" si="59">(((B907*C907)/100)*E907)</f>
        <v>166281.80399999997</v>
      </c>
    </row>
    <row r="908" spans="1:6" x14ac:dyDescent="0.45">
      <c r="A908" s="8" t="s">
        <v>803</v>
      </c>
      <c r="B908" s="4">
        <v>0.39</v>
      </c>
      <c r="C908" s="8">
        <v>79</v>
      </c>
      <c r="D908" s="8">
        <v>14</v>
      </c>
      <c r="E908" s="8">
        <v>7300</v>
      </c>
      <c r="F908" s="81">
        <f t="shared" si="59"/>
        <v>2249.13</v>
      </c>
    </row>
    <row r="909" spans="1:6" x14ac:dyDescent="0.45">
      <c r="A909" s="11" t="s">
        <v>809</v>
      </c>
      <c r="B909" s="10">
        <v>4.07</v>
      </c>
      <c r="C909" s="11">
        <v>100</v>
      </c>
      <c r="D909" s="11">
        <v>8</v>
      </c>
      <c r="E909" s="11">
        <v>7024.65</v>
      </c>
      <c r="F909" s="6">
        <f t="shared" si="59"/>
        <v>28590.325499999999</v>
      </c>
    </row>
    <row r="910" spans="1:6" x14ac:dyDescent="0.45">
      <c r="A910" s="8" t="s">
        <v>810</v>
      </c>
      <c r="B910" s="4">
        <v>9.34</v>
      </c>
      <c r="C910" s="7">
        <v>73.5</v>
      </c>
      <c r="D910" s="7">
        <v>73.5</v>
      </c>
      <c r="E910" s="6">
        <v>92.4</v>
      </c>
      <c r="F910" s="6">
        <f t="shared" ref="F910:F917" si="60">(B910*C910/100)*E910</f>
        <v>634.31676000000004</v>
      </c>
    </row>
    <row r="911" spans="1:6" x14ac:dyDescent="0.45">
      <c r="A911" s="8" t="s">
        <v>811</v>
      </c>
      <c r="B911" s="4">
        <v>7.4</v>
      </c>
      <c r="C911" s="8">
        <v>80</v>
      </c>
      <c r="D911" s="8"/>
      <c r="E911" s="8">
        <v>85</v>
      </c>
      <c r="F911" s="6">
        <f t="shared" si="60"/>
        <v>503.2</v>
      </c>
    </row>
    <row r="912" spans="1:6" x14ac:dyDescent="0.45">
      <c r="A912" s="8" t="s">
        <v>854</v>
      </c>
      <c r="B912" s="108">
        <v>13.08</v>
      </c>
      <c r="C912" s="8">
        <v>80</v>
      </c>
      <c r="D912" s="8"/>
      <c r="E912" s="8">
        <v>84</v>
      </c>
      <c r="F912" s="6">
        <f t="shared" si="60"/>
        <v>878.976</v>
      </c>
    </row>
    <row r="913" spans="1:6" x14ac:dyDescent="0.45">
      <c r="A913" s="33" t="s">
        <v>832</v>
      </c>
      <c r="B913" s="33">
        <v>9.5299999999999994</v>
      </c>
      <c r="C913" s="8">
        <v>80</v>
      </c>
      <c r="D913" s="8"/>
      <c r="E913" s="8">
        <v>84</v>
      </c>
      <c r="F913" s="6">
        <f t="shared" si="60"/>
        <v>640.41599999999994</v>
      </c>
    </row>
    <row r="914" spans="1:6" x14ac:dyDescent="0.45">
      <c r="A914" s="33" t="s">
        <v>891</v>
      </c>
      <c r="B914" s="33">
        <v>8.9</v>
      </c>
      <c r="C914" s="8">
        <v>80</v>
      </c>
      <c r="D914" s="8"/>
      <c r="E914" s="8">
        <v>83</v>
      </c>
      <c r="F914" s="6">
        <v>650</v>
      </c>
    </row>
    <row r="915" spans="1:6" x14ac:dyDescent="0.45">
      <c r="A915" s="33" t="s">
        <v>917</v>
      </c>
      <c r="B915" s="33">
        <v>3.9</v>
      </c>
      <c r="C915" s="8">
        <v>80</v>
      </c>
      <c r="E915" s="8">
        <v>90</v>
      </c>
      <c r="F915" s="6">
        <f t="shared" si="60"/>
        <v>280.8</v>
      </c>
    </row>
    <row r="916" spans="1:6" x14ac:dyDescent="0.45">
      <c r="A916" s="33" t="s">
        <v>974</v>
      </c>
      <c r="B916" s="33">
        <v>6.05</v>
      </c>
      <c r="C916" s="33">
        <v>80</v>
      </c>
      <c r="E916" s="33">
        <v>90</v>
      </c>
      <c r="F916" s="6">
        <f t="shared" si="60"/>
        <v>435.59999999999997</v>
      </c>
    </row>
    <row r="917" spans="1:6" x14ac:dyDescent="0.45">
      <c r="A917" s="1" t="s">
        <v>922</v>
      </c>
      <c r="B917" s="1">
        <v>1.8</v>
      </c>
      <c r="C917" s="1">
        <v>63</v>
      </c>
      <c r="E917" s="1">
        <v>84</v>
      </c>
      <c r="F917" s="6">
        <f t="shared" si="60"/>
        <v>95.256000000000014</v>
      </c>
    </row>
    <row r="918" spans="1:6" x14ac:dyDescent="0.45">
      <c r="A918" s="8" t="s">
        <v>812</v>
      </c>
      <c r="B918" s="4">
        <v>61</v>
      </c>
      <c r="C918" s="8">
        <v>86.27</v>
      </c>
      <c r="D918" s="8">
        <v>31.27</v>
      </c>
      <c r="E918" s="8">
        <v>84</v>
      </c>
      <c r="F918" s="6">
        <f t="shared" ref="F918" si="61">(((B918*C918)/100)*E918)</f>
        <v>4420.474799999999</v>
      </c>
    </row>
    <row r="919" spans="1:6" x14ac:dyDescent="0.45">
      <c r="A919" s="8" t="s">
        <v>813</v>
      </c>
      <c r="B919" s="4">
        <v>14.95</v>
      </c>
      <c r="C919" s="8">
        <v>96</v>
      </c>
      <c r="D919" s="8">
        <v>4</v>
      </c>
      <c r="E919" s="8">
        <v>7265</v>
      </c>
      <c r="F919" s="82">
        <v>104300</v>
      </c>
    </row>
    <row r="920" spans="1:6" x14ac:dyDescent="0.45">
      <c r="A920" s="1" t="s">
        <v>834</v>
      </c>
      <c r="B920" s="1">
        <v>1.97</v>
      </c>
      <c r="C920" s="33">
        <v>87</v>
      </c>
      <c r="D920" s="33">
        <v>10</v>
      </c>
      <c r="E920" s="33">
        <v>7352</v>
      </c>
      <c r="F920" s="80">
        <f>(B920*C920/100)*E920</f>
        <v>12600.592799999999</v>
      </c>
    </row>
    <row r="921" spans="1:6" x14ac:dyDescent="0.45">
      <c r="A921" s="1" t="s">
        <v>846</v>
      </c>
      <c r="F921" s="37">
        <v>500</v>
      </c>
    </row>
    <row r="922" spans="1:6" x14ac:dyDescent="0.45">
      <c r="A922" s="1" t="s">
        <v>849</v>
      </c>
      <c r="D922" s="1">
        <v>250</v>
      </c>
      <c r="E922" s="1">
        <v>250</v>
      </c>
      <c r="F922" s="37">
        <f>D922+E922</f>
        <v>500</v>
      </c>
    </row>
    <row r="923" spans="1:6" x14ac:dyDescent="0.45">
      <c r="A923" s="97" t="s">
        <v>848</v>
      </c>
      <c r="B923" s="1">
        <v>1.3</v>
      </c>
      <c r="C923" s="1">
        <v>79</v>
      </c>
      <c r="D923" s="1">
        <v>1.2</v>
      </c>
      <c r="E923" s="1">
        <v>7200</v>
      </c>
      <c r="F923" s="37">
        <v>5500</v>
      </c>
    </row>
    <row r="924" spans="1:6" x14ac:dyDescent="0.45">
      <c r="A924" s="113" t="s">
        <v>866</v>
      </c>
      <c r="B924" s="1">
        <v>56.89</v>
      </c>
      <c r="F924" s="37">
        <v>2800</v>
      </c>
    </row>
    <row r="925" spans="1:6" x14ac:dyDescent="0.45">
      <c r="A925" s="114" t="s">
        <v>853</v>
      </c>
      <c r="B925" s="1">
        <v>29.89</v>
      </c>
      <c r="F925" s="37">
        <v>700</v>
      </c>
    </row>
    <row r="926" spans="1:6" x14ac:dyDescent="0.45">
      <c r="A926" s="115" t="s">
        <v>852</v>
      </c>
      <c r="B926" s="1">
        <v>0.67</v>
      </c>
      <c r="F926" s="37">
        <v>1750</v>
      </c>
    </row>
    <row r="927" spans="1:6" x14ac:dyDescent="0.45">
      <c r="A927" s="112" t="s">
        <v>814</v>
      </c>
      <c r="B927" s="111">
        <v>4</v>
      </c>
      <c r="F927" s="37">
        <v>200</v>
      </c>
    </row>
    <row r="928" spans="1:6" x14ac:dyDescent="0.45">
      <c r="A928" s="1" t="s">
        <v>886</v>
      </c>
      <c r="B928" s="1">
        <v>1</v>
      </c>
      <c r="F928" s="37">
        <v>85350</v>
      </c>
    </row>
    <row r="929" spans="1:6" x14ac:dyDescent="0.45">
      <c r="A929" s="1" t="s">
        <v>887</v>
      </c>
      <c r="B929" s="1">
        <v>1.5</v>
      </c>
      <c r="F929" s="37">
        <v>120</v>
      </c>
    </row>
    <row r="930" spans="1:6" x14ac:dyDescent="0.45">
      <c r="A930" s="141" t="s">
        <v>897</v>
      </c>
      <c r="B930" s="142">
        <v>0.97</v>
      </c>
      <c r="F930" s="143">
        <v>2300</v>
      </c>
    </row>
    <row r="931" spans="1:6" x14ac:dyDescent="0.45">
      <c r="A931" s="1" t="s">
        <v>924</v>
      </c>
      <c r="F931" s="37">
        <v>3300</v>
      </c>
    </row>
    <row r="932" spans="1:6" x14ac:dyDescent="0.45">
      <c r="A932" s="1" t="s">
        <v>925</v>
      </c>
      <c r="F932" s="37">
        <v>900</v>
      </c>
    </row>
    <row r="933" spans="1:6" x14ac:dyDescent="0.45">
      <c r="A933" s="1" t="s">
        <v>940</v>
      </c>
      <c r="B933" s="1">
        <v>23.45</v>
      </c>
      <c r="C933" s="1">
        <v>91.71</v>
      </c>
      <c r="F933" s="37">
        <v>124000</v>
      </c>
    </row>
    <row r="935" spans="1:6" x14ac:dyDescent="0.45">
      <c r="A935" s="1" t="s">
        <v>1011</v>
      </c>
      <c r="B935" s="1">
        <v>2.08</v>
      </c>
      <c r="C935" s="1">
        <v>89.5</v>
      </c>
      <c r="E935" s="1">
        <v>7685</v>
      </c>
      <c r="F935" s="37">
        <v>14400</v>
      </c>
    </row>
    <row r="936" spans="1:6" x14ac:dyDescent="0.45">
      <c r="A936" s="1" t="s">
        <v>1012</v>
      </c>
      <c r="B936" s="1">
        <v>8.65</v>
      </c>
      <c r="C936" s="1">
        <v>85</v>
      </c>
      <c r="E936" s="1">
        <v>93.5</v>
      </c>
      <c r="F936" s="37">
        <v>700</v>
      </c>
    </row>
    <row r="937" spans="1:6" x14ac:dyDescent="0.45">
      <c r="A937" s="1" t="s">
        <v>1013</v>
      </c>
      <c r="B937" s="1">
        <v>23.5</v>
      </c>
      <c r="F937" s="37">
        <f>(1460+600+300+50)-150</f>
        <v>2260</v>
      </c>
    </row>
    <row r="938" spans="1:6" x14ac:dyDescent="0.45">
      <c r="A938" s="1" t="s">
        <v>1026</v>
      </c>
      <c r="B938" s="1">
        <v>8.01</v>
      </c>
      <c r="C938" s="1">
        <v>92</v>
      </c>
      <c r="E938" s="1">
        <v>7735</v>
      </c>
      <c r="F938" s="37">
        <v>58300</v>
      </c>
    </row>
    <row r="939" spans="1:6" x14ac:dyDescent="0.45">
      <c r="A939" s="1" t="s">
        <v>1080</v>
      </c>
      <c r="B939" s="1">
        <v>2.17</v>
      </c>
      <c r="E939" s="1">
        <v>123</v>
      </c>
      <c r="F939" s="37">
        <f>B939*E939</f>
        <v>266.90999999999997</v>
      </c>
    </row>
    <row r="940" spans="1:6" x14ac:dyDescent="0.45">
      <c r="A940" s="1" t="s">
        <v>1081</v>
      </c>
      <c r="B940" s="1">
        <v>24.83</v>
      </c>
      <c r="C940" s="1">
        <v>92</v>
      </c>
      <c r="D940" s="1">
        <v>57</v>
      </c>
      <c r="F940" s="37">
        <v>3695</v>
      </c>
    </row>
    <row r="941" spans="1:6" x14ac:dyDescent="0.45">
      <c r="A941" s="1" t="s">
        <v>1092</v>
      </c>
      <c r="B941" s="1">
        <v>0.05</v>
      </c>
      <c r="C941" s="1">
        <v>80</v>
      </c>
      <c r="E941" s="1">
        <v>7400</v>
      </c>
      <c r="F941" s="37">
        <f>(B941*C941/100)*E941</f>
        <v>296</v>
      </c>
    </row>
    <row r="942" spans="1:6" x14ac:dyDescent="0.45">
      <c r="A942" s="97" t="s">
        <v>1010</v>
      </c>
      <c r="B942" s="1">
        <v>0</v>
      </c>
      <c r="C942" s="1">
        <v>0</v>
      </c>
      <c r="D942" s="1">
        <v>0</v>
      </c>
      <c r="E942" s="1">
        <v>0</v>
      </c>
      <c r="F942" s="37">
        <v>0</v>
      </c>
    </row>
    <row r="943" spans="1:6" x14ac:dyDescent="0.45">
      <c r="A943" s="1" t="s">
        <v>1110</v>
      </c>
      <c r="B943" s="1">
        <v>1.04</v>
      </c>
      <c r="C943" s="1">
        <v>92</v>
      </c>
      <c r="D943" s="1">
        <v>102</v>
      </c>
      <c r="E943" s="1">
        <v>7770</v>
      </c>
      <c r="F943" s="37">
        <v>8330</v>
      </c>
    </row>
    <row r="944" spans="1:6" x14ac:dyDescent="0.45">
      <c r="A944" s="1" t="s">
        <v>1111</v>
      </c>
      <c r="B944" s="1">
        <v>1.6</v>
      </c>
      <c r="D944" s="1">
        <v>200</v>
      </c>
      <c r="E944" s="1">
        <v>130</v>
      </c>
      <c r="F944" s="37">
        <v>130</v>
      </c>
    </row>
  </sheetData>
  <phoneticPr fontId="7" type="noConversion"/>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39599-FF29-43E6-ADC4-EA41CC7738CB}">
  <dimension ref="A1:AM181"/>
  <sheetViews>
    <sheetView topLeftCell="A174" zoomScale="85" zoomScaleNormal="85" workbookViewId="0">
      <selection activeCell="E184" sqref="E184"/>
    </sheetView>
  </sheetViews>
  <sheetFormatPr defaultColWidth="8.5546875" defaultRowHeight="23.4" x14ac:dyDescent="0.45"/>
  <cols>
    <col min="1" max="1" width="17.109375" style="1" bestFit="1" customWidth="1"/>
    <col min="2" max="2" width="24.6640625" style="1" customWidth="1"/>
    <col min="3" max="3" width="13.33203125" style="1" customWidth="1"/>
    <col min="4" max="4" width="7.44140625" style="28" customWidth="1"/>
    <col min="5" max="5" width="12.33203125" style="32" customWidth="1"/>
    <col min="6" max="6" width="10.88671875" style="1" customWidth="1"/>
    <col min="7" max="7" width="9.77734375" style="1" customWidth="1"/>
    <col min="8" max="8" width="15.88671875" style="29" bestFit="1" customWidth="1"/>
    <col min="9" max="9" width="21.88671875" style="29" customWidth="1"/>
    <col min="10" max="10" width="14.88671875" style="1" customWidth="1"/>
    <col min="11" max="11" width="11" style="1" customWidth="1"/>
    <col min="12" max="12" width="18.5546875" style="83" customWidth="1"/>
    <col min="13" max="13" width="14.6640625" style="1" customWidth="1"/>
    <col min="14" max="14" width="17.77734375" style="1" customWidth="1"/>
    <col min="15" max="15" width="15.33203125" style="1" customWidth="1"/>
    <col min="16" max="16" width="16.21875" style="1" customWidth="1"/>
    <col min="17" max="17" width="22.21875" style="1" customWidth="1"/>
    <col min="18" max="18" width="22.5546875" style="1" customWidth="1"/>
    <col min="19" max="19" width="6" style="30" customWidth="1"/>
    <col min="20" max="20" width="27.6640625" style="1" customWidth="1"/>
    <col min="21" max="21" width="25.109375" style="1" customWidth="1"/>
    <col min="22" max="22" width="25.6640625" style="1" customWidth="1"/>
    <col min="23" max="23" width="19.5546875" style="1" customWidth="1"/>
    <col min="24" max="24" width="25.5546875" style="1" customWidth="1"/>
    <col min="25" max="25" width="29.21875" style="117" customWidth="1"/>
    <col min="26" max="26" width="24" style="1" customWidth="1"/>
    <col min="27" max="27" width="8.5546875" style="1"/>
    <col min="28" max="28" width="38.5546875" style="1" bestFit="1" customWidth="1"/>
    <col min="29" max="29" width="17.21875" style="1" bestFit="1" customWidth="1"/>
    <col min="30" max="30" width="14.88671875" style="1" customWidth="1"/>
    <col min="31" max="31" width="32.44140625" style="150" bestFit="1" customWidth="1"/>
    <col min="32" max="32" width="12.5546875" style="1" bestFit="1" customWidth="1"/>
    <col min="33" max="33" width="14.6640625" style="1" bestFit="1" customWidth="1"/>
    <col min="34" max="34" width="8.5546875" style="1"/>
    <col min="35" max="35" width="31" style="1" bestFit="1" customWidth="1"/>
    <col min="36" max="36" width="19.109375" style="1" bestFit="1" customWidth="1"/>
    <col min="37" max="37" width="8.5546875" style="1"/>
    <col min="38" max="38" width="46.77734375" style="1" bestFit="1" customWidth="1"/>
    <col min="39" max="39" width="21.6640625" style="1" bestFit="1" customWidth="1"/>
    <col min="40" max="16384" width="8.5546875" style="1"/>
  </cols>
  <sheetData>
    <row r="1" spans="1:39" x14ac:dyDescent="0.45">
      <c r="A1" s="31" t="s">
        <v>696</v>
      </c>
      <c r="B1" s="40" t="s">
        <v>697</v>
      </c>
      <c r="C1" s="40" t="s">
        <v>698</v>
      </c>
      <c r="D1" s="41" t="s">
        <v>699</v>
      </c>
      <c r="E1" s="42" t="s">
        <v>1</v>
      </c>
      <c r="F1" s="40" t="s">
        <v>2</v>
      </c>
      <c r="G1" s="40" t="s">
        <v>3</v>
      </c>
      <c r="H1" s="43" t="s">
        <v>700</v>
      </c>
      <c r="I1" s="43" t="s">
        <v>701</v>
      </c>
      <c r="J1" s="44" t="s">
        <v>702</v>
      </c>
      <c r="K1" s="45" t="s">
        <v>703</v>
      </c>
      <c r="L1" s="46" t="s">
        <v>704</v>
      </c>
      <c r="M1" s="47" t="s">
        <v>705</v>
      </c>
      <c r="N1" s="40" t="s">
        <v>706</v>
      </c>
      <c r="O1" s="40" t="s">
        <v>707</v>
      </c>
      <c r="P1" s="40" t="s">
        <v>708</v>
      </c>
      <c r="Q1" s="40" t="s">
        <v>709</v>
      </c>
      <c r="R1" s="73" t="s">
        <v>710</v>
      </c>
      <c r="S1" s="78"/>
      <c r="T1" s="79" t="s">
        <v>711</v>
      </c>
      <c r="U1" s="75" t="s">
        <v>712</v>
      </c>
      <c r="V1" s="75" t="s">
        <v>713</v>
      </c>
      <c r="W1" s="75" t="s">
        <v>714</v>
      </c>
      <c r="X1" s="75" t="s">
        <v>715</v>
      </c>
      <c r="Y1" s="75" t="s">
        <v>716</v>
      </c>
      <c r="Z1" s="76" t="s">
        <v>717</v>
      </c>
    </row>
    <row r="2" spans="1:39" x14ac:dyDescent="0.45">
      <c r="A2" s="17">
        <v>45507</v>
      </c>
      <c r="B2" s="2" t="str">
        <f>C2&amp;D2</f>
        <v>G-RING-B7</v>
      </c>
      <c r="C2" s="2" t="s">
        <v>720</v>
      </c>
      <c r="D2" s="61">
        <v>7</v>
      </c>
      <c r="E2" s="62">
        <f>VLOOKUP(B2,'ALL-DATA'!A:F,2,FALSE)</f>
        <v>4.03</v>
      </c>
      <c r="F2" s="2">
        <f>VLOOKUP(B2,'ALL-DATA'!A:F,3,FALSE)</f>
        <v>95.5</v>
      </c>
      <c r="G2" s="2">
        <f>VLOOKUP(B2,'ALL-DATA'!A:F,4,FALSE)</f>
        <v>-3.5</v>
      </c>
      <c r="H2" s="51">
        <f>VLOOKUP(B2,'ALL-DATA'!A:F,5,FALSE)</f>
        <v>7218.2</v>
      </c>
      <c r="I2" s="51">
        <f>VLOOKUP(B2,'ALL-DATA'!A:F,6,FALSE)</f>
        <v>27780.325430000001</v>
      </c>
      <c r="J2" s="2">
        <v>29100</v>
      </c>
      <c r="K2" s="57"/>
      <c r="L2" s="63">
        <f>((J2+R2)-I2)</f>
        <v>1288.4889699999985</v>
      </c>
      <c r="M2" s="39">
        <v>11.4</v>
      </c>
      <c r="N2" s="2">
        <v>63</v>
      </c>
      <c r="O2" s="2">
        <v>80</v>
      </c>
      <c r="P2" s="39">
        <f>(((M2-(M2*1%))*N2)/100)*O2</f>
        <v>568.81440000000009</v>
      </c>
      <c r="Q2" s="2">
        <v>600</v>
      </c>
      <c r="R2" s="74">
        <f>(P2-Q2)</f>
        <v>-31.185599999999909</v>
      </c>
      <c r="S2" s="48"/>
      <c r="T2" s="159">
        <f>SUM(J2:J181)</f>
        <v>1318350</v>
      </c>
      <c r="U2" s="159">
        <f>SUM(J2:J181)</f>
        <v>1318350</v>
      </c>
      <c r="V2" s="160">
        <f>SUM(L2:L32)</f>
        <v>42959.546115000026</v>
      </c>
      <c r="W2" s="160">
        <f>SUM(W5:W13)</f>
        <v>80697</v>
      </c>
      <c r="X2" s="160">
        <f>Table10[[#This Row],[CUST TO GIVE]]-Table10[[#This Row],[SELAVU ]]</f>
        <v>1237653</v>
      </c>
      <c r="Y2" s="177"/>
      <c r="Z2" s="178"/>
      <c r="AA2" s="83"/>
      <c r="AB2" s="71" t="s">
        <v>820</v>
      </c>
      <c r="AC2" s="71">
        <v>123000</v>
      </c>
      <c r="AE2" s="72" t="s">
        <v>851</v>
      </c>
      <c r="AF2" s="119">
        <v>1.3</v>
      </c>
      <c r="AG2" s="72">
        <v>5500</v>
      </c>
      <c r="AI2" s="166" t="s">
        <v>977</v>
      </c>
      <c r="AJ2" s="252">
        <v>15392</v>
      </c>
    </row>
    <row r="3" spans="1:39" x14ac:dyDescent="0.45">
      <c r="A3" s="18">
        <v>45507</v>
      </c>
      <c r="B3" s="2" t="str">
        <f>C3&amp;D3</f>
        <v>G-CHAIN-ORDER-03-08</v>
      </c>
      <c r="C3" s="2" t="s">
        <v>744</v>
      </c>
      <c r="D3" s="61" t="s">
        <v>773</v>
      </c>
      <c r="E3" s="62">
        <f>VLOOKUP(B3,'ALL-DATA'!A:F,2,FALSE)</f>
        <v>24.16</v>
      </c>
      <c r="F3" s="2">
        <f>VLOOKUP(B3,'ALL-DATA'!A:F,3,FALSE)</f>
        <v>97.5</v>
      </c>
      <c r="G3" s="2">
        <f>VLOOKUP(B3,'ALL-DATA'!A:F,4,FALSE)</f>
        <v>5.5</v>
      </c>
      <c r="H3" s="51">
        <f>VLOOKUP(B3,'ALL-DATA'!A:F,5,FALSE)</f>
        <v>7059</v>
      </c>
      <c r="I3" s="51">
        <f>VLOOKUP(B3,'ALL-DATA'!A:F,6,FALSE)</f>
        <v>166281.80399999997</v>
      </c>
      <c r="J3" s="146">
        <v>176460</v>
      </c>
      <c r="K3" s="58"/>
      <c r="L3" s="63">
        <f t="shared" ref="L3:L25" si="0">((J3+R3)-I3)</f>
        <v>10178.196000000025</v>
      </c>
      <c r="M3" s="39"/>
      <c r="N3" s="2">
        <v>63</v>
      </c>
      <c r="O3" s="2"/>
      <c r="P3" s="39">
        <f t="shared" ref="P3:P50" si="1">(((M3-(M3*1%))*N3)/100)*O3</f>
        <v>0</v>
      </c>
      <c r="Q3" s="2"/>
      <c r="R3" s="74">
        <f t="shared" ref="R3:R50" si="2">(P3-Q3)</f>
        <v>0</v>
      </c>
      <c r="S3" s="48"/>
      <c r="T3" s="161"/>
      <c r="U3" s="162"/>
      <c r="V3" s="162"/>
      <c r="W3" s="162"/>
      <c r="X3" s="162"/>
      <c r="Y3" s="142"/>
      <c r="Z3" s="143"/>
      <c r="AA3" s="83"/>
      <c r="AB3" s="70" t="s">
        <v>821</v>
      </c>
      <c r="AC3" s="70">
        <v>86800</v>
      </c>
      <c r="AE3" s="143" t="s">
        <v>814</v>
      </c>
      <c r="AF3" s="142">
        <v>4</v>
      </c>
      <c r="AG3" s="143">
        <v>200</v>
      </c>
      <c r="AI3" s="68" t="s">
        <v>1159</v>
      </c>
      <c r="AJ3" s="68">
        <v>20381</v>
      </c>
      <c r="AL3" s="152" t="s">
        <v>978</v>
      </c>
      <c r="AM3" s="154">
        <v>400554.4</v>
      </c>
    </row>
    <row r="4" spans="1:39" ht="46.8" x14ac:dyDescent="0.45">
      <c r="A4" s="17">
        <v>45508</v>
      </c>
      <c r="B4" s="2" t="str">
        <f t="shared" ref="B4:B32" si="3">C4&amp;D4</f>
        <v>S-KAPPU-N-4</v>
      </c>
      <c r="C4" s="2" t="s">
        <v>740</v>
      </c>
      <c r="D4" s="61" t="s">
        <v>774</v>
      </c>
      <c r="E4" s="62">
        <f>VLOOKUP(B4,'ALL-DATA'!A:F,2,FALSE)</f>
        <v>26.8</v>
      </c>
      <c r="F4" s="2">
        <f>VLOOKUP(B4,'ALL-DATA'!A:F,3,FALSE)</f>
        <v>85</v>
      </c>
      <c r="G4" s="2">
        <f>VLOOKUP(B4,'ALL-DATA'!A:F,4,FALSE)</f>
        <v>-64</v>
      </c>
      <c r="H4" s="51">
        <f>VLOOKUP(B4,'ALL-DATA'!A:F,5,FALSE)</f>
        <v>89</v>
      </c>
      <c r="I4" s="51">
        <f>VLOOKUP(B4,'ALL-DATA'!A:F,6,FALSE)</f>
        <v>2027.42</v>
      </c>
      <c r="J4" s="2">
        <v>2550</v>
      </c>
      <c r="K4" s="57"/>
      <c r="L4" s="63">
        <f t="shared" si="0"/>
        <v>522.57999999999993</v>
      </c>
      <c r="M4" s="39"/>
      <c r="N4" s="2">
        <v>63</v>
      </c>
      <c r="O4" s="2"/>
      <c r="P4" s="39">
        <f t="shared" si="1"/>
        <v>0</v>
      </c>
      <c r="Q4" s="2"/>
      <c r="R4" s="74">
        <f t="shared" si="2"/>
        <v>0</v>
      </c>
      <c r="S4" s="48"/>
      <c r="T4" s="163"/>
      <c r="U4" s="164"/>
      <c r="V4" s="164"/>
      <c r="W4" s="164"/>
      <c r="X4" s="164"/>
      <c r="Y4" s="142"/>
      <c r="Z4" s="143"/>
      <c r="AA4" s="83"/>
      <c r="AB4" s="84" t="s">
        <v>822</v>
      </c>
      <c r="AC4" s="69">
        <v>9000</v>
      </c>
      <c r="AE4" s="2" t="s">
        <v>852</v>
      </c>
      <c r="AF4" s="119">
        <v>0.67</v>
      </c>
      <c r="AG4" s="70">
        <v>1750</v>
      </c>
      <c r="AL4" s="153" t="s">
        <v>984</v>
      </c>
      <c r="AM4" s="154">
        <v>453830</v>
      </c>
    </row>
    <row r="5" spans="1:39" ht="24" customHeight="1" x14ac:dyDescent="0.45">
      <c r="A5" s="18">
        <v>45508</v>
      </c>
      <c r="B5" s="2" t="str">
        <f t="shared" si="3"/>
        <v>S-RING-15</v>
      </c>
      <c r="C5" s="2" t="s">
        <v>732</v>
      </c>
      <c r="D5" s="61" t="s">
        <v>775</v>
      </c>
      <c r="E5" s="62">
        <f>VLOOKUP(B5,'ALL-DATA'!A:F,2,FALSE)</f>
        <v>2.2999999999999998</v>
      </c>
      <c r="F5" s="2">
        <f>VLOOKUP(B5,'ALL-DATA'!A:F,3,FALSE)</f>
        <v>92.5</v>
      </c>
      <c r="G5" s="2">
        <f>VLOOKUP(B5,'ALL-DATA'!A:F,4,FALSE)</f>
        <v>92.5</v>
      </c>
      <c r="H5" s="51">
        <f>VLOOKUP(B5,'ALL-DATA'!A:F,5,FALSE)</f>
        <v>140</v>
      </c>
      <c r="I5" s="51">
        <f>VLOOKUP(B5,'ALL-DATA'!A:F,6,FALSE)</f>
        <v>322</v>
      </c>
      <c r="J5" s="2">
        <v>500</v>
      </c>
      <c r="K5" s="57"/>
      <c r="L5" s="63">
        <f t="shared" si="0"/>
        <v>178</v>
      </c>
      <c r="M5" s="39"/>
      <c r="N5" s="2">
        <v>63</v>
      </c>
      <c r="O5" s="2"/>
      <c r="P5" s="39">
        <f t="shared" si="1"/>
        <v>0</v>
      </c>
      <c r="Q5" s="2"/>
      <c r="R5" s="74">
        <f t="shared" si="2"/>
        <v>0</v>
      </c>
      <c r="S5" s="48"/>
      <c r="T5" s="165" t="s">
        <v>815</v>
      </c>
      <c r="U5" s="68" t="s">
        <v>816</v>
      </c>
      <c r="V5" s="68" t="s">
        <v>818</v>
      </c>
      <c r="W5" s="68">
        <v>20381</v>
      </c>
      <c r="Y5" s="142"/>
      <c r="Z5" s="143"/>
      <c r="AA5" s="83"/>
      <c r="AB5" s="70" t="s">
        <v>823</v>
      </c>
      <c r="AC5" s="70">
        <v>18530</v>
      </c>
      <c r="AE5" s="141" t="s">
        <v>853</v>
      </c>
      <c r="AF5" s="142">
        <v>29.98</v>
      </c>
      <c r="AG5" s="143">
        <v>700</v>
      </c>
      <c r="AL5" s="152" t="s">
        <v>979</v>
      </c>
      <c r="AM5" s="154">
        <v>54295.11</v>
      </c>
    </row>
    <row r="6" spans="1:39" x14ac:dyDescent="0.45">
      <c r="A6" s="17">
        <v>45508</v>
      </c>
      <c r="B6" s="2" t="str">
        <f t="shared" si="3"/>
        <v>S-RING-203</v>
      </c>
      <c r="C6" s="2" t="s">
        <v>732</v>
      </c>
      <c r="D6" s="61" t="s">
        <v>776</v>
      </c>
      <c r="E6" s="62">
        <f>VLOOKUP(B6,'ALL-DATA'!A:F,2,FALSE)</f>
        <v>1.25</v>
      </c>
      <c r="F6" s="2">
        <f>VLOOKUP(B6,'ALL-DATA'!A:F,3,FALSE)</f>
        <v>92.5</v>
      </c>
      <c r="G6" s="2">
        <f>VLOOKUP(B6,'ALL-DATA'!A:F,4,FALSE)</f>
        <v>92.5</v>
      </c>
      <c r="H6" s="51">
        <f>VLOOKUP(B6,'ALL-DATA'!A:F,5,FALSE)</f>
        <v>131.65</v>
      </c>
      <c r="I6" s="51">
        <f>VLOOKUP(B6,'ALL-DATA'!A:F,6,FALSE)</f>
        <v>164.5625</v>
      </c>
      <c r="J6" s="2">
        <v>300</v>
      </c>
      <c r="K6" s="57"/>
      <c r="L6" s="63">
        <f t="shared" si="0"/>
        <v>135.4375</v>
      </c>
      <c r="M6" s="39"/>
      <c r="N6" s="2">
        <v>63</v>
      </c>
      <c r="O6" s="2"/>
      <c r="P6" s="39">
        <f t="shared" si="1"/>
        <v>0</v>
      </c>
      <c r="Q6" s="2"/>
      <c r="R6" s="74">
        <f t="shared" si="2"/>
        <v>0</v>
      </c>
      <c r="S6" s="48"/>
      <c r="T6" s="167" t="s">
        <v>879</v>
      </c>
      <c r="U6" s="168">
        <v>400</v>
      </c>
      <c r="V6" s="68" t="s">
        <v>815</v>
      </c>
      <c r="W6" s="68">
        <f>SUM(U5:U14)</f>
        <v>36016</v>
      </c>
      <c r="Y6" s="142"/>
      <c r="Z6" s="143"/>
      <c r="AA6" s="83"/>
      <c r="AB6" s="69" t="s">
        <v>824</v>
      </c>
      <c r="AC6" s="69">
        <v>28700</v>
      </c>
      <c r="AE6" s="120" t="s">
        <v>866</v>
      </c>
      <c r="AF6" s="119">
        <v>56.89</v>
      </c>
      <c r="AG6" s="70">
        <v>2800</v>
      </c>
      <c r="AL6" s="152" t="s">
        <v>980</v>
      </c>
      <c r="AM6" s="155">
        <v>15392</v>
      </c>
    </row>
    <row r="7" spans="1:39" x14ac:dyDescent="0.45">
      <c r="A7" s="18">
        <v>45508</v>
      </c>
      <c r="B7" s="2" t="str">
        <f t="shared" si="3"/>
        <v>S-CHAIN-N-50</v>
      </c>
      <c r="C7" s="2" t="s">
        <v>733</v>
      </c>
      <c r="D7" s="61" t="s">
        <v>777</v>
      </c>
      <c r="E7" s="62">
        <f>VLOOKUP(B7,'ALL-DATA'!A:F,2,FALSE)</f>
        <v>16.5</v>
      </c>
      <c r="F7" s="2">
        <f>VLOOKUP(B7,'ALL-DATA'!A:F,3,FALSE)</f>
        <v>86</v>
      </c>
      <c r="G7" s="2">
        <f>VLOOKUP(B7,'ALL-DATA'!A:F,4,FALSE)</f>
        <v>-21</v>
      </c>
      <c r="H7" s="51">
        <f>VLOOKUP(B7,'ALL-DATA'!A:F,5,FALSE)</f>
        <v>94.8</v>
      </c>
      <c r="I7" s="51">
        <f>VLOOKUP(B7,'ALL-DATA'!A:F,6,FALSE)</f>
        <v>1345.212</v>
      </c>
      <c r="J7" s="146">
        <v>1700</v>
      </c>
      <c r="K7" s="58"/>
      <c r="L7" s="63">
        <f t="shared" si="0"/>
        <v>354.78800000000001</v>
      </c>
      <c r="M7" s="39"/>
      <c r="N7" s="2">
        <v>63</v>
      </c>
      <c r="O7" s="2"/>
      <c r="P7" s="39">
        <f t="shared" si="1"/>
        <v>0</v>
      </c>
      <c r="Q7" s="2"/>
      <c r="R7" s="74">
        <f t="shared" si="2"/>
        <v>0</v>
      </c>
      <c r="S7" s="48"/>
      <c r="T7" s="170" t="s">
        <v>880</v>
      </c>
      <c r="U7" s="171">
        <v>28100</v>
      </c>
      <c r="V7" s="68" t="s">
        <v>717</v>
      </c>
      <c r="W7" s="68">
        <f>SUM(Z:Z)</f>
        <v>0</v>
      </c>
      <c r="X7" s="162"/>
      <c r="Y7" s="142"/>
      <c r="Z7" s="143"/>
      <c r="AA7" s="83"/>
      <c r="AB7" s="72" t="s">
        <v>825</v>
      </c>
      <c r="AC7" s="72">
        <v>27300</v>
      </c>
      <c r="AE7" s="141" t="s">
        <v>871</v>
      </c>
      <c r="AF7" s="142">
        <v>0.97</v>
      </c>
      <c r="AG7" s="143">
        <v>2300</v>
      </c>
      <c r="AL7" s="152" t="s">
        <v>981</v>
      </c>
      <c r="AM7" s="155">
        <v>16800</v>
      </c>
    </row>
    <row r="8" spans="1:39" x14ac:dyDescent="0.45">
      <c r="A8" s="17">
        <v>45508</v>
      </c>
      <c r="B8" s="2" t="s">
        <v>803</v>
      </c>
      <c r="C8" s="2"/>
      <c r="D8" s="61"/>
      <c r="E8" s="62">
        <f>VLOOKUP(B8,'ALL-DATA'!A:F,2,FALSE)</f>
        <v>0.39</v>
      </c>
      <c r="F8" s="2">
        <f>VLOOKUP(B8,'ALL-DATA'!A:F,3,FALSE)</f>
        <v>79</v>
      </c>
      <c r="G8" s="2">
        <f>VLOOKUP(B8,'ALL-DATA'!A:F,4,FALSE)</f>
        <v>14</v>
      </c>
      <c r="H8" s="51">
        <f>VLOOKUP(B8,'ALL-DATA'!A:F,5,FALSE)</f>
        <v>7300</v>
      </c>
      <c r="I8" s="51">
        <f>VLOOKUP(B8,'ALL-DATA'!A:F,6,FALSE)</f>
        <v>2249.13</v>
      </c>
      <c r="J8" s="2">
        <v>2990</v>
      </c>
      <c r="K8" s="57"/>
      <c r="L8" s="63">
        <f t="shared" si="0"/>
        <v>740.86999999999989</v>
      </c>
      <c r="M8" s="39"/>
      <c r="N8" s="2">
        <v>63</v>
      </c>
      <c r="O8" s="2"/>
      <c r="P8" s="39">
        <f t="shared" si="1"/>
        <v>0</v>
      </c>
      <c r="Q8" s="2"/>
      <c r="R8" s="74">
        <f t="shared" si="2"/>
        <v>0</v>
      </c>
      <c r="S8" s="48"/>
      <c r="T8" s="163" t="s">
        <v>881</v>
      </c>
      <c r="U8" s="184">
        <v>600</v>
      </c>
      <c r="V8" s="68" t="s">
        <v>819</v>
      </c>
      <c r="W8" s="68">
        <f>21000+3300</f>
        <v>24300</v>
      </c>
      <c r="X8" s="164"/>
      <c r="Y8" s="142"/>
      <c r="Z8" s="143"/>
      <c r="AA8" s="83"/>
      <c r="AB8" s="169" t="s">
        <v>826</v>
      </c>
      <c r="AC8" s="169">
        <v>12700</v>
      </c>
      <c r="AE8" s="120" t="s">
        <v>872</v>
      </c>
      <c r="AF8" s="119">
        <v>1.04</v>
      </c>
      <c r="AG8" s="70">
        <v>5800</v>
      </c>
      <c r="AL8" s="152" t="s">
        <v>982</v>
      </c>
      <c r="AM8" s="155">
        <v>17100</v>
      </c>
    </row>
    <row r="9" spans="1:39" x14ac:dyDescent="0.45">
      <c r="A9" s="18">
        <v>45509</v>
      </c>
      <c r="B9" s="2" t="str">
        <f t="shared" si="3"/>
        <v>G-STUD-20</v>
      </c>
      <c r="C9" s="2" t="s">
        <v>721</v>
      </c>
      <c r="D9" s="61" t="s">
        <v>778</v>
      </c>
      <c r="E9" s="62">
        <f>VLOOKUP(B9,'ALL-DATA'!A:F,2,FALSE)</f>
        <v>2.11</v>
      </c>
      <c r="F9" s="2">
        <f>VLOOKUP(B9,'ALL-DATA'!A:F,3,FALSE)</f>
        <v>97</v>
      </c>
      <c r="G9" s="2">
        <f>VLOOKUP(B9,'ALL-DATA'!A:F,4,FALSE)</f>
        <v>-5</v>
      </c>
      <c r="H9" s="51">
        <f>VLOOKUP(B9,'ALL-DATA'!A:F,5,FALSE)</f>
        <v>7218.2</v>
      </c>
      <c r="I9" s="51">
        <f>VLOOKUP(B9,'ALL-DATA'!A:F,6,FALSE)</f>
        <v>14773.489939999999</v>
      </c>
      <c r="J9" s="2">
        <v>15600</v>
      </c>
      <c r="K9" s="57"/>
      <c r="L9" s="63">
        <f t="shared" si="0"/>
        <v>826.51006000000052</v>
      </c>
      <c r="M9" s="39"/>
      <c r="N9" s="2">
        <v>63</v>
      </c>
      <c r="O9" s="2"/>
      <c r="P9" s="39">
        <f t="shared" si="1"/>
        <v>0</v>
      </c>
      <c r="Q9" s="2"/>
      <c r="R9" s="74">
        <f t="shared" si="2"/>
        <v>0</v>
      </c>
      <c r="S9" s="48"/>
      <c r="T9" s="183" t="s">
        <v>1027</v>
      </c>
      <c r="U9" s="184">
        <v>6000</v>
      </c>
      <c r="V9" s="162"/>
      <c r="W9" s="162"/>
      <c r="X9" s="162"/>
      <c r="Y9" s="142"/>
      <c r="Z9" s="143"/>
      <c r="AA9" s="83"/>
      <c r="AB9" s="71" t="s">
        <v>827</v>
      </c>
      <c r="AC9" s="69">
        <v>4420</v>
      </c>
      <c r="AE9" s="164" t="s">
        <v>878</v>
      </c>
      <c r="AF9" s="174">
        <v>201.99</v>
      </c>
      <c r="AG9" s="175">
        <v>9300</v>
      </c>
      <c r="AL9" s="152" t="s">
        <v>983</v>
      </c>
      <c r="AM9" s="155">
        <v>470450</v>
      </c>
    </row>
    <row r="10" spans="1:39" x14ac:dyDescent="0.45">
      <c r="A10" s="17">
        <v>45509</v>
      </c>
      <c r="B10" s="2" t="str">
        <f t="shared" si="3"/>
        <v>S-CHAIN-N-53</v>
      </c>
      <c r="C10" s="2" t="s">
        <v>733</v>
      </c>
      <c r="D10" s="61" t="s">
        <v>779</v>
      </c>
      <c r="E10" s="62">
        <f>VLOOKUP(B10,'ALL-DATA'!A:F,2,FALSE)</f>
        <v>25</v>
      </c>
      <c r="F10" s="2">
        <f>VLOOKUP(B10,'ALL-DATA'!A:F,3,FALSE)</f>
        <v>86</v>
      </c>
      <c r="G10" s="2">
        <f>VLOOKUP(B10,'ALL-DATA'!A:F,4,FALSE)</f>
        <v>-21</v>
      </c>
      <c r="H10" s="51">
        <f>VLOOKUP(B10,'ALL-DATA'!A:F,5,FALSE)</f>
        <v>94.8</v>
      </c>
      <c r="I10" s="51">
        <f>VLOOKUP(B10,'ALL-DATA'!A:F,6,FALSE)</f>
        <v>2038.2</v>
      </c>
      <c r="J10" s="53">
        <v>2600</v>
      </c>
      <c r="K10" s="58">
        <v>600</v>
      </c>
      <c r="L10" s="63">
        <f t="shared" si="0"/>
        <v>561.79999999999995</v>
      </c>
      <c r="M10" s="39"/>
      <c r="N10" s="2">
        <v>63</v>
      </c>
      <c r="O10" s="2"/>
      <c r="P10" s="39">
        <f t="shared" si="1"/>
        <v>0</v>
      </c>
      <c r="Q10" s="2"/>
      <c r="R10" s="74">
        <f t="shared" si="2"/>
        <v>0</v>
      </c>
      <c r="S10" s="48"/>
      <c r="T10" s="163" t="s">
        <v>1091</v>
      </c>
      <c r="U10" s="164">
        <v>100</v>
      </c>
      <c r="V10" s="164"/>
      <c r="W10" s="164"/>
      <c r="X10" s="164"/>
      <c r="Y10" s="142"/>
      <c r="Z10" s="143"/>
      <c r="AA10" s="83"/>
      <c r="AB10" s="169" t="s">
        <v>850</v>
      </c>
      <c r="AC10" s="143">
        <v>12600</v>
      </c>
      <c r="AE10" s="162" t="s">
        <v>1086</v>
      </c>
      <c r="AF10" s="142">
        <v>3</v>
      </c>
      <c r="AG10" s="143">
        <v>16500</v>
      </c>
      <c r="AL10" s="152" t="s">
        <v>985</v>
      </c>
      <c r="AM10" s="155">
        <v>65869</v>
      </c>
    </row>
    <row r="11" spans="1:39" ht="24" customHeight="1" x14ac:dyDescent="0.45">
      <c r="A11" s="18">
        <v>45509</v>
      </c>
      <c r="B11" s="2" t="str">
        <f t="shared" si="3"/>
        <v>S-S-KOLUSU-74</v>
      </c>
      <c r="C11" s="2" t="s">
        <v>727</v>
      </c>
      <c r="D11" s="61" t="s">
        <v>780</v>
      </c>
      <c r="E11" s="62">
        <f>VLOOKUP(B11,'ALL-DATA'!A:F,2,FALSE)</f>
        <v>107.35</v>
      </c>
      <c r="F11" s="2">
        <f>VLOOKUP(B11,'ALL-DATA'!A:F,3,FALSE)</f>
        <v>82</v>
      </c>
      <c r="G11" s="2">
        <f>VLOOKUP(B11,'ALL-DATA'!A:F,4,FALSE)</f>
        <v>-17</v>
      </c>
      <c r="H11" s="51">
        <f>VLOOKUP(B11,'ALL-DATA'!A:F,5,FALSE)</f>
        <v>92</v>
      </c>
      <c r="I11" s="51">
        <f>VLOOKUP(B11,'ALL-DATA'!A:F,6,FALSE)</f>
        <v>8098.4839999999986</v>
      </c>
      <c r="J11" s="54">
        <v>10150</v>
      </c>
      <c r="K11" s="57"/>
      <c r="L11" s="63">
        <f t="shared" si="0"/>
        <v>2051.5160000000014</v>
      </c>
      <c r="M11" s="39"/>
      <c r="N11" s="2">
        <v>63</v>
      </c>
      <c r="O11" s="2"/>
      <c r="P11" s="39">
        <f t="shared" si="1"/>
        <v>0</v>
      </c>
      <c r="Q11" s="2"/>
      <c r="R11" s="74">
        <f t="shared" si="2"/>
        <v>0</v>
      </c>
      <c r="S11" s="48"/>
      <c r="T11" s="163" t="s">
        <v>1165</v>
      </c>
      <c r="U11" s="164">
        <v>150</v>
      </c>
      <c r="V11" s="162"/>
      <c r="W11" s="162"/>
      <c r="X11" s="162"/>
      <c r="Y11" s="142"/>
      <c r="Z11" s="143"/>
      <c r="AA11" s="83"/>
      <c r="AB11" s="130" t="s">
        <v>817</v>
      </c>
      <c r="AC11" s="131">
        <v>500</v>
      </c>
      <c r="AE11" s="164" t="s">
        <v>1089</v>
      </c>
      <c r="AF11" s="142">
        <v>1.04</v>
      </c>
      <c r="AG11" s="143">
        <v>5500</v>
      </c>
      <c r="AL11" s="157" t="s">
        <v>986</v>
      </c>
      <c r="AM11" s="158">
        <v>125823</v>
      </c>
    </row>
    <row r="12" spans="1:39" x14ac:dyDescent="0.45">
      <c r="A12" s="17">
        <v>45509</v>
      </c>
      <c r="B12" s="2" t="str">
        <f t="shared" si="3"/>
        <v>S-S-KOLUSU-11</v>
      </c>
      <c r="C12" s="2" t="s">
        <v>727</v>
      </c>
      <c r="D12" s="61" t="s">
        <v>781</v>
      </c>
      <c r="E12" s="62">
        <f>VLOOKUP(B12,'ALL-DATA'!A:F,2,FALSE)</f>
        <v>76.7</v>
      </c>
      <c r="F12" s="2">
        <f>VLOOKUP(B12,'ALL-DATA'!A:F,3,FALSE)</f>
        <v>76.5</v>
      </c>
      <c r="G12" s="2">
        <f>VLOOKUP(B12,'ALL-DATA'!A:F,4,FALSE)</f>
        <v>-11.5</v>
      </c>
      <c r="H12" s="51">
        <f>VLOOKUP(B12,'ALL-DATA'!A:F,5,FALSE)</f>
        <v>89.9</v>
      </c>
      <c r="I12" s="51">
        <f>VLOOKUP(B12,'ALL-DATA'!A:F,6,FALSE)</f>
        <v>5274.9274500000001</v>
      </c>
      <c r="J12" s="147">
        <v>7750</v>
      </c>
      <c r="K12" s="58"/>
      <c r="L12" s="63">
        <f>((J12+R12)-I12)-J13</f>
        <v>1093.0426600000001</v>
      </c>
      <c r="M12" s="39">
        <v>58.85</v>
      </c>
      <c r="N12" s="2">
        <v>63</v>
      </c>
      <c r="O12" s="2">
        <v>78</v>
      </c>
      <c r="P12" s="39">
        <f t="shared" si="1"/>
        <v>2862.9701099999997</v>
      </c>
      <c r="Q12" s="2">
        <v>3910</v>
      </c>
      <c r="R12" s="74">
        <f t="shared" si="2"/>
        <v>-1047.0298900000003</v>
      </c>
      <c r="S12" s="48"/>
      <c r="T12" s="163" t="s">
        <v>1166</v>
      </c>
      <c r="U12" s="164">
        <v>600</v>
      </c>
      <c r="V12" s="164"/>
      <c r="W12" s="164"/>
      <c r="X12" s="164"/>
      <c r="Y12" s="142"/>
      <c r="Z12" s="143"/>
      <c r="AA12" s="83"/>
      <c r="AB12" s="143" t="s">
        <v>865</v>
      </c>
      <c r="AC12" s="143">
        <v>15960</v>
      </c>
    </row>
    <row r="13" spans="1:39" x14ac:dyDescent="0.45">
      <c r="A13" s="18">
        <v>45509</v>
      </c>
      <c r="B13" s="2" t="str">
        <f t="shared" si="3"/>
        <v>S-RING-117</v>
      </c>
      <c r="C13" s="2" t="s">
        <v>732</v>
      </c>
      <c r="D13" s="61" t="s">
        <v>782</v>
      </c>
      <c r="E13" s="62">
        <f>VLOOKUP(B13,'ALL-DATA'!A:F,2,FALSE)</f>
        <v>2.63</v>
      </c>
      <c r="F13" s="2">
        <f>VLOOKUP(B13,'ALL-DATA'!A:F,3,FALSE)</f>
        <v>92.5</v>
      </c>
      <c r="G13" s="2">
        <f>VLOOKUP(B13,'ALL-DATA'!A:F,4,FALSE)</f>
        <v>92.5</v>
      </c>
      <c r="H13" s="51">
        <f>VLOOKUP(B13,'ALL-DATA'!A:F,5,FALSE)</f>
        <v>127</v>
      </c>
      <c r="I13" s="51">
        <f>VLOOKUP(B13,'ALL-DATA'!A:F,6,FALSE)</f>
        <v>334.01</v>
      </c>
      <c r="J13" s="147">
        <v>335</v>
      </c>
      <c r="K13" s="59"/>
      <c r="L13" s="63">
        <f t="shared" si="0"/>
        <v>0.99000000000000909</v>
      </c>
      <c r="M13" s="39"/>
      <c r="N13" s="2">
        <v>63</v>
      </c>
      <c r="O13" s="2"/>
      <c r="P13" s="39">
        <f t="shared" si="1"/>
        <v>0</v>
      </c>
      <c r="Q13" s="2"/>
      <c r="R13" s="74">
        <f t="shared" si="2"/>
        <v>0</v>
      </c>
      <c r="S13" s="48"/>
      <c r="T13" s="163" t="s">
        <v>1167</v>
      </c>
      <c r="U13" s="164">
        <v>66</v>
      </c>
      <c r="V13" s="162"/>
      <c r="W13" s="162"/>
      <c r="X13" s="162"/>
      <c r="Y13" s="142"/>
      <c r="Z13" s="143"/>
      <c r="AA13" s="83"/>
      <c r="AB13" s="69" t="s">
        <v>874</v>
      </c>
      <c r="AC13" s="69">
        <v>85350</v>
      </c>
    </row>
    <row r="14" spans="1:39" x14ac:dyDescent="0.45">
      <c r="A14" s="17">
        <v>45511</v>
      </c>
      <c r="B14" s="2" t="str">
        <f t="shared" si="3"/>
        <v>S-RING-86</v>
      </c>
      <c r="C14" s="2" t="s">
        <v>732</v>
      </c>
      <c r="D14" s="61" t="s">
        <v>783</v>
      </c>
      <c r="E14" s="62">
        <f>VLOOKUP(B14,'ALL-DATA'!A:F,2,FALSE)</f>
        <v>4.25</v>
      </c>
      <c r="F14" s="2">
        <f>VLOOKUP(B14,'ALL-DATA'!A:F,3,FALSE)</f>
        <v>92.5</v>
      </c>
      <c r="G14" s="2">
        <f>VLOOKUP(B14,'ALL-DATA'!A:F,4,FALSE)</f>
        <v>92.5</v>
      </c>
      <c r="H14" s="51">
        <f>VLOOKUP(B14,'ALL-DATA'!A:F,5,FALSE)</f>
        <v>127</v>
      </c>
      <c r="I14" s="51">
        <f>VLOOKUP(B14,'ALL-DATA'!A:F,6,FALSE)</f>
        <v>539.75</v>
      </c>
      <c r="J14" s="54">
        <v>970</v>
      </c>
      <c r="K14" s="57"/>
      <c r="L14" s="63">
        <f t="shared" si="0"/>
        <v>430.25</v>
      </c>
      <c r="M14" s="39"/>
      <c r="N14" s="2">
        <v>63</v>
      </c>
      <c r="O14" s="2"/>
      <c r="P14" s="39">
        <f t="shared" si="1"/>
        <v>0</v>
      </c>
      <c r="Q14" s="2"/>
      <c r="R14" s="74">
        <f t="shared" si="2"/>
        <v>0</v>
      </c>
      <c r="S14" s="48"/>
      <c r="T14" s="188"/>
      <c r="U14" s="164"/>
      <c r="V14" s="164"/>
      <c r="W14" s="164"/>
      <c r="X14" s="164"/>
      <c r="Y14" s="142"/>
      <c r="Z14" s="143"/>
      <c r="AA14" s="83"/>
      <c r="AB14" s="71" t="s">
        <v>875</v>
      </c>
      <c r="AC14" s="69">
        <v>750</v>
      </c>
    </row>
    <row r="15" spans="1:39" x14ac:dyDescent="0.45">
      <c r="A15" s="18">
        <v>45511</v>
      </c>
      <c r="B15" s="2" t="str">
        <f t="shared" si="3"/>
        <v>S-RING-113</v>
      </c>
      <c r="C15" s="2" t="s">
        <v>732</v>
      </c>
      <c r="D15" s="61" t="s">
        <v>784</v>
      </c>
      <c r="E15" s="62">
        <f>VLOOKUP(B15,'ALL-DATA'!A:F,2,FALSE)</f>
        <v>1.1100000000000001</v>
      </c>
      <c r="F15" s="2">
        <f>VLOOKUP(B15,'ALL-DATA'!A:F,3,FALSE)</f>
        <v>92.5</v>
      </c>
      <c r="G15" s="2">
        <f>VLOOKUP(B15,'ALL-DATA'!A:F,4,FALSE)</f>
        <v>92.5</v>
      </c>
      <c r="H15" s="51">
        <f>VLOOKUP(B15,'ALL-DATA'!A:F,5,FALSE)</f>
        <v>127</v>
      </c>
      <c r="I15" s="51">
        <f>VLOOKUP(B15,'ALL-DATA'!A:F,6,FALSE)</f>
        <v>140.97</v>
      </c>
      <c r="J15" s="54">
        <v>250</v>
      </c>
      <c r="K15" s="57"/>
      <c r="L15" s="63">
        <f t="shared" si="0"/>
        <v>109.03</v>
      </c>
      <c r="M15" s="39"/>
      <c r="N15" s="2">
        <v>63</v>
      </c>
      <c r="O15" s="2"/>
      <c r="P15" s="39">
        <f t="shared" si="1"/>
        <v>0</v>
      </c>
      <c r="Q15" s="2"/>
      <c r="R15" s="74">
        <f t="shared" si="2"/>
        <v>0</v>
      </c>
      <c r="S15" s="48"/>
      <c r="T15" s="161"/>
      <c r="U15" s="162"/>
      <c r="V15" s="162"/>
      <c r="W15" s="162"/>
      <c r="X15" s="162"/>
      <c r="Y15" s="142"/>
      <c r="Z15" s="143"/>
      <c r="AA15" s="83"/>
      <c r="AB15" s="71" t="s">
        <v>893</v>
      </c>
      <c r="AC15" s="70">
        <v>590</v>
      </c>
    </row>
    <row r="16" spans="1:39" x14ac:dyDescent="0.45">
      <c r="A16" s="17">
        <v>45511</v>
      </c>
      <c r="B16" s="2" t="str">
        <f t="shared" si="3"/>
        <v>S-RING-171</v>
      </c>
      <c r="C16" s="2" t="s">
        <v>732</v>
      </c>
      <c r="D16" s="61" t="s">
        <v>785</v>
      </c>
      <c r="E16" s="62">
        <f>VLOOKUP(B16,'ALL-DATA'!A:F,2,FALSE)</f>
        <v>1.31</v>
      </c>
      <c r="F16" s="2">
        <f>VLOOKUP(B16,'ALL-DATA'!A:F,3,FALSE)</f>
        <v>92.5</v>
      </c>
      <c r="G16" s="2">
        <f>VLOOKUP(B16,'ALL-DATA'!A:F,4,FALSE)</f>
        <v>92.5</v>
      </c>
      <c r="H16" s="51">
        <f>VLOOKUP(B16,'ALL-DATA'!A:F,5,FALSE)</f>
        <v>131.65</v>
      </c>
      <c r="I16" s="51">
        <f>VLOOKUP(B16,'ALL-DATA'!A:F,6,FALSE)</f>
        <v>172.4615</v>
      </c>
      <c r="J16" s="54">
        <v>280</v>
      </c>
      <c r="K16" s="57"/>
      <c r="L16" s="63">
        <f t="shared" si="0"/>
        <v>107.5385</v>
      </c>
      <c r="M16" s="39"/>
      <c r="N16" s="2">
        <v>63</v>
      </c>
      <c r="O16" s="2"/>
      <c r="P16" s="39">
        <f t="shared" si="1"/>
        <v>0</v>
      </c>
      <c r="Q16" s="2"/>
      <c r="R16" s="74">
        <f t="shared" si="2"/>
        <v>0</v>
      </c>
      <c r="S16" s="48"/>
      <c r="T16" s="163"/>
      <c r="U16" s="164"/>
      <c r="V16" s="164"/>
      <c r="W16" s="164"/>
      <c r="X16" s="164"/>
      <c r="Y16" s="142"/>
      <c r="Z16" s="143"/>
      <c r="AA16" s="83"/>
      <c r="AB16" s="141" t="s">
        <v>921</v>
      </c>
      <c r="AC16" s="143">
        <v>5100</v>
      </c>
    </row>
    <row r="17" spans="1:29" x14ac:dyDescent="0.45">
      <c r="A17" s="18">
        <v>45511</v>
      </c>
      <c r="B17" s="2" t="str">
        <f t="shared" si="3"/>
        <v>S-B-KOLUSU--33</v>
      </c>
      <c r="C17" s="2" t="s">
        <v>728</v>
      </c>
      <c r="D17" s="61" t="s">
        <v>786</v>
      </c>
      <c r="E17" s="62">
        <f>VLOOKUP(B17,'ALL-DATA'!A:F,2,FALSE)</f>
        <v>49.8</v>
      </c>
      <c r="F17" s="2">
        <f>VLOOKUP(B17,'ALL-DATA'!A:F,3,FALSE)</f>
        <v>82</v>
      </c>
      <c r="G17" s="2">
        <f>VLOOKUP(B17,'ALL-DATA'!A:F,4,FALSE)</f>
        <v>-17</v>
      </c>
      <c r="H17" s="51">
        <f>VLOOKUP(B17,'ALL-DATA'!A:F,5,FALSE)</f>
        <v>90</v>
      </c>
      <c r="I17" s="51">
        <f>VLOOKUP(B17,'ALL-DATA'!A:F,6,FALSE)</f>
        <v>3675.24</v>
      </c>
      <c r="J17" s="54">
        <v>5240</v>
      </c>
      <c r="K17" s="57"/>
      <c r="L17" s="63">
        <f t="shared" si="0"/>
        <v>1564.7600000000002</v>
      </c>
      <c r="M17" s="39"/>
      <c r="N17" s="2">
        <v>63</v>
      </c>
      <c r="O17" s="2"/>
      <c r="P17" s="39">
        <f t="shared" si="1"/>
        <v>0</v>
      </c>
      <c r="Q17" s="2"/>
      <c r="R17" s="74">
        <f t="shared" si="2"/>
        <v>0</v>
      </c>
      <c r="S17" s="48"/>
      <c r="T17" s="161"/>
      <c r="U17" s="162"/>
      <c r="V17" s="162"/>
      <c r="W17" s="162"/>
      <c r="X17" s="162"/>
      <c r="Y17" s="142"/>
      <c r="Z17" s="143"/>
      <c r="AA17" s="83"/>
      <c r="AB17" s="2" t="s">
        <v>937</v>
      </c>
      <c r="AC17" s="70">
        <v>1800</v>
      </c>
    </row>
    <row r="18" spans="1:29" x14ac:dyDescent="0.45">
      <c r="A18" s="17">
        <v>45511</v>
      </c>
      <c r="B18" s="2" t="str">
        <f t="shared" si="3"/>
        <v>S-S-KOLUSU-81</v>
      </c>
      <c r="C18" s="2" t="s">
        <v>727</v>
      </c>
      <c r="D18" s="61" t="s">
        <v>787</v>
      </c>
      <c r="E18" s="62">
        <f>VLOOKUP(B18,'ALL-DATA'!A:F,2,FALSE)</f>
        <v>152</v>
      </c>
      <c r="F18" s="2">
        <f>VLOOKUP(B18,'ALL-DATA'!A:F,3,FALSE)</f>
        <v>80</v>
      </c>
      <c r="G18" s="2">
        <f>VLOOKUP(B18,'ALL-DATA'!A:F,4,FALSE)</f>
        <v>15</v>
      </c>
      <c r="H18" s="51">
        <f>VLOOKUP(B18,'ALL-DATA'!A:F,5,FALSE)</f>
        <v>82</v>
      </c>
      <c r="I18" s="51">
        <f>VLOOKUP(B18,'ALL-DATA'!A:F,6,FALSE)</f>
        <v>9971.1999999999989</v>
      </c>
      <c r="J18" s="55">
        <v>15530</v>
      </c>
      <c r="K18" s="58">
        <v>3800</v>
      </c>
      <c r="L18" s="63">
        <f t="shared" si="0"/>
        <v>4470.4879999999994</v>
      </c>
      <c r="M18" s="39">
        <v>128</v>
      </c>
      <c r="N18" s="2">
        <v>63</v>
      </c>
      <c r="O18" s="2">
        <v>80</v>
      </c>
      <c r="P18" s="39">
        <f t="shared" si="1"/>
        <v>6386.6879999999992</v>
      </c>
      <c r="Q18" s="2">
        <v>7475</v>
      </c>
      <c r="R18" s="74">
        <f t="shared" si="2"/>
        <v>-1088.3120000000008</v>
      </c>
      <c r="S18" s="48"/>
      <c r="T18" s="163"/>
      <c r="U18" s="164"/>
      <c r="V18" s="164"/>
      <c r="W18" s="164"/>
      <c r="X18" s="164"/>
      <c r="Y18" s="142"/>
      <c r="Z18" s="143"/>
      <c r="AB18" s="141" t="s">
        <v>938</v>
      </c>
      <c r="AC18" s="143">
        <v>2500</v>
      </c>
    </row>
    <row r="19" spans="1:29" x14ac:dyDescent="0.45">
      <c r="A19" s="18">
        <v>45512</v>
      </c>
      <c r="B19" s="2" t="str">
        <f t="shared" si="3"/>
        <v>S-STUD-KRJ-1</v>
      </c>
      <c r="C19" s="2" t="s">
        <v>748</v>
      </c>
      <c r="D19" s="61" t="s">
        <v>788</v>
      </c>
      <c r="E19" s="62">
        <f>VLOOKUP(B19,'ALL-DATA'!A:F,2,FALSE)</f>
        <v>0</v>
      </c>
      <c r="F19" s="2">
        <f>VLOOKUP(B19,'ALL-DATA'!A:F,3,FALSE)</f>
        <v>0</v>
      </c>
      <c r="G19" s="2">
        <f>VLOOKUP(B19,'ALL-DATA'!A:F,4,FALSE)</f>
        <v>0</v>
      </c>
      <c r="H19" s="51">
        <f>VLOOKUP(B19,'ALL-DATA'!A:F,5,FALSE)</f>
        <v>0</v>
      </c>
      <c r="I19" s="51">
        <f>VLOOKUP(B19,'ALL-DATA'!A:F,6,FALSE)</f>
        <v>135</v>
      </c>
      <c r="J19" s="54">
        <v>500</v>
      </c>
      <c r="K19" s="57"/>
      <c r="L19" s="63">
        <f t="shared" si="0"/>
        <v>365</v>
      </c>
      <c r="M19" s="39"/>
      <c r="N19" s="2">
        <v>63</v>
      </c>
      <c r="O19" s="2"/>
      <c r="P19" s="39">
        <f t="shared" si="1"/>
        <v>0</v>
      </c>
      <c r="Q19" s="2"/>
      <c r="R19" s="74">
        <f t="shared" si="2"/>
        <v>0</v>
      </c>
      <c r="S19" s="48"/>
      <c r="T19" s="161"/>
      <c r="U19" s="162"/>
      <c r="V19" s="162"/>
      <c r="W19" s="162"/>
      <c r="X19" s="162"/>
      <c r="Y19" s="142"/>
      <c r="Z19" s="143"/>
      <c r="AB19" s="2" t="s">
        <v>939</v>
      </c>
      <c r="AC19" s="70">
        <v>6500</v>
      </c>
    </row>
    <row r="20" spans="1:29" x14ac:dyDescent="0.45">
      <c r="A20" s="17">
        <v>45513</v>
      </c>
      <c r="B20" s="2" t="str">
        <f t="shared" si="3"/>
        <v>G-STUD-26-07</v>
      </c>
      <c r="C20" s="2" t="s">
        <v>721</v>
      </c>
      <c r="D20" s="61" t="s">
        <v>789</v>
      </c>
      <c r="E20" s="62">
        <f>VLOOKUP(B20,'ALL-DATA'!A:F,2,FALSE)</f>
        <v>4.07</v>
      </c>
      <c r="F20" s="2">
        <f>VLOOKUP(B20,'ALL-DATA'!A:F,3,FALSE)</f>
        <v>100</v>
      </c>
      <c r="G20" s="2">
        <f>VLOOKUP(B20,'ALL-DATA'!A:F,4,FALSE)</f>
        <v>8</v>
      </c>
      <c r="H20" s="51">
        <f>VLOOKUP(B20,'ALL-DATA'!A:F,5,FALSE)</f>
        <v>7024.65</v>
      </c>
      <c r="I20" s="51">
        <f>VLOOKUP(B20,'ALL-DATA'!A:F,6,FALSE)</f>
        <v>28590.325499999999</v>
      </c>
      <c r="J20" s="64">
        <v>30140</v>
      </c>
      <c r="K20" s="65"/>
      <c r="L20" s="63">
        <f t="shared" si="0"/>
        <v>2455.3644999999997</v>
      </c>
      <c r="M20" s="39">
        <v>3.48</v>
      </c>
      <c r="N20" s="2">
        <v>75</v>
      </c>
      <c r="O20" s="2">
        <v>7100</v>
      </c>
      <c r="P20" s="39">
        <f t="shared" si="1"/>
        <v>18345.689999999999</v>
      </c>
      <c r="Q20" s="2">
        <v>17440</v>
      </c>
      <c r="R20" s="74">
        <f t="shared" si="2"/>
        <v>905.68999999999869</v>
      </c>
      <c r="S20" s="48"/>
      <c r="T20" s="163" t="s">
        <v>941</v>
      </c>
      <c r="U20" s="164" t="s">
        <v>942</v>
      </c>
      <c r="V20" s="164"/>
      <c r="W20" s="164"/>
      <c r="X20" s="122" t="s">
        <v>828</v>
      </c>
      <c r="Y20" s="123" t="s">
        <v>1</v>
      </c>
      <c r="Z20" s="122" t="s">
        <v>5</v>
      </c>
      <c r="AB20" s="250" t="s">
        <v>1025</v>
      </c>
      <c r="AC20" s="251">
        <v>6000</v>
      </c>
    </row>
    <row r="21" spans="1:29" x14ac:dyDescent="0.45">
      <c r="A21" s="18">
        <v>45513</v>
      </c>
      <c r="B21" s="2" t="str">
        <f t="shared" si="3"/>
        <v>S-S-KOLUSU-52</v>
      </c>
      <c r="C21" s="2" t="s">
        <v>727</v>
      </c>
      <c r="D21" s="61" t="s">
        <v>790</v>
      </c>
      <c r="E21" s="62">
        <f>VLOOKUP(B21,'ALL-DATA'!A:F,2,FALSE)</f>
        <v>97.19</v>
      </c>
      <c r="F21" s="2">
        <f>VLOOKUP(B21,'ALL-DATA'!A:F,3,FALSE)</f>
        <v>76.5</v>
      </c>
      <c r="G21" s="2">
        <f>VLOOKUP(B21,'ALL-DATA'!A:F,4,FALSE)</f>
        <v>-11.5</v>
      </c>
      <c r="H21" s="51">
        <f>VLOOKUP(B21,'ALL-DATA'!A:F,5,FALSE)</f>
        <v>89.9</v>
      </c>
      <c r="I21" s="51">
        <f>VLOOKUP(B21,'ALL-DATA'!A:F,6,FALSE)</f>
        <v>6684.0964649999996</v>
      </c>
      <c r="J21" s="54">
        <v>9200</v>
      </c>
      <c r="K21" s="57"/>
      <c r="L21" s="63">
        <f t="shared" si="0"/>
        <v>2001.9675350000007</v>
      </c>
      <c r="M21" s="39">
        <v>134</v>
      </c>
      <c r="N21" s="2">
        <v>63</v>
      </c>
      <c r="O21" s="2">
        <v>80</v>
      </c>
      <c r="P21" s="39">
        <f t="shared" si="1"/>
        <v>6686.0640000000003</v>
      </c>
      <c r="Q21" s="2">
        <v>7200</v>
      </c>
      <c r="R21" s="74">
        <f t="shared" si="2"/>
        <v>-513.93599999999969</v>
      </c>
      <c r="S21" s="48"/>
      <c r="T21" s="172">
        <v>0</v>
      </c>
      <c r="U21" s="173">
        <v>0</v>
      </c>
      <c r="V21" s="162"/>
      <c r="W21" s="162"/>
      <c r="Y21" s="142"/>
      <c r="Z21" s="143"/>
      <c r="AB21" s="142" t="s">
        <v>1024</v>
      </c>
      <c r="AC21" s="143">
        <v>3675</v>
      </c>
    </row>
    <row r="22" spans="1:29" ht="46.8" x14ac:dyDescent="0.45">
      <c r="A22" s="17">
        <v>45516</v>
      </c>
      <c r="B22" s="2" t="str">
        <f t="shared" si="3"/>
        <v>S-RING-135</v>
      </c>
      <c r="C22" s="2" t="s">
        <v>732</v>
      </c>
      <c r="D22" s="61" t="s">
        <v>791</v>
      </c>
      <c r="E22" s="62">
        <f>VLOOKUP(B22,'ALL-DATA'!A:F,2,FALSE)</f>
        <v>5.42</v>
      </c>
      <c r="F22" s="2">
        <f>VLOOKUP(B22,'ALL-DATA'!A:F,3,FALSE)</f>
        <v>92.5</v>
      </c>
      <c r="G22" s="2">
        <f>VLOOKUP(B22,'ALL-DATA'!A:F,4,FALSE)</f>
        <v>92.5</v>
      </c>
      <c r="H22" s="51">
        <f>VLOOKUP(B22,'ALL-DATA'!A:F,5,FALSE)</f>
        <v>127</v>
      </c>
      <c r="I22" s="51">
        <f>VLOOKUP(B22,'ALL-DATA'!A:F,6,FALSE)</f>
        <v>688.34</v>
      </c>
      <c r="J22" s="54">
        <v>1250</v>
      </c>
      <c r="K22" s="57"/>
      <c r="L22" s="63">
        <f>((J22+R22)-I22)</f>
        <v>511.03599999999994</v>
      </c>
      <c r="M22" s="39">
        <v>6</v>
      </c>
      <c r="N22" s="2">
        <v>63</v>
      </c>
      <c r="O22" s="2">
        <v>80</v>
      </c>
      <c r="P22" s="39">
        <f t="shared" si="1"/>
        <v>299.37600000000003</v>
      </c>
      <c r="Q22" s="2">
        <v>350</v>
      </c>
      <c r="R22" s="74">
        <f t="shared" si="2"/>
        <v>-50.623999999999967</v>
      </c>
      <c r="S22" s="48"/>
      <c r="T22" s="163" t="s">
        <v>943</v>
      </c>
      <c r="U22" s="164"/>
      <c r="V22" s="164"/>
      <c r="W22" s="164"/>
      <c r="Y22" s="142"/>
      <c r="Z22" s="143"/>
      <c r="AB22" s="181" t="s">
        <v>1023</v>
      </c>
      <c r="AC22" s="143">
        <f>1460+600+300+50</f>
        <v>2410</v>
      </c>
    </row>
    <row r="23" spans="1:29" x14ac:dyDescent="0.45">
      <c r="A23" s="18">
        <v>45516</v>
      </c>
      <c r="B23" s="2" t="str">
        <f t="shared" si="3"/>
        <v>S-S-KOLUSU-51</v>
      </c>
      <c r="C23" s="2" t="s">
        <v>727</v>
      </c>
      <c r="D23" s="61" t="s">
        <v>792</v>
      </c>
      <c r="E23" s="62">
        <f>VLOOKUP(B23,'ALL-DATA'!A:F,2,FALSE)</f>
        <v>104.02</v>
      </c>
      <c r="F23" s="2">
        <f>VLOOKUP(B23,'ALL-DATA'!A:F,3,FALSE)</f>
        <v>76.5</v>
      </c>
      <c r="G23" s="2">
        <f>VLOOKUP(B23,'ALL-DATA'!A:F,4,FALSE)</f>
        <v>-11.5</v>
      </c>
      <c r="H23" s="51">
        <f>VLOOKUP(B23,'ALL-DATA'!A:F,5,FALSE)</f>
        <v>89.9</v>
      </c>
      <c r="I23" s="51">
        <f>VLOOKUP(B23,'ALL-DATA'!A:F,6,FALSE)</f>
        <v>7153.8194700000004</v>
      </c>
      <c r="J23" s="54">
        <v>9750</v>
      </c>
      <c r="K23" s="57"/>
      <c r="L23" s="63">
        <f t="shared" si="0"/>
        <v>1988.3701299999993</v>
      </c>
      <c r="M23" s="39">
        <v>75.099999999999994</v>
      </c>
      <c r="N23" s="2">
        <v>63</v>
      </c>
      <c r="O23" s="2">
        <v>80</v>
      </c>
      <c r="P23" s="39">
        <f t="shared" si="1"/>
        <v>3747.1895999999992</v>
      </c>
      <c r="Q23" s="2">
        <v>4355</v>
      </c>
      <c r="R23" s="74">
        <f t="shared" si="2"/>
        <v>-607.81040000000075</v>
      </c>
      <c r="S23" s="48"/>
      <c r="T23" s="172">
        <v>18.09</v>
      </c>
      <c r="U23" s="162"/>
      <c r="V23" s="162"/>
      <c r="W23" s="162"/>
      <c r="Y23" s="142"/>
      <c r="Z23" s="143"/>
      <c r="AB23" s="142" t="s">
        <v>1087</v>
      </c>
      <c r="AC23" s="143">
        <v>15100</v>
      </c>
    </row>
    <row r="24" spans="1:29" x14ac:dyDescent="0.45">
      <c r="A24" s="17">
        <v>45517</v>
      </c>
      <c r="B24" s="2" t="str">
        <f t="shared" si="3"/>
        <v>S-AARUNA-10</v>
      </c>
      <c r="C24" s="2" t="s">
        <v>730</v>
      </c>
      <c r="D24" s="61" t="s">
        <v>793</v>
      </c>
      <c r="E24" s="62">
        <f>VLOOKUP(B24,'ALL-DATA'!A:F,2,FALSE)</f>
        <v>50.25</v>
      </c>
      <c r="F24" s="2">
        <f>VLOOKUP(B24,'ALL-DATA'!A:F,3,FALSE)</f>
        <v>82</v>
      </c>
      <c r="G24" s="2">
        <f>VLOOKUP(B24,'ALL-DATA'!A:F,4,FALSE)</f>
        <v>-27</v>
      </c>
      <c r="H24" s="51">
        <f>VLOOKUP(B24,'ALL-DATA'!A:F,5,FALSE)</f>
        <v>92</v>
      </c>
      <c r="I24" s="51">
        <f>VLOOKUP(B24,'ALL-DATA'!A:F,6,FALSE)</f>
        <v>3790.8599999999997</v>
      </c>
      <c r="J24" s="54">
        <v>5100</v>
      </c>
      <c r="K24" s="57"/>
      <c r="L24" s="63">
        <f t="shared" si="0"/>
        <v>1309.1400000000003</v>
      </c>
      <c r="M24" s="39"/>
      <c r="N24" s="2">
        <v>63</v>
      </c>
      <c r="O24" s="2"/>
      <c r="P24" s="39">
        <f t="shared" si="1"/>
        <v>0</v>
      </c>
      <c r="Q24" s="2"/>
      <c r="R24" s="74">
        <f t="shared" si="2"/>
        <v>0</v>
      </c>
      <c r="S24" s="48"/>
      <c r="T24" s="163" t="s">
        <v>944</v>
      </c>
      <c r="U24" s="164" t="s">
        <v>945</v>
      </c>
      <c r="V24" s="164"/>
      <c r="W24" s="164"/>
      <c r="Y24" s="142"/>
      <c r="Z24" s="143"/>
      <c r="AB24" s="189" t="s">
        <v>1022</v>
      </c>
      <c r="AC24" s="190">
        <v>58300</v>
      </c>
    </row>
    <row r="25" spans="1:29" x14ac:dyDescent="0.45">
      <c r="A25" s="18">
        <v>45517</v>
      </c>
      <c r="B25" s="2" t="str">
        <f t="shared" si="3"/>
        <v>S-NAGASU-13-08</v>
      </c>
      <c r="C25" s="2" t="s">
        <v>747</v>
      </c>
      <c r="D25" s="61" t="s">
        <v>794</v>
      </c>
      <c r="E25" s="62">
        <f>VLOOKUP(B25,'ALL-DATA'!A:F,2,FALSE)</f>
        <v>9.34</v>
      </c>
      <c r="F25" s="2">
        <f>VLOOKUP(B25,'ALL-DATA'!A:F,3,FALSE)</f>
        <v>73.5</v>
      </c>
      <c r="G25" s="2">
        <f>VLOOKUP(B25,'ALL-DATA'!A:F,4,FALSE)</f>
        <v>73.5</v>
      </c>
      <c r="H25" s="51">
        <f>VLOOKUP(B25,'ALL-DATA'!A:F,5,FALSE)</f>
        <v>92.4</v>
      </c>
      <c r="I25" s="51">
        <f>VLOOKUP(B25,'ALL-DATA'!A:F,6,FALSE)</f>
        <v>634.31676000000004</v>
      </c>
      <c r="J25" s="54">
        <v>945</v>
      </c>
      <c r="K25" s="57"/>
      <c r="L25" s="63">
        <f t="shared" si="0"/>
        <v>310.68323999999996</v>
      </c>
      <c r="M25" s="39"/>
      <c r="N25" s="2">
        <v>63</v>
      </c>
      <c r="O25" s="2"/>
      <c r="P25" s="39">
        <f t="shared" si="1"/>
        <v>0</v>
      </c>
      <c r="Q25" s="2"/>
      <c r="R25" s="74">
        <f t="shared" si="2"/>
        <v>0</v>
      </c>
      <c r="S25" s="48"/>
      <c r="T25" s="172">
        <f>T21+T23</f>
        <v>18.09</v>
      </c>
      <c r="U25" s="173">
        <f>U21+Table10[[#This Row],[ORIGINAL COST]]</f>
        <v>18.09</v>
      </c>
      <c r="V25" s="162"/>
      <c r="W25" s="162"/>
      <c r="Y25" s="142"/>
      <c r="Z25" s="143"/>
      <c r="AB25" s="142" t="s">
        <v>1029</v>
      </c>
      <c r="AC25" s="143">
        <v>6500</v>
      </c>
    </row>
    <row r="26" spans="1:29" x14ac:dyDescent="0.45">
      <c r="A26" s="18">
        <v>45518</v>
      </c>
      <c r="B26" s="2" t="str">
        <f t="shared" si="3"/>
        <v>S-S-KOLUSU-54</v>
      </c>
      <c r="C26" s="2" t="s">
        <v>727</v>
      </c>
      <c r="D26" s="61" t="s">
        <v>795</v>
      </c>
      <c r="E26" s="62">
        <f>VLOOKUP(B26,'ALL-DATA'!A:F,2,FALSE)</f>
        <v>152.72999999999999</v>
      </c>
      <c r="F26" s="2">
        <f>VLOOKUP(B26,'ALL-DATA'!A:F,3,FALSE)</f>
        <v>76.5</v>
      </c>
      <c r="G26" s="2">
        <f>VLOOKUP(B26,'ALL-DATA'!A:F,4,FALSE)</f>
        <v>-11.5</v>
      </c>
      <c r="H26" s="51">
        <f>VLOOKUP(B26,'ALL-DATA'!A:F,5,FALSE)</f>
        <v>89.9</v>
      </c>
      <c r="I26" s="51">
        <f>VLOOKUP(B26,'ALL-DATA'!A:F,6,FALSE)</f>
        <v>10503.776655</v>
      </c>
      <c r="J26" s="54">
        <v>14750</v>
      </c>
      <c r="K26" s="57"/>
      <c r="L26" s="63">
        <f>((J26+R26)-I26)</f>
        <v>4242.5833450000009</v>
      </c>
      <c r="M26" s="39">
        <v>35</v>
      </c>
      <c r="N26" s="2">
        <v>63</v>
      </c>
      <c r="O26" s="2">
        <v>80</v>
      </c>
      <c r="P26" s="39">
        <f t="shared" si="1"/>
        <v>1746.36</v>
      </c>
      <c r="Q26" s="2">
        <v>1750</v>
      </c>
      <c r="R26" s="74">
        <f t="shared" si="2"/>
        <v>-3.6400000000001</v>
      </c>
      <c r="S26" s="48"/>
      <c r="T26" s="163"/>
      <c r="U26" s="164"/>
      <c r="V26" s="164"/>
      <c r="W26" s="164"/>
      <c r="Y26" s="142"/>
      <c r="Z26" s="143"/>
      <c r="AB26" s="142" t="s">
        <v>1030</v>
      </c>
      <c r="AC26" s="143">
        <v>47695</v>
      </c>
    </row>
    <row r="27" spans="1:29" x14ac:dyDescent="0.45">
      <c r="A27" s="17">
        <v>45518</v>
      </c>
      <c r="B27" s="2" t="str">
        <f t="shared" si="3"/>
        <v>S-S-KOLUSU-66</v>
      </c>
      <c r="C27" s="2" t="s">
        <v>727</v>
      </c>
      <c r="D27" s="61" t="s">
        <v>796</v>
      </c>
      <c r="E27" s="62">
        <f>VLOOKUP(B27,'ALL-DATA'!A:F,2,FALSE)</f>
        <v>74.3</v>
      </c>
      <c r="F27" s="2">
        <f>VLOOKUP(B27,'ALL-DATA'!A:F,3,FALSE)</f>
        <v>82</v>
      </c>
      <c r="G27" s="2">
        <f>VLOOKUP(B27,'ALL-DATA'!A:F,4,FALSE)</f>
        <v>-17</v>
      </c>
      <c r="H27" s="51">
        <f>VLOOKUP(B27,'ALL-DATA'!A:F,5,FALSE)</f>
        <v>90</v>
      </c>
      <c r="I27" s="51">
        <f>VLOOKUP(B27,'ALL-DATA'!A:F,6,FALSE)</f>
        <v>5483.3399999999992</v>
      </c>
      <c r="J27" s="54">
        <v>7380</v>
      </c>
      <c r="K27" s="57"/>
      <c r="L27" s="63">
        <f t="shared" ref="L27:L33" si="4">((J27+R27)-I27)</f>
        <v>1896.6600000000008</v>
      </c>
      <c r="M27" s="39"/>
      <c r="N27" s="2">
        <v>63</v>
      </c>
      <c r="O27" s="2"/>
      <c r="P27" s="39">
        <f t="shared" si="1"/>
        <v>0</v>
      </c>
      <c r="Q27" s="2"/>
      <c r="R27" s="74">
        <f t="shared" si="2"/>
        <v>0</v>
      </c>
      <c r="S27" s="48"/>
      <c r="T27" s="161"/>
      <c r="U27" s="162"/>
      <c r="V27" s="162"/>
      <c r="W27" s="162"/>
      <c r="Y27" s="142"/>
      <c r="Z27" s="143"/>
      <c r="AB27" s="142" t="s">
        <v>1088</v>
      </c>
      <c r="AC27" s="143">
        <v>1000</v>
      </c>
    </row>
    <row r="28" spans="1:29" x14ac:dyDescent="0.45">
      <c r="A28" s="18">
        <v>45518</v>
      </c>
      <c r="B28" s="2" t="str">
        <f t="shared" si="3"/>
        <v>S-AARUNA-2</v>
      </c>
      <c r="C28" s="2" t="s">
        <v>730</v>
      </c>
      <c r="D28" s="61" t="s">
        <v>797</v>
      </c>
      <c r="E28" s="62">
        <f>VLOOKUP(B28,'ALL-DATA'!A:F,2,FALSE)</f>
        <v>48.5</v>
      </c>
      <c r="F28" s="2">
        <f>VLOOKUP(B28,'ALL-DATA'!A:F,3,FALSE)</f>
        <v>76.5</v>
      </c>
      <c r="G28" s="2">
        <f>VLOOKUP(B28,'ALL-DATA'!A:F,4,FALSE)</f>
        <v>-21.5</v>
      </c>
      <c r="H28" s="51">
        <f>VLOOKUP(B28,'ALL-DATA'!A:F,5,FALSE)</f>
        <v>89.9</v>
      </c>
      <c r="I28" s="51">
        <f>VLOOKUP(B28,'ALL-DATA'!A:F,6,FALSE)</f>
        <v>3335.5147500000003</v>
      </c>
      <c r="J28" s="54">
        <v>4820</v>
      </c>
      <c r="K28" s="57"/>
      <c r="L28" s="63">
        <f t="shared" si="4"/>
        <v>1484.4852499999997</v>
      </c>
      <c r="M28" s="39"/>
      <c r="N28" s="2">
        <v>63</v>
      </c>
      <c r="O28" s="2"/>
      <c r="P28" s="39">
        <f t="shared" si="1"/>
        <v>0</v>
      </c>
      <c r="Q28" s="2"/>
      <c r="R28" s="74">
        <f t="shared" si="2"/>
        <v>0</v>
      </c>
      <c r="S28" s="48"/>
      <c r="T28" s="163"/>
      <c r="U28" s="164"/>
      <c r="V28" s="164"/>
      <c r="W28" s="164"/>
      <c r="Y28" s="179"/>
      <c r="Z28" s="180"/>
      <c r="AB28" s="142" t="s">
        <v>1090</v>
      </c>
      <c r="AC28" s="143">
        <v>74500</v>
      </c>
    </row>
    <row r="29" spans="1:29" x14ac:dyDescent="0.45">
      <c r="A29" s="17">
        <v>45518</v>
      </c>
      <c r="B29" s="2" t="str">
        <f t="shared" si="3"/>
        <v>S-KAPPU-N-15</v>
      </c>
      <c r="C29" s="2" t="s">
        <v>740</v>
      </c>
      <c r="D29" s="61" t="s">
        <v>775</v>
      </c>
      <c r="E29" s="62">
        <f>VLOOKUP(B29,'ALL-DATA'!A:F,2,FALSE)</f>
        <v>35.049999999999997</v>
      </c>
      <c r="F29" s="2">
        <f>VLOOKUP(B29,'ALL-DATA'!A:F,3,FALSE)</f>
        <v>85</v>
      </c>
      <c r="G29" s="2">
        <f>VLOOKUP(B29,'ALL-DATA'!A:F,4,FALSE)</f>
        <v>20</v>
      </c>
      <c r="H29" s="51">
        <f>VLOOKUP(B29,'ALL-DATA'!A:F,5,FALSE)</f>
        <v>83.19</v>
      </c>
      <c r="I29" s="51">
        <f>VLOOKUP(B29,'ALL-DATA'!A:F,6,FALSE)</f>
        <v>2478.4380749999996</v>
      </c>
      <c r="J29" s="54">
        <v>3340</v>
      </c>
      <c r="K29" s="57"/>
      <c r="L29" s="63">
        <f t="shared" si="4"/>
        <v>861.56192500000043</v>
      </c>
      <c r="M29" s="39"/>
      <c r="N29" s="2">
        <v>63</v>
      </c>
      <c r="O29" s="2"/>
      <c r="P29" s="39">
        <f t="shared" si="1"/>
        <v>0</v>
      </c>
      <c r="Q29" s="2"/>
      <c r="R29" s="74">
        <f t="shared" si="2"/>
        <v>0</v>
      </c>
      <c r="S29" s="48"/>
    </row>
    <row r="30" spans="1:29" x14ac:dyDescent="0.45">
      <c r="A30" s="18">
        <v>45518</v>
      </c>
      <c r="B30" s="2" t="str">
        <f t="shared" si="3"/>
        <v>S-RING-44</v>
      </c>
      <c r="C30" s="2" t="s">
        <v>732</v>
      </c>
      <c r="D30" s="61" t="s">
        <v>798</v>
      </c>
      <c r="E30" s="62">
        <f>VLOOKUP(B30,'ALL-DATA'!A:F,2,FALSE)</f>
        <v>1.6</v>
      </c>
      <c r="F30" s="2">
        <f>VLOOKUP(B30,'ALL-DATA'!A:F,3,FALSE)</f>
        <v>92.5</v>
      </c>
      <c r="G30" s="2">
        <f>VLOOKUP(B30,'ALL-DATA'!A:F,4,FALSE)</f>
        <v>92.5</v>
      </c>
      <c r="H30" s="51">
        <f>VLOOKUP(B30,'ALL-DATA'!A:F,5,FALSE)</f>
        <v>140</v>
      </c>
      <c r="I30" s="51">
        <f>VLOOKUP(B30,'ALL-DATA'!A:F,6,FALSE)</f>
        <v>224</v>
      </c>
      <c r="J30" s="54">
        <v>400</v>
      </c>
      <c r="K30" s="57"/>
      <c r="L30" s="63">
        <f t="shared" si="4"/>
        <v>176</v>
      </c>
      <c r="M30" s="39"/>
      <c r="N30" s="2">
        <v>63</v>
      </c>
      <c r="O30" s="2"/>
      <c r="P30" s="39">
        <f t="shared" si="1"/>
        <v>0</v>
      </c>
      <c r="Q30" s="2"/>
      <c r="R30" s="74">
        <f t="shared" si="2"/>
        <v>0</v>
      </c>
      <c r="S30" s="48"/>
    </row>
    <row r="31" spans="1:29" x14ac:dyDescent="0.45">
      <c r="A31" s="17">
        <v>45518</v>
      </c>
      <c r="B31" s="2" t="str">
        <f t="shared" si="3"/>
        <v>S-RING-77</v>
      </c>
      <c r="C31" s="2" t="s">
        <v>732</v>
      </c>
      <c r="D31" s="61" t="s">
        <v>799</v>
      </c>
      <c r="E31" s="62">
        <f>VLOOKUP(B31,'ALL-DATA'!A:F,2,FALSE)</f>
        <v>4.4000000000000004</v>
      </c>
      <c r="F31" s="2">
        <f>VLOOKUP(B31,'ALL-DATA'!A:F,3,FALSE)</f>
        <v>92.5</v>
      </c>
      <c r="G31" s="2">
        <f>VLOOKUP(B31,'ALL-DATA'!A:F,4,FALSE)</f>
        <v>92.5</v>
      </c>
      <c r="H31" s="51">
        <f>VLOOKUP(B31,'ALL-DATA'!A:F,5,FALSE)</f>
        <v>127</v>
      </c>
      <c r="I31" s="51">
        <f>VLOOKUP(B31,'ALL-DATA'!A:F,6,FALSE)</f>
        <v>558.80000000000007</v>
      </c>
      <c r="J31" s="54">
        <v>1100</v>
      </c>
      <c r="K31" s="57"/>
      <c r="L31" s="63">
        <f t="shared" si="4"/>
        <v>541.19999999999993</v>
      </c>
      <c r="M31" s="39"/>
      <c r="N31" s="2">
        <v>63</v>
      </c>
      <c r="O31" s="2"/>
      <c r="P31" s="39">
        <f t="shared" si="1"/>
        <v>0</v>
      </c>
      <c r="Q31" s="2"/>
      <c r="R31" s="74">
        <f t="shared" si="2"/>
        <v>0</v>
      </c>
      <c r="S31" s="48"/>
    </row>
    <row r="32" spans="1:29" x14ac:dyDescent="0.45">
      <c r="A32" s="18">
        <v>45518</v>
      </c>
      <c r="B32" s="2" t="str">
        <f t="shared" si="3"/>
        <v>S-RING-184</v>
      </c>
      <c r="C32" s="2" t="s">
        <v>732</v>
      </c>
      <c r="D32" s="61" t="s">
        <v>800</v>
      </c>
      <c r="E32" s="62">
        <f>VLOOKUP(B32,'ALL-DATA'!A:F,2,FALSE)</f>
        <v>1.51</v>
      </c>
      <c r="F32" s="2">
        <f>VLOOKUP(B32,'ALL-DATA'!A:F,3,FALSE)</f>
        <v>92.5</v>
      </c>
      <c r="G32" s="2">
        <f>VLOOKUP(B32,'ALL-DATA'!A:F,4,FALSE)</f>
        <v>92.5</v>
      </c>
      <c r="H32" s="51">
        <f>VLOOKUP(B32,'ALL-DATA'!A:F,5,FALSE)</f>
        <v>131.65</v>
      </c>
      <c r="I32" s="51">
        <f>VLOOKUP(B32,'ALL-DATA'!A:F,6,FALSE)</f>
        <v>198.79150000000001</v>
      </c>
      <c r="J32" s="54">
        <v>400</v>
      </c>
      <c r="K32" s="57"/>
      <c r="L32" s="63">
        <f t="shared" si="4"/>
        <v>201.20849999999999</v>
      </c>
      <c r="M32" s="39"/>
      <c r="N32" s="2">
        <v>63</v>
      </c>
      <c r="O32" s="2"/>
      <c r="P32" s="39">
        <f t="shared" si="1"/>
        <v>0</v>
      </c>
      <c r="Q32" s="2"/>
      <c r="R32" s="74">
        <f t="shared" si="2"/>
        <v>0</v>
      </c>
      <c r="S32" s="48"/>
    </row>
    <row r="33" spans="1:31" x14ac:dyDescent="0.45">
      <c r="A33" s="17">
        <v>45521</v>
      </c>
      <c r="B33" s="2" t="str">
        <f>C33&amp;D33</f>
        <v>G-CHAIN-ORDER-16-08</v>
      </c>
      <c r="C33" s="2" t="s">
        <v>744</v>
      </c>
      <c r="D33" s="61" t="s">
        <v>802</v>
      </c>
      <c r="E33" s="62">
        <f>VLOOKUP(B33,'ALL-DATA'!A:F,2,FALSE)</f>
        <v>14.95</v>
      </c>
      <c r="F33" s="2">
        <f>VLOOKUP(B33,'ALL-DATA'!A:F,3,FALSE)</f>
        <v>96</v>
      </c>
      <c r="G33" s="2">
        <f>VLOOKUP(B33,'ALL-DATA'!A:F,4,FALSE)</f>
        <v>4</v>
      </c>
      <c r="H33" s="51">
        <f>VLOOKUP(B33,'ALL-DATA'!A:F,5,FALSE)</f>
        <v>7265</v>
      </c>
      <c r="I33" s="51">
        <f>VLOOKUP(B33,'ALL-DATA'!A:F,6,FALSE)</f>
        <v>104300</v>
      </c>
      <c r="J33" s="54">
        <v>104800</v>
      </c>
      <c r="K33" s="57"/>
      <c r="L33" s="63">
        <f t="shared" si="4"/>
        <v>500</v>
      </c>
      <c r="M33" s="39"/>
      <c r="N33" s="2">
        <v>63</v>
      </c>
      <c r="O33" s="2"/>
      <c r="P33" s="39">
        <f t="shared" si="1"/>
        <v>0</v>
      </c>
      <c r="Q33" s="2"/>
      <c r="R33" s="74">
        <f t="shared" si="2"/>
        <v>0</v>
      </c>
      <c r="S33" s="48"/>
    </row>
    <row r="34" spans="1:31" s="38" customFormat="1" x14ac:dyDescent="0.45">
      <c r="A34" s="98">
        <v>45521</v>
      </c>
      <c r="B34" s="99" t="s">
        <v>848</v>
      </c>
      <c r="C34" s="99"/>
      <c r="D34" s="100"/>
      <c r="E34" s="101">
        <f>VLOOKUP(B34,'ALL-DATA'!A:F,2,FALSE)</f>
        <v>1.3</v>
      </c>
      <c r="F34" s="99">
        <f>VLOOKUP(B34,'ALL-DATA'!A:F,3,FALSE)</f>
        <v>79</v>
      </c>
      <c r="G34" s="99">
        <f>VLOOKUP(B34,'ALL-DATA'!A:F,4,FALSE)</f>
        <v>1.2</v>
      </c>
      <c r="H34" s="102">
        <f>VLOOKUP(B34,'ALL-DATA'!A:F,5,FALSE)</f>
        <v>7200</v>
      </c>
      <c r="I34" s="102">
        <f>VLOOKUP(B34,'ALL-DATA'!A:F,6,FALSE)</f>
        <v>5500</v>
      </c>
      <c r="J34" s="103">
        <v>6800</v>
      </c>
      <c r="K34" s="104"/>
      <c r="L34" s="105">
        <f t="shared" ref="L34:L45" si="5">((J34+R34)-I34)</f>
        <v>1300</v>
      </c>
      <c r="M34" s="105"/>
      <c r="N34" s="66"/>
      <c r="O34" s="99"/>
      <c r="P34" s="67"/>
      <c r="Q34" s="99"/>
      <c r="R34" s="77"/>
      <c r="S34" s="52"/>
      <c r="Y34" s="118"/>
      <c r="AE34" s="156"/>
    </row>
    <row r="35" spans="1:31" x14ac:dyDescent="0.45">
      <c r="A35" s="85">
        <v>45523</v>
      </c>
      <c r="B35" s="50" t="str">
        <f>C35&amp;D35</f>
        <v>S-RING-151</v>
      </c>
      <c r="C35" s="50" t="s">
        <v>732</v>
      </c>
      <c r="D35" s="86" t="s">
        <v>829</v>
      </c>
      <c r="E35" s="87">
        <f>VLOOKUP(B35,'ALL-DATA'!A:F,2,FALSE)</f>
        <v>3.55</v>
      </c>
      <c r="F35" s="50">
        <f>VLOOKUP(B35,'ALL-DATA'!A:F,3,FALSE)</f>
        <v>92.5</v>
      </c>
      <c r="G35" s="50">
        <f>VLOOKUP(B35,'ALL-DATA'!A:F,4,FALSE)</f>
        <v>92.5</v>
      </c>
      <c r="H35" s="88">
        <f>VLOOKUP(B35,'ALL-DATA'!A:F,5,FALSE)</f>
        <v>131.65</v>
      </c>
      <c r="I35" s="88">
        <f>VLOOKUP(B35,'ALL-DATA'!A:F,6,FALSE)</f>
        <v>467.35750000000002</v>
      </c>
      <c r="J35" s="56">
        <v>750</v>
      </c>
      <c r="K35" s="60"/>
      <c r="L35" s="89">
        <f t="shared" si="5"/>
        <v>282.64249999999998</v>
      </c>
      <c r="M35" s="49"/>
      <c r="N35" s="2">
        <v>63</v>
      </c>
      <c r="O35" s="50"/>
      <c r="P35" s="39">
        <f t="shared" si="1"/>
        <v>0</v>
      </c>
      <c r="Q35" s="50"/>
      <c r="R35" s="74">
        <f t="shared" si="2"/>
        <v>0</v>
      </c>
    </row>
    <row r="36" spans="1:31" x14ac:dyDescent="0.45">
      <c r="A36" s="85">
        <v>45524</v>
      </c>
      <c r="B36" s="50" t="str">
        <f>C36&amp;D36</f>
        <v>S-CHAIN-N-45</v>
      </c>
      <c r="C36" s="50" t="s">
        <v>733</v>
      </c>
      <c r="D36" s="86" t="s">
        <v>830</v>
      </c>
      <c r="E36" s="87">
        <f>VLOOKUP(B36,'ALL-DATA'!A:F,2,FALSE)</f>
        <v>16.3</v>
      </c>
      <c r="F36" s="50">
        <f>VLOOKUP(B36,'ALL-DATA'!A:F,3,FALSE)</f>
        <v>86</v>
      </c>
      <c r="G36" s="50">
        <f>VLOOKUP(B36,'ALL-DATA'!A:F,4,FALSE)</f>
        <v>-21</v>
      </c>
      <c r="H36" s="88">
        <f>VLOOKUP(B36,'ALL-DATA'!A:F,5,FALSE)</f>
        <v>94.8</v>
      </c>
      <c r="I36" s="88">
        <f>VLOOKUP(B36,'ALL-DATA'!A:F,6,FALSE)</f>
        <v>1328.9063999999998</v>
      </c>
      <c r="J36" s="56">
        <v>2040</v>
      </c>
      <c r="K36" s="60"/>
      <c r="L36" s="89">
        <f t="shared" si="5"/>
        <v>711.09360000000015</v>
      </c>
      <c r="M36" s="49"/>
      <c r="N36" s="2">
        <v>63</v>
      </c>
      <c r="O36" s="50"/>
      <c r="P36" s="39">
        <f t="shared" si="1"/>
        <v>0</v>
      </c>
      <c r="Q36" s="50"/>
      <c r="R36" s="74">
        <f t="shared" si="2"/>
        <v>0</v>
      </c>
    </row>
    <row r="37" spans="1:31" x14ac:dyDescent="0.45">
      <c r="A37" s="85">
        <v>45524</v>
      </c>
      <c r="B37" s="50" t="str">
        <f>C37&amp;D37</f>
        <v>S-BARACELET-G-92.5-17</v>
      </c>
      <c r="C37" s="50" t="s">
        <v>739</v>
      </c>
      <c r="D37" s="86" t="s">
        <v>831</v>
      </c>
      <c r="E37" s="87">
        <f>VLOOKUP(B37,'ALL-DATA'!A:F,2,FALSE)</f>
        <v>6.92</v>
      </c>
      <c r="F37" s="50">
        <f>VLOOKUP(B37,'ALL-DATA'!A:F,3,FALSE)</f>
        <v>92.5</v>
      </c>
      <c r="G37" s="50">
        <f>VLOOKUP(B37,'ALL-DATA'!A:F,4,FALSE)</f>
        <v>-71.5</v>
      </c>
      <c r="H37" s="88">
        <f>VLOOKUP(B37,'ALL-DATA'!A:F,5,FALSE)</f>
        <v>127</v>
      </c>
      <c r="I37" s="88">
        <f>VLOOKUP(B37,'ALL-DATA'!A:F,6,FALSE)</f>
        <v>878.84</v>
      </c>
      <c r="J37" s="56">
        <v>1750</v>
      </c>
      <c r="K37" s="60"/>
      <c r="L37" s="89">
        <f t="shared" si="5"/>
        <v>871.16</v>
      </c>
      <c r="M37" s="49"/>
      <c r="N37" s="2">
        <v>63</v>
      </c>
      <c r="O37" s="50"/>
      <c r="P37" s="39">
        <f t="shared" si="1"/>
        <v>0</v>
      </c>
      <c r="Q37" s="50"/>
      <c r="R37" s="74">
        <f t="shared" si="2"/>
        <v>0</v>
      </c>
    </row>
    <row r="38" spans="1:31" x14ac:dyDescent="0.45">
      <c r="A38" s="85">
        <v>45525</v>
      </c>
      <c r="B38" s="50" t="str">
        <f>C38&amp;D38</f>
        <v>S-METTI-21-08</v>
      </c>
      <c r="C38" s="50" t="s">
        <v>741</v>
      </c>
      <c r="D38" s="86" t="s">
        <v>833</v>
      </c>
      <c r="E38" s="87">
        <f>VLOOKUP(B38,'ALL-DATA'!A:F,2,FALSE)</f>
        <v>9.5299999999999994</v>
      </c>
      <c r="F38" s="50">
        <f>VLOOKUP(B38,'ALL-DATA'!A:F,3,FALSE)</f>
        <v>80</v>
      </c>
      <c r="G38" s="50">
        <f>VLOOKUP(B38,'ALL-DATA'!A:F,4,FALSE)</f>
        <v>0</v>
      </c>
      <c r="H38" s="88">
        <f>VLOOKUP(B38,'ALL-DATA'!A:F,5,FALSE)</f>
        <v>84</v>
      </c>
      <c r="I38" s="88">
        <f>VLOOKUP(B38,'ALL-DATA'!A:F,6,FALSE)</f>
        <v>640.41599999999994</v>
      </c>
      <c r="J38" s="56">
        <v>1000</v>
      </c>
      <c r="K38" s="60"/>
      <c r="L38" s="89">
        <f t="shared" si="5"/>
        <v>359.58400000000006</v>
      </c>
      <c r="M38" s="49"/>
      <c r="N38" s="2">
        <v>63</v>
      </c>
      <c r="O38" s="50"/>
      <c r="P38" s="39">
        <f t="shared" si="1"/>
        <v>0</v>
      </c>
      <c r="Q38" s="50"/>
      <c r="R38" s="74">
        <f t="shared" si="2"/>
        <v>0</v>
      </c>
    </row>
    <row r="39" spans="1:31" x14ac:dyDescent="0.45">
      <c r="A39" s="85">
        <v>45525</v>
      </c>
      <c r="B39" s="1" t="s">
        <v>834</v>
      </c>
      <c r="C39" s="50"/>
      <c r="D39" s="86"/>
      <c r="E39" s="87">
        <f>VLOOKUP(B39,'ALL-DATA'!A:F,2,FALSE)</f>
        <v>1.97</v>
      </c>
      <c r="F39" s="50">
        <f>VLOOKUP(B39,'ALL-DATA'!A:F,3,FALSE)</f>
        <v>87</v>
      </c>
      <c r="G39" s="50">
        <f>VLOOKUP(B39,'ALL-DATA'!A:F,4,FALSE)</f>
        <v>10</v>
      </c>
      <c r="H39" s="88">
        <f>VLOOKUP(B39,'ALL-DATA'!A:F,5,FALSE)</f>
        <v>7352</v>
      </c>
      <c r="I39" s="88">
        <f>VLOOKUP(B39,'ALL-DATA'!A:F,6,FALSE)</f>
        <v>12600.592799999999</v>
      </c>
      <c r="J39" s="56">
        <v>13400</v>
      </c>
      <c r="K39" s="60"/>
      <c r="L39" s="89">
        <f t="shared" si="5"/>
        <v>799.40720000000147</v>
      </c>
      <c r="M39" s="49"/>
      <c r="N39" s="2">
        <v>63</v>
      </c>
      <c r="O39" s="50"/>
      <c r="P39" s="39">
        <f t="shared" si="1"/>
        <v>0</v>
      </c>
      <c r="Q39" s="50"/>
      <c r="R39" s="74">
        <f t="shared" si="2"/>
        <v>0</v>
      </c>
    </row>
    <row r="40" spans="1:31" s="38" customFormat="1" x14ac:dyDescent="0.45">
      <c r="A40" s="98">
        <v>45525</v>
      </c>
      <c r="B40" s="106" t="s">
        <v>849</v>
      </c>
      <c r="C40" s="99"/>
      <c r="D40" s="100"/>
      <c r="E40" s="101">
        <f>VLOOKUP(B40,'ALL-DATA'!A:F,2,FALSE)</f>
        <v>0</v>
      </c>
      <c r="F40" s="99">
        <f>VLOOKUP(B40,'ALL-DATA'!A:F,3,FALSE)</f>
        <v>0</v>
      </c>
      <c r="G40" s="99">
        <f>VLOOKUP(B40,'ALL-DATA'!A:F,4,FALSE)</f>
        <v>250</v>
      </c>
      <c r="H40" s="102">
        <f>VLOOKUP(B40,'ALL-DATA'!A:F,5,FALSE)</f>
        <v>250</v>
      </c>
      <c r="I40" s="102">
        <f>VLOOKUP(B40,'ALL-DATA'!A:F,6,FALSE)</f>
        <v>500</v>
      </c>
      <c r="J40" s="103">
        <v>1100</v>
      </c>
      <c r="K40" s="104"/>
      <c r="L40" s="102">
        <f t="shared" si="5"/>
        <v>685.11999999999989</v>
      </c>
      <c r="M40" s="105">
        <v>4</v>
      </c>
      <c r="N40" s="66">
        <v>90</v>
      </c>
      <c r="O40" s="99">
        <v>80</v>
      </c>
      <c r="P40" s="39">
        <f t="shared" si="1"/>
        <v>285.11999999999995</v>
      </c>
      <c r="Q40" s="99">
        <v>200</v>
      </c>
      <c r="R40" s="74">
        <f t="shared" si="2"/>
        <v>85.119999999999948</v>
      </c>
      <c r="S40" s="107"/>
      <c r="Y40" s="118"/>
      <c r="AE40" s="156"/>
    </row>
    <row r="41" spans="1:31" x14ac:dyDescent="0.45">
      <c r="A41" s="85">
        <v>45526</v>
      </c>
      <c r="B41" s="50" t="str">
        <f t="shared" ref="B41:B42" si="6">C41&amp;D41</f>
        <v>S-RING-89</v>
      </c>
      <c r="C41" s="50" t="s">
        <v>732</v>
      </c>
      <c r="D41" s="86" t="s">
        <v>844</v>
      </c>
      <c r="E41" s="87">
        <f>VLOOKUP(B41,'ALL-DATA'!A:F,2,FALSE)</f>
        <v>4.1100000000000003</v>
      </c>
      <c r="F41" s="50">
        <f>VLOOKUP(B41,'ALL-DATA'!A:F,3,FALSE)</f>
        <v>92.5</v>
      </c>
      <c r="G41" s="50">
        <f>VLOOKUP(B41,'ALL-DATA'!A:F,4,FALSE)</f>
        <v>92.5</v>
      </c>
      <c r="H41" s="88">
        <f>VLOOKUP(B41,'ALL-DATA'!A:F,5,FALSE)</f>
        <v>127</v>
      </c>
      <c r="I41" s="88">
        <f>VLOOKUP(B41,'ALL-DATA'!A:F,6,FALSE)</f>
        <v>521.97</v>
      </c>
      <c r="J41" s="56">
        <v>950</v>
      </c>
      <c r="K41" s="60"/>
      <c r="L41" s="89">
        <f t="shared" si="5"/>
        <v>428.03</v>
      </c>
      <c r="M41" s="49"/>
      <c r="N41" s="2">
        <v>63</v>
      </c>
      <c r="O41" s="50"/>
      <c r="P41" s="39">
        <f t="shared" si="1"/>
        <v>0</v>
      </c>
      <c r="Q41" s="50"/>
      <c r="R41" s="74">
        <f t="shared" si="2"/>
        <v>0</v>
      </c>
    </row>
    <row r="42" spans="1:31" x14ac:dyDescent="0.45">
      <c r="A42" s="85">
        <v>45526</v>
      </c>
      <c r="B42" s="50" t="str">
        <f t="shared" si="6"/>
        <v>S-RING-132</v>
      </c>
      <c r="C42" s="50" t="s">
        <v>732</v>
      </c>
      <c r="D42" s="86" t="s">
        <v>845</v>
      </c>
      <c r="E42" s="87">
        <f>VLOOKUP(B42,'ALL-DATA'!A:F,2,FALSE)</f>
        <v>1.25</v>
      </c>
      <c r="F42" s="50">
        <f>VLOOKUP(B42,'ALL-DATA'!A:F,3,FALSE)</f>
        <v>92.5</v>
      </c>
      <c r="G42" s="50">
        <f>VLOOKUP(B42,'ALL-DATA'!A:F,4,FALSE)</f>
        <v>92.5</v>
      </c>
      <c r="H42" s="88">
        <f>VLOOKUP(B42,'ALL-DATA'!A:F,5,FALSE)</f>
        <v>127</v>
      </c>
      <c r="I42" s="88">
        <f>VLOOKUP(B42,'ALL-DATA'!A:F,6,FALSE)</f>
        <v>158.75</v>
      </c>
      <c r="J42" s="56">
        <v>250</v>
      </c>
      <c r="K42" s="60"/>
      <c r="L42" s="89">
        <f t="shared" si="5"/>
        <v>91.25</v>
      </c>
      <c r="M42" s="49"/>
      <c r="N42" s="2">
        <v>63</v>
      </c>
      <c r="O42" s="50"/>
      <c r="P42" s="39">
        <f t="shared" si="1"/>
        <v>0</v>
      </c>
      <c r="Q42" s="50"/>
      <c r="R42" s="74">
        <f t="shared" si="2"/>
        <v>0</v>
      </c>
    </row>
    <row r="43" spans="1:31" x14ac:dyDescent="0.45">
      <c r="A43" s="85">
        <v>45526</v>
      </c>
      <c r="B43" s="1" t="s">
        <v>846</v>
      </c>
      <c r="C43" s="50"/>
      <c r="D43" s="86"/>
      <c r="E43" s="87">
        <f>VLOOKUP(B43,'ALL-DATA'!A:F,2,FALSE)</f>
        <v>0</v>
      </c>
      <c r="F43" s="50">
        <f>VLOOKUP(B43,'ALL-DATA'!A:F,3,FALSE)</f>
        <v>0</v>
      </c>
      <c r="G43" s="50">
        <f>VLOOKUP(B43,'ALL-DATA'!A:F,4,FALSE)</f>
        <v>0</v>
      </c>
      <c r="H43" s="88">
        <f>VLOOKUP(B43,'ALL-DATA'!A:F,5,FALSE)</f>
        <v>0</v>
      </c>
      <c r="I43" s="88">
        <f>VLOOKUP(B43,'ALL-DATA'!A:F,6,FALSE)</f>
        <v>500</v>
      </c>
      <c r="J43" s="56">
        <v>700</v>
      </c>
      <c r="K43" s="60"/>
      <c r="L43" s="89">
        <f t="shared" si="5"/>
        <v>200</v>
      </c>
      <c r="M43" s="49"/>
      <c r="N43" s="2">
        <v>63</v>
      </c>
      <c r="O43" s="50"/>
      <c r="P43" s="39">
        <f t="shared" si="1"/>
        <v>0</v>
      </c>
      <c r="Q43" s="50"/>
      <c r="R43" s="74">
        <f t="shared" si="2"/>
        <v>0</v>
      </c>
    </row>
    <row r="44" spans="1:31" x14ac:dyDescent="0.45">
      <c r="A44" s="85">
        <v>45526</v>
      </c>
      <c r="B44" s="1" t="str">
        <f t="shared" ref="B44:B49" si="7">C44&amp;D44</f>
        <v>S-RING-229</v>
      </c>
      <c r="C44" s="50" t="s">
        <v>732</v>
      </c>
      <c r="D44" s="86" t="s">
        <v>847</v>
      </c>
      <c r="E44" s="87">
        <f>VLOOKUP(B44,'ALL-DATA'!A:F,2,FALSE)</f>
        <v>3.87</v>
      </c>
      <c r="F44" s="50">
        <f>VLOOKUP(B44,'ALL-DATA'!A:F,3,FALSE)</f>
        <v>92.5</v>
      </c>
      <c r="G44" s="50">
        <f>VLOOKUP(B44,'ALL-DATA'!A:F,4,FALSE)</f>
        <v>92.5</v>
      </c>
      <c r="H44" s="88">
        <f>VLOOKUP(B44,'ALL-DATA'!A:F,5,FALSE)</f>
        <v>125.57</v>
      </c>
      <c r="I44" s="88">
        <f>VLOOKUP(B44,'ALL-DATA'!A:F,6,FALSE)</f>
        <v>485.95589999999999</v>
      </c>
      <c r="J44" s="56">
        <v>860</v>
      </c>
      <c r="K44" s="60"/>
      <c r="L44" s="89">
        <f t="shared" si="5"/>
        <v>458.85210000000001</v>
      </c>
      <c r="M44" s="49">
        <v>6.1</v>
      </c>
      <c r="N44" s="2">
        <v>90</v>
      </c>
      <c r="O44" s="50">
        <v>80</v>
      </c>
      <c r="P44" s="39">
        <f t="shared" si="1"/>
        <v>434.80799999999999</v>
      </c>
      <c r="Q44" s="50">
        <v>350</v>
      </c>
      <c r="R44" s="74">
        <f t="shared" si="2"/>
        <v>84.807999999999993</v>
      </c>
    </row>
    <row r="45" spans="1:31" x14ac:dyDescent="0.45">
      <c r="A45" s="85">
        <v>45527</v>
      </c>
      <c r="B45" s="50" t="str">
        <f t="shared" si="7"/>
        <v>G-STUD-1</v>
      </c>
      <c r="C45" s="50" t="s">
        <v>721</v>
      </c>
      <c r="D45" s="86" t="s">
        <v>788</v>
      </c>
      <c r="E45" s="87">
        <f>VLOOKUP(B45,'ALL-DATA'!A:F,2,FALSE)</f>
        <v>2.11</v>
      </c>
      <c r="F45" s="50">
        <f>VLOOKUP(B45,'ALL-DATA'!A:F,3,FALSE)</f>
        <v>97</v>
      </c>
      <c r="G45" s="50">
        <f>VLOOKUP(B45,'ALL-DATA'!A:F,4,FALSE)</f>
        <v>-5</v>
      </c>
      <c r="H45" s="88">
        <f>VLOOKUP(B45,'ALL-DATA'!A:F,5,FALSE)</f>
        <v>7218.2</v>
      </c>
      <c r="I45" s="88">
        <f>VLOOKUP(B45,'ALL-DATA'!A:F,6,FALSE)</f>
        <v>14773.489939999999</v>
      </c>
      <c r="J45" s="56">
        <v>15550</v>
      </c>
      <c r="K45" s="60"/>
      <c r="L45" s="89">
        <f t="shared" si="5"/>
        <v>776.51006000000052</v>
      </c>
      <c r="M45" s="49"/>
      <c r="N45" s="2">
        <v>63</v>
      </c>
      <c r="O45" s="50"/>
      <c r="P45" s="39">
        <f t="shared" si="1"/>
        <v>0</v>
      </c>
      <c r="Q45" s="50"/>
      <c r="R45" s="74">
        <f t="shared" si="2"/>
        <v>0</v>
      </c>
    </row>
    <row r="46" spans="1:31" x14ac:dyDescent="0.45">
      <c r="A46" s="85">
        <v>45527</v>
      </c>
      <c r="B46" s="50" t="str">
        <f t="shared" si="7"/>
        <v>S-STUD-PRI-2</v>
      </c>
      <c r="C46" s="50" t="s">
        <v>749</v>
      </c>
      <c r="D46" s="86" t="s">
        <v>797</v>
      </c>
      <c r="E46" s="87">
        <f>VLOOKUP(B46,'ALL-DATA'!A:F,2,FALSE)</f>
        <v>0</v>
      </c>
      <c r="F46" s="50">
        <f>VLOOKUP(B46,'ALL-DATA'!A:F,3,FALSE)</f>
        <v>0</v>
      </c>
      <c r="G46" s="50">
        <f>VLOOKUP(B46,'ALL-DATA'!A:F,4,FALSE)</f>
        <v>0</v>
      </c>
      <c r="H46" s="88">
        <f>VLOOKUP(B46,'ALL-DATA'!A:F,5,FALSE)</f>
        <v>0</v>
      </c>
      <c r="I46" s="88">
        <f>VLOOKUP(B46,'ALL-DATA'!A:F,6,FALSE)</f>
        <v>242</v>
      </c>
      <c r="J46" s="56">
        <v>700</v>
      </c>
      <c r="K46" s="60"/>
      <c r="L46" s="89">
        <f t="shared" ref="L46:L52" si="8">((J46+R46)-I46)</f>
        <v>458</v>
      </c>
      <c r="M46" s="49"/>
      <c r="N46" s="50"/>
      <c r="O46" s="50"/>
      <c r="P46" s="39">
        <f t="shared" si="1"/>
        <v>0</v>
      </c>
      <c r="Q46" s="50"/>
      <c r="R46" s="74">
        <f t="shared" si="2"/>
        <v>0</v>
      </c>
    </row>
    <row r="47" spans="1:31" x14ac:dyDescent="0.45">
      <c r="A47" s="85">
        <v>45529</v>
      </c>
      <c r="B47" s="50" t="str">
        <f t="shared" si="7"/>
        <v>S-BARACELET-B-23</v>
      </c>
      <c r="C47" s="50" t="s">
        <v>738</v>
      </c>
      <c r="D47" s="86" t="s">
        <v>801</v>
      </c>
      <c r="E47" s="87">
        <f>VLOOKUP(B47,'ALL-DATA'!A:F,2,FALSE)</f>
        <v>10.51</v>
      </c>
      <c r="F47" s="50">
        <f>VLOOKUP(B47,'ALL-DATA'!A:F,3,FALSE)</f>
        <v>85</v>
      </c>
      <c r="G47" s="50">
        <f>VLOOKUP(B47,'ALL-DATA'!A:F,4,FALSE)</f>
        <v>20</v>
      </c>
      <c r="H47" s="88">
        <f>VLOOKUP(B47,'ALL-DATA'!A:F,5,FALSE)</f>
        <v>95</v>
      </c>
      <c r="I47" s="88">
        <f>VLOOKUP(B47,'ALL-DATA'!A:F,6,FALSE)</f>
        <v>950</v>
      </c>
      <c r="J47" s="56">
        <v>1500</v>
      </c>
      <c r="K47" s="60"/>
      <c r="L47" s="89">
        <f t="shared" si="8"/>
        <v>550</v>
      </c>
      <c r="M47" s="49"/>
      <c r="N47" s="50"/>
      <c r="O47" s="50"/>
      <c r="P47" s="39">
        <f t="shared" si="1"/>
        <v>0</v>
      </c>
      <c r="Q47" s="50"/>
      <c r="R47" s="74">
        <f t="shared" si="2"/>
        <v>0</v>
      </c>
    </row>
    <row r="48" spans="1:31" x14ac:dyDescent="0.45">
      <c r="A48" s="85">
        <v>45530</v>
      </c>
      <c r="B48" s="50" t="str">
        <f t="shared" si="7"/>
        <v>S-METTI-26-08</v>
      </c>
      <c r="C48" s="50" t="s">
        <v>741</v>
      </c>
      <c r="D48" s="86" t="s">
        <v>855</v>
      </c>
      <c r="E48" s="87">
        <f>VLOOKUP(B48,'ALL-DATA'!A:F,2,FALSE)</f>
        <v>13.08</v>
      </c>
      <c r="F48" s="50">
        <f>VLOOKUP(B48,'ALL-DATA'!A:F,3,FALSE)</f>
        <v>80</v>
      </c>
      <c r="G48" s="50">
        <f>VLOOKUP(B48,'ALL-DATA'!A:F,4,FALSE)</f>
        <v>0</v>
      </c>
      <c r="H48" s="88">
        <f>VLOOKUP(B48,'ALL-DATA'!A:F,5,FALSE)</f>
        <v>84</v>
      </c>
      <c r="I48" s="88">
        <f>VLOOKUP(B48,'ALL-DATA'!A:F,6,FALSE)</f>
        <v>878.976</v>
      </c>
      <c r="J48" s="56">
        <v>880</v>
      </c>
      <c r="K48" s="60"/>
      <c r="L48" s="89">
        <f t="shared" si="8"/>
        <v>14.054011999999943</v>
      </c>
      <c r="M48" s="49">
        <v>22.39</v>
      </c>
      <c r="N48" s="50">
        <v>63</v>
      </c>
      <c r="O48" s="50">
        <v>84</v>
      </c>
      <c r="P48" s="39">
        <f t="shared" si="1"/>
        <v>1173.0300119999999</v>
      </c>
      <c r="Q48" s="50">
        <v>1160</v>
      </c>
      <c r="R48" s="74">
        <f t="shared" si="2"/>
        <v>13.030011999999942</v>
      </c>
    </row>
    <row r="49" spans="1:18" x14ac:dyDescent="0.45">
      <c r="A49" s="85">
        <v>45530</v>
      </c>
      <c r="B49" s="50" t="str">
        <f t="shared" si="7"/>
        <v>S-STUD-PRI-2</v>
      </c>
      <c r="C49" s="50" t="s">
        <v>749</v>
      </c>
      <c r="D49" s="86" t="s">
        <v>797</v>
      </c>
      <c r="E49" s="87">
        <f>VLOOKUP(B49,'ALL-DATA'!A:F,2,FALSE)</f>
        <v>0</v>
      </c>
      <c r="F49" s="50">
        <f>VLOOKUP(B49,'ALL-DATA'!A:F,3,FALSE)</f>
        <v>0</v>
      </c>
      <c r="G49" s="50">
        <f>VLOOKUP(B49,'ALL-DATA'!A:F,4,FALSE)</f>
        <v>0</v>
      </c>
      <c r="H49" s="88">
        <f>VLOOKUP(B49,'ALL-DATA'!A:F,5,FALSE)</f>
        <v>0</v>
      </c>
      <c r="I49" s="88">
        <f>VLOOKUP(B49,'ALL-DATA'!A:F,6,FALSE)</f>
        <v>242</v>
      </c>
      <c r="J49" s="56">
        <v>280</v>
      </c>
      <c r="K49" s="60"/>
      <c r="L49" s="89">
        <f t="shared" si="8"/>
        <v>38</v>
      </c>
      <c r="M49" s="49"/>
      <c r="N49" s="50"/>
      <c r="O49" s="50"/>
      <c r="P49" s="39">
        <f t="shared" si="1"/>
        <v>0</v>
      </c>
      <c r="Q49" s="50"/>
      <c r="R49" s="74">
        <f t="shared" si="2"/>
        <v>0</v>
      </c>
    </row>
    <row r="50" spans="1:18" x14ac:dyDescent="0.45">
      <c r="A50" s="85">
        <v>45530</v>
      </c>
      <c r="B50" s="50" t="s">
        <v>864</v>
      </c>
      <c r="C50" s="50"/>
      <c r="D50" s="86"/>
      <c r="E50" s="87">
        <f>VLOOKUP(B50,'ALL-DATA'!A:F,2,FALSE)</f>
        <v>61.8</v>
      </c>
      <c r="F50" s="50">
        <f>VLOOKUP(B50,'ALL-DATA'!A:F,3,FALSE)</f>
        <v>80</v>
      </c>
      <c r="G50" s="50">
        <f>VLOOKUP(B50,'ALL-DATA'!A:F,4,FALSE)</f>
        <v>93</v>
      </c>
      <c r="H50" s="88">
        <f>VLOOKUP(B50,'ALL-DATA'!A:F,5,FALSE)</f>
        <v>88.1</v>
      </c>
      <c r="I50" s="88">
        <f>VLOOKUP(B50,'ALL-DATA'!A:F,6,FALSE)</f>
        <v>5140.7093999999997</v>
      </c>
      <c r="J50" s="56">
        <v>6000</v>
      </c>
      <c r="K50" s="60"/>
      <c r="L50" s="89">
        <f t="shared" si="8"/>
        <v>859.29060000000027</v>
      </c>
      <c r="M50" s="49"/>
      <c r="N50" s="50"/>
      <c r="O50" s="50"/>
      <c r="P50" s="39">
        <f t="shared" si="1"/>
        <v>0</v>
      </c>
      <c r="Q50" s="50"/>
      <c r="R50" s="74">
        <f t="shared" si="2"/>
        <v>0</v>
      </c>
    </row>
    <row r="51" spans="1:18" x14ac:dyDescent="0.45">
      <c r="A51" s="85">
        <v>45532</v>
      </c>
      <c r="B51" s="50" t="str">
        <f t="shared" ref="B51:B55" si="9">C51&amp;D51</f>
        <v>S-RING-53</v>
      </c>
      <c r="C51" s="50" t="s">
        <v>732</v>
      </c>
      <c r="D51" s="86" t="s">
        <v>779</v>
      </c>
      <c r="E51" s="87">
        <f>VLOOKUP(B51,'ALL-DATA'!A:F,2,FALSE)</f>
        <v>1.51</v>
      </c>
      <c r="F51" s="50">
        <f>VLOOKUP(B51,'ALL-DATA'!A:F,3,FALSE)</f>
        <v>92.5</v>
      </c>
      <c r="G51" s="50">
        <f>VLOOKUP(B51,'ALL-DATA'!A:F,4,FALSE)</f>
        <v>92.5</v>
      </c>
      <c r="H51" s="88">
        <f>VLOOKUP(B51,'ALL-DATA'!A:F,5,FALSE)</f>
        <v>140</v>
      </c>
      <c r="I51" s="88">
        <f>VLOOKUP(B51,'ALL-DATA'!A:F,6,FALSE)</f>
        <v>211.4</v>
      </c>
      <c r="J51" s="116">
        <v>300</v>
      </c>
      <c r="K51" s="60"/>
      <c r="L51" s="89">
        <f>((J51+R51)-I51)</f>
        <v>199.15991999999991</v>
      </c>
      <c r="M51" s="49">
        <v>25.7</v>
      </c>
      <c r="N51" s="50">
        <v>63</v>
      </c>
      <c r="O51" s="50">
        <v>88</v>
      </c>
      <c r="P51" s="39">
        <f>(((M51-(M51*1%))*N51)/100)*O51</f>
        <v>1410.5599199999999</v>
      </c>
      <c r="Q51" s="50">
        <v>1300</v>
      </c>
      <c r="R51" s="74">
        <f>(P51-Q51)</f>
        <v>110.55991999999992</v>
      </c>
    </row>
    <row r="52" spans="1:18" x14ac:dyDescent="0.45">
      <c r="A52" s="85">
        <v>45532</v>
      </c>
      <c r="B52" s="50" t="str">
        <f t="shared" si="9"/>
        <v>S-STUD-MAS-4</v>
      </c>
      <c r="C52" s="50" t="s">
        <v>750</v>
      </c>
      <c r="D52" s="86" t="s">
        <v>774</v>
      </c>
      <c r="E52" s="87">
        <f>VLOOKUP(B52,'ALL-DATA'!A:F,2,FALSE)</f>
        <v>0</v>
      </c>
      <c r="F52" s="50">
        <f>VLOOKUP(B52,'ALL-DATA'!A:F,3,FALSE)</f>
        <v>0</v>
      </c>
      <c r="G52" s="50">
        <f>VLOOKUP(B52,'ALL-DATA'!A:F,4,FALSE)</f>
        <v>0</v>
      </c>
      <c r="H52" s="88">
        <f>VLOOKUP(B52,'ALL-DATA'!A:F,5,FALSE)</f>
        <v>0</v>
      </c>
      <c r="I52" s="88">
        <f>VLOOKUP(B52,'ALL-DATA'!A:F,6,FALSE)</f>
        <v>110</v>
      </c>
      <c r="J52" s="116">
        <v>700</v>
      </c>
      <c r="K52" s="60"/>
      <c r="L52" s="89">
        <f t="shared" si="8"/>
        <v>590</v>
      </c>
      <c r="M52" s="49"/>
      <c r="N52" s="50"/>
      <c r="O52" s="50"/>
      <c r="P52" s="39">
        <f t="shared" ref="P52:P54" si="10">(((M52-(M52*1%))*N52)/100)*O52</f>
        <v>0</v>
      </c>
      <c r="Q52" s="50"/>
      <c r="R52" s="74">
        <f t="shared" ref="R52:R109" si="11">(P52-Q52)</f>
        <v>0</v>
      </c>
    </row>
    <row r="53" spans="1:18" x14ac:dyDescent="0.45">
      <c r="A53" s="85">
        <v>45532</v>
      </c>
      <c r="B53" s="50" t="str">
        <f t="shared" si="9"/>
        <v>S-RING-109</v>
      </c>
      <c r="C53" s="50" t="s">
        <v>732</v>
      </c>
      <c r="D53" s="86" t="s">
        <v>869</v>
      </c>
      <c r="E53" s="87">
        <f>VLOOKUP(B53,'ALL-DATA'!A:F,2,FALSE)</f>
        <v>2.48</v>
      </c>
      <c r="F53" s="50">
        <f>VLOOKUP(B53,'ALL-DATA'!A:F,3,FALSE)</f>
        <v>92.5</v>
      </c>
      <c r="G53" s="50">
        <f>VLOOKUP(B53,'ALL-DATA'!A:F,4,FALSE)</f>
        <v>92.5</v>
      </c>
      <c r="H53" s="88">
        <f>VLOOKUP(B53,'ALL-DATA'!A:F,5,FALSE)</f>
        <v>127</v>
      </c>
      <c r="I53" s="88">
        <f>VLOOKUP(B53,'ALL-DATA'!A:F,6,FALSE)</f>
        <v>314.95999999999998</v>
      </c>
      <c r="J53" s="56">
        <v>550</v>
      </c>
      <c r="K53" s="60"/>
      <c r="L53" s="89">
        <f t="shared" ref="L53:L60" si="12">((J53+R53)-I53)</f>
        <v>235.04000000000002</v>
      </c>
      <c r="M53" s="49"/>
      <c r="N53" s="50"/>
      <c r="O53" s="50"/>
      <c r="P53" s="39">
        <f t="shared" si="10"/>
        <v>0</v>
      </c>
      <c r="Q53" s="50"/>
      <c r="R53" s="74">
        <f t="shared" si="11"/>
        <v>0</v>
      </c>
    </row>
    <row r="54" spans="1:18" x14ac:dyDescent="0.45">
      <c r="A54" s="85">
        <v>45532</v>
      </c>
      <c r="B54" s="50" t="str">
        <f t="shared" si="9"/>
        <v>S-RING-187</v>
      </c>
      <c r="C54" s="50" t="s">
        <v>732</v>
      </c>
      <c r="D54" s="86" t="s">
        <v>870</v>
      </c>
      <c r="E54" s="87">
        <f>VLOOKUP(B54,'ALL-DATA'!A:F,2,FALSE)</f>
        <v>1.5</v>
      </c>
      <c r="F54" s="50">
        <f>VLOOKUP(B54,'ALL-DATA'!A:F,3,FALSE)</f>
        <v>92.5</v>
      </c>
      <c r="G54" s="50">
        <f>VLOOKUP(B54,'ALL-DATA'!A:F,4,FALSE)</f>
        <v>92.5</v>
      </c>
      <c r="H54" s="88">
        <f>VLOOKUP(B54,'ALL-DATA'!A:F,5,FALSE)</f>
        <v>131.65</v>
      </c>
      <c r="I54" s="88">
        <f>VLOOKUP(B54,'ALL-DATA'!A:F,6,FALSE)</f>
        <v>197.47500000000002</v>
      </c>
      <c r="J54" s="56">
        <v>300</v>
      </c>
      <c r="K54" s="60"/>
      <c r="L54" s="89">
        <f t="shared" si="12"/>
        <v>102.52499999999998</v>
      </c>
      <c r="M54" s="49"/>
      <c r="N54" s="50"/>
      <c r="O54" s="50"/>
      <c r="P54" s="39">
        <f t="shared" si="10"/>
        <v>0</v>
      </c>
      <c r="Q54" s="50"/>
      <c r="R54" s="74">
        <f t="shared" si="11"/>
        <v>0</v>
      </c>
    </row>
    <row r="55" spans="1:18" x14ac:dyDescent="0.45">
      <c r="A55" s="85">
        <v>45532</v>
      </c>
      <c r="B55" s="50" t="str">
        <f t="shared" si="9"/>
        <v>G-TLI-MNI-THAYTH-2</v>
      </c>
      <c r="C55" s="50" t="s">
        <v>724</v>
      </c>
      <c r="D55" s="86" t="s">
        <v>797</v>
      </c>
      <c r="E55" s="87">
        <f>VLOOKUP(B55,'ALL-DATA'!A:F,2,FALSE)</f>
        <v>1.08</v>
      </c>
      <c r="F55" s="50">
        <f>VLOOKUP(B55,'ALL-DATA'!A:F,3,FALSE)</f>
        <v>84</v>
      </c>
      <c r="G55" s="50">
        <f>VLOOKUP(B55,'ALL-DATA'!A:F,4,FALSE)</f>
        <v>-7</v>
      </c>
      <c r="H55" s="88">
        <f>VLOOKUP(B55,'ALL-DATA'!A:F,5,FALSE)</f>
        <v>7218.2</v>
      </c>
      <c r="I55" s="88">
        <f>VLOOKUP(B55,'ALL-DATA'!A:F,6,FALSE)</f>
        <v>6548.3510399999996</v>
      </c>
      <c r="J55" s="56">
        <v>7600</v>
      </c>
      <c r="K55" s="60"/>
      <c r="L55" s="89">
        <f t="shared" si="12"/>
        <v>1745.6489600000004</v>
      </c>
      <c r="M55" s="49">
        <v>1.32</v>
      </c>
      <c r="N55" s="50">
        <v>65</v>
      </c>
      <c r="O55" s="50">
        <v>7300</v>
      </c>
      <c r="P55" s="39">
        <f>(((Table8[[#This Row],[OLD-WT]]-0.12)*Table8[[#This Row],[MELTING2]]/100)*Table8[[#This Row],[P-RATE3]])</f>
        <v>5694.0000000000009</v>
      </c>
      <c r="Q55" s="50">
        <v>5000</v>
      </c>
      <c r="R55" s="74">
        <f t="shared" si="11"/>
        <v>694.00000000000091</v>
      </c>
    </row>
    <row r="56" spans="1:18" x14ac:dyDescent="0.45">
      <c r="A56" s="85">
        <v>45538</v>
      </c>
      <c r="B56" s="1" t="s">
        <v>886</v>
      </c>
      <c r="C56" s="50"/>
      <c r="D56" s="86"/>
      <c r="E56" s="87">
        <f>VLOOKUP(B56,'ALL-DATA'!A:F,2,FALSE)</f>
        <v>1</v>
      </c>
      <c r="F56" s="50">
        <f>VLOOKUP(B56,'ALL-DATA'!A:F,3,FALSE)</f>
        <v>0</v>
      </c>
      <c r="G56" s="50">
        <f>VLOOKUP(B56,'ALL-DATA'!A:F,4,FALSE)</f>
        <v>0</v>
      </c>
      <c r="H56" s="88">
        <f>VLOOKUP(B56,'ALL-DATA'!A:F,5,FALSE)</f>
        <v>0</v>
      </c>
      <c r="I56" s="88">
        <f>VLOOKUP(B56,'ALL-DATA'!A:F,6,FALSE)</f>
        <v>85350</v>
      </c>
      <c r="J56" s="56">
        <v>86500</v>
      </c>
      <c r="K56" s="60"/>
      <c r="L56" s="89">
        <f>((J56+R56)-I56)</f>
        <v>1150</v>
      </c>
      <c r="M56" s="49"/>
      <c r="N56" s="50"/>
      <c r="O56" s="50"/>
      <c r="P56" s="39">
        <f>(((Table8[[#This Row],[OLD-WT]]-0.12)*Table8[[#This Row],[MELTING2]]/100)*Table8[[#This Row],[P-RATE3]])</f>
        <v>0</v>
      </c>
      <c r="Q56" s="50"/>
      <c r="R56" s="74">
        <f t="shared" si="11"/>
        <v>0</v>
      </c>
    </row>
    <row r="57" spans="1:18" x14ac:dyDescent="0.45">
      <c r="A57" s="85">
        <v>45539</v>
      </c>
      <c r="B57" s="50" t="str">
        <f>C57&amp;D57</f>
        <v>S-RING-196</v>
      </c>
      <c r="C57" s="50" t="s">
        <v>732</v>
      </c>
      <c r="D57" s="86" t="s">
        <v>873</v>
      </c>
      <c r="E57" s="87">
        <f>VLOOKUP(B57,'ALL-DATA'!A:F,2,FALSE)</f>
        <v>1.31</v>
      </c>
      <c r="F57" s="50">
        <f>VLOOKUP(B57,'ALL-DATA'!A:F,3,FALSE)</f>
        <v>92.5</v>
      </c>
      <c r="G57" s="50">
        <f>VLOOKUP(B57,'ALL-DATA'!A:F,4,FALSE)</f>
        <v>92.5</v>
      </c>
      <c r="H57" s="88">
        <f>VLOOKUP(B57,'ALL-DATA'!A:F,5,FALSE)</f>
        <v>131.65</v>
      </c>
      <c r="I57" s="88">
        <f>VLOOKUP(B57,'ALL-DATA'!A:F,6,FALSE)</f>
        <v>172.4615</v>
      </c>
      <c r="J57" s="56">
        <v>350</v>
      </c>
      <c r="K57" s="60"/>
      <c r="L57" s="89">
        <f t="shared" si="12"/>
        <v>177.5385</v>
      </c>
      <c r="M57" s="49"/>
      <c r="N57" s="50"/>
      <c r="O57" s="50"/>
      <c r="P57" s="39">
        <f>(((Table8[[#This Row],[OLD-WT]]-0.12)*Table8[[#This Row],[MELTING2]]/100)*Table8[[#This Row],[P-RATE3]])</f>
        <v>0</v>
      </c>
      <c r="Q57" s="50"/>
      <c r="R57" s="74">
        <f t="shared" si="11"/>
        <v>0</v>
      </c>
    </row>
    <row r="58" spans="1:18" x14ac:dyDescent="0.45">
      <c r="A58" s="85">
        <v>45539</v>
      </c>
      <c r="B58" s="50" t="s">
        <v>887</v>
      </c>
      <c r="C58" s="50"/>
      <c r="D58" s="86"/>
      <c r="E58" s="87">
        <f>VLOOKUP(B58,'ALL-DATA'!A:F,2,FALSE)</f>
        <v>1.5</v>
      </c>
      <c r="F58" s="50">
        <f>VLOOKUP(B58,'ALL-DATA'!A:F,3,FALSE)</f>
        <v>0</v>
      </c>
      <c r="G58" s="50">
        <f>VLOOKUP(B58,'ALL-DATA'!A:F,4,FALSE)</f>
        <v>0</v>
      </c>
      <c r="H58" s="88">
        <f>VLOOKUP(B58,'ALL-DATA'!A:F,5,FALSE)</f>
        <v>0</v>
      </c>
      <c r="I58" s="88">
        <f>VLOOKUP(B58,'ALL-DATA'!A:F,6,FALSE)</f>
        <v>120</v>
      </c>
      <c r="J58" s="56">
        <v>200</v>
      </c>
      <c r="K58" s="60"/>
      <c r="L58" s="89">
        <f>((J58+R58)-I58)</f>
        <v>80</v>
      </c>
      <c r="M58" s="49"/>
      <c r="N58" s="50"/>
      <c r="O58" s="50"/>
      <c r="P58" s="39">
        <f>(((Table8[[#This Row],[OLD-WT]]-0.12)*Table8[[#This Row],[MELTING2]]/100)*Table8[[#This Row],[P-RATE3]])</f>
        <v>0</v>
      </c>
      <c r="Q58" s="50"/>
      <c r="R58" s="74">
        <f t="shared" si="11"/>
        <v>0</v>
      </c>
    </row>
    <row r="59" spans="1:18" x14ac:dyDescent="0.45">
      <c r="A59" s="85">
        <v>45540</v>
      </c>
      <c r="B59" s="50" t="str">
        <f t="shared" ref="B59:B65" si="13">C59&amp;D59</f>
        <v>S-STUD-MAS-5</v>
      </c>
      <c r="C59" s="50" t="s">
        <v>750</v>
      </c>
      <c r="D59" s="86" t="s">
        <v>876</v>
      </c>
      <c r="E59" s="87">
        <f>VLOOKUP(B59,'ALL-DATA'!A:F,2,FALSE)</f>
        <v>0</v>
      </c>
      <c r="F59" s="50">
        <f>VLOOKUP(B59,'ALL-DATA'!A:F,3,FALSE)</f>
        <v>0</v>
      </c>
      <c r="G59" s="50">
        <f>VLOOKUP(B59,'ALL-DATA'!A:F,4,FALSE)</f>
        <v>0</v>
      </c>
      <c r="H59" s="88">
        <f>VLOOKUP(B59,'ALL-DATA'!A:F,5,FALSE)</f>
        <v>0</v>
      </c>
      <c r="I59" s="88">
        <f>VLOOKUP(B59,'ALL-DATA'!A:F,6,FALSE)</f>
        <v>300</v>
      </c>
      <c r="J59" s="56">
        <v>700</v>
      </c>
      <c r="K59" s="60"/>
      <c r="L59" s="89">
        <f t="shared" si="12"/>
        <v>400</v>
      </c>
      <c r="M59" s="49"/>
      <c r="N59" s="50"/>
      <c r="O59" s="50"/>
      <c r="P59" s="39">
        <f>(((Table8[[#This Row],[OLD-WT]]-0.12)*Table8[[#This Row],[MELTING2]]/100)*Table8[[#This Row],[P-RATE3]])</f>
        <v>0</v>
      </c>
      <c r="Q59" s="50"/>
      <c r="R59" s="74">
        <f t="shared" si="11"/>
        <v>0</v>
      </c>
    </row>
    <row r="60" spans="1:18" x14ac:dyDescent="0.45">
      <c r="A60" s="85">
        <v>45540</v>
      </c>
      <c r="B60" s="50" t="str">
        <f t="shared" si="13"/>
        <v>S-THANDA-K7</v>
      </c>
      <c r="C60" s="50" t="s">
        <v>729</v>
      </c>
      <c r="D60" s="86" t="s">
        <v>877</v>
      </c>
      <c r="E60" s="87">
        <f>VLOOKUP(B60,'ALL-DATA'!A:F,2,FALSE)</f>
        <v>31.98</v>
      </c>
      <c r="F60" s="50">
        <f>VLOOKUP(B60,'ALL-DATA'!A:F,3,FALSE)</f>
        <v>65</v>
      </c>
      <c r="G60" s="50">
        <f>VLOOKUP(B60,'ALL-DATA'!A:F,4,FALSE)</f>
        <v>-10</v>
      </c>
      <c r="H60" s="88">
        <f>VLOOKUP(B60,'ALL-DATA'!A:F,5,FALSE)</f>
        <v>89</v>
      </c>
      <c r="I60" s="88">
        <f>VLOOKUP(B60,'ALL-DATA'!A:F,6,FALSE)</f>
        <v>1850.0429999999999</v>
      </c>
      <c r="J60" s="56">
        <v>2200</v>
      </c>
      <c r="K60" s="60"/>
      <c r="L60" s="89">
        <f t="shared" si="12"/>
        <v>349.95700000000011</v>
      </c>
      <c r="M60" s="49"/>
      <c r="N60" s="50"/>
      <c r="O60" s="50"/>
      <c r="P60" s="39">
        <f>(((Table8[[#This Row],[OLD-WT]]-0.12)*Table8[[#This Row],[MELTING2]]/100)*Table8[[#This Row],[P-RATE3]])</f>
        <v>0</v>
      </c>
      <c r="Q60" s="50"/>
      <c r="R60" s="74">
        <f t="shared" si="11"/>
        <v>0</v>
      </c>
    </row>
    <row r="61" spans="1:18" x14ac:dyDescent="0.45">
      <c r="A61" s="85">
        <v>45541</v>
      </c>
      <c r="B61" s="50" t="str">
        <f t="shared" si="13"/>
        <v>S-RING-185</v>
      </c>
      <c r="C61" s="50" t="s">
        <v>732</v>
      </c>
      <c r="D61" s="86" t="s">
        <v>883</v>
      </c>
      <c r="E61" s="87">
        <f>VLOOKUP(B61,'ALL-DATA'!A:F,2,FALSE)</f>
        <v>1.25</v>
      </c>
      <c r="F61" s="50">
        <f>VLOOKUP(B61,'ALL-DATA'!A:F,3,FALSE)</f>
        <v>92.5</v>
      </c>
      <c r="G61" s="50">
        <f>VLOOKUP(B61,'ALL-DATA'!A:F,4,FALSE)</f>
        <v>92.5</v>
      </c>
      <c r="H61" s="88">
        <f>VLOOKUP(B61,'ALL-DATA'!A:F,5,FALSE)</f>
        <v>131.65</v>
      </c>
      <c r="I61" s="88">
        <f>VLOOKUP(B61,'ALL-DATA'!A:F,6,FALSE)</f>
        <v>164.5625</v>
      </c>
      <c r="J61" s="56">
        <v>250</v>
      </c>
      <c r="K61" s="60"/>
      <c r="L61" s="89">
        <f>((J61+R61)-I61)</f>
        <v>85.4375</v>
      </c>
      <c r="M61" s="49"/>
      <c r="N61" s="50"/>
      <c r="O61" s="50"/>
      <c r="P61" s="39">
        <f>(((Table8[[#This Row],[OLD-WT]]-0.12)*Table8[[#This Row],[MELTING2]]/100)*Table8[[#This Row],[P-RATE3]])</f>
        <v>0</v>
      </c>
      <c r="Q61" s="50"/>
      <c r="R61" s="74">
        <f t="shared" si="11"/>
        <v>0</v>
      </c>
    </row>
    <row r="62" spans="1:18" x14ac:dyDescent="0.45">
      <c r="A62" s="85">
        <v>45541</v>
      </c>
      <c r="B62" s="50" t="str">
        <f t="shared" si="13"/>
        <v>S-RING-195</v>
      </c>
      <c r="C62" s="50" t="s">
        <v>732</v>
      </c>
      <c r="D62" s="86" t="s">
        <v>884</v>
      </c>
      <c r="E62" s="87">
        <f>VLOOKUP(B62,'ALL-DATA'!A:F,2,FALSE)</f>
        <v>1.26</v>
      </c>
      <c r="F62" s="50">
        <f>VLOOKUP(B62,'ALL-DATA'!A:F,3,FALSE)</f>
        <v>92.5</v>
      </c>
      <c r="G62" s="50">
        <f>VLOOKUP(B62,'ALL-DATA'!A:F,4,FALSE)</f>
        <v>92.5</v>
      </c>
      <c r="H62" s="88">
        <f>VLOOKUP(B62,'ALL-DATA'!A:F,5,FALSE)</f>
        <v>131.65</v>
      </c>
      <c r="I62" s="88">
        <f>VLOOKUP(B62,'ALL-DATA'!A:F,6,FALSE)</f>
        <v>165.87900000000002</v>
      </c>
      <c r="J62" s="56">
        <v>300</v>
      </c>
      <c r="K62" s="60"/>
      <c r="L62" s="89">
        <f>((J62+R62)-I62)</f>
        <v>134.12099999999998</v>
      </c>
      <c r="M62" s="49"/>
      <c r="N62" s="50"/>
      <c r="O62" s="50"/>
      <c r="P62" s="39">
        <f>(((Table8[[#This Row],[OLD-WT]]-0.12)*Table8[[#This Row],[MELTING2]]/100)*Table8[[#This Row],[P-RATE3]])</f>
        <v>0</v>
      </c>
      <c r="Q62" s="50"/>
      <c r="R62" s="74">
        <f t="shared" si="11"/>
        <v>0</v>
      </c>
    </row>
    <row r="63" spans="1:18" x14ac:dyDescent="0.45">
      <c r="A63" s="85">
        <v>45541</v>
      </c>
      <c r="B63" s="50" t="str">
        <f t="shared" si="13"/>
        <v>S-RING-192</v>
      </c>
      <c r="C63" s="50" t="s">
        <v>732</v>
      </c>
      <c r="D63" s="86" t="s">
        <v>885</v>
      </c>
      <c r="E63" s="87">
        <f>VLOOKUP(B63,'ALL-DATA'!A:F,2,FALSE)</f>
        <v>1.18</v>
      </c>
      <c r="F63" s="50">
        <f>VLOOKUP(B63,'ALL-DATA'!A:F,3,FALSE)</f>
        <v>92.5</v>
      </c>
      <c r="G63" s="50">
        <f>VLOOKUP(B63,'ALL-DATA'!A:F,4,FALSE)</f>
        <v>92.5</v>
      </c>
      <c r="H63" s="88">
        <f>VLOOKUP(B63,'ALL-DATA'!A:F,5,FALSE)</f>
        <v>131.65</v>
      </c>
      <c r="I63" s="88">
        <f>VLOOKUP(B63,'ALL-DATA'!A:F,6,FALSE)</f>
        <v>155.34700000000001</v>
      </c>
      <c r="J63" s="56">
        <v>300</v>
      </c>
      <c r="K63" s="60"/>
      <c r="L63" s="89">
        <f>((J63+R63)-I63)</f>
        <v>144.65299999999999</v>
      </c>
      <c r="M63" s="49"/>
      <c r="N63" s="50"/>
      <c r="O63" s="50"/>
      <c r="P63" s="39">
        <f>(((Table8[[#This Row],[OLD-WT]]-0.12)*Table8[[#This Row],[MELTING2]]/100)*Table8[[#This Row],[P-RATE3]])</f>
        <v>0</v>
      </c>
      <c r="Q63" s="50"/>
      <c r="R63" s="74">
        <f t="shared" si="11"/>
        <v>0</v>
      </c>
    </row>
    <row r="64" spans="1:18" x14ac:dyDescent="0.45">
      <c r="A64" s="85">
        <v>45542</v>
      </c>
      <c r="B64" s="50" t="str">
        <f t="shared" si="13"/>
        <v>S-METTI-09-09</v>
      </c>
      <c r="C64" s="50" t="s">
        <v>741</v>
      </c>
      <c r="D64" s="86" t="s">
        <v>892</v>
      </c>
      <c r="E64" s="87">
        <f>VLOOKUP(B64,'ALL-DATA'!A:F,2,FALSE)</f>
        <v>8.9</v>
      </c>
      <c r="F64" s="50">
        <f>VLOOKUP(B64,'ALL-DATA'!A:F,3,FALSE)</f>
        <v>80</v>
      </c>
      <c r="G64" s="50">
        <f>VLOOKUP(B64,'ALL-DATA'!A:F,4,FALSE)</f>
        <v>0</v>
      </c>
      <c r="H64" s="88">
        <f>VLOOKUP(B64,'ALL-DATA'!A:F,5,FALSE)</f>
        <v>83</v>
      </c>
      <c r="I64" s="88">
        <v>650</v>
      </c>
      <c r="J64" s="56">
        <v>1100</v>
      </c>
      <c r="K64" s="60"/>
      <c r="L64" s="89">
        <f>((J64+R64)-I64)</f>
        <v>446.9376000000002</v>
      </c>
      <c r="M64" s="49">
        <v>11.4</v>
      </c>
      <c r="N64" s="50">
        <v>63</v>
      </c>
      <c r="O64" s="50">
        <v>84</v>
      </c>
      <c r="P64" s="39">
        <f>(((Table8[[#This Row],[OLD-WT]]-0.12)*Table8[[#This Row],[MELTING2]]/100)*Table8[[#This Row],[P-RATE3]])</f>
        <v>596.93760000000009</v>
      </c>
      <c r="Q64" s="50">
        <v>600</v>
      </c>
      <c r="R64" s="74">
        <f t="shared" si="11"/>
        <v>-3.0623999999999114</v>
      </c>
    </row>
    <row r="65" spans="1:18" x14ac:dyDescent="0.45">
      <c r="A65" s="85">
        <v>45544</v>
      </c>
      <c r="B65" s="50" t="str">
        <f t="shared" si="13"/>
        <v>S-DOLLER-25</v>
      </c>
      <c r="C65" s="50" t="s">
        <v>731</v>
      </c>
      <c r="D65" s="86" t="s">
        <v>894</v>
      </c>
      <c r="E65" s="87">
        <f>VLOOKUP(B65,'ALL-DATA'!A:F,2,FALSE)</f>
        <v>4</v>
      </c>
      <c r="F65" s="50">
        <f>VLOOKUP(B65,'ALL-DATA'!A:F,3,FALSE)</f>
        <v>92.5</v>
      </c>
      <c r="G65" s="50">
        <f>VLOOKUP(B65,'ALL-DATA'!A:F,4,FALSE)</f>
        <v>92.5</v>
      </c>
      <c r="H65" s="88">
        <f>VLOOKUP(B65,'ALL-DATA'!A:F,5,FALSE)</f>
        <v>160</v>
      </c>
      <c r="I65" s="88">
        <f>VLOOKUP(B65,'ALL-DATA'!A:F,6,FALSE)</f>
        <v>640</v>
      </c>
      <c r="J65" s="56">
        <v>1000</v>
      </c>
      <c r="K65" s="60"/>
      <c r="L65" s="89">
        <f>((J65+R65)-I65)</f>
        <v>360</v>
      </c>
      <c r="M65" s="49"/>
      <c r="N65" s="50"/>
      <c r="O65" s="50"/>
      <c r="P65" s="39">
        <f>(((Table8[[#This Row],[OLD-WT]]-0.12)*Table8[[#This Row],[MELTING2]]/100)*Table8[[#This Row],[P-RATE3]])</f>
        <v>0</v>
      </c>
      <c r="Q65" s="50"/>
      <c r="R65" s="74">
        <f t="shared" si="11"/>
        <v>0</v>
      </c>
    </row>
    <row r="66" spans="1:18" x14ac:dyDescent="0.45">
      <c r="A66" s="85">
        <v>45545</v>
      </c>
      <c r="B66" s="50" t="str">
        <f>C66&amp;D66</f>
        <v>S-B-KOLUSU--15</v>
      </c>
      <c r="C66" s="50" t="s">
        <v>728</v>
      </c>
      <c r="D66" s="86" t="s">
        <v>775</v>
      </c>
      <c r="E66" s="87">
        <f>VLOOKUP(B66,'ALL-DATA'!A:F,2,FALSE)</f>
        <v>70.95</v>
      </c>
      <c r="F66" s="50">
        <f>VLOOKUP(B66,'ALL-DATA'!A:F,3,FALSE)</f>
        <v>65</v>
      </c>
      <c r="G66" s="50">
        <f>VLOOKUP(B66,'ALL-DATA'!A:F,4,FALSE)</f>
        <v>-10</v>
      </c>
      <c r="H66" s="88">
        <f>VLOOKUP(B66,'ALL-DATA'!A:F,5,FALSE)</f>
        <v>89</v>
      </c>
      <c r="I66" s="88">
        <f>VLOOKUP(B66,'ALL-DATA'!A:F,6,FALSE)</f>
        <v>4104.4574999999995</v>
      </c>
      <c r="J66" s="56">
        <v>6840</v>
      </c>
      <c r="K66" s="60"/>
      <c r="L66" s="89">
        <f>((J66+R66)-I66)-I67</f>
        <v>2526.0876000000007</v>
      </c>
      <c r="M66" s="49">
        <v>72.400000000000006</v>
      </c>
      <c r="N66" s="50">
        <v>63</v>
      </c>
      <c r="O66" s="50">
        <v>84</v>
      </c>
      <c r="P66" s="39">
        <f>(((Table8[[#This Row],[OLD-WT]]-0.12)*Table8[[#This Row],[MELTING2]]/100)*Table8[[#This Row],[P-RATE3]])</f>
        <v>3825.0576000000001</v>
      </c>
      <c r="Q66" s="50">
        <v>3840</v>
      </c>
      <c r="R66" s="74">
        <f t="shared" si="11"/>
        <v>-14.942399999999907</v>
      </c>
    </row>
    <row r="67" spans="1:18" x14ac:dyDescent="0.45">
      <c r="A67" s="85">
        <v>45545</v>
      </c>
      <c r="B67" s="50" t="str">
        <f>C67&amp;D67</f>
        <v>S-METTI-FREE</v>
      </c>
      <c r="C67" s="133" t="s">
        <v>895</v>
      </c>
      <c r="D67" s="86"/>
      <c r="E67" s="87">
        <f>VLOOKUP(B67,'ALL-DATA'!A:F,2,FALSE)</f>
        <v>3.5</v>
      </c>
      <c r="F67" s="50">
        <f>VLOOKUP(B67,'ALL-DATA'!A:F,3,FALSE)</f>
        <v>65</v>
      </c>
      <c r="G67" s="50">
        <f>VLOOKUP(B67,'ALL-DATA'!A:F,4,FALSE)</f>
        <v>0</v>
      </c>
      <c r="H67" s="88">
        <f>VLOOKUP(B67,'ALL-DATA'!A:F,5,FALSE)</f>
        <v>85.5</v>
      </c>
      <c r="I67" s="89">
        <f>VLOOKUP(B67,'ALL-DATA'!A:F,6,FALSE)</f>
        <v>194.51249999999999</v>
      </c>
      <c r="J67" s="56"/>
      <c r="K67" s="60"/>
      <c r="L67" s="89">
        <v>0</v>
      </c>
      <c r="M67" s="49"/>
      <c r="N67" s="50"/>
      <c r="O67" s="50"/>
      <c r="P67" s="39">
        <f>(((Table8[[#This Row],[OLD-WT]]-0.12)*Table8[[#This Row],[MELTING2]]/100)*Table8[[#This Row],[P-RATE3]])</f>
        <v>0</v>
      </c>
      <c r="Q67" s="50"/>
      <c r="R67" s="74">
        <f t="shared" si="11"/>
        <v>0</v>
      </c>
    </row>
    <row r="68" spans="1:18" x14ac:dyDescent="0.45">
      <c r="A68" s="85">
        <v>45545</v>
      </c>
      <c r="B68" s="2" t="str">
        <f>C68&amp;D68</f>
        <v>S-B-KOLUSU--38</v>
      </c>
      <c r="C68" s="132" t="s">
        <v>728</v>
      </c>
      <c r="D68" s="61" t="s">
        <v>896</v>
      </c>
      <c r="E68" s="62">
        <f>VLOOKUP(B68,'ALL-DATA'!A:F,2,FALSE)</f>
        <v>36.700000000000003</v>
      </c>
      <c r="F68" s="2">
        <f>VLOOKUP(B68,'ALL-DATA'!A:F,3,FALSE)</f>
        <v>82</v>
      </c>
      <c r="G68" s="2">
        <f>VLOOKUP(B68,'ALL-DATA'!A:F,4,FALSE)</f>
        <v>-17</v>
      </c>
      <c r="H68" s="51">
        <f>VLOOKUP(B68,'ALL-DATA'!A:F,5,FALSE)</f>
        <v>90</v>
      </c>
      <c r="I68" s="140">
        <f>VLOOKUP(B68,'ALL-DATA'!A:F,6,FALSE)</f>
        <v>2708.46</v>
      </c>
      <c r="J68" s="54">
        <v>3500</v>
      </c>
      <c r="K68" s="57"/>
      <c r="L68" s="140">
        <f t="shared" ref="L68:L73" si="14">((J68+R68)-I68)</f>
        <v>838.48559999999998</v>
      </c>
      <c r="M68" s="39">
        <v>38.799999999999997</v>
      </c>
      <c r="N68" s="2">
        <v>63</v>
      </c>
      <c r="O68" s="2">
        <v>84</v>
      </c>
      <c r="P68" s="39">
        <f>(((Table8[[#This Row],[OLD-WT]]-0.12)*Table8[[#This Row],[MELTING2]]/100)*Table8[[#This Row],[P-RATE3]])</f>
        <v>2046.9456</v>
      </c>
      <c r="Q68" s="2">
        <v>2000</v>
      </c>
      <c r="R68" s="74">
        <f t="shared" si="11"/>
        <v>46.945600000000013</v>
      </c>
    </row>
    <row r="69" spans="1:18" x14ac:dyDescent="0.45">
      <c r="A69" s="85">
        <v>45545</v>
      </c>
      <c r="B69" s="141" t="s">
        <v>897</v>
      </c>
      <c r="C69" s="50"/>
      <c r="D69" s="86"/>
      <c r="E69" s="87">
        <f>VLOOKUP(B69,'ALL-DATA'!A:F,2,FALSE)</f>
        <v>0.97</v>
      </c>
      <c r="F69" s="50">
        <f>VLOOKUP(B69,'ALL-DATA'!A:F,3,FALSE)</f>
        <v>0</v>
      </c>
      <c r="G69" s="50">
        <f>VLOOKUP(B69,'ALL-DATA'!A:F,4,FALSE)</f>
        <v>0</v>
      </c>
      <c r="H69" s="88">
        <f>VLOOKUP(B69,'ALL-DATA'!A:F,5,FALSE)</f>
        <v>0</v>
      </c>
      <c r="I69" s="88">
        <f>VLOOKUP(B69,'ALL-DATA'!A:F,6,FALSE)</f>
        <v>2300</v>
      </c>
      <c r="J69" s="56">
        <v>3000</v>
      </c>
      <c r="K69" s="60"/>
      <c r="L69" s="89">
        <f t="shared" si="14"/>
        <v>700</v>
      </c>
      <c r="M69" s="49"/>
      <c r="N69" s="50"/>
      <c r="O69" s="50"/>
      <c r="P69" s="39">
        <f>(((Table8[[#This Row],[OLD-WT]]-0.12)*Table8[[#This Row],[MELTING2]]/100)*Table8[[#This Row],[P-RATE3]])</f>
        <v>0</v>
      </c>
      <c r="Q69" s="50"/>
      <c r="R69" s="74">
        <f t="shared" si="11"/>
        <v>0</v>
      </c>
    </row>
    <row r="70" spans="1:18" x14ac:dyDescent="0.45">
      <c r="A70" s="85">
        <v>45545</v>
      </c>
      <c r="B70" s="50" t="str">
        <f>C70&amp;D70</f>
        <v>S-METTI-10-09</v>
      </c>
      <c r="C70" s="50" t="s">
        <v>741</v>
      </c>
      <c r="D70" s="86" t="s">
        <v>918</v>
      </c>
      <c r="E70" s="87">
        <f>VLOOKUP(B70,'ALL-DATA'!A:F,2,FALSE)</f>
        <v>3.9</v>
      </c>
      <c r="F70" s="50">
        <f>VLOOKUP(B70,'ALL-DATA'!A:F,3,FALSE)</f>
        <v>80</v>
      </c>
      <c r="G70" s="50">
        <f>VLOOKUP(B70,'ALL-DATA'!A:F,4,FALSE)</f>
        <v>0</v>
      </c>
      <c r="H70" s="88">
        <f>VLOOKUP(B70,'ALL-DATA'!A:F,5,FALSE)</f>
        <v>90</v>
      </c>
      <c r="I70" s="88">
        <f>VLOOKUP(B70,'ALL-DATA'!A:F,6,FALSE)</f>
        <v>280.8</v>
      </c>
      <c r="J70" s="56">
        <v>400</v>
      </c>
      <c r="K70" s="60"/>
      <c r="L70" s="89">
        <f t="shared" si="14"/>
        <v>119.78559999999999</v>
      </c>
      <c r="M70" s="49">
        <v>5.8</v>
      </c>
      <c r="N70" s="50">
        <v>63</v>
      </c>
      <c r="O70" s="50">
        <v>84</v>
      </c>
      <c r="P70" s="39">
        <f>(((Table8[[#This Row],[OLD-WT]]-0.12)*Table8[[#This Row],[MELTING2]]/100)*Table8[[#This Row],[P-RATE3]])</f>
        <v>300.5856</v>
      </c>
      <c r="Q70" s="50">
        <v>300</v>
      </c>
      <c r="R70" s="74">
        <f t="shared" si="11"/>
        <v>0.58559999999999945</v>
      </c>
    </row>
    <row r="71" spans="1:18" x14ac:dyDescent="0.45">
      <c r="A71" s="85">
        <v>45545</v>
      </c>
      <c r="B71" s="50" t="str">
        <f>C71&amp;D71</f>
        <v>S-B-KOLUSU--16</v>
      </c>
      <c r="C71" s="50" t="s">
        <v>728</v>
      </c>
      <c r="D71" s="86" t="s">
        <v>919</v>
      </c>
      <c r="E71" s="87">
        <f>VLOOKUP(B71,'ALL-DATA'!A:F,2,FALSE)</f>
        <v>49.92</v>
      </c>
      <c r="F71" s="50">
        <f>VLOOKUP(B71,'ALL-DATA'!A:F,3,FALSE)</f>
        <v>65</v>
      </c>
      <c r="G71" s="50">
        <f>VLOOKUP(B71,'ALL-DATA'!A:F,4,FALSE)</f>
        <v>-10</v>
      </c>
      <c r="H71" s="88">
        <f>VLOOKUP(B71,'ALL-DATA'!A:F,5,FALSE)</f>
        <v>89</v>
      </c>
      <c r="I71" s="88">
        <f>VLOOKUP(B71,'ALL-DATA'!A:F,6,FALSE)</f>
        <v>2887.8719999999998</v>
      </c>
      <c r="J71" s="56">
        <v>4700</v>
      </c>
      <c r="K71" s="60"/>
      <c r="L71" s="89">
        <f t="shared" si="14"/>
        <v>1864.1936000000001</v>
      </c>
      <c r="M71" s="49">
        <v>74.8</v>
      </c>
      <c r="N71" s="50">
        <v>63</v>
      </c>
      <c r="O71" s="50">
        <v>84</v>
      </c>
      <c r="P71" s="39">
        <f>(((Table8[[#This Row],[OLD-WT]]-0.12)*Table8[[#This Row],[MELTING2]]/100)*Table8[[#This Row],[P-RATE3]])</f>
        <v>3952.0655999999994</v>
      </c>
      <c r="Q71" s="50">
        <v>3900</v>
      </c>
      <c r="R71" s="74">
        <f t="shared" si="11"/>
        <v>52.065599999999449</v>
      </c>
    </row>
    <row r="72" spans="1:18" x14ac:dyDescent="0.45">
      <c r="A72" s="85">
        <v>45545</v>
      </c>
      <c r="B72" s="50" t="str">
        <f>C72&amp;D72</f>
        <v>S-RING-163</v>
      </c>
      <c r="C72" s="50" t="s">
        <v>732</v>
      </c>
      <c r="D72" s="86" t="s">
        <v>920</v>
      </c>
      <c r="E72" s="87">
        <f>VLOOKUP(B72,'ALL-DATA'!A:F,2,FALSE)</f>
        <v>1.1000000000000001</v>
      </c>
      <c r="F72" s="50">
        <f>VLOOKUP(B72,'ALL-DATA'!A:F,3,FALSE)</f>
        <v>92.5</v>
      </c>
      <c r="G72" s="50">
        <f>VLOOKUP(B72,'ALL-DATA'!A:F,4,FALSE)</f>
        <v>92.5</v>
      </c>
      <c r="H72" s="88">
        <f>VLOOKUP(B72,'ALL-DATA'!A:F,5,FALSE)</f>
        <v>131.65</v>
      </c>
      <c r="I72" s="88">
        <f>VLOOKUP(B72,'ALL-DATA'!A:F,6,FALSE)</f>
        <v>144.81500000000003</v>
      </c>
      <c r="J72" s="56">
        <v>150</v>
      </c>
      <c r="K72" s="60"/>
      <c r="L72" s="89">
        <f t="shared" si="14"/>
        <v>5.1849999999999739</v>
      </c>
      <c r="M72" s="49"/>
      <c r="N72" s="50"/>
      <c r="O72" s="50"/>
      <c r="P72" s="39">
        <f>(((Table8[[#This Row],[OLD-WT]]-0.12)*Table8[[#This Row],[MELTING2]]/100)*Table8[[#This Row],[P-RATE3]])</f>
        <v>0</v>
      </c>
      <c r="Q72" s="50"/>
      <c r="R72" s="74">
        <f t="shared" si="11"/>
        <v>0</v>
      </c>
    </row>
    <row r="73" spans="1:18" x14ac:dyDescent="0.45">
      <c r="A73" s="85">
        <v>45545</v>
      </c>
      <c r="B73" s="50" t="s">
        <v>922</v>
      </c>
      <c r="C73" s="50"/>
      <c r="D73" s="86"/>
      <c r="E73" s="87">
        <f>VLOOKUP(B73,'ALL-DATA'!A:F,2,FALSE)</f>
        <v>1.8</v>
      </c>
      <c r="F73" s="50">
        <f>VLOOKUP(B73,'ALL-DATA'!A:F,3,FALSE)</f>
        <v>63</v>
      </c>
      <c r="G73" s="50">
        <f>VLOOKUP(B73,'ALL-DATA'!A:F,4,FALSE)</f>
        <v>0</v>
      </c>
      <c r="H73" s="88">
        <f>VLOOKUP(B73,'ALL-DATA'!A:F,5,FALSE)</f>
        <v>84</v>
      </c>
      <c r="I73" s="88">
        <f>VLOOKUP(B73,'ALL-DATA'!A:F,6,FALSE)</f>
        <v>95.256000000000014</v>
      </c>
      <c r="J73" s="56">
        <v>200</v>
      </c>
      <c r="K73" s="60"/>
      <c r="L73" s="89">
        <f t="shared" si="14"/>
        <v>104.74399999999999</v>
      </c>
      <c r="M73" s="49"/>
      <c r="N73" s="50"/>
      <c r="O73" s="50"/>
      <c r="P73" s="39">
        <f>(((Table8[[#This Row],[OLD-WT]]-0.12)*Table8[[#This Row],[MELTING2]]/100)*Table8[[#This Row],[P-RATE3]])</f>
        <v>0</v>
      </c>
      <c r="Q73" s="50"/>
      <c r="R73" s="74">
        <f t="shared" si="11"/>
        <v>0</v>
      </c>
    </row>
    <row r="74" spans="1:18" x14ac:dyDescent="0.45">
      <c r="A74" s="85">
        <v>45547</v>
      </c>
      <c r="B74" s="50" t="str">
        <f>C74&amp;D74</f>
        <v>S-CHAIN-N-55</v>
      </c>
      <c r="C74" s="50" t="s">
        <v>733</v>
      </c>
      <c r="D74" s="86" t="s">
        <v>923</v>
      </c>
      <c r="E74" s="87">
        <f>VLOOKUP(B74,'ALL-DATA'!A:F,2,FALSE)</f>
        <v>15.2</v>
      </c>
      <c r="F74" s="50">
        <f>VLOOKUP(B74,'ALL-DATA'!A:F,3,FALSE)</f>
        <v>86</v>
      </c>
      <c r="G74" s="50">
        <f>VLOOKUP(B74,'ALL-DATA'!A:F,4,FALSE)</f>
        <v>-21</v>
      </c>
      <c r="H74" s="88">
        <f>VLOOKUP(B74,'ALL-DATA'!A:F,5,FALSE)</f>
        <v>94.8</v>
      </c>
      <c r="I74" s="88">
        <f>VLOOKUP(B74,'ALL-DATA'!A:F,6,FALSE)</f>
        <v>1239.2256</v>
      </c>
      <c r="J74" s="56">
        <v>1700</v>
      </c>
      <c r="K74" s="60"/>
      <c r="L74" s="89">
        <f t="shared" ref="L74:L80" si="15">((J74+R74)-I74)</f>
        <v>460.77440000000001</v>
      </c>
      <c r="M74" s="49"/>
      <c r="N74" s="50"/>
      <c r="O74" s="50"/>
      <c r="P74" s="39">
        <f>(((Table8[[#This Row],[OLD-WT]]-0.12)*Table8[[#This Row],[MELTING2]]/100)*Table8[[#This Row],[P-RATE3]])</f>
        <v>0</v>
      </c>
      <c r="Q74" s="50"/>
      <c r="R74" s="74">
        <f t="shared" si="11"/>
        <v>0</v>
      </c>
    </row>
    <row r="75" spans="1:18" x14ac:dyDescent="0.45">
      <c r="A75" s="85">
        <v>45547</v>
      </c>
      <c r="B75" s="1" t="s">
        <v>940</v>
      </c>
      <c r="C75" s="50"/>
      <c r="D75" s="86"/>
      <c r="E75" s="87">
        <f>VLOOKUP(B75,'ALL-DATA'!A:F,2,FALSE)</f>
        <v>23.45</v>
      </c>
      <c r="F75" s="50">
        <f>VLOOKUP(B75,'ALL-DATA'!A:F,3,FALSE)</f>
        <v>91.71</v>
      </c>
      <c r="G75" s="50">
        <f>VLOOKUP(B75,'ALL-DATA'!A:F,4,FALSE)</f>
        <v>0</v>
      </c>
      <c r="H75" s="88">
        <f>VLOOKUP(B75,'ALL-DATA'!A:F,5,FALSE)</f>
        <v>0</v>
      </c>
      <c r="I75" s="88">
        <f>VLOOKUP(B75,'ALL-DATA'!A:F,6,FALSE)</f>
        <v>124000</v>
      </c>
      <c r="J75" s="56">
        <v>152000</v>
      </c>
      <c r="K75" s="60"/>
      <c r="L75" s="89">
        <f>((J75+R75)-I75)</f>
        <v>28000</v>
      </c>
      <c r="M75" s="49"/>
      <c r="N75" s="50"/>
      <c r="O75" s="50"/>
      <c r="P75" s="39">
        <f>(((Table8[[#This Row],[OLD-WT]]-0.12)*Table8[[#This Row],[MELTING2]]/100)*Table8[[#This Row],[P-RATE3]])</f>
        <v>0</v>
      </c>
      <c r="Q75" s="50"/>
      <c r="R75" s="74">
        <f t="shared" si="11"/>
        <v>0</v>
      </c>
    </row>
    <row r="76" spans="1:18" x14ac:dyDescent="0.45">
      <c r="A76" s="85">
        <v>45548</v>
      </c>
      <c r="B76" s="1" t="s">
        <v>924</v>
      </c>
      <c r="C76" s="50"/>
      <c r="D76" s="86"/>
      <c r="E76" s="87">
        <f>VLOOKUP(B76,'ALL-DATA'!A:F,2,FALSE)</f>
        <v>0</v>
      </c>
      <c r="F76" s="50">
        <f>VLOOKUP(B76,'ALL-DATA'!A:F,3,FALSE)</f>
        <v>0</v>
      </c>
      <c r="G76" s="50">
        <f>VLOOKUP(B76,'ALL-DATA'!A:F,4,FALSE)</f>
        <v>0</v>
      </c>
      <c r="H76" s="88">
        <f>VLOOKUP(B76,'ALL-DATA'!A:F,5,FALSE)</f>
        <v>0</v>
      </c>
      <c r="I76" s="88">
        <f>VLOOKUP(B76,'ALL-DATA'!A:F,6,FALSE)</f>
        <v>3300</v>
      </c>
      <c r="J76" s="56">
        <v>4500</v>
      </c>
      <c r="K76" s="60"/>
      <c r="L76" s="89">
        <f t="shared" si="15"/>
        <v>1200</v>
      </c>
      <c r="M76" s="49"/>
      <c r="N76" s="50"/>
      <c r="O76" s="50"/>
      <c r="P76" s="39">
        <f>(((Table8[[#This Row],[OLD-WT]]-0.12)*Table8[[#This Row],[MELTING2]]/100)*Table8[[#This Row],[P-RATE3]])</f>
        <v>0</v>
      </c>
      <c r="Q76" s="50"/>
      <c r="R76" s="74">
        <f t="shared" si="11"/>
        <v>0</v>
      </c>
    </row>
    <row r="77" spans="1:18" x14ac:dyDescent="0.45">
      <c r="A77" s="85">
        <v>45548</v>
      </c>
      <c r="B77" s="145" t="s">
        <v>925</v>
      </c>
      <c r="C77" s="50"/>
      <c r="D77" s="86"/>
      <c r="E77" s="87">
        <f>VLOOKUP(B77,'ALL-DATA'!A:F,2,FALSE)</f>
        <v>0</v>
      </c>
      <c r="F77" s="50">
        <f>VLOOKUP(B77,'ALL-DATA'!A:F,3,FALSE)</f>
        <v>0</v>
      </c>
      <c r="G77" s="50">
        <f>VLOOKUP(B77,'ALL-DATA'!A:F,4,FALSE)</f>
        <v>0</v>
      </c>
      <c r="H77" s="88">
        <f>VLOOKUP(B77,'ALL-DATA'!A:F,5,FALSE)</f>
        <v>0</v>
      </c>
      <c r="I77" s="88">
        <f>VLOOKUP(B77,'ALL-DATA'!A:F,6,FALSE)</f>
        <v>900</v>
      </c>
      <c r="J77" s="56">
        <v>1600</v>
      </c>
      <c r="K77" s="60"/>
      <c r="L77" s="89">
        <f t="shared" si="15"/>
        <v>700</v>
      </c>
      <c r="M77" s="49"/>
      <c r="N77" s="50"/>
      <c r="O77" s="50"/>
      <c r="P77" s="39">
        <f>(((Table8[[#This Row],[OLD-WT]]-0.12)*Table8[[#This Row],[MELTING2]]/100)*Table8[[#This Row],[P-RATE3]])</f>
        <v>0</v>
      </c>
      <c r="Q77" s="50"/>
      <c r="R77" s="74">
        <f t="shared" si="11"/>
        <v>0</v>
      </c>
    </row>
    <row r="78" spans="1:18" x14ac:dyDescent="0.45">
      <c r="A78" s="85">
        <v>45549</v>
      </c>
      <c r="B78" s="144" t="s">
        <v>947</v>
      </c>
      <c r="C78" s="50"/>
      <c r="D78" s="86"/>
      <c r="E78" s="87">
        <f>VLOOKUP(B78,'ALL-DATA'!A:F,2,FALSE)</f>
        <v>0.54</v>
      </c>
      <c r="F78" s="50">
        <f>VLOOKUP(B78,'ALL-DATA'!A:F,3,FALSE)</f>
        <v>90</v>
      </c>
      <c r="G78" s="50">
        <f>VLOOKUP(B78,'ALL-DATA'!A:F,4,FALSE)</f>
        <v>0</v>
      </c>
      <c r="H78" s="88">
        <f>VLOOKUP(B78,'ALL-DATA'!A:F,5,FALSE)</f>
        <v>7000</v>
      </c>
      <c r="I78" s="88">
        <f>VLOOKUP(B78,'ALL-DATA'!A:F,6,FALSE)</f>
        <v>3402</v>
      </c>
      <c r="J78" s="56">
        <v>4200</v>
      </c>
      <c r="K78" s="60"/>
      <c r="L78" s="89">
        <f t="shared" si="15"/>
        <v>798</v>
      </c>
      <c r="M78" s="49"/>
      <c r="N78" s="50"/>
      <c r="O78" s="50"/>
      <c r="P78" s="39">
        <f>(((Table8[[#This Row],[OLD-WT]]-0.12)*Table8[[#This Row],[MELTING2]]/100)*Table8[[#This Row],[P-RATE3]])</f>
        <v>0</v>
      </c>
      <c r="Q78" s="50"/>
      <c r="R78" s="74">
        <f t="shared" si="11"/>
        <v>0</v>
      </c>
    </row>
    <row r="79" spans="1:18" x14ac:dyDescent="0.45">
      <c r="A79" s="85">
        <v>45550</v>
      </c>
      <c r="B79" s="50" t="str">
        <f>C79&amp;D79</f>
        <v>S-RING-122</v>
      </c>
      <c r="C79" s="50" t="s">
        <v>732</v>
      </c>
      <c r="D79" s="86" t="s">
        <v>949</v>
      </c>
      <c r="E79" s="87">
        <f>VLOOKUP(B79,'ALL-DATA'!A:F,2,FALSE)</f>
        <v>1.26</v>
      </c>
      <c r="F79" s="50">
        <f>VLOOKUP(B79,'ALL-DATA'!A:F,3,FALSE)</f>
        <v>92.5</v>
      </c>
      <c r="G79" s="50">
        <f>VLOOKUP(B79,'ALL-DATA'!A:F,4,FALSE)</f>
        <v>92.5</v>
      </c>
      <c r="H79" s="88">
        <f>VLOOKUP(B79,'ALL-DATA'!A:F,5,FALSE)</f>
        <v>127</v>
      </c>
      <c r="I79" s="88">
        <f>VLOOKUP(B79,'ALL-DATA'!A:F,6,FALSE)</f>
        <v>160.02000000000001</v>
      </c>
      <c r="J79" s="56">
        <v>170</v>
      </c>
      <c r="K79" s="60"/>
      <c r="L79" s="89">
        <f t="shared" si="15"/>
        <v>9.9799999999999898</v>
      </c>
      <c r="M79" s="49"/>
      <c r="N79" s="50"/>
      <c r="O79" s="50"/>
      <c r="P79" s="39">
        <f>(((Table8[[#This Row],[OLD-WT]]-0.12)*Table8[[#This Row],[MELTING2]]/100)*Table8[[#This Row],[P-RATE3]])</f>
        <v>0</v>
      </c>
      <c r="Q79" s="50"/>
      <c r="R79" s="74">
        <f t="shared" si="11"/>
        <v>0</v>
      </c>
    </row>
    <row r="80" spans="1:18" x14ac:dyDescent="0.45">
      <c r="A80" s="85">
        <v>45550</v>
      </c>
      <c r="B80" s="50" t="str">
        <f>C80&amp;D80</f>
        <v>S-RING-240</v>
      </c>
      <c r="C80" s="50" t="s">
        <v>732</v>
      </c>
      <c r="D80" s="86" t="s">
        <v>950</v>
      </c>
      <c r="E80" s="87">
        <f>VLOOKUP(B80,'ALL-DATA'!A:F,2,FALSE)</f>
        <v>2.02</v>
      </c>
      <c r="F80" s="50">
        <f>VLOOKUP(B80,'ALL-DATA'!A:F,3,FALSE)</f>
        <v>92.5</v>
      </c>
      <c r="G80" s="50">
        <f>VLOOKUP(B80,'ALL-DATA'!A:F,4,FALSE)</f>
        <v>92.5</v>
      </c>
      <c r="H80" s="88">
        <f>VLOOKUP(B80,'ALL-DATA'!A:F,5,FALSE)</f>
        <v>135</v>
      </c>
      <c r="I80" s="88">
        <f>VLOOKUP(B80,'ALL-DATA'!A:F,6,FALSE)</f>
        <v>272.7</v>
      </c>
      <c r="J80" s="56">
        <v>260</v>
      </c>
      <c r="K80" s="60"/>
      <c r="L80" s="89">
        <f t="shared" si="15"/>
        <v>-12.699999999999989</v>
      </c>
      <c r="M80" s="49"/>
      <c r="N80" s="50"/>
      <c r="O80" s="50"/>
      <c r="P80" s="39">
        <f>(((Table8[[#This Row],[OLD-WT]]-0.12)*Table8[[#This Row],[MELTING2]]/100)*Table8[[#This Row],[P-RATE3]])</f>
        <v>0</v>
      </c>
      <c r="Q80" s="50"/>
      <c r="R80" s="74">
        <f t="shared" si="11"/>
        <v>0</v>
      </c>
    </row>
    <row r="81" spans="1:18" x14ac:dyDescent="0.45">
      <c r="A81" s="85">
        <v>45551</v>
      </c>
      <c r="B81" s="50" t="str">
        <f>C81&amp;D81</f>
        <v>G-TLI-MNI-THAYTH-5</v>
      </c>
      <c r="C81" s="50" t="s">
        <v>724</v>
      </c>
      <c r="D81" s="86" t="s">
        <v>876</v>
      </c>
      <c r="E81" s="87">
        <f>VLOOKUP(B81,'ALL-DATA'!A:F,2,FALSE)</f>
        <v>1.05</v>
      </c>
      <c r="F81" s="50">
        <f>VLOOKUP(B81,'ALL-DATA'!A:F,3,FALSE)</f>
        <v>84</v>
      </c>
      <c r="G81" s="50">
        <f>VLOOKUP(B81,'ALL-DATA'!A:F,4,FALSE)</f>
        <v>-7</v>
      </c>
      <c r="H81" s="88">
        <f>VLOOKUP(B81,'ALL-DATA'!A:F,5,FALSE)</f>
        <v>7218.2</v>
      </c>
      <c r="I81" s="88">
        <f>VLOOKUP(B81,'ALL-DATA'!A:F,6,FALSE)</f>
        <v>6366.4524000000001</v>
      </c>
      <c r="J81" s="56">
        <v>7400</v>
      </c>
      <c r="K81" s="60"/>
      <c r="L81" s="89">
        <f t="shared" ref="L81:L84" si="16">((J81+R81)-I81)</f>
        <v>1033.5475999999999</v>
      </c>
      <c r="M81" s="49"/>
      <c r="N81" s="50"/>
      <c r="O81" s="50"/>
      <c r="P81" s="39">
        <f>(((Table8[[#This Row],[OLD-WT]]-0.12)*Table8[[#This Row],[MELTING2]]/100)*Table8[[#This Row],[P-RATE3]])</f>
        <v>0</v>
      </c>
      <c r="Q81" s="50"/>
      <c r="R81" s="74">
        <f t="shared" si="11"/>
        <v>0</v>
      </c>
    </row>
    <row r="82" spans="1:18" x14ac:dyDescent="0.45">
      <c r="A82" s="85">
        <v>45551</v>
      </c>
      <c r="B82" s="33" t="s">
        <v>974</v>
      </c>
      <c r="C82" s="50"/>
      <c r="D82" s="86"/>
      <c r="E82" s="87">
        <f>VLOOKUP(B82,'ALL-DATA'!A:F,2,FALSE)</f>
        <v>6.05</v>
      </c>
      <c r="F82" s="50">
        <f>VLOOKUP(B82,'ALL-DATA'!A:F,3,FALSE)</f>
        <v>80</v>
      </c>
      <c r="G82" s="50">
        <f>VLOOKUP(B82,'ALL-DATA'!A:F,4,FALSE)</f>
        <v>0</v>
      </c>
      <c r="H82" s="88">
        <f>VLOOKUP(B82,'ALL-DATA'!A:F,5,FALSE)</f>
        <v>90</v>
      </c>
      <c r="I82" s="88">
        <f>VLOOKUP(B82,'ALL-DATA'!A:F,6,FALSE)</f>
        <v>435.59999999999997</v>
      </c>
      <c r="J82" s="56">
        <v>600</v>
      </c>
      <c r="K82" s="60"/>
      <c r="L82" s="89">
        <f t="shared" si="16"/>
        <v>164.40000000000003</v>
      </c>
      <c r="M82" s="49"/>
      <c r="N82" s="50"/>
      <c r="O82" s="50"/>
      <c r="P82" s="39">
        <f>(((Table8[[#This Row],[OLD-WT]]-0.12)*Table8[[#This Row],[MELTING2]]/100)*Table8[[#This Row],[P-RATE3]])</f>
        <v>0</v>
      </c>
      <c r="Q82" s="50"/>
      <c r="R82" s="74">
        <f t="shared" si="11"/>
        <v>0</v>
      </c>
    </row>
    <row r="83" spans="1:18" x14ac:dyDescent="0.45">
      <c r="A83" s="85">
        <v>45551</v>
      </c>
      <c r="B83" s="50" t="str">
        <f t="shared" ref="B83:B88" si="17">C83&amp;D83</f>
        <v>S-RING-27</v>
      </c>
      <c r="C83" s="50" t="s">
        <v>732</v>
      </c>
      <c r="D83" s="86" t="s">
        <v>975</v>
      </c>
      <c r="E83" s="87">
        <f>VLOOKUP(B83,'ALL-DATA'!A:F,2,FALSE)</f>
        <v>3.31</v>
      </c>
      <c r="F83" s="50">
        <f>VLOOKUP(B83,'ALL-DATA'!A:F,3,FALSE)</f>
        <v>92.5</v>
      </c>
      <c r="G83" s="50">
        <f>VLOOKUP(B83,'ALL-DATA'!A:F,4,FALSE)</f>
        <v>92.5</v>
      </c>
      <c r="H83" s="88">
        <f>VLOOKUP(B83,'ALL-DATA'!A:F,5,FALSE)</f>
        <v>140</v>
      </c>
      <c r="I83" s="88">
        <f>VLOOKUP(B83,'ALL-DATA'!A:F,6,FALSE)</f>
        <v>463.40000000000003</v>
      </c>
      <c r="J83" s="56">
        <v>770</v>
      </c>
      <c r="K83" s="60"/>
      <c r="L83" s="89">
        <f t="shared" si="16"/>
        <v>306.59999999999997</v>
      </c>
      <c r="M83" s="49"/>
      <c r="N83" s="50"/>
      <c r="O83" s="50"/>
      <c r="P83" s="39">
        <f>(((Table8[[#This Row],[OLD-WT]]-0.12)*Table8[[#This Row],[MELTING2]]/100)*Table8[[#This Row],[P-RATE3]])</f>
        <v>0</v>
      </c>
      <c r="Q83" s="50"/>
      <c r="R83" s="74">
        <f t="shared" si="11"/>
        <v>0</v>
      </c>
    </row>
    <row r="84" spans="1:18" x14ac:dyDescent="0.45">
      <c r="A84" s="85">
        <v>45551</v>
      </c>
      <c r="B84" s="50" t="str">
        <f t="shared" si="17"/>
        <v>S-RING-41</v>
      </c>
      <c r="C84" s="50" t="s">
        <v>732</v>
      </c>
      <c r="D84" s="86" t="s">
        <v>976</v>
      </c>
      <c r="E84" s="87">
        <f>VLOOKUP(B84,'ALL-DATA'!A:F,2,FALSE)</f>
        <v>1.7</v>
      </c>
      <c r="F84" s="50">
        <f>VLOOKUP(B84,'ALL-DATA'!A:F,3,FALSE)</f>
        <v>92.5</v>
      </c>
      <c r="G84" s="50">
        <f>VLOOKUP(B84,'ALL-DATA'!A:F,4,FALSE)</f>
        <v>92.5</v>
      </c>
      <c r="H84" s="88">
        <f>VLOOKUP(B84,'ALL-DATA'!A:F,5,FALSE)</f>
        <v>140</v>
      </c>
      <c r="I84" s="88">
        <f>VLOOKUP(B84,'ALL-DATA'!A:F,6,FALSE)</f>
        <v>238</v>
      </c>
      <c r="J84" s="56">
        <v>330</v>
      </c>
      <c r="K84" s="60"/>
      <c r="L84" s="89">
        <f t="shared" si="16"/>
        <v>92</v>
      </c>
      <c r="M84" s="49"/>
      <c r="N84" s="50"/>
      <c r="O84" s="50"/>
      <c r="P84" s="39">
        <f>(((Table8[[#This Row],[OLD-WT]]-0.12)*Table8[[#This Row],[MELTING2]]/100)*Table8[[#This Row],[P-RATE3]])</f>
        <v>0</v>
      </c>
      <c r="Q84" s="50"/>
      <c r="R84" s="74">
        <f t="shared" si="11"/>
        <v>0</v>
      </c>
    </row>
    <row r="85" spans="1:18" x14ac:dyDescent="0.45">
      <c r="A85" s="85">
        <v>45553</v>
      </c>
      <c r="B85" s="50" t="str">
        <f t="shared" si="17"/>
        <v>G-STUD-6</v>
      </c>
      <c r="C85" s="50" t="s">
        <v>721</v>
      </c>
      <c r="D85" s="86" t="s">
        <v>987</v>
      </c>
      <c r="E85" s="87">
        <f>VLOOKUP(B85,'ALL-DATA'!A:F,2,FALSE)</f>
        <v>1.23</v>
      </c>
      <c r="F85" s="50">
        <f>VLOOKUP(B85,'ALL-DATA'!A:F,3,FALSE)</f>
        <v>97</v>
      </c>
      <c r="G85" s="50">
        <f>VLOOKUP(B85,'ALL-DATA'!A:F,4,FALSE)</f>
        <v>-5</v>
      </c>
      <c r="H85" s="88">
        <f>VLOOKUP(B85,'ALL-DATA'!A:F,5,FALSE)</f>
        <v>7218.2</v>
      </c>
      <c r="I85" s="88">
        <f>VLOOKUP(B85,'ALL-DATA'!A:F,6,FALSE)</f>
        <v>8612.03442</v>
      </c>
      <c r="J85" s="56">
        <v>9900</v>
      </c>
      <c r="K85" s="60"/>
      <c r="L85" s="89">
        <f>((J85+R85)-I85)</f>
        <v>1287.96558</v>
      </c>
      <c r="M85" s="49"/>
      <c r="N85" s="50"/>
      <c r="O85" s="50"/>
      <c r="P85" s="39">
        <f>((((((Table8[[#This Row],[OLD-WT]]-(Table8[[#This Row],[OLD-WT]]*1%))*Table8[[#This Row],[MELTING2]])/100))*80)/100)*Table8[[#This Row],[P-RATE3]]</f>
        <v>0</v>
      </c>
      <c r="Q85" s="50"/>
      <c r="R85" s="74">
        <f t="shared" si="11"/>
        <v>0</v>
      </c>
    </row>
    <row r="86" spans="1:18" ht="24.6" customHeight="1" x14ac:dyDescent="0.45">
      <c r="A86" s="85">
        <v>45553</v>
      </c>
      <c r="B86" s="50" t="str">
        <f t="shared" si="17"/>
        <v>S-B-KOLUSU--12</v>
      </c>
      <c r="C86" s="50" t="s">
        <v>728</v>
      </c>
      <c r="D86" s="86" t="s">
        <v>988</v>
      </c>
      <c r="E86" s="87">
        <f>VLOOKUP(B86,'ALL-DATA'!A:F,2,FALSE)</f>
        <v>38.58</v>
      </c>
      <c r="F86" s="50">
        <f>VLOOKUP(B86,'ALL-DATA'!A:F,3,FALSE)</f>
        <v>65</v>
      </c>
      <c r="G86" s="50">
        <f>VLOOKUP(B86,'ALL-DATA'!A:F,4,FALSE)</f>
        <v>-10</v>
      </c>
      <c r="H86" s="88">
        <f>VLOOKUP(B86,'ALL-DATA'!A:F,5,FALSE)</f>
        <v>89</v>
      </c>
      <c r="I86" s="88">
        <f>VLOOKUP(B86,'ALL-DATA'!A:F,6,FALSE)</f>
        <v>2231.8530000000001</v>
      </c>
      <c r="J86" s="56">
        <v>4000</v>
      </c>
      <c r="K86" s="60"/>
      <c r="L86" s="89">
        <f>((J86+R86)-I86)</f>
        <v>1768.1469999999999</v>
      </c>
      <c r="M86" s="49"/>
      <c r="N86" s="50"/>
      <c r="O86" s="50"/>
      <c r="P86" s="39">
        <f>((((((Table8[[#This Row],[OLD-WT]]-(Table8[[#This Row],[OLD-WT]]*1%))*Table8[[#This Row],[MELTING2]])/100))*80)/100)*Table8[[#This Row],[P-RATE3]]</f>
        <v>0</v>
      </c>
      <c r="Q86" s="50"/>
      <c r="R86" s="74">
        <f t="shared" si="11"/>
        <v>0</v>
      </c>
    </row>
    <row r="87" spans="1:18" x14ac:dyDescent="0.45">
      <c r="A87" s="85">
        <v>45553</v>
      </c>
      <c r="B87" s="50" t="str">
        <f t="shared" si="17"/>
        <v>S-BANGLE-4</v>
      </c>
      <c r="C87" s="50" t="s">
        <v>989</v>
      </c>
      <c r="D87" s="86" t="s">
        <v>774</v>
      </c>
      <c r="E87" s="87">
        <f>VLOOKUP(B87,'ALL-DATA'!A:F,2,FALSE)</f>
        <v>24.95</v>
      </c>
      <c r="F87" s="50">
        <f>VLOOKUP(B87,'ALL-DATA'!A:F,3,FALSE)</f>
        <v>65</v>
      </c>
      <c r="G87" s="50">
        <f>VLOOKUP(B87,'ALL-DATA'!A:F,4,FALSE)</f>
        <v>60.9</v>
      </c>
      <c r="H87" s="88">
        <f>VLOOKUP(B87,'ALL-DATA'!A:F,5,FALSE)</f>
        <v>88.1</v>
      </c>
      <c r="I87" s="88">
        <f>VLOOKUP(B87,'ALL-DATA'!A:F,6,FALSE)</f>
        <v>1678.2617499999999</v>
      </c>
      <c r="J87" s="56">
        <v>3000</v>
      </c>
      <c r="K87" s="60"/>
      <c r="L87" s="89">
        <f>((J87+R87)-I87)</f>
        <v>1493.0134500000001</v>
      </c>
      <c r="M87" s="49">
        <v>90.45</v>
      </c>
      <c r="N87" s="50">
        <v>80</v>
      </c>
      <c r="O87" s="50">
        <v>85</v>
      </c>
      <c r="P87" s="39">
        <f>((((((Table8[[#This Row],[OLD-WT]]-(Table8[[#This Row],[OLD-WT]]*1%))*Table8[[#This Row],[MELTING2]])/100))*80)/100)*Table8[[#This Row],[P-RATE3]]</f>
        <v>4871.2752</v>
      </c>
      <c r="Q87" s="50">
        <v>4700</v>
      </c>
      <c r="R87" s="74">
        <f t="shared" si="11"/>
        <v>171.27520000000004</v>
      </c>
    </row>
    <row r="88" spans="1:18" x14ac:dyDescent="0.45">
      <c r="A88" s="85">
        <v>45553</v>
      </c>
      <c r="B88" s="50" t="str">
        <f t="shared" si="17"/>
        <v>S-B-KOLUSU--27</v>
      </c>
      <c r="C88" s="50" t="s">
        <v>728</v>
      </c>
      <c r="D88" s="86" t="s">
        <v>975</v>
      </c>
      <c r="E88" s="87">
        <f>VLOOKUP(B88,'ALL-DATA'!A:F,2,FALSE)</f>
        <v>47.48</v>
      </c>
      <c r="F88" s="50">
        <f>VLOOKUP(B88,'ALL-DATA'!A:F,3,FALSE)</f>
        <v>65</v>
      </c>
      <c r="G88" s="50">
        <f>VLOOKUP(B88,'ALL-DATA'!A:F,4,FALSE)</f>
        <v>-10</v>
      </c>
      <c r="H88" s="88">
        <f>VLOOKUP(B88,'ALL-DATA'!A:F,5,FALSE)</f>
        <v>89</v>
      </c>
      <c r="I88" s="88">
        <f>VLOOKUP(B88,'ALL-DATA'!A:F,6,FALSE)</f>
        <v>2746.7179999999998</v>
      </c>
      <c r="J88" s="56">
        <f>5150-300</f>
        <v>4850</v>
      </c>
      <c r="K88" s="60"/>
      <c r="L88" s="89">
        <f>((J88+R88)-I88)-I89</f>
        <v>1928.8395800000005</v>
      </c>
      <c r="M88" s="49">
        <v>77.430000000000007</v>
      </c>
      <c r="N88" s="50">
        <v>80</v>
      </c>
      <c r="O88" s="50">
        <v>85</v>
      </c>
      <c r="P88" s="39">
        <f>((((((Table8[[#This Row],[OLD-WT]]-(Table8[[#This Row],[OLD-WT]]*1%))*Table8[[#This Row],[MELTING2]])/100))*80)/100)*Table8[[#This Row],[P-RATE3]]</f>
        <v>4170.0700800000004</v>
      </c>
      <c r="Q88" s="50">
        <v>4150</v>
      </c>
      <c r="R88" s="74">
        <f t="shared" si="11"/>
        <v>20.070080000000416</v>
      </c>
    </row>
    <row r="89" spans="1:18" x14ac:dyDescent="0.45">
      <c r="A89" s="85">
        <v>45553</v>
      </c>
      <c r="B89" s="133" t="s">
        <v>895</v>
      </c>
      <c r="C89" s="50"/>
      <c r="D89" s="86"/>
      <c r="E89" s="87">
        <f>VLOOKUP(B89,'ALL-DATA'!A:F,2,FALSE)</f>
        <v>3.5</v>
      </c>
      <c r="F89" s="50">
        <f>VLOOKUP(B89,'ALL-DATA'!A:F,3,FALSE)</f>
        <v>65</v>
      </c>
      <c r="G89" s="50">
        <f>VLOOKUP(B89,'ALL-DATA'!A:F,4,FALSE)</f>
        <v>0</v>
      </c>
      <c r="H89" s="88">
        <f>VLOOKUP(B89,'ALL-DATA'!A:F,5,FALSE)</f>
        <v>85.5</v>
      </c>
      <c r="I89" s="88">
        <f>VLOOKUP(B89,'ALL-DATA'!A:F,6,FALSE)</f>
        <v>194.51249999999999</v>
      </c>
      <c r="J89" s="56"/>
      <c r="K89" s="60"/>
      <c r="L89" s="89"/>
      <c r="M89" s="49"/>
      <c r="N89" s="50"/>
      <c r="O89" s="50"/>
      <c r="P89" s="39">
        <f>((((((Table8[[#This Row],[OLD-WT]]-(Table8[[#This Row],[OLD-WT]]*1%))*Table8[[#This Row],[MELTING2]])/100))*80)/100)*Table8[[#This Row],[P-RATE3]]</f>
        <v>0</v>
      </c>
      <c r="Q89" s="50"/>
      <c r="R89" s="74">
        <f t="shared" si="11"/>
        <v>0</v>
      </c>
    </row>
    <row r="90" spans="1:18" x14ac:dyDescent="0.45">
      <c r="A90" s="85">
        <v>45554</v>
      </c>
      <c r="B90" s="50" t="str">
        <f t="shared" ref="B90:B98" si="18">C90&amp;D90</f>
        <v>S-KAPPU-N-24</v>
      </c>
      <c r="C90" s="50" t="s">
        <v>740</v>
      </c>
      <c r="D90" s="86" t="s">
        <v>868</v>
      </c>
      <c r="E90" s="87">
        <f>VLOOKUP(B90,'ALL-DATA'!A:F,2,FALSE)</f>
        <v>30.91</v>
      </c>
      <c r="F90" s="50">
        <f>VLOOKUP(B90,'ALL-DATA'!A:F,3,FALSE)</f>
        <v>82</v>
      </c>
      <c r="G90" s="50">
        <f>VLOOKUP(B90,'ALL-DATA'!A:F,4,FALSE)</f>
        <v>7</v>
      </c>
      <c r="H90" s="88">
        <f>VLOOKUP(B90,'ALL-DATA'!A:F,5,FALSE)</f>
        <v>88.6</v>
      </c>
      <c r="I90" s="88">
        <f>VLOOKUP(B90,'ALL-DATA'!A:F,6,FALSE)</f>
        <v>2285.6733199999999</v>
      </c>
      <c r="J90" s="56">
        <v>3000</v>
      </c>
      <c r="K90" s="60"/>
      <c r="L90" s="89">
        <f t="shared" ref="L90:L96" si="19">((J90+R90)-I90)</f>
        <v>714.32668000000012</v>
      </c>
      <c r="M90" s="49"/>
      <c r="N90" s="50"/>
      <c r="O90" s="50"/>
      <c r="P90" s="39">
        <f>((((((Table8[[#This Row],[OLD-WT]]-(Table8[[#This Row],[OLD-WT]]*1%))*Table8[[#This Row],[MELTING2]])/100))*80)/100)*Table8[[#This Row],[P-RATE3]]</f>
        <v>0</v>
      </c>
      <c r="Q90" s="50"/>
      <c r="R90" s="74">
        <f t="shared" si="11"/>
        <v>0</v>
      </c>
    </row>
    <row r="91" spans="1:18" x14ac:dyDescent="0.45">
      <c r="A91" s="85">
        <v>45559</v>
      </c>
      <c r="B91" s="50" t="str">
        <f t="shared" si="18"/>
        <v>S-KAPPU-N-19</v>
      </c>
      <c r="C91" s="50" t="s">
        <v>740</v>
      </c>
      <c r="D91" s="86" t="s">
        <v>1002</v>
      </c>
      <c r="E91" s="87">
        <f>VLOOKUP(B91,'ALL-DATA'!A:F,2,FALSE)</f>
        <v>22.15</v>
      </c>
      <c r="F91" s="50">
        <f>VLOOKUP(B91,'ALL-DATA'!A:F,3,FALSE)</f>
        <v>85</v>
      </c>
      <c r="G91" s="50">
        <f>VLOOKUP(B91,'ALL-DATA'!A:F,4,FALSE)</f>
        <v>20</v>
      </c>
      <c r="H91" s="88">
        <f>VLOOKUP(B91,'ALL-DATA'!A:F,5,FALSE)</f>
        <v>83.19</v>
      </c>
      <c r="I91" s="88">
        <f>VLOOKUP(B91,'ALL-DATA'!A:F,6,FALSE)</f>
        <v>1566.2597249999997</v>
      </c>
      <c r="J91" s="56">
        <v>2450</v>
      </c>
      <c r="K91" s="60"/>
      <c r="L91" s="89">
        <f t="shared" si="19"/>
        <v>883.74027500000034</v>
      </c>
      <c r="M91" s="49"/>
      <c r="N91" s="50"/>
      <c r="O91" s="50"/>
      <c r="P91" s="39">
        <f>((((((Table8[[#This Row],[OLD-WT]]-(Table8[[#This Row],[OLD-WT]]*1%))*Table8[[#This Row],[MELTING2]])/100))*80)/100)*Table8[[#This Row],[P-RATE3]]</f>
        <v>0</v>
      </c>
      <c r="Q91" s="50"/>
      <c r="R91" s="74">
        <f t="shared" si="11"/>
        <v>0</v>
      </c>
    </row>
    <row r="92" spans="1:18" x14ac:dyDescent="0.45">
      <c r="A92" s="85">
        <v>45559</v>
      </c>
      <c r="B92" s="50" t="str">
        <f t="shared" si="18"/>
        <v>S-BARACELET-G-92.5-3</v>
      </c>
      <c r="C92" s="50" t="s">
        <v>739</v>
      </c>
      <c r="D92" s="86" t="s">
        <v>1003</v>
      </c>
      <c r="E92" s="87">
        <f>VLOOKUP(B92,'ALL-DATA'!A:F,2,FALSE)</f>
        <v>7.52</v>
      </c>
      <c r="F92" s="50">
        <f>VLOOKUP(B92,'ALL-DATA'!A:F,3,FALSE)</f>
        <v>92.5</v>
      </c>
      <c r="G92" s="50">
        <f>VLOOKUP(B92,'ALL-DATA'!A:F,4,FALSE)</f>
        <v>-71.5</v>
      </c>
      <c r="H92" s="88">
        <f>VLOOKUP(B92,'ALL-DATA'!A:F,5,FALSE)</f>
        <v>127</v>
      </c>
      <c r="I92" s="88">
        <f>VLOOKUP(B92,'ALL-DATA'!A:F,6,FALSE)</f>
        <v>955.04</v>
      </c>
      <c r="J92" s="56">
        <v>1550</v>
      </c>
      <c r="K92" s="60"/>
      <c r="L92" s="89">
        <f>((J92+R92)-I92)</f>
        <v>594.96</v>
      </c>
      <c r="M92" s="49"/>
      <c r="N92" s="50"/>
      <c r="O92" s="50"/>
      <c r="P92" s="39">
        <f>((((((Table8[[#This Row],[OLD-WT]]-(Table8[[#This Row],[OLD-WT]]*1%))*Table8[[#This Row],[MELTING2]])/100))*80)/100)*Table8[[#This Row],[P-RATE3]]</f>
        <v>0</v>
      </c>
      <c r="Q92" s="50"/>
      <c r="R92" s="74">
        <f t="shared" si="11"/>
        <v>0</v>
      </c>
    </row>
    <row r="93" spans="1:18" x14ac:dyDescent="0.45">
      <c r="A93" s="85">
        <v>45559</v>
      </c>
      <c r="B93" s="50" t="str">
        <f t="shared" si="18"/>
        <v>S-METTI-24-09</v>
      </c>
      <c r="C93" s="50" t="s">
        <v>741</v>
      </c>
      <c r="D93" s="86" t="s">
        <v>1006</v>
      </c>
      <c r="E93" s="87">
        <v>6.25</v>
      </c>
      <c r="F93" s="50">
        <f>VLOOKUP(B93,'ALL-DATA'!A:F,3,FALSE)</f>
        <v>80</v>
      </c>
      <c r="G93" s="50">
        <f>VLOOKUP(B93,'ALL-DATA'!A:F,4,FALSE)</f>
        <v>-15</v>
      </c>
      <c r="H93" s="88">
        <f>VLOOKUP(B93,'ALL-DATA'!A:F,5,FALSE)</f>
        <v>93</v>
      </c>
      <c r="I93" s="88">
        <f>VLOOKUP(B93,'ALL-DATA'!A:F,6,FALSE)</f>
        <v>465</v>
      </c>
      <c r="J93" s="56">
        <v>850</v>
      </c>
      <c r="K93" s="60"/>
      <c r="L93" s="89">
        <f t="shared" si="19"/>
        <v>385</v>
      </c>
      <c r="M93" s="49"/>
      <c r="N93" s="50"/>
      <c r="O93" s="50"/>
      <c r="P93" s="39">
        <f>((((((Table8[[#This Row],[OLD-WT]]-(Table8[[#This Row],[OLD-WT]]*1%))*Table8[[#This Row],[MELTING2]])/100))*80)/100)*Table8[[#This Row],[P-RATE3]]</f>
        <v>0</v>
      </c>
      <c r="Q93" s="50"/>
      <c r="R93" s="74">
        <f t="shared" si="11"/>
        <v>0</v>
      </c>
    </row>
    <row r="94" spans="1:18" x14ac:dyDescent="0.45">
      <c r="A94" s="85">
        <v>45559</v>
      </c>
      <c r="B94" s="50" t="str">
        <f t="shared" si="18"/>
        <v>S-CHAIN-92.5-B-6</v>
      </c>
      <c r="C94" s="50" t="s">
        <v>736</v>
      </c>
      <c r="D94" s="86" t="s">
        <v>987</v>
      </c>
      <c r="E94" s="87">
        <f>VLOOKUP(B94,'ALL-DATA'!A:F,2,FALSE)</f>
        <v>26.8</v>
      </c>
      <c r="F94" s="50">
        <f>VLOOKUP(B94,'ALL-DATA'!A:F,3,FALSE)</f>
        <v>92.5</v>
      </c>
      <c r="G94" s="50">
        <f>VLOOKUP(B94,'ALL-DATA'!A:F,4,FALSE)</f>
        <v>-27.5</v>
      </c>
      <c r="H94" s="88">
        <f>VLOOKUP(B94,'ALL-DATA'!A:F,5,FALSE)</f>
        <v>90</v>
      </c>
      <c r="I94" s="88">
        <f>VLOOKUP(B94,'ALL-DATA'!A:F,6,FALSE)</f>
        <v>2412</v>
      </c>
      <c r="J94" s="56">
        <v>5100</v>
      </c>
      <c r="K94" s="60"/>
      <c r="L94" s="89">
        <f t="shared" si="19"/>
        <v>2688</v>
      </c>
      <c r="M94" s="49"/>
      <c r="N94" s="50"/>
      <c r="O94" s="50"/>
      <c r="P94" s="39">
        <f>((((((Table8[[#This Row],[OLD-WT]]-(Table8[[#This Row],[OLD-WT]]*1%))*Table8[[#This Row],[MELTING2]])/100))*80)/100)*Table8[[#This Row],[P-RATE3]]</f>
        <v>0</v>
      </c>
      <c r="Q94" s="50"/>
      <c r="R94" s="74">
        <f t="shared" si="11"/>
        <v>0</v>
      </c>
    </row>
    <row r="95" spans="1:18" x14ac:dyDescent="0.45">
      <c r="A95" s="85">
        <v>45559</v>
      </c>
      <c r="B95" s="50" t="str">
        <f t="shared" si="18"/>
        <v>S-DOLLER-6</v>
      </c>
      <c r="C95" s="50" t="s">
        <v>731</v>
      </c>
      <c r="D95" s="86" t="s">
        <v>987</v>
      </c>
      <c r="E95" s="87">
        <f>VLOOKUP(B95,'ALL-DATA'!A:F,2,FALSE)</f>
        <v>2.8</v>
      </c>
      <c r="F95" s="50">
        <f>VLOOKUP(B95,'ALL-DATA'!A:F,3,FALSE)</f>
        <v>92.5</v>
      </c>
      <c r="G95" s="50">
        <f>VLOOKUP(B95,'ALL-DATA'!A:F,4,FALSE)</f>
        <v>92.5</v>
      </c>
      <c r="H95" s="88">
        <f>VLOOKUP(B95,'ALL-DATA'!A:F,5,FALSE)</f>
        <v>165</v>
      </c>
      <c r="I95" s="88">
        <f>VLOOKUP(B95,'ALL-DATA'!A:F,6,FALSE)</f>
        <v>461.99999999999994</v>
      </c>
      <c r="J95" s="56">
        <v>500</v>
      </c>
      <c r="K95" s="60"/>
      <c r="L95" s="89">
        <f t="shared" si="19"/>
        <v>38.000000000000057</v>
      </c>
      <c r="M95" s="49"/>
      <c r="N95" s="50"/>
      <c r="O95" s="50"/>
      <c r="P95" s="39">
        <f>((((((Table8[[#This Row],[OLD-WT]]-(Table8[[#This Row],[OLD-WT]]*1%))*Table8[[#This Row],[MELTING2]])/100))*80)/100)*Table8[[#This Row],[P-RATE3]]</f>
        <v>0</v>
      </c>
      <c r="Q95" s="50"/>
      <c r="R95" s="74">
        <f t="shared" si="11"/>
        <v>0</v>
      </c>
    </row>
    <row r="96" spans="1:18" x14ac:dyDescent="0.45">
      <c r="A96" s="85">
        <v>45559</v>
      </c>
      <c r="B96" s="50" t="str">
        <f t="shared" si="18"/>
        <v>S-STUD-KRJ-1</v>
      </c>
      <c r="C96" s="50" t="s">
        <v>748</v>
      </c>
      <c r="D96" s="86" t="s">
        <v>788</v>
      </c>
      <c r="E96" s="87">
        <f>VLOOKUP(B96,'ALL-DATA'!A:F,2,FALSE)</f>
        <v>0</v>
      </c>
      <c r="F96" s="50">
        <f>VLOOKUP(B96,'ALL-DATA'!A:F,3,FALSE)</f>
        <v>0</v>
      </c>
      <c r="G96" s="50">
        <f>VLOOKUP(B96,'ALL-DATA'!A:F,4,FALSE)</f>
        <v>0</v>
      </c>
      <c r="H96" s="88">
        <f>VLOOKUP(B96,'ALL-DATA'!A:F,5,FALSE)</f>
        <v>0</v>
      </c>
      <c r="I96" s="88">
        <f>VLOOKUP(B96,'ALL-DATA'!A:F,6,FALSE)</f>
        <v>135</v>
      </c>
      <c r="J96" s="56">
        <v>450</v>
      </c>
      <c r="K96" s="60"/>
      <c r="L96" s="89">
        <f t="shared" si="19"/>
        <v>315</v>
      </c>
      <c r="M96" s="49"/>
      <c r="N96" s="50"/>
      <c r="O96" s="50"/>
      <c r="P96" s="39">
        <f>((((((Table8[[#This Row],[OLD-WT]]-(Table8[[#This Row],[OLD-WT]]*1%))*Table8[[#This Row],[MELTING2]])/100))*80)/100)*Table8[[#This Row],[P-RATE3]]</f>
        <v>0</v>
      </c>
      <c r="Q96" s="50"/>
      <c r="R96" s="74">
        <f t="shared" si="11"/>
        <v>0</v>
      </c>
    </row>
    <row r="97" spans="1:20" x14ac:dyDescent="0.45">
      <c r="A97" s="85">
        <v>45561</v>
      </c>
      <c r="B97" s="50" t="str">
        <f t="shared" si="18"/>
        <v>S-B-KOLUSU--54</v>
      </c>
      <c r="C97" s="50" t="s">
        <v>728</v>
      </c>
      <c r="D97" s="86" t="s">
        <v>795</v>
      </c>
      <c r="E97" s="87">
        <f>VLOOKUP(B97,'ALL-DATA'!A:F,2,FALSE)</f>
        <v>46.07</v>
      </c>
      <c r="F97" s="50">
        <f>VLOOKUP(B97,'ALL-DATA'!A:F,3,FALSE)</f>
        <v>74.03</v>
      </c>
      <c r="G97" s="50">
        <f>VLOOKUP(B97,'ALL-DATA'!A:F,4,FALSE)</f>
        <v>-14.030000000000001</v>
      </c>
      <c r="H97" s="88">
        <f>VLOOKUP(B97,'ALL-DATA'!A:F,5,FALSE)</f>
        <v>90</v>
      </c>
      <c r="I97" s="88">
        <f>VLOOKUP(B97,'ALL-DATA'!A:F,6,FALSE)</f>
        <v>3069.5058899999999</v>
      </c>
      <c r="J97" s="56">
        <v>5150</v>
      </c>
      <c r="K97" s="60"/>
      <c r="L97" s="89">
        <f>((J97+R97)-I97)-I99</f>
        <v>1582.80081</v>
      </c>
      <c r="M97" s="49">
        <v>50.8</v>
      </c>
      <c r="N97" s="50">
        <v>80</v>
      </c>
      <c r="O97" s="50">
        <v>90</v>
      </c>
      <c r="P97" s="39">
        <f>((((((Table8[[#This Row],[OLD-WT]]-(Table8[[#This Row],[OLD-WT]]*1%))*Table8[[#This Row],[MELTING2]])/100))*80)/100)*Table8[[#This Row],[P-RATE3]]</f>
        <v>2896.8191999999995</v>
      </c>
      <c r="Q97" s="50">
        <v>3200</v>
      </c>
      <c r="R97" s="74">
        <f t="shared" si="11"/>
        <v>-303.18080000000054</v>
      </c>
    </row>
    <row r="98" spans="1:20" x14ac:dyDescent="0.45">
      <c r="A98" s="85">
        <v>45561</v>
      </c>
      <c r="B98" s="50" t="str">
        <f t="shared" si="18"/>
        <v>S-METTI-26-09</v>
      </c>
      <c r="C98" s="50" t="s">
        <v>741</v>
      </c>
      <c r="D98" s="86" t="s">
        <v>1007</v>
      </c>
      <c r="E98" s="87">
        <f>VLOOKUP(B98,'ALL-DATA'!A:F,2,FALSE)</f>
        <v>6.07</v>
      </c>
      <c r="F98" s="50">
        <f>VLOOKUP(B98,'ALL-DATA'!A:F,3,FALSE)</f>
        <v>80</v>
      </c>
      <c r="G98" s="50">
        <f>VLOOKUP(B98,'ALL-DATA'!A:F,4,FALSE)</f>
        <v>-15</v>
      </c>
      <c r="H98" s="88">
        <f>VLOOKUP(B98,'ALL-DATA'!A:F,5,FALSE)</f>
        <v>93</v>
      </c>
      <c r="I98" s="88">
        <f>VLOOKUP(B98,'ALL-DATA'!A:F,6,FALSE)</f>
        <v>451.608</v>
      </c>
      <c r="J98" s="56">
        <v>750</v>
      </c>
      <c r="K98" s="60"/>
      <c r="L98" s="89">
        <f>((J98+R98)-I98)</f>
        <v>298.392</v>
      </c>
      <c r="M98" s="49"/>
      <c r="N98" s="50"/>
      <c r="O98" s="50"/>
      <c r="P98" s="39">
        <f>(((Table8[[#This Row],[OLD-WT]]-(Table8[[#This Row],[OLD-WT]]*1%))*Table8[[#This Row],[MELTING2]])/100)*Table8[[#This Row],[P-RATE3]]</f>
        <v>0</v>
      </c>
      <c r="Q98" s="50"/>
      <c r="R98" s="74">
        <f t="shared" si="11"/>
        <v>0</v>
      </c>
    </row>
    <row r="99" spans="1:20" x14ac:dyDescent="0.45">
      <c r="A99" s="85">
        <v>45561</v>
      </c>
      <c r="B99" s="133" t="s">
        <v>895</v>
      </c>
      <c r="C99" s="50"/>
      <c r="D99" s="86"/>
      <c r="E99" s="87">
        <f>VLOOKUP(B99,'ALL-DATA'!A:F,2,FALSE)</f>
        <v>3.5</v>
      </c>
      <c r="F99" s="50">
        <f>VLOOKUP(B99,'ALL-DATA'!A:F,3,FALSE)</f>
        <v>65</v>
      </c>
      <c r="G99" s="50">
        <f>VLOOKUP(B99,'ALL-DATA'!A:F,4,FALSE)</f>
        <v>0</v>
      </c>
      <c r="H99" s="88">
        <f>VLOOKUP(B99,'ALL-DATA'!A:F,5,FALSE)</f>
        <v>85.5</v>
      </c>
      <c r="I99" s="88">
        <f>VLOOKUP(B99,'ALL-DATA'!A:F,6,FALSE)</f>
        <v>194.51249999999999</v>
      </c>
      <c r="J99" s="56"/>
      <c r="K99" s="60"/>
      <c r="L99" s="89"/>
      <c r="M99" s="49"/>
      <c r="N99" s="50"/>
      <c r="O99" s="50"/>
      <c r="P99" s="39">
        <f>(((Table8[[#This Row],[OLD-WT]]-(Table8[[#This Row],[OLD-WT]]*1%))*Table8[[#This Row],[MELTING2]])/100)*Table8[[#This Row],[P-RATE3]]</f>
        <v>0</v>
      </c>
      <c r="Q99" s="50"/>
      <c r="R99" s="74">
        <f t="shared" si="11"/>
        <v>0</v>
      </c>
    </row>
    <row r="100" spans="1:20" x14ac:dyDescent="0.45">
      <c r="A100" s="85">
        <v>45562</v>
      </c>
      <c r="B100" s="8" t="str">
        <f>C100&amp;D100</f>
        <v>S-RING-214</v>
      </c>
      <c r="C100" s="2" t="s">
        <v>732</v>
      </c>
      <c r="D100" s="61" t="s">
        <v>1009</v>
      </c>
      <c r="E100" s="62">
        <f>VLOOKUP(B100,'ALL-DATA'!A:F,2,FALSE)</f>
        <v>1.76</v>
      </c>
      <c r="F100" s="2">
        <f>VLOOKUP(B100,'ALL-DATA'!A:F,3,FALSE)</f>
        <v>92.5</v>
      </c>
      <c r="G100" s="2">
        <f>VLOOKUP(B100,'ALL-DATA'!A:F,4,FALSE)</f>
        <v>92.5</v>
      </c>
      <c r="H100" s="51">
        <f>VLOOKUP(B100,'ALL-DATA'!A:F,5,FALSE)</f>
        <v>125.57</v>
      </c>
      <c r="I100" s="51">
        <f>VLOOKUP(B100,'ALL-DATA'!A:F,6,FALSE)</f>
        <v>221.00319999999999</v>
      </c>
      <c r="J100" s="54">
        <v>400</v>
      </c>
      <c r="K100" s="57"/>
      <c r="L100" s="140">
        <f>((J100+R100)-I100)</f>
        <v>178.99680000000001</v>
      </c>
      <c r="M100" s="39"/>
      <c r="N100" s="2"/>
      <c r="O100" s="2"/>
      <c r="P100" s="39">
        <f>(((Table8[[#This Row],[OLD-WT]]-(Table8[[#This Row],[OLD-WT]]*1%))*Table8[[#This Row],[MELTING2]])/100)*Table8[[#This Row],[P-RATE3]]</f>
        <v>0</v>
      </c>
      <c r="Q100" s="2"/>
      <c r="R100" s="74">
        <f t="shared" si="11"/>
        <v>0</v>
      </c>
    </row>
    <row r="101" spans="1:20" x14ac:dyDescent="0.45">
      <c r="A101" s="85">
        <v>45562</v>
      </c>
      <c r="B101" s="97" t="s">
        <v>1010</v>
      </c>
      <c r="C101" s="50"/>
      <c r="D101" s="86" t="s">
        <v>1098</v>
      </c>
      <c r="E101" s="87">
        <v>0</v>
      </c>
      <c r="F101" s="50">
        <v>0</v>
      </c>
      <c r="G101" s="50">
        <v>0</v>
      </c>
      <c r="H101" s="88">
        <v>0</v>
      </c>
      <c r="I101" s="88">
        <v>0</v>
      </c>
      <c r="J101" s="56">
        <v>480</v>
      </c>
      <c r="K101" s="60"/>
      <c r="L101" s="89">
        <v>480</v>
      </c>
      <c r="M101" s="49"/>
      <c r="N101" s="50"/>
      <c r="O101" s="50"/>
      <c r="P101" s="39">
        <f>(((Table8[[#This Row],[OLD-WT]]-(Table8[[#This Row],[OLD-WT]]*1%))*Table8[[#This Row],[MELTING2]])/100)*Table8[[#This Row],[P-RATE3]]</f>
        <v>0</v>
      </c>
      <c r="Q101" s="50"/>
      <c r="R101" s="74">
        <f t="shared" si="11"/>
        <v>0</v>
      </c>
    </row>
    <row r="102" spans="1:20" x14ac:dyDescent="0.45">
      <c r="A102" s="85">
        <v>45563</v>
      </c>
      <c r="B102" s="50" t="str">
        <f>C102&amp;D102</f>
        <v>G-CHAIN-2</v>
      </c>
      <c r="C102" s="50" t="s">
        <v>725</v>
      </c>
      <c r="D102" s="86" t="s">
        <v>797</v>
      </c>
      <c r="E102" s="87">
        <f>VLOOKUP(B102,'ALL-DATA'!A:F,2,FALSE)</f>
        <v>8.1</v>
      </c>
      <c r="F102" s="50">
        <f>VLOOKUP(B102,'ALL-DATA'!A:F,3,FALSE)</f>
        <v>94.25</v>
      </c>
      <c r="G102" s="50">
        <f>VLOOKUP(B102,'ALL-DATA'!A:F,4,FALSE)</f>
        <v>-2.25</v>
      </c>
      <c r="H102" s="88">
        <f>VLOOKUP(B102,'ALL-DATA'!A:F,5,FALSE)</f>
        <v>7218.2</v>
      </c>
      <c r="I102" s="88">
        <f>VLOOKUP(B102,'ALL-DATA'!A:F,6,FALSE)</f>
        <v>55105.54335</v>
      </c>
      <c r="J102" s="56">
        <v>64100</v>
      </c>
      <c r="K102" s="60"/>
      <c r="L102" s="89">
        <f t="shared" ref="L102:L109" si="20">((J102+R102)-I102)</f>
        <v>8994.4566500000001</v>
      </c>
      <c r="M102" s="49"/>
      <c r="N102" s="50"/>
      <c r="O102" s="50"/>
      <c r="P102" s="39">
        <f>(((Table8[[#This Row],[OLD-WT]]-(Table8[[#This Row],[OLD-WT]]*1%))*Table8[[#This Row],[MELTING2]])/100)*Table8[[#This Row],[P-RATE3]]</f>
        <v>0</v>
      </c>
      <c r="Q102" s="50"/>
      <c r="R102" s="74">
        <f t="shared" si="11"/>
        <v>0</v>
      </c>
    </row>
    <row r="103" spans="1:20" x14ac:dyDescent="0.45">
      <c r="A103" s="85">
        <v>45563</v>
      </c>
      <c r="B103" s="50" t="s">
        <v>1011</v>
      </c>
      <c r="C103" s="50"/>
      <c r="D103" s="86"/>
      <c r="E103" s="87">
        <f>VLOOKUP(B103,'ALL-DATA'!A:F,2,FALSE)</f>
        <v>2.08</v>
      </c>
      <c r="F103" s="50">
        <f>VLOOKUP(B103,'ALL-DATA'!A:F,3,FALSE)</f>
        <v>89.5</v>
      </c>
      <c r="G103" s="50">
        <f>VLOOKUP(B103,'ALL-DATA'!A:F,4,FALSE)</f>
        <v>0</v>
      </c>
      <c r="H103" s="88">
        <f>VLOOKUP(B103,'ALL-DATA'!A:F,5,FALSE)</f>
        <v>7685</v>
      </c>
      <c r="I103" s="88">
        <f>VLOOKUP(B103,'ALL-DATA'!A:F,6,FALSE)</f>
        <v>14400</v>
      </c>
      <c r="J103" s="56">
        <v>15400</v>
      </c>
      <c r="K103" s="60"/>
      <c r="L103" s="89">
        <f t="shared" si="20"/>
        <v>1000</v>
      </c>
      <c r="M103" s="49"/>
      <c r="N103" s="50"/>
      <c r="O103" s="50"/>
      <c r="P103" s="39">
        <f>(((Table8[[#This Row],[OLD-WT]]-(Table8[[#This Row],[OLD-WT]]*1%))*Table8[[#This Row],[MELTING2]])/100)*Table8[[#This Row],[P-RATE3]]</f>
        <v>0</v>
      </c>
      <c r="Q103" s="50"/>
      <c r="R103" s="74">
        <f t="shared" si="11"/>
        <v>0</v>
      </c>
    </row>
    <row r="104" spans="1:20" x14ac:dyDescent="0.45">
      <c r="A104" s="85">
        <v>45563</v>
      </c>
      <c r="B104" s="50" t="str">
        <f>C104&amp;D104</f>
        <v>S-BARACELET-B-17</v>
      </c>
      <c r="C104" s="50" t="s">
        <v>738</v>
      </c>
      <c r="D104" s="86" t="s">
        <v>831</v>
      </c>
      <c r="E104" s="87">
        <f>VLOOKUP(B104,'ALL-DATA'!A:F,2,FALSE)</f>
        <v>24.9</v>
      </c>
      <c r="F104" s="50">
        <f>VLOOKUP(B104,'ALL-DATA'!A:F,3,FALSE)</f>
        <v>86</v>
      </c>
      <c r="G104" s="50">
        <f>VLOOKUP(B104,'ALL-DATA'!A:F,4,FALSE)</f>
        <v>-65</v>
      </c>
      <c r="H104" s="88">
        <f>VLOOKUP(B104,'ALL-DATA'!A:F,5,FALSE)</f>
        <v>90</v>
      </c>
      <c r="I104" s="88">
        <f>VLOOKUP(B104,'ALL-DATA'!A:F,6,FALSE)</f>
        <v>1927.2600000000002</v>
      </c>
      <c r="J104" s="56">
        <v>2600</v>
      </c>
      <c r="K104" s="60"/>
      <c r="L104" s="89">
        <f t="shared" si="20"/>
        <v>672.73999999999978</v>
      </c>
      <c r="M104" s="49"/>
      <c r="N104" s="50"/>
      <c r="O104" s="50"/>
      <c r="P104" s="39">
        <f>(((Table8[[#This Row],[OLD-WT]]-(Table8[[#This Row],[OLD-WT]]*1%))*Table8[[#This Row],[MELTING2]])/100)*Table8[[#This Row],[P-RATE3]]</f>
        <v>0</v>
      </c>
      <c r="Q104" s="50"/>
      <c r="R104" s="74">
        <f t="shared" si="11"/>
        <v>0</v>
      </c>
    </row>
    <row r="105" spans="1:20" x14ac:dyDescent="0.45">
      <c r="A105" s="85">
        <v>45563</v>
      </c>
      <c r="B105" s="50" t="s">
        <v>1012</v>
      </c>
      <c r="C105" s="50"/>
      <c r="D105" s="86"/>
      <c r="E105" s="87">
        <f>VLOOKUP(B105,'ALL-DATA'!A:F,2,FALSE)</f>
        <v>8.65</v>
      </c>
      <c r="F105" s="50">
        <f>VLOOKUP(B105,'ALL-DATA'!A:F,3,FALSE)</f>
        <v>85</v>
      </c>
      <c r="G105" s="50">
        <f>VLOOKUP(B105,'ALL-DATA'!A:F,4,FALSE)</f>
        <v>0</v>
      </c>
      <c r="H105" s="88">
        <f>VLOOKUP(B105,'ALL-DATA'!A:F,5,FALSE)</f>
        <v>93.5</v>
      </c>
      <c r="I105" s="88">
        <f>VLOOKUP(B105,'ALL-DATA'!A:F,6,FALSE)</f>
        <v>700</v>
      </c>
      <c r="J105" s="56">
        <v>900</v>
      </c>
      <c r="K105" s="60"/>
      <c r="L105" s="89">
        <f t="shared" si="20"/>
        <v>200</v>
      </c>
      <c r="M105" s="49"/>
      <c r="N105" s="50"/>
      <c r="O105" s="50"/>
      <c r="P105" s="39">
        <f>(((Table8[[#This Row],[OLD-WT]]-(Table8[[#This Row],[OLD-WT]]*1%))*Table8[[#This Row],[MELTING2]])/100)*Table8[[#This Row],[P-RATE3]]</f>
        <v>0</v>
      </c>
      <c r="Q105" s="50"/>
      <c r="R105" s="74">
        <f t="shared" si="11"/>
        <v>0</v>
      </c>
    </row>
    <row r="106" spans="1:20" x14ac:dyDescent="0.45">
      <c r="A106" s="85">
        <v>45563</v>
      </c>
      <c r="B106" s="50" t="str">
        <f>C106&amp;D106</f>
        <v>G-TLI-MNI-THAYTH-3</v>
      </c>
      <c r="C106" s="50" t="s">
        <v>724</v>
      </c>
      <c r="D106" s="86" t="s">
        <v>1003</v>
      </c>
      <c r="E106" s="87">
        <f>VLOOKUP(B106,'ALL-DATA'!A:F,2,FALSE)</f>
        <v>1.05</v>
      </c>
      <c r="F106" s="50">
        <f>VLOOKUP(B106,'ALL-DATA'!A:F,3,FALSE)</f>
        <v>84</v>
      </c>
      <c r="G106" s="50">
        <f>VLOOKUP(B106,'ALL-DATA'!A:F,4,FALSE)</f>
        <v>-7</v>
      </c>
      <c r="H106" s="88">
        <f>VLOOKUP(B106,'ALL-DATA'!A:F,5,FALSE)</f>
        <v>7218.2</v>
      </c>
      <c r="I106" s="88">
        <f>VLOOKUP(B106,'ALL-DATA'!A:F,6,FALSE)</f>
        <v>6366.4524000000001</v>
      </c>
      <c r="J106" s="56">
        <v>8000</v>
      </c>
      <c r="K106" s="60"/>
      <c r="L106" s="89">
        <f t="shared" si="20"/>
        <v>1633.5475999999999</v>
      </c>
      <c r="M106" s="49"/>
      <c r="N106" s="50"/>
      <c r="O106" s="50"/>
      <c r="P106" s="39">
        <f>(((Table8[[#This Row],[OLD-WT]]-(Table8[[#This Row],[OLD-WT]]*1%))*Table8[[#This Row],[MELTING2]])/100)*Table8[[#This Row],[P-RATE3]]</f>
        <v>0</v>
      </c>
      <c r="Q106" s="50"/>
      <c r="R106" s="74">
        <f t="shared" si="11"/>
        <v>0</v>
      </c>
    </row>
    <row r="107" spans="1:20" x14ac:dyDescent="0.45">
      <c r="A107" s="85">
        <v>45564</v>
      </c>
      <c r="B107" s="50" t="str">
        <f>C107&amp;D107</f>
        <v>S-RING-229</v>
      </c>
      <c r="C107" s="50" t="s">
        <v>732</v>
      </c>
      <c r="D107" s="86" t="s">
        <v>847</v>
      </c>
      <c r="E107" s="87">
        <f>VLOOKUP(B107,'ALL-DATA'!A:F,2,FALSE)</f>
        <v>3.87</v>
      </c>
      <c r="F107" s="50">
        <f>VLOOKUP(B107,'ALL-DATA'!A:F,3,FALSE)</f>
        <v>92.5</v>
      </c>
      <c r="G107" s="50">
        <f>VLOOKUP(B107,'ALL-DATA'!A:F,4,FALSE)</f>
        <v>92.5</v>
      </c>
      <c r="H107" s="88">
        <f>VLOOKUP(B107,'ALL-DATA'!A:F,5,FALSE)</f>
        <v>125.57</v>
      </c>
      <c r="I107" s="88">
        <f>VLOOKUP(B107,'ALL-DATA'!A:F,6,FALSE)</f>
        <v>485.95589999999999</v>
      </c>
      <c r="J107" s="56">
        <v>800</v>
      </c>
      <c r="K107" s="60"/>
      <c r="L107" s="89">
        <f t="shared" si="20"/>
        <v>314.04410000000001</v>
      </c>
      <c r="M107" s="49"/>
      <c r="N107" s="50"/>
      <c r="O107" s="50"/>
      <c r="P107" s="39">
        <f>(((Table8[[#This Row],[OLD-WT]]-(Table8[[#This Row],[OLD-WT]]*1%))*Table8[[#This Row],[MELTING2]])/100)*Table8[[#This Row],[P-RATE3]]</f>
        <v>0</v>
      </c>
      <c r="Q107" s="50"/>
      <c r="R107" s="74">
        <f t="shared" si="11"/>
        <v>0</v>
      </c>
    </row>
    <row r="108" spans="1:20" x14ac:dyDescent="0.45">
      <c r="A108" s="85">
        <v>45566</v>
      </c>
      <c r="B108" s="50" t="s">
        <v>1013</v>
      </c>
      <c r="C108" s="50"/>
      <c r="D108" s="86"/>
      <c r="E108" s="87">
        <f>VLOOKUP(B108,'ALL-DATA'!A:F,2,FALSE)</f>
        <v>23.5</v>
      </c>
      <c r="F108" s="50">
        <f>VLOOKUP(B108,'ALL-DATA'!A:F,3,FALSE)</f>
        <v>0</v>
      </c>
      <c r="G108" s="50">
        <f>VLOOKUP(B108,'ALL-DATA'!A:F,4,FALSE)</f>
        <v>0</v>
      </c>
      <c r="H108" s="88">
        <f>VLOOKUP(B108,'ALL-DATA'!A:F,5,FALSE)</f>
        <v>0</v>
      </c>
      <c r="I108" s="88">
        <f>VLOOKUP(B108,'ALL-DATA'!A:F,6,FALSE)</f>
        <v>2260</v>
      </c>
      <c r="J108" s="56">
        <v>3200</v>
      </c>
      <c r="K108" s="60"/>
      <c r="L108" s="89">
        <f t="shared" si="20"/>
        <v>940</v>
      </c>
      <c r="M108" s="49"/>
      <c r="N108" s="50"/>
      <c r="O108" s="50"/>
      <c r="P108" s="39">
        <f>(((Table8[[#This Row],[OLD-WT]]-(Table8[[#This Row],[OLD-WT]]*1%))*Table8[[#This Row],[MELTING2]])/100)*Table8[[#This Row],[P-RATE3]]</f>
        <v>0</v>
      </c>
      <c r="Q108" s="50"/>
      <c r="R108" s="74">
        <f t="shared" si="11"/>
        <v>0</v>
      </c>
    </row>
    <row r="109" spans="1:20" x14ac:dyDescent="0.45">
      <c r="A109" s="85">
        <v>45566</v>
      </c>
      <c r="B109" s="50" t="str">
        <f t="shared" ref="B109:B115" si="21">C109&amp;D109</f>
        <v>S-DOLLER-34</v>
      </c>
      <c r="C109" s="50" t="s">
        <v>731</v>
      </c>
      <c r="D109" s="86" t="s">
        <v>1014</v>
      </c>
      <c r="E109" s="87">
        <f>VLOOKUP(B109,'ALL-DATA'!A:F,2,FALSE)</f>
        <v>1.5</v>
      </c>
      <c r="F109" s="50">
        <f>VLOOKUP(B109,'ALL-DATA'!A:F,3,FALSE)</f>
        <v>92.5</v>
      </c>
      <c r="G109" s="50">
        <f>VLOOKUP(B109,'ALL-DATA'!A:F,4,FALSE)</f>
        <v>92.5</v>
      </c>
      <c r="H109" s="88">
        <f>VLOOKUP(B109,'ALL-DATA'!A:F,5,FALSE)</f>
        <v>175</v>
      </c>
      <c r="I109" s="88">
        <f>VLOOKUP(B109,'ALL-DATA'!A:F,6,FALSE)</f>
        <v>262.5</v>
      </c>
      <c r="J109" s="56">
        <v>425</v>
      </c>
      <c r="K109" s="60"/>
      <c r="L109" s="89">
        <f t="shared" si="20"/>
        <v>162.5</v>
      </c>
      <c r="M109" s="49"/>
      <c r="N109" s="50"/>
      <c r="O109" s="50"/>
      <c r="P109" s="39">
        <f>(((Table8[[#This Row],[OLD-WT]]-(Table8[[#This Row],[OLD-WT]]*1%))*Table8[[#This Row],[MELTING2]])/100)*Table8[[#This Row],[P-RATE3]]</f>
        <v>0</v>
      </c>
      <c r="Q109" s="50"/>
      <c r="R109" s="74">
        <f t="shared" si="11"/>
        <v>0</v>
      </c>
    </row>
    <row r="110" spans="1:20" x14ac:dyDescent="0.45">
      <c r="A110" s="85">
        <v>45566</v>
      </c>
      <c r="B110" s="50" t="str">
        <f t="shared" si="21"/>
        <v>S-DOLLER-35</v>
      </c>
      <c r="C110" s="50" t="s">
        <v>731</v>
      </c>
      <c r="D110" s="86" t="s">
        <v>1015</v>
      </c>
      <c r="E110" s="87">
        <f>VLOOKUP(B110,'ALL-DATA'!A:F,2,FALSE)</f>
        <v>1.5</v>
      </c>
      <c r="F110" s="50">
        <f>VLOOKUP(B110,'ALL-DATA'!A:F,3,FALSE)</f>
        <v>92.5</v>
      </c>
      <c r="G110" s="50">
        <f>VLOOKUP(B110,'ALL-DATA'!A:F,4,FALSE)</f>
        <v>92.5</v>
      </c>
      <c r="H110" s="88">
        <f>VLOOKUP(B110,'ALL-DATA'!A:F,5,FALSE)</f>
        <v>175</v>
      </c>
      <c r="I110" s="88">
        <f>VLOOKUP(B110,'ALL-DATA'!A:F,6,FALSE)</f>
        <v>262.5</v>
      </c>
      <c r="J110" s="56">
        <v>425</v>
      </c>
      <c r="K110" s="60"/>
      <c r="L110" s="89">
        <f>((J110+R110)-I110)</f>
        <v>162.5</v>
      </c>
      <c r="M110" s="49"/>
      <c r="N110" s="50"/>
      <c r="O110" s="50"/>
      <c r="P110" s="39">
        <f>(((Table8[[#This Row],[OLD-WT]]-(Table8[[#This Row],[OLD-WT]]*1%))*Table8[[#This Row],[MELTING2]])/100)*Table8[[#This Row],[P-RATE3]]</f>
        <v>0</v>
      </c>
      <c r="Q110" s="50"/>
      <c r="R110" s="74">
        <f>(P110-Q110)</f>
        <v>0</v>
      </c>
    </row>
    <row r="111" spans="1:20" x14ac:dyDescent="0.45">
      <c r="A111" s="85">
        <v>45567</v>
      </c>
      <c r="B111" s="50" t="str">
        <f t="shared" si="21"/>
        <v>G-RING-B20</v>
      </c>
      <c r="C111" s="50" t="s">
        <v>720</v>
      </c>
      <c r="D111" s="86" t="s">
        <v>778</v>
      </c>
      <c r="E111" s="87">
        <f>VLOOKUP(B111,'ALL-DATA'!A:F,2,FALSE)</f>
        <v>2.02</v>
      </c>
      <c r="F111" s="50">
        <f>VLOOKUP(B111,'ALL-DATA'!A:F,3,FALSE)</f>
        <v>95.5</v>
      </c>
      <c r="G111" s="50">
        <f>VLOOKUP(B111,'ALL-DATA'!A:F,4,FALSE)</f>
        <v>-3.5</v>
      </c>
      <c r="H111" s="88">
        <f>VLOOKUP(B111,'ALL-DATA'!A:F,5,FALSE)</f>
        <v>7218.2</v>
      </c>
      <c r="I111" s="88">
        <f>VLOOKUP(B111,'ALL-DATA'!A:F,6,FALSE)</f>
        <v>13924.62962</v>
      </c>
      <c r="J111" s="56">
        <v>16500</v>
      </c>
      <c r="K111" s="182"/>
      <c r="L111" s="89">
        <f>((J111+R111)-I111)</f>
        <v>2575.3703800000003</v>
      </c>
      <c r="M111" s="49"/>
      <c r="N111" s="50"/>
      <c r="O111" s="50"/>
      <c r="P111" s="39">
        <f>(((Table8[[#This Row],[OLD-WT]]-(Table8[[#This Row],[OLD-WT]]*1%))*Table8[[#This Row],[MELTING2]])/100)*Table8[[#This Row],[P-RATE3]]</f>
        <v>0</v>
      </c>
      <c r="Q111" s="50"/>
      <c r="R111" s="74">
        <f t="shared" ref="R111:R176" si="22">(P111-Q111)</f>
        <v>0</v>
      </c>
    </row>
    <row r="112" spans="1:20" x14ac:dyDescent="0.45">
      <c r="A112" s="85">
        <v>45568</v>
      </c>
      <c r="B112" s="50" t="str">
        <f t="shared" si="21"/>
        <v>G-STUD-32</v>
      </c>
      <c r="C112" s="50" t="s">
        <v>721</v>
      </c>
      <c r="D112" s="86" t="s">
        <v>1016</v>
      </c>
      <c r="E112" s="87">
        <f>VLOOKUP(B112,'ALL-DATA'!A:F,2,FALSE)</f>
        <v>4.03</v>
      </c>
      <c r="F112" s="50">
        <f>VLOOKUP(B112,'ALL-DATA'!A:F,3,FALSE)</f>
        <v>97</v>
      </c>
      <c r="G112" s="50">
        <f>VLOOKUP(B112,'ALL-DATA'!A:F,4,FALSE)</f>
        <v>-5</v>
      </c>
      <c r="H112" s="88">
        <f>VLOOKUP(B112,'ALL-DATA'!A:F,5,FALSE)</f>
        <v>7218.2</v>
      </c>
      <c r="I112" s="88">
        <f>VLOOKUP(B112,'ALL-DATA'!A:F,6,FALSE)</f>
        <v>28216.665620000003</v>
      </c>
      <c r="J112" s="56">
        <v>32780</v>
      </c>
      <c r="K112" s="60"/>
      <c r="L112" s="89">
        <f>(((J112+R112)-I112)+R113)-I116</f>
        <v>5306.3218799999986</v>
      </c>
      <c r="M112" s="176">
        <v>2.0099999999999998</v>
      </c>
      <c r="N112" s="176">
        <v>916</v>
      </c>
      <c r="O112" s="176">
        <v>7110</v>
      </c>
      <c r="P112" s="39">
        <v>14200</v>
      </c>
      <c r="Q112" s="50">
        <v>13870</v>
      </c>
      <c r="R112" s="74">
        <f>(P112-Q112)</f>
        <v>330</v>
      </c>
      <c r="T112" s="186"/>
    </row>
    <row r="113" spans="1:18" x14ac:dyDescent="0.45">
      <c r="A113" s="85">
        <v>45568</v>
      </c>
      <c r="B113" s="50" t="str">
        <f t="shared" si="21"/>
        <v>G-STUD-32</v>
      </c>
      <c r="C113" s="50" t="s">
        <v>721</v>
      </c>
      <c r="D113" s="86" t="s">
        <v>1016</v>
      </c>
      <c r="E113" s="87">
        <v>0</v>
      </c>
      <c r="F113" s="50">
        <v>0</v>
      </c>
      <c r="G113" s="50">
        <v>0</v>
      </c>
      <c r="H113" s="88">
        <v>0</v>
      </c>
      <c r="I113" s="88">
        <v>0</v>
      </c>
      <c r="J113" s="56">
        <v>0</v>
      </c>
      <c r="K113" s="60">
        <v>0</v>
      </c>
      <c r="L113" s="89">
        <v>0</v>
      </c>
      <c r="M113" s="49">
        <v>2.1</v>
      </c>
      <c r="N113" s="50">
        <v>78</v>
      </c>
      <c r="O113" s="50">
        <v>7500</v>
      </c>
      <c r="P113" s="39">
        <f>((((Table8[[#This Row],[OLD-WT]]-0.15)*Table8[[#This Row],[MELTING2]])/100)*Table8[[#This Row],[P-RATE3]])</f>
        <v>11407.500000000002</v>
      </c>
      <c r="Q113" s="50">
        <v>10800</v>
      </c>
      <c r="R113" s="74">
        <f t="shared" si="22"/>
        <v>607.50000000000182</v>
      </c>
    </row>
    <row r="114" spans="1:18" x14ac:dyDescent="0.45">
      <c r="A114" s="85">
        <v>45568</v>
      </c>
      <c r="B114" s="50" t="str">
        <f t="shared" si="21"/>
        <v>S-RING-182</v>
      </c>
      <c r="C114" s="50" t="s">
        <v>732</v>
      </c>
      <c r="D114" s="86" t="s">
        <v>1017</v>
      </c>
      <c r="E114" s="87">
        <f>VLOOKUP(B114,'ALL-DATA'!A:F,2,FALSE)</f>
        <v>1.1000000000000001</v>
      </c>
      <c r="F114" s="50">
        <f>VLOOKUP(B114,'ALL-DATA'!A:F,3,FALSE)</f>
        <v>92.5</v>
      </c>
      <c r="G114" s="50">
        <f>VLOOKUP(B114,'ALL-DATA'!A:F,4,FALSE)</f>
        <v>92.5</v>
      </c>
      <c r="H114" s="88">
        <f>VLOOKUP(B114,'ALL-DATA'!A:F,5,FALSE)</f>
        <v>131.65</v>
      </c>
      <c r="I114" s="88">
        <f>VLOOKUP(B114,'ALL-DATA'!A:F,6,FALSE)</f>
        <v>144.81500000000003</v>
      </c>
      <c r="J114" s="56">
        <v>300</v>
      </c>
      <c r="K114" s="60"/>
      <c r="L114" s="89">
        <f>((J114+R114)-I114)</f>
        <v>155.18499999999997</v>
      </c>
      <c r="M114" s="49"/>
      <c r="N114" s="50"/>
      <c r="O114" s="50"/>
      <c r="P114" s="39"/>
      <c r="Q114" s="50"/>
      <c r="R114" s="74"/>
    </row>
    <row r="115" spans="1:18" x14ac:dyDescent="0.45">
      <c r="A115" s="85">
        <v>45568</v>
      </c>
      <c r="B115" s="50" t="str">
        <f t="shared" si="21"/>
        <v>S-RING-12</v>
      </c>
      <c r="C115" s="50" t="s">
        <v>732</v>
      </c>
      <c r="D115" s="86" t="s">
        <v>988</v>
      </c>
      <c r="E115" s="87">
        <f>VLOOKUP(B115,'ALL-DATA'!A:F,2,FALSE)</f>
        <v>3.95</v>
      </c>
      <c r="F115" s="50">
        <f>VLOOKUP(B115,'ALL-DATA'!A:F,3,FALSE)</f>
        <v>92.5</v>
      </c>
      <c r="G115" s="50">
        <f>VLOOKUP(B115,'ALL-DATA'!A:F,4,FALSE)</f>
        <v>92.5</v>
      </c>
      <c r="H115" s="88">
        <f>VLOOKUP(B115,'ALL-DATA'!A:F,5,FALSE)</f>
        <v>140</v>
      </c>
      <c r="I115" s="88">
        <f>VLOOKUP(B115,'ALL-DATA'!A:F,6,FALSE)</f>
        <v>553</v>
      </c>
      <c r="J115" s="56">
        <v>990</v>
      </c>
      <c r="K115" s="60"/>
      <c r="L115" s="89">
        <f>((J115+R115)-I115)</f>
        <v>437</v>
      </c>
      <c r="M115" s="49"/>
      <c r="N115" s="50"/>
      <c r="O115" s="50"/>
      <c r="P115" s="39">
        <f>(((Table8[[#This Row],[OLD-WT]]-(Table8[[#This Row],[OLD-WT]]*1%))*Table8[[#This Row],[MELTING2]])/100)*Table8[[#This Row],[P-RATE3]]</f>
        <v>0</v>
      </c>
      <c r="Q115" s="50"/>
      <c r="R115" s="74">
        <f t="shared" si="22"/>
        <v>0</v>
      </c>
    </row>
    <row r="116" spans="1:18" x14ac:dyDescent="0.45">
      <c r="A116" s="85">
        <v>45568</v>
      </c>
      <c r="B116" s="134" t="s">
        <v>895</v>
      </c>
      <c r="C116" s="50"/>
      <c r="D116" s="86"/>
      <c r="E116" s="87">
        <f>VLOOKUP(B116,'ALL-DATA'!A:F,2,FALSE)</f>
        <v>3.5</v>
      </c>
      <c r="F116" s="50">
        <f>VLOOKUP(B116,'ALL-DATA'!A:F,3,FALSE)</f>
        <v>65</v>
      </c>
      <c r="G116" s="50">
        <f>VLOOKUP(B116,'ALL-DATA'!A:F,4,FALSE)</f>
        <v>0</v>
      </c>
      <c r="H116" s="88">
        <f>VLOOKUP(B116,'ALL-DATA'!A:F,5,FALSE)</f>
        <v>85.5</v>
      </c>
      <c r="I116" s="88">
        <f>VLOOKUP(B116,'ALL-DATA'!A:F,6,FALSE)</f>
        <v>194.51249999999999</v>
      </c>
      <c r="J116" s="56"/>
      <c r="K116" s="60"/>
      <c r="L116" s="89">
        <v>0</v>
      </c>
      <c r="M116" s="49"/>
      <c r="N116" s="50"/>
      <c r="O116" s="50"/>
      <c r="P116" s="39">
        <f>(((Table8[[#This Row],[OLD-WT]]-(Table8[[#This Row],[OLD-WT]]*1%))*Table8[[#This Row],[MELTING2]])/100)*Table8[[#This Row],[P-RATE3]]</f>
        <v>0</v>
      </c>
      <c r="Q116" s="50"/>
      <c r="R116" s="74">
        <f t="shared" si="22"/>
        <v>0</v>
      </c>
    </row>
    <row r="117" spans="1:18" x14ac:dyDescent="0.45">
      <c r="A117" s="85">
        <v>45568</v>
      </c>
      <c r="B117" s="50" t="str">
        <f>Table8[[#This Row],[Column2]]&amp;Table8[[#This Row],[Column1]]</f>
        <v>G-PESERI-30-1</v>
      </c>
      <c r="C117" s="50" t="s">
        <v>726</v>
      </c>
      <c r="D117" s="86" t="s">
        <v>1019</v>
      </c>
      <c r="E117" s="87">
        <f>VLOOKUP(B117,'ALL-DATA'!A:F,2,FALSE)</f>
        <v>0.125</v>
      </c>
      <c r="F117" s="50">
        <f>VLOOKUP(B117,'ALL-DATA'!A:F,3,FALSE)</f>
        <v>80.39</v>
      </c>
      <c r="G117" s="50">
        <f>VLOOKUP(B117,'ALL-DATA'!A:F,4,FALSE)</f>
        <v>-10</v>
      </c>
      <c r="H117" s="88">
        <f>VLOOKUP(B117,'ALL-DATA'!A:F,5,FALSE)</f>
        <v>7219.2</v>
      </c>
      <c r="I117" s="88">
        <f>VLOOKUP(B117,'ALL-DATA'!A:F,6,FALSE)</f>
        <v>725.43936000000008</v>
      </c>
      <c r="J117" s="56">
        <v>1050</v>
      </c>
      <c r="K117" s="60"/>
      <c r="L117" s="89">
        <f t="shared" ref="L117:L131" si="23">((J117+R117)-I117)</f>
        <v>324.56063999999992</v>
      </c>
      <c r="M117" s="49"/>
      <c r="N117" s="50"/>
      <c r="O117" s="50"/>
      <c r="P117" s="39">
        <f>(((Table8[[#This Row],[OLD-WT]]-(Table8[[#This Row],[OLD-WT]]*1%))*Table8[[#This Row],[MELTING2]])/100)*Table8[[#This Row],[P-RATE3]]</f>
        <v>0</v>
      </c>
      <c r="Q117" s="50"/>
      <c r="R117" s="74">
        <f t="shared" si="22"/>
        <v>0</v>
      </c>
    </row>
    <row r="118" spans="1:18" x14ac:dyDescent="0.45">
      <c r="A118" s="85">
        <v>45568</v>
      </c>
      <c r="B118" s="50" t="str">
        <f>C118&amp;D118</f>
        <v>S-STUD-PRI-2</v>
      </c>
      <c r="C118" s="50" t="s">
        <v>749</v>
      </c>
      <c r="D118" s="86" t="s">
        <v>797</v>
      </c>
      <c r="E118" s="87">
        <f>VLOOKUP(B118,'ALL-DATA'!A:F,2,FALSE)</f>
        <v>0</v>
      </c>
      <c r="F118" s="50">
        <f>VLOOKUP(B118,'ALL-DATA'!A:F,3,FALSE)</f>
        <v>0</v>
      </c>
      <c r="G118" s="50">
        <f>VLOOKUP(B118,'ALL-DATA'!A:F,4,FALSE)</f>
        <v>0</v>
      </c>
      <c r="H118" s="88">
        <f>VLOOKUP(B118,'ALL-DATA'!A:F,5,FALSE)</f>
        <v>0</v>
      </c>
      <c r="I118" s="88">
        <f>VLOOKUP(B118,'ALL-DATA'!A:F,6,FALSE)</f>
        <v>242</v>
      </c>
      <c r="J118" s="56">
        <v>650</v>
      </c>
      <c r="K118" s="60"/>
      <c r="L118" s="89">
        <f t="shared" si="23"/>
        <v>408</v>
      </c>
      <c r="M118" s="49"/>
      <c r="N118" s="50"/>
      <c r="O118" s="50"/>
      <c r="P118" s="39">
        <f>(((Table8[[#This Row],[OLD-WT]]-(Table8[[#This Row],[OLD-WT]]*1%))*Table8[[#This Row],[MELTING2]])/100)*Table8[[#This Row],[P-RATE3]]</f>
        <v>0</v>
      </c>
      <c r="Q118" s="50"/>
      <c r="R118" s="74">
        <f t="shared" si="22"/>
        <v>0</v>
      </c>
    </row>
    <row r="119" spans="1:18" x14ac:dyDescent="0.45">
      <c r="A119" s="85">
        <v>45568</v>
      </c>
      <c r="B119" s="50" t="str">
        <f>C119&amp;D119</f>
        <v>S-S-KOLUSU-80</v>
      </c>
      <c r="C119" s="50" t="s">
        <v>727</v>
      </c>
      <c r="D119" s="86" t="s">
        <v>1020</v>
      </c>
      <c r="E119" s="87">
        <f>VLOOKUP(B119,'ALL-DATA'!A:F,2,FALSE)</f>
        <v>131</v>
      </c>
      <c r="F119" s="50">
        <f>VLOOKUP(B119,'ALL-DATA'!A:F,3,FALSE)</f>
        <v>80</v>
      </c>
      <c r="G119" s="50">
        <f>VLOOKUP(B119,'ALL-DATA'!A:F,4,FALSE)</f>
        <v>15</v>
      </c>
      <c r="H119" s="88">
        <f>VLOOKUP(B119,'ALL-DATA'!A:F,5,FALSE)</f>
        <v>82</v>
      </c>
      <c r="I119" s="88">
        <f>VLOOKUP(B119,'ALL-DATA'!A:F,6,FALSE)</f>
        <v>8593.6</v>
      </c>
      <c r="J119" s="56">
        <v>13500</v>
      </c>
      <c r="K119" s="60"/>
      <c r="L119" s="89">
        <f t="shared" si="23"/>
        <v>4906.3999999999996</v>
      </c>
      <c r="M119" s="49"/>
      <c r="N119" s="50"/>
      <c r="O119" s="50"/>
      <c r="P119" s="39">
        <f>(((Table8[[#This Row],[OLD-WT]]-(Table8[[#This Row],[OLD-WT]]*1%))*Table8[[#This Row],[MELTING2]])/100)*Table8[[#This Row],[P-RATE3]]</f>
        <v>0</v>
      </c>
      <c r="Q119" s="50"/>
      <c r="R119" s="74">
        <f t="shared" si="22"/>
        <v>0</v>
      </c>
    </row>
    <row r="120" spans="1:18" x14ac:dyDescent="0.45">
      <c r="A120" s="85">
        <v>45568</v>
      </c>
      <c r="B120" s="50" t="str">
        <f>C120&amp;D120</f>
        <v>S-CHAIN-N-43</v>
      </c>
      <c r="C120" s="50" t="s">
        <v>733</v>
      </c>
      <c r="D120" s="86" t="s">
        <v>1021</v>
      </c>
      <c r="E120" s="87">
        <f>VLOOKUP(B120,'ALL-DATA'!A:F,2,FALSE)</f>
        <v>16</v>
      </c>
      <c r="F120" s="50">
        <f>VLOOKUP(B120,'ALL-DATA'!A:F,3,FALSE)</f>
        <v>86</v>
      </c>
      <c r="G120" s="50">
        <f>VLOOKUP(B120,'ALL-DATA'!A:F,4,FALSE)</f>
        <v>-21</v>
      </c>
      <c r="H120" s="88">
        <f>VLOOKUP(B120,'ALL-DATA'!A:F,5,FALSE)</f>
        <v>94.8</v>
      </c>
      <c r="I120" s="88">
        <f>VLOOKUP(B120,'ALL-DATA'!A:F,6,FALSE)</f>
        <v>1304.4479999999999</v>
      </c>
      <c r="J120" s="56">
        <v>1700</v>
      </c>
      <c r="K120" s="60"/>
      <c r="L120" s="89">
        <f t="shared" si="23"/>
        <v>375.94880000000012</v>
      </c>
      <c r="M120" s="49">
        <v>20.25</v>
      </c>
      <c r="N120" s="50">
        <v>80</v>
      </c>
      <c r="O120" s="50">
        <v>92</v>
      </c>
      <c r="P120" s="39">
        <f>((((((Table8[[#This Row],[OLD-WT]]-(Table8[[#This Row],[OLD-WT]]*1%))*Table8[[#This Row],[MELTING2]])/100))*80)/100)*Table8[[#This Row],[P-RATE3]]</f>
        <v>1180.3968</v>
      </c>
      <c r="Q120" s="50">
        <v>1200</v>
      </c>
      <c r="R120" s="74">
        <f t="shared" si="22"/>
        <v>-19.603200000000015</v>
      </c>
    </row>
    <row r="121" spans="1:18" x14ac:dyDescent="0.45">
      <c r="A121" s="85">
        <v>45570</v>
      </c>
      <c r="B121" s="1" t="s">
        <v>1026</v>
      </c>
      <c r="C121" s="50"/>
      <c r="D121" s="86"/>
      <c r="E121" s="87">
        <f>VLOOKUP(B121,'ALL-DATA'!A:F,2,FALSE)</f>
        <v>8.01</v>
      </c>
      <c r="F121" s="50">
        <f>VLOOKUP(B121,'ALL-DATA'!A:F,3,FALSE)</f>
        <v>92</v>
      </c>
      <c r="G121" s="50">
        <f>VLOOKUP(B121,'ALL-DATA'!A:F,4,FALSE)</f>
        <v>0</v>
      </c>
      <c r="H121" s="88">
        <f>VLOOKUP(B121,'ALL-DATA'!A:F,5,FALSE)</f>
        <v>7735</v>
      </c>
      <c r="I121" s="88">
        <f>VLOOKUP(B121,'ALL-DATA'!A:F,6,FALSE)</f>
        <v>58300</v>
      </c>
      <c r="J121" s="56">
        <v>63500</v>
      </c>
      <c r="K121" s="182">
        <v>16000</v>
      </c>
      <c r="L121" s="89">
        <f>((J121+R121)-I121)</f>
        <v>5200</v>
      </c>
      <c r="M121" s="49"/>
      <c r="N121" s="50"/>
      <c r="O121" s="50"/>
      <c r="P121" s="39">
        <f>((((((Table8[[#This Row],[OLD-WT]]-(Table8[[#This Row],[OLD-WT]]*1%))*Table8[[#This Row],[MELTING2]])/100))*80)/100)*Table8[[#This Row],[P-RATE3]]</f>
        <v>0</v>
      </c>
      <c r="Q121" s="50"/>
      <c r="R121" s="74"/>
    </row>
    <row r="122" spans="1:18" x14ac:dyDescent="0.45">
      <c r="A122" s="85">
        <v>45572</v>
      </c>
      <c r="B122" s="1" t="str">
        <f>C122&amp;D122</f>
        <v>S-RING-224</v>
      </c>
      <c r="C122" s="50" t="s">
        <v>732</v>
      </c>
      <c r="D122" s="86" t="s">
        <v>1079</v>
      </c>
      <c r="E122" s="87">
        <f>VLOOKUP(B122,'ALL-DATA'!A:F,2,FALSE)</f>
        <v>1.91</v>
      </c>
      <c r="F122" s="50">
        <f>VLOOKUP(B122,'ALL-DATA'!A:F,3,FALSE)</f>
        <v>92.5</v>
      </c>
      <c r="G122" s="50">
        <f>VLOOKUP(B122,'ALL-DATA'!A:F,4,FALSE)</f>
        <v>92.5</v>
      </c>
      <c r="H122" s="88">
        <f>VLOOKUP(B122,'ALL-DATA'!A:F,5,FALSE)</f>
        <v>125.57</v>
      </c>
      <c r="I122" s="88">
        <f>VLOOKUP(B122,'ALL-DATA'!A:F,6,FALSE)</f>
        <v>239.83869999999999</v>
      </c>
      <c r="J122" s="56">
        <v>376</v>
      </c>
      <c r="K122" s="185"/>
      <c r="L122" s="89">
        <f>((J122+R122)-I122)</f>
        <v>136.16130000000001</v>
      </c>
      <c r="M122" s="49"/>
      <c r="N122" s="50"/>
      <c r="O122" s="50"/>
      <c r="P122" s="39">
        <f>((((((Table8[[#This Row],[OLD-WT]]-(Table8[[#This Row],[OLD-WT]]*1%))*Table8[[#This Row],[MELTING2]])/100))*80)/100)*Table8[[#This Row],[P-RATE3]]</f>
        <v>0</v>
      </c>
      <c r="Q122" s="50"/>
      <c r="R122" s="74"/>
    </row>
    <row r="123" spans="1:18" x14ac:dyDescent="0.45">
      <c r="A123" s="85">
        <v>45572</v>
      </c>
      <c r="B123" s="1" t="s">
        <v>1080</v>
      </c>
      <c r="C123" s="50"/>
      <c r="D123" s="86"/>
      <c r="E123" s="87">
        <f>VLOOKUP(B123,'ALL-DATA'!A:F,2,FALSE)</f>
        <v>2.17</v>
      </c>
      <c r="F123" s="50">
        <f>VLOOKUP(B123,'ALL-DATA'!A:F,3,FALSE)</f>
        <v>0</v>
      </c>
      <c r="G123" s="50">
        <f>VLOOKUP(B123,'ALL-DATA'!A:F,4,FALSE)</f>
        <v>0</v>
      </c>
      <c r="H123" s="88">
        <f>VLOOKUP(B123,'ALL-DATA'!A:F,5,FALSE)</f>
        <v>123</v>
      </c>
      <c r="I123" s="88">
        <f>VLOOKUP(B123,'ALL-DATA'!A:F,6,FALSE)</f>
        <v>266.90999999999997</v>
      </c>
      <c r="J123" s="56">
        <v>424</v>
      </c>
      <c r="K123" s="185"/>
      <c r="L123" s="89">
        <f>((J123+R123)-I123)</f>
        <v>157.09000000000003</v>
      </c>
      <c r="M123" s="49"/>
      <c r="N123" s="50"/>
      <c r="O123" s="50"/>
      <c r="P123" s="39">
        <f>((((((Table8[[#This Row],[OLD-WT]]-(Table8[[#This Row],[OLD-WT]]*1%))*Table8[[#This Row],[MELTING2]])/100))*80)/100)*Table8[[#This Row],[P-RATE3]]</f>
        <v>0</v>
      </c>
      <c r="Q123" s="50"/>
      <c r="R123" s="74"/>
    </row>
    <row r="124" spans="1:18" x14ac:dyDescent="0.45">
      <c r="A124" s="85">
        <v>45572</v>
      </c>
      <c r="B124" s="1" t="s">
        <v>1081</v>
      </c>
      <c r="C124" s="50"/>
      <c r="D124" s="86"/>
      <c r="E124" s="87">
        <f>VLOOKUP(B124,'ALL-DATA'!A:F,2,FALSE)</f>
        <v>24.83</v>
      </c>
      <c r="F124" s="50">
        <f>VLOOKUP(B124,'ALL-DATA'!A:F,3,FALSE)</f>
        <v>92</v>
      </c>
      <c r="G124" s="50">
        <f>VLOOKUP(B124,'ALL-DATA'!A:F,4,FALSE)</f>
        <v>57</v>
      </c>
      <c r="H124" s="88">
        <f>VLOOKUP(B124,'ALL-DATA'!A:F,5,FALSE)</f>
        <v>0</v>
      </c>
      <c r="I124" s="88">
        <f>VLOOKUP(B124,'ALL-DATA'!A:F,6,FALSE)</f>
        <v>3695</v>
      </c>
      <c r="J124" s="56">
        <v>5400</v>
      </c>
      <c r="K124" s="185"/>
      <c r="L124" s="89">
        <f>((J124+R124)-I124)-I125</f>
        <v>1605</v>
      </c>
      <c r="M124" s="49"/>
      <c r="N124" s="50"/>
      <c r="O124" s="50"/>
      <c r="P124" s="39">
        <f>((((((Table8[[#This Row],[OLD-WT]]-(Table8[[#This Row],[OLD-WT]]*1%))*Table8[[#This Row],[MELTING2]])/100))*80)/100)*Table8[[#This Row],[P-RATE3]]</f>
        <v>0</v>
      </c>
      <c r="Q124" s="50"/>
      <c r="R124" s="74"/>
    </row>
    <row r="125" spans="1:18" x14ac:dyDescent="0.45">
      <c r="A125" s="85">
        <v>45572</v>
      </c>
      <c r="B125" s="134" t="s">
        <v>1082</v>
      </c>
      <c r="C125" s="50"/>
      <c r="D125" s="86"/>
      <c r="E125" s="87">
        <f>VLOOKUP(B125,'ALL-DATA'!A:F,2,FALSE)</f>
        <v>1</v>
      </c>
      <c r="F125" s="50">
        <f>VLOOKUP(B125,'ALL-DATA'!A:F,3,FALSE)</f>
        <v>0</v>
      </c>
      <c r="G125" s="50">
        <f>VLOOKUP(B125,'ALL-DATA'!A:F,4,FALSE)</f>
        <v>0</v>
      </c>
      <c r="H125" s="88">
        <f>VLOOKUP(B125,'ALL-DATA'!A:F,5,FALSE)</f>
        <v>0</v>
      </c>
      <c r="I125" s="88">
        <f>VLOOKUP(B125,'ALL-DATA'!A:F,6,FALSE)</f>
        <v>100</v>
      </c>
      <c r="J125" s="56"/>
      <c r="K125" s="185"/>
      <c r="L125" s="89">
        <v>0</v>
      </c>
      <c r="M125" s="49"/>
      <c r="N125" s="50"/>
      <c r="O125" s="50"/>
      <c r="P125" s="39">
        <f>((((((Table8[[#This Row],[OLD-WT]]-(Table8[[#This Row],[OLD-WT]]*1%))*Table8[[#This Row],[MELTING2]])/100))*80)/100)*Table8[[#This Row],[P-RATE3]]</f>
        <v>0</v>
      </c>
      <c r="Q125" s="50"/>
      <c r="R125" s="74"/>
    </row>
    <row r="126" spans="1:18" x14ac:dyDescent="0.45">
      <c r="A126" s="85">
        <v>45574</v>
      </c>
      <c r="B126" s="1" t="str">
        <f>C126&amp;D126</f>
        <v>G-STUD-23</v>
      </c>
      <c r="C126" s="50" t="s">
        <v>721</v>
      </c>
      <c r="D126" s="86" t="s">
        <v>801</v>
      </c>
      <c r="E126" s="87">
        <f>VLOOKUP(B126,'ALL-DATA'!A:F,2,FALSE)</f>
        <v>3.19</v>
      </c>
      <c r="F126" s="50">
        <f>VLOOKUP(B126,'ALL-DATA'!A:F,3,FALSE)</f>
        <v>97</v>
      </c>
      <c r="G126" s="50">
        <f>VLOOKUP(B126,'ALL-DATA'!A:F,4,FALSE)</f>
        <v>-5</v>
      </c>
      <c r="H126" s="88">
        <f>VLOOKUP(B126,'ALL-DATA'!A:F,5,FALSE)</f>
        <v>7218.2</v>
      </c>
      <c r="I126" s="88">
        <f>VLOOKUP(B126,'ALL-DATA'!A:F,6,FALSE)</f>
        <v>22335.276259999999</v>
      </c>
      <c r="J126" s="56">
        <v>25300</v>
      </c>
      <c r="K126" s="185"/>
      <c r="L126" s="89">
        <f>((J126+R126)-I126)</f>
        <v>2964.7237400000013</v>
      </c>
      <c r="M126" s="49"/>
      <c r="N126" s="50"/>
      <c r="O126" s="50"/>
      <c r="P126" s="39">
        <f>((((((Table8[[#This Row],[OLD-WT]]-(Table8[[#This Row],[OLD-WT]]*1%))*Table8[[#This Row],[MELTING2]])/100))*80)/100)*Table8[[#This Row],[P-RATE3]]</f>
        <v>0</v>
      </c>
      <c r="Q126" s="50"/>
      <c r="R126" s="74"/>
    </row>
    <row r="127" spans="1:18" x14ac:dyDescent="0.45">
      <c r="A127" s="85">
        <v>45574</v>
      </c>
      <c r="B127" s="1" t="str">
        <f>C127&amp;D127</f>
        <v>S-CHAIN-92.5-B-4</v>
      </c>
      <c r="C127" s="50" t="s">
        <v>736</v>
      </c>
      <c r="D127" s="86" t="s">
        <v>774</v>
      </c>
      <c r="E127" s="87">
        <f>VLOOKUP(B127,'ALL-DATA'!A:F,2,FALSE)</f>
        <v>35.9</v>
      </c>
      <c r="F127" s="50">
        <f>VLOOKUP(B127,'ALL-DATA'!A:F,3,FALSE)</f>
        <v>92.5</v>
      </c>
      <c r="G127" s="50">
        <f>VLOOKUP(B127,'ALL-DATA'!A:F,4,FALSE)</f>
        <v>-27.5</v>
      </c>
      <c r="H127" s="88">
        <f>VLOOKUP(B127,'ALL-DATA'!A:F,5,FALSE)</f>
        <v>90</v>
      </c>
      <c r="I127" s="88">
        <f>VLOOKUP(B127,'ALL-DATA'!A:F,6,FALSE)</f>
        <v>3231</v>
      </c>
      <c r="J127" s="56">
        <v>6200</v>
      </c>
      <c r="K127" s="185"/>
      <c r="L127" s="89">
        <f>((J127+R127)-I127)-I129</f>
        <v>2739</v>
      </c>
      <c r="M127" s="49"/>
      <c r="N127" s="50"/>
      <c r="O127" s="50"/>
      <c r="P127" s="39">
        <f>((((((Table8[[#This Row],[OLD-WT]]-(Table8[[#This Row],[OLD-WT]]*1%))*Table8[[#This Row],[MELTING2]])/100))*80)/100)*Table8[[#This Row],[P-RATE3]]</f>
        <v>0</v>
      </c>
      <c r="Q127" s="50"/>
      <c r="R127" s="74"/>
    </row>
    <row r="128" spans="1:18" x14ac:dyDescent="0.45">
      <c r="A128" s="85">
        <v>45574</v>
      </c>
      <c r="B128" s="1" t="str">
        <f>C128&amp;D128</f>
        <v>S-DOLLER-2</v>
      </c>
      <c r="C128" s="50" t="s">
        <v>731</v>
      </c>
      <c r="D128" s="86" t="s">
        <v>797</v>
      </c>
      <c r="E128" s="87">
        <f>VLOOKUP(B128,'ALL-DATA'!A:F,2,FALSE)</f>
        <v>2.81</v>
      </c>
      <c r="F128" s="50">
        <f>VLOOKUP(B128,'ALL-DATA'!A:F,3,FALSE)</f>
        <v>92.5</v>
      </c>
      <c r="G128" s="50">
        <f>VLOOKUP(B128,'ALL-DATA'!A:F,4,FALSE)</f>
        <v>92.5</v>
      </c>
      <c r="H128" s="88">
        <f>VLOOKUP(B128,'ALL-DATA'!A:F,5,FALSE)</f>
        <v>130</v>
      </c>
      <c r="I128" s="88">
        <f>VLOOKUP(B128,'ALL-DATA'!A:F,6,FALSE)</f>
        <v>365.3</v>
      </c>
      <c r="J128" s="56">
        <v>500</v>
      </c>
      <c r="K128" s="185"/>
      <c r="L128" s="89">
        <f>((J128+R128)-I128)</f>
        <v>134.69999999999999</v>
      </c>
      <c r="M128" s="49"/>
      <c r="N128" s="50"/>
      <c r="O128" s="50"/>
      <c r="P128" s="39">
        <f>((((((Table8[[#This Row],[OLD-WT]]-(Table8[[#This Row],[OLD-WT]]*1%))*Table8[[#This Row],[MELTING2]])/100))*80)/100)*Table8[[#This Row],[P-RATE3]]</f>
        <v>0</v>
      </c>
      <c r="Q128" s="50"/>
      <c r="R128" s="74"/>
    </row>
    <row r="129" spans="1:18" x14ac:dyDescent="0.45">
      <c r="A129" s="85">
        <v>45574</v>
      </c>
      <c r="B129" s="134" t="s">
        <v>1083</v>
      </c>
      <c r="C129" s="50"/>
      <c r="D129" s="86"/>
      <c r="E129" s="87">
        <f>VLOOKUP(B129,'ALL-DATA'!A:F,2,FALSE)</f>
        <v>0</v>
      </c>
      <c r="F129" s="50">
        <f>VLOOKUP(B129,'ALL-DATA'!A:F,3,FALSE)</f>
        <v>0</v>
      </c>
      <c r="G129" s="50">
        <f>VLOOKUP(B129,'ALL-DATA'!A:F,4,FALSE)</f>
        <v>0</v>
      </c>
      <c r="H129" s="88">
        <f>VLOOKUP(B129,'ALL-DATA'!A:F,5,FALSE)</f>
        <v>0</v>
      </c>
      <c r="I129" s="88">
        <f>VLOOKUP(B129,'ALL-DATA'!A:F,6,FALSE)</f>
        <v>230</v>
      </c>
      <c r="J129" s="56"/>
      <c r="K129" s="185"/>
      <c r="L129" s="89">
        <v>0</v>
      </c>
      <c r="M129" s="49"/>
      <c r="N129" s="50"/>
      <c r="O129" s="50"/>
      <c r="P129" s="39">
        <f>((((((Table8[[#This Row],[OLD-WT]]-(Table8[[#This Row],[OLD-WT]]*1%))*Table8[[#This Row],[MELTING2]])/100))*80)/100)*Table8[[#This Row],[P-RATE3]]</f>
        <v>0</v>
      </c>
      <c r="Q129" s="50"/>
      <c r="R129" s="74"/>
    </row>
    <row r="130" spans="1:18" x14ac:dyDescent="0.45">
      <c r="A130" s="85">
        <v>45575</v>
      </c>
      <c r="B130" s="1" t="str">
        <f>C130&amp;D130</f>
        <v>S-S-KOLUSU-53</v>
      </c>
      <c r="C130" s="50" t="s">
        <v>727</v>
      </c>
      <c r="D130" s="86" t="s">
        <v>779</v>
      </c>
      <c r="E130" s="87">
        <f>VLOOKUP(B130,'ALL-DATA'!A:F,2,FALSE)</f>
        <v>159.87</v>
      </c>
      <c r="F130" s="50">
        <f>VLOOKUP(B130,'ALL-DATA'!A:F,3,FALSE)</f>
        <v>76.5</v>
      </c>
      <c r="G130" s="50">
        <f>VLOOKUP(B130,'ALL-DATA'!A:F,4,FALSE)</f>
        <v>-11.5</v>
      </c>
      <c r="H130" s="88">
        <f>VLOOKUP(B130,'ALL-DATA'!A:F,5,FALSE)</f>
        <v>89.9</v>
      </c>
      <c r="I130" s="88">
        <f>VLOOKUP(B130,'ALL-DATA'!A:F,6,FALSE)</f>
        <v>10994.819445000001</v>
      </c>
      <c r="J130" s="56">
        <v>16250</v>
      </c>
      <c r="K130" s="185"/>
      <c r="L130" s="89">
        <f>((J130+R130)-I130)</f>
        <v>5255.180554999999</v>
      </c>
      <c r="M130" s="49"/>
      <c r="N130" s="50"/>
      <c r="O130" s="50"/>
      <c r="P130" s="39">
        <f>((((((Table8[[#This Row],[OLD-WT]]-(Table8[[#This Row],[OLD-WT]]*1%))*Table8[[#This Row],[MELTING2]])/100))*80)/100)*Table8[[#This Row],[P-RATE3]]</f>
        <v>0</v>
      </c>
      <c r="Q130" s="50"/>
      <c r="R130" s="74"/>
    </row>
    <row r="131" spans="1:18" x14ac:dyDescent="0.45">
      <c r="A131" s="85">
        <v>45575</v>
      </c>
      <c r="B131" s="33" t="s">
        <v>1063</v>
      </c>
      <c r="C131" s="50"/>
      <c r="D131" s="86"/>
      <c r="E131" s="87">
        <f>VLOOKUP(B131,'ALL-DATA'!A:F,2,FALSE)</f>
        <v>10.4</v>
      </c>
      <c r="F131" s="50">
        <f>VLOOKUP(B131,'ALL-DATA'!A:F,3,FALSE)</f>
        <v>80</v>
      </c>
      <c r="G131" s="50">
        <f>VLOOKUP(B131,'ALL-DATA'!A:F,4,FALSE)</f>
        <v>-15</v>
      </c>
      <c r="H131" s="88">
        <f>VLOOKUP(B131,'ALL-DATA'!A:F,5,FALSE)</f>
        <v>93</v>
      </c>
      <c r="I131" s="88">
        <f>VLOOKUP(B131,'ALL-DATA'!A:F,6,FALSE)</f>
        <v>773.76</v>
      </c>
      <c r="J131" s="56">
        <v>1060</v>
      </c>
      <c r="K131" s="60"/>
      <c r="L131" s="89">
        <f t="shared" si="23"/>
        <v>228.05120000000011</v>
      </c>
      <c r="M131" s="49">
        <v>8.8000000000000007</v>
      </c>
      <c r="N131" s="50">
        <v>80</v>
      </c>
      <c r="O131" s="50">
        <v>90</v>
      </c>
      <c r="P131" s="39">
        <f>((((((Table8[[#This Row],[OLD-WT]]-(Table8[[#This Row],[OLD-WT]]*1%))*Table8[[#This Row],[MELTING2]])/100))*80)/100)*Table8[[#This Row],[P-RATE3]]</f>
        <v>501.8112000000001</v>
      </c>
      <c r="Q131" s="50">
        <v>560</v>
      </c>
      <c r="R131" s="74">
        <f t="shared" si="22"/>
        <v>-58.188799999999901</v>
      </c>
    </row>
    <row r="132" spans="1:18" x14ac:dyDescent="0.45">
      <c r="A132" s="85">
        <v>45576</v>
      </c>
      <c r="B132" s="50" t="str">
        <f>C132&amp;D132</f>
        <v>S-DOLLER-20</v>
      </c>
      <c r="C132" s="50" t="s">
        <v>731</v>
      </c>
      <c r="D132" s="86" t="s">
        <v>778</v>
      </c>
      <c r="E132" s="87">
        <f>VLOOKUP(B132,'ALL-DATA'!A:F,2,FALSE)</f>
        <v>2.95</v>
      </c>
      <c r="F132" s="50">
        <f>VLOOKUP(B132,'ALL-DATA'!A:F,3,FALSE)</f>
        <v>65</v>
      </c>
      <c r="G132" s="50">
        <f>VLOOKUP(B132,'ALL-DATA'!A:F,4,FALSE)</f>
        <v>85</v>
      </c>
      <c r="H132" s="88">
        <f>VLOOKUP(B132,'ALL-DATA'!A:F,5,FALSE)</f>
        <v>100</v>
      </c>
      <c r="I132" s="88">
        <f>VLOOKUP(B132,'ALL-DATA'!A:F,6,FALSE)</f>
        <v>191.75</v>
      </c>
      <c r="J132" s="56">
        <v>360</v>
      </c>
      <c r="K132" s="60"/>
      <c r="L132" s="89">
        <f>((J132+R132)-I132)</f>
        <v>168.25</v>
      </c>
      <c r="M132" s="49"/>
      <c r="N132" s="50"/>
      <c r="O132" s="50"/>
      <c r="P132" s="50"/>
      <c r="Q132" s="50"/>
      <c r="R132" s="74">
        <f t="shared" si="22"/>
        <v>0</v>
      </c>
    </row>
    <row r="133" spans="1:18" x14ac:dyDescent="0.45">
      <c r="A133" s="85">
        <v>45576</v>
      </c>
      <c r="B133" s="50" t="str">
        <f>C133&amp;D133</f>
        <v>S-CHAIN-N-63</v>
      </c>
      <c r="C133" s="50" t="s">
        <v>733</v>
      </c>
      <c r="D133" s="86" t="s">
        <v>1084</v>
      </c>
      <c r="E133" s="87">
        <f>VLOOKUP(B133,'ALL-DATA'!A:F,2,FALSE)</f>
        <v>31.1</v>
      </c>
      <c r="F133" s="50">
        <f>VLOOKUP(B133,'ALL-DATA'!A:F,3,FALSE)</f>
        <v>77</v>
      </c>
      <c r="G133" s="50">
        <f>VLOOKUP(B133,'ALL-DATA'!A:F,4,FALSE)</f>
        <v>-12</v>
      </c>
      <c r="H133" s="88">
        <f>VLOOKUP(B133,'ALL-DATA'!A:F,5,FALSE)</f>
        <v>91.5</v>
      </c>
      <c r="I133" s="88">
        <f>VLOOKUP(B133,'ALL-DATA'!A:F,6,FALSE)</f>
        <v>2191.1505000000002</v>
      </c>
      <c r="J133" s="56">
        <v>3730</v>
      </c>
      <c r="K133" s="60"/>
      <c r="L133" s="89">
        <f>((J133+R133)-I133)</f>
        <v>1538.8494999999998</v>
      </c>
      <c r="M133" s="49"/>
      <c r="N133" s="50"/>
      <c r="O133" s="50"/>
      <c r="P133" s="39">
        <f>((((((Table8[[#This Row],[OLD-WT]]-(Table8[[#This Row],[OLD-WT]]*1%))*Table8[[#This Row],[MELTING2]])/100))*80)/100)*Table8[[#This Row],[P-RATE3]]</f>
        <v>0</v>
      </c>
      <c r="Q133" s="50"/>
      <c r="R133" s="74">
        <f t="shared" si="22"/>
        <v>0</v>
      </c>
    </row>
    <row r="134" spans="1:18" x14ac:dyDescent="0.45">
      <c r="A134" s="85">
        <v>45576</v>
      </c>
      <c r="B134" s="50" t="str">
        <f>C134&amp;D134</f>
        <v>S-KAPPU-N-26</v>
      </c>
      <c r="C134" s="50" t="s">
        <v>740</v>
      </c>
      <c r="D134" s="86" t="s">
        <v>1085</v>
      </c>
      <c r="E134" s="87">
        <f>VLOOKUP(B134,'ALL-DATA'!A:F,2,FALSE)</f>
        <v>27</v>
      </c>
      <c r="F134" s="50">
        <f>VLOOKUP(B134,'ALL-DATA'!A:F,3,FALSE)</f>
        <v>77</v>
      </c>
      <c r="G134" s="50">
        <f>VLOOKUP(B134,'ALL-DATA'!A:F,4,FALSE)</f>
        <v>-12</v>
      </c>
      <c r="H134" s="88">
        <f>VLOOKUP(B134,'ALL-DATA'!A:F,5,FALSE)</f>
        <v>91.5</v>
      </c>
      <c r="I134" s="88">
        <f>VLOOKUP(B134,'ALL-DATA'!A:F,6,FALSE)</f>
        <v>1902.2849999999999</v>
      </c>
      <c r="J134" s="56">
        <v>3210</v>
      </c>
      <c r="K134" s="60"/>
      <c r="L134" s="89">
        <f>((J134+R134)-I134)</f>
        <v>1307.7150000000001</v>
      </c>
      <c r="M134" s="49"/>
      <c r="N134" s="50"/>
      <c r="O134" s="50"/>
      <c r="P134" s="39">
        <f>((((((Table8[[#This Row],[OLD-WT]]-(Table8[[#This Row],[OLD-WT]]*1%))*Table8[[#This Row],[MELTING2]])/100))*80)/100)*Table8[[#This Row],[P-RATE3]]</f>
        <v>0</v>
      </c>
      <c r="Q134" s="50"/>
      <c r="R134" s="74">
        <f t="shared" si="22"/>
        <v>0</v>
      </c>
    </row>
    <row r="135" spans="1:18" x14ac:dyDescent="0.45">
      <c r="A135" s="85">
        <v>45579</v>
      </c>
      <c r="B135" s="50" t="str">
        <f>C135&amp;D135</f>
        <v>S-B-KOLUSU--53</v>
      </c>
      <c r="C135" s="50" t="s">
        <v>728</v>
      </c>
      <c r="D135" s="86" t="s">
        <v>779</v>
      </c>
      <c r="E135" s="87">
        <f>VLOOKUP(B135,'ALL-DATA'!A:F,2,FALSE)</f>
        <v>37.1</v>
      </c>
      <c r="F135" s="50">
        <f>VLOOKUP(B135,'ALL-DATA'!A:F,3,FALSE)</f>
        <v>80</v>
      </c>
      <c r="G135" s="50">
        <f>VLOOKUP(B135,'ALL-DATA'!A:F,4,FALSE)</f>
        <v>-15</v>
      </c>
      <c r="H135" s="88">
        <f>VLOOKUP(B135,'ALL-DATA'!A:F,5,FALSE)</f>
        <v>85</v>
      </c>
      <c r="I135" s="88">
        <f>VLOOKUP(B135,'ALL-DATA'!A:F,6,FALSE)</f>
        <v>2522.8000000000002</v>
      </c>
      <c r="J135" s="187">
        <v>4400</v>
      </c>
      <c r="K135" s="182"/>
      <c r="L135" s="89">
        <f>((J135+R135)-I135)-I136</f>
        <v>1476.6859000000002</v>
      </c>
      <c r="M135" s="49">
        <v>38</v>
      </c>
      <c r="N135" s="50">
        <v>81</v>
      </c>
      <c r="O135" s="50">
        <v>90</v>
      </c>
      <c r="P135" s="39">
        <f>((((((Table8[[#This Row],[OLD-WT]]-(Table8[[#This Row],[OLD-WT]]*1%))*Table8[[#This Row],[MELTING2]])/100))*80)/100)*Table8[[#This Row],[P-RATE3]]</f>
        <v>2193.9983999999999</v>
      </c>
      <c r="Q135" s="50">
        <v>2400</v>
      </c>
      <c r="R135" s="74">
        <f t="shared" si="22"/>
        <v>-206.00160000000005</v>
      </c>
    </row>
    <row r="136" spans="1:18" x14ac:dyDescent="0.45">
      <c r="A136" s="85">
        <v>45579</v>
      </c>
      <c r="B136" s="133" t="s">
        <v>895</v>
      </c>
      <c r="C136" s="50"/>
      <c r="D136" s="86"/>
      <c r="E136" s="87">
        <f>VLOOKUP(B136,'ALL-DATA'!A:F,2,FALSE)</f>
        <v>3.5</v>
      </c>
      <c r="F136" s="50">
        <f>VLOOKUP(B136,'ALL-DATA'!A:F,3,FALSE)</f>
        <v>65</v>
      </c>
      <c r="G136" s="50">
        <f>VLOOKUP(B136,'ALL-DATA'!A:F,4,FALSE)</f>
        <v>0</v>
      </c>
      <c r="H136" s="88">
        <f>VLOOKUP(B136,'ALL-DATA'!A:F,5,FALSE)</f>
        <v>85.5</v>
      </c>
      <c r="I136" s="88">
        <f>VLOOKUP(B136,'ALL-DATA'!A:F,6,FALSE)</f>
        <v>194.51249999999999</v>
      </c>
      <c r="J136" s="56"/>
      <c r="K136" s="60"/>
      <c r="L136" s="89">
        <v>0</v>
      </c>
      <c r="M136" s="49"/>
      <c r="N136" s="50"/>
      <c r="O136" s="50"/>
      <c r="P136" s="39">
        <f>((((((Table8[[#This Row],[OLD-WT]]-(Table8[[#This Row],[OLD-WT]]*1%))*Table8[[#This Row],[MELTING2]])/100))*80)/100)*Table8[[#This Row],[P-RATE3]]</f>
        <v>0</v>
      </c>
      <c r="Q136" s="50"/>
      <c r="R136" s="74">
        <f t="shared" si="22"/>
        <v>0</v>
      </c>
    </row>
    <row r="137" spans="1:18" x14ac:dyDescent="0.45">
      <c r="A137" s="85">
        <v>45579</v>
      </c>
      <c r="B137" s="1" t="s">
        <v>1092</v>
      </c>
      <c r="C137" s="50"/>
      <c r="D137" s="86"/>
      <c r="E137" s="87">
        <f>VLOOKUP(B137,'ALL-DATA'!A:F,2,FALSE)</f>
        <v>0.05</v>
      </c>
      <c r="F137" s="50">
        <f>VLOOKUP(B137,'ALL-DATA'!A:F,3,FALSE)</f>
        <v>80</v>
      </c>
      <c r="G137" s="50">
        <f>VLOOKUP(B137,'ALL-DATA'!A:F,4,FALSE)</f>
        <v>0</v>
      </c>
      <c r="H137" s="88">
        <f>VLOOKUP(B137,'ALL-DATA'!A:F,5,FALSE)</f>
        <v>7400</v>
      </c>
      <c r="I137" s="88">
        <f>VLOOKUP(B137,'ALL-DATA'!A:F,6,FALSE)</f>
        <v>296</v>
      </c>
      <c r="J137" s="56">
        <v>500</v>
      </c>
      <c r="K137" s="60"/>
      <c r="L137" s="89">
        <f t="shared" ref="L137:L145" si="24">((J137+R137)-I137)</f>
        <v>711.5</v>
      </c>
      <c r="M137" s="49">
        <v>0.54</v>
      </c>
      <c r="N137" s="50">
        <v>65</v>
      </c>
      <c r="O137" s="50">
        <v>7500</v>
      </c>
      <c r="P137" s="49">
        <f>((Table8[[#This Row],[OLD-WT]]-0.2)*Table8[[#This Row],[MELTING2]]/100)*Table8[[#This Row],[P-RATE3]]</f>
        <v>1657.5</v>
      </c>
      <c r="Q137" s="50">
        <v>1150</v>
      </c>
      <c r="R137" s="74">
        <f t="shared" si="22"/>
        <v>507.5</v>
      </c>
    </row>
    <row r="138" spans="1:18" x14ac:dyDescent="0.45">
      <c r="A138" s="85">
        <v>45579</v>
      </c>
      <c r="B138" s="50" t="str">
        <f>C138&amp;D138</f>
        <v>S-STUD-PRI-2</v>
      </c>
      <c r="C138" s="50" t="s">
        <v>749</v>
      </c>
      <c r="D138" s="86" t="s">
        <v>797</v>
      </c>
      <c r="E138" s="87">
        <f>VLOOKUP(B138,'ALL-DATA'!A:F,2,FALSE)</f>
        <v>0</v>
      </c>
      <c r="F138" s="50">
        <f>VLOOKUP(B138,'ALL-DATA'!A:F,3,FALSE)</f>
        <v>0</v>
      </c>
      <c r="G138" s="50">
        <f>VLOOKUP(B138,'ALL-DATA'!A:F,4,FALSE)</f>
        <v>0</v>
      </c>
      <c r="H138" s="88">
        <f>VLOOKUP(B138,'ALL-DATA'!A:F,5,FALSE)</f>
        <v>0</v>
      </c>
      <c r="I138" s="88">
        <f>VLOOKUP(B138,'ALL-DATA'!A:F,6,FALSE)</f>
        <v>242</v>
      </c>
      <c r="J138" s="56">
        <v>650</v>
      </c>
      <c r="K138" s="60"/>
      <c r="L138" s="89">
        <f t="shared" si="24"/>
        <v>408</v>
      </c>
      <c r="M138" s="49"/>
      <c r="N138" s="50"/>
      <c r="O138" s="50"/>
      <c r="P138" s="50">
        <f>((((((Table8[[#This Row],[OLD-WT]]-(Table8[[#This Row],[OLD-WT]]*1%))*Table8[[#This Row],[MELTING2]])/100))*80)/100)*Table8[[#This Row],[P-RATE3]]</f>
        <v>0</v>
      </c>
      <c r="Q138" s="50"/>
      <c r="R138" s="74">
        <f t="shared" si="22"/>
        <v>0</v>
      </c>
    </row>
    <row r="139" spans="1:18" x14ac:dyDescent="0.45">
      <c r="A139" s="85">
        <v>45580</v>
      </c>
      <c r="B139" s="50" t="str">
        <f>C139&amp;D139</f>
        <v>S-AARUNA-3</v>
      </c>
      <c r="C139" s="50" t="s">
        <v>730</v>
      </c>
      <c r="D139" s="86" t="s">
        <v>1003</v>
      </c>
      <c r="E139" s="87">
        <f>VLOOKUP(B139,'ALL-DATA'!A:F,2,FALSE)</f>
        <v>56.1</v>
      </c>
      <c r="F139" s="50">
        <f>VLOOKUP(B139,'ALL-DATA'!A:F,3,FALSE)</f>
        <v>76.5</v>
      </c>
      <c r="G139" s="50">
        <f>VLOOKUP(B139,'ALL-DATA'!A:F,4,FALSE)</f>
        <v>-21.5</v>
      </c>
      <c r="H139" s="88">
        <f>VLOOKUP(B139,'ALL-DATA'!A:F,5,FALSE)</f>
        <v>89.9</v>
      </c>
      <c r="I139" s="88">
        <f>VLOOKUP(B139,'ALL-DATA'!A:F,6,FALSE)</f>
        <v>3858.1933500000009</v>
      </c>
      <c r="J139" s="56">
        <v>6400</v>
      </c>
      <c r="K139" s="60"/>
      <c r="L139" s="89">
        <f t="shared" si="24"/>
        <v>2228.8780099999999</v>
      </c>
      <c r="M139" s="49">
        <v>55.2</v>
      </c>
      <c r="N139" s="50">
        <v>81</v>
      </c>
      <c r="O139" s="50">
        <v>90</v>
      </c>
      <c r="P139" s="50">
        <f>((((((Table8[[#This Row],[OLD-WT]]-(Table8[[#This Row],[OLD-WT]]*1%))*Table8[[#This Row],[MELTING2]])/100))*80)/100)*Table8[[#This Row],[P-RATE3]]</f>
        <v>3187.0713600000008</v>
      </c>
      <c r="Q139" s="50">
        <v>3500</v>
      </c>
      <c r="R139" s="74">
        <f t="shared" si="22"/>
        <v>-312.92863999999918</v>
      </c>
    </row>
    <row r="140" spans="1:18" x14ac:dyDescent="0.45">
      <c r="A140" s="85">
        <v>45580</v>
      </c>
      <c r="B140" s="144" t="s">
        <v>1093</v>
      </c>
      <c r="C140" s="50"/>
      <c r="D140" s="86"/>
      <c r="E140" s="87">
        <f>VLOOKUP(B140,'ALL-DATA'!A:F,2,FALSE)</f>
        <v>9.0500000000000007</v>
      </c>
      <c r="F140" s="50">
        <f>VLOOKUP(B140,'ALL-DATA'!A:F,3,FALSE)</f>
        <v>80</v>
      </c>
      <c r="G140" s="50">
        <f>VLOOKUP(B140,'ALL-DATA'!A:F,4,FALSE)</f>
        <v>-15</v>
      </c>
      <c r="H140" s="88">
        <f>VLOOKUP(B140,'ALL-DATA'!A:F,5,FALSE)</f>
        <v>93</v>
      </c>
      <c r="I140" s="88">
        <f>VLOOKUP(B140,'ALL-DATA'!A:F,6,FALSE)</f>
        <v>673.32</v>
      </c>
      <c r="J140" s="56">
        <v>1200</v>
      </c>
      <c r="K140" s="60"/>
      <c r="L140" s="89">
        <f t="shared" si="24"/>
        <v>573.33216000000004</v>
      </c>
      <c r="M140" s="49">
        <v>11.2</v>
      </c>
      <c r="N140" s="50">
        <v>81</v>
      </c>
      <c r="O140" s="50">
        <v>90</v>
      </c>
      <c r="P140" s="50">
        <f>((((((Table8[[#This Row],[OLD-WT]]-(Table8[[#This Row],[OLD-WT]]*1%))*Table8[[#This Row],[MELTING2]])/100))*80)/100)*Table8[[#This Row],[P-RATE3]]</f>
        <v>646.65215999999998</v>
      </c>
      <c r="Q140" s="50">
        <v>600</v>
      </c>
      <c r="R140" s="74">
        <f t="shared" si="22"/>
        <v>46.652159999999981</v>
      </c>
    </row>
    <row r="141" spans="1:18" x14ac:dyDescent="0.45">
      <c r="A141" s="85">
        <v>45580</v>
      </c>
      <c r="B141" s="50" t="str">
        <f>C141&amp;D141</f>
        <v>S-S-KOLUSU-40</v>
      </c>
      <c r="C141" s="50" t="s">
        <v>727</v>
      </c>
      <c r="D141" s="86" t="s">
        <v>1094</v>
      </c>
      <c r="E141" s="87">
        <f>VLOOKUP(B141,'ALL-DATA'!A:F,2,FALSE)</f>
        <v>127.48</v>
      </c>
      <c r="F141" s="50">
        <f>VLOOKUP(B141,'ALL-DATA'!A:F,3,FALSE)</f>
        <v>76.5</v>
      </c>
      <c r="G141" s="50">
        <f>VLOOKUP(B141,'ALL-DATA'!A:F,4,FALSE)</f>
        <v>-11.5</v>
      </c>
      <c r="H141" s="88">
        <f>VLOOKUP(B141,'ALL-DATA'!A:F,5,FALSE)</f>
        <v>89.9</v>
      </c>
      <c r="I141" s="88">
        <f>VLOOKUP(B141,'ALL-DATA'!A:F,6,FALSE)</f>
        <v>8767.2457800000011</v>
      </c>
      <c r="J141" s="56">
        <v>13500</v>
      </c>
      <c r="K141" s="60"/>
      <c r="L141" s="89">
        <f t="shared" si="24"/>
        <v>4732.7542199999989</v>
      </c>
      <c r="M141" s="49"/>
      <c r="N141" s="50"/>
      <c r="O141" s="50"/>
      <c r="P141" s="50">
        <f>((((((Table8[[#This Row],[OLD-WT]]-(Table8[[#This Row],[OLD-WT]]*1%))*Table8[[#This Row],[MELTING2]])/100))*80)/100)*Table8[[#This Row],[P-RATE3]]</f>
        <v>0</v>
      </c>
      <c r="Q141" s="50"/>
      <c r="R141" s="74">
        <f t="shared" si="22"/>
        <v>0</v>
      </c>
    </row>
    <row r="142" spans="1:18" x14ac:dyDescent="0.45">
      <c r="A142" s="85">
        <v>45581</v>
      </c>
      <c r="B142" s="50" t="s">
        <v>1110</v>
      </c>
      <c r="C142" s="50"/>
      <c r="D142" s="86"/>
      <c r="E142" s="87">
        <f>VLOOKUP(B142,'ALL-DATA'!A:F,2,FALSE)</f>
        <v>1.04</v>
      </c>
      <c r="F142" s="50">
        <f>VLOOKUP(B142,'ALL-DATA'!A:F,3,FALSE)</f>
        <v>92</v>
      </c>
      <c r="G142" s="50">
        <f>VLOOKUP(B142,'ALL-DATA'!A:F,4,FALSE)</f>
        <v>102</v>
      </c>
      <c r="H142" s="88">
        <f>VLOOKUP(B142,'ALL-DATA'!A:F,5,FALSE)</f>
        <v>7770</v>
      </c>
      <c r="I142" s="88">
        <f>VLOOKUP(B142,'ALL-DATA'!A:F,6,FALSE)</f>
        <v>8330</v>
      </c>
      <c r="J142" s="56">
        <v>8700</v>
      </c>
      <c r="K142" s="60"/>
      <c r="L142" s="89">
        <f t="shared" si="24"/>
        <v>370</v>
      </c>
      <c r="M142" s="49"/>
      <c r="N142" s="50"/>
      <c r="O142" s="50"/>
      <c r="P142" s="50">
        <f>((((((Table8[[#This Row],[OLD-WT]]-(Table8[[#This Row],[OLD-WT]]*1%))*Table8[[#This Row],[MELTING2]])/100))*80)/100)*Table8[[#This Row],[P-RATE3]]</f>
        <v>0</v>
      </c>
      <c r="Q142" s="50"/>
      <c r="R142" s="74">
        <f t="shared" si="22"/>
        <v>0</v>
      </c>
    </row>
    <row r="143" spans="1:18" x14ac:dyDescent="0.45">
      <c r="A143" s="85">
        <v>45581</v>
      </c>
      <c r="B143" s="1" t="s">
        <v>1111</v>
      </c>
      <c r="C143" s="50"/>
      <c r="D143" s="86"/>
      <c r="E143" s="87">
        <f>VLOOKUP(B143,'ALL-DATA'!A:F,2,FALSE)</f>
        <v>1.6</v>
      </c>
      <c r="F143" s="50">
        <f>VLOOKUP(B143,'ALL-DATA'!A:F,3,FALSE)</f>
        <v>0</v>
      </c>
      <c r="G143" s="50">
        <f>VLOOKUP(B143,'ALL-DATA'!A:F,4,FALSE)</f>
        <v>200</v>
      </c>
      <c r="H143" s="88">
        <f>VLOOKUP(B143,'ALL-DATA'!A:F,5,FALSE)</f>
        <v>130</v>
      </c>
      <c r="I143" s="88">
        <f>VLOOKUP(B143,'ALL-DATA'!A:F,6,FALSE)</f>
        <v>130</v>
      </c>
      <c r="J143" s="56">
        <v>200</v>
      </c>
      <c r="K143" s="60"/>
      <c r="L143" s="89">
        <f t="shared" si="24"/>
        <v>70</v>
      </c>
      <c r="M143" s="49"/>
      <c r="N143" s="50"/>
      <c r="O143" s="50"/>
      <c r="P143" s="50">
        <f>((((((Table8[[#This Row],[OLD-WT]]-(Table8[[#This Row],[OLD-WT]]*1%))*Table8[[#This Row],[MELTING2]])/100))*80)/100)*Table8[[#This Row],[P-RATE3]]</f>
        <v>0</v>
      </c>
      <c r="Q143" s="50"/>
      <c r="R143" s="74">
        <f t="shared" si="22"/>
        <v>0</v>
      </c>
    </row>
    <row r="144" spans="1:18" x14ac:dyDescent="0.45">
      <c r="A144" s="85">
        <v>45582</v>
      </c>
      <c r="B144" s="50" t="str">
        <f t="shared" ref="B144:B151" si="25">C144&amp;D144</f>
        <v>S-RING-230</v>
      </c>
      <c r="C144" s="50" t="s">
        <v>732</v>
      </c>
      <c r="D144" s="86" t="s">
        <v>1113</v>
      </c>
      <c r="E144" s="87">
        <f>VLOOKUP(B144,'ALL-DATA'!A:F,2,FALSE)</f>
        <v>4</v>
      </c>
      <c r="F144" s="50">
        <f>VLOOKUP(B144,'ALL-DATA'!A:F,3,FALSE)</f>
        <v>92.5</v>
      </c>
      <c r="G144" s="50">
        <f>VLOOKUP(B144,'ALL-DATA'!A:F,4,FALSE)</f>
        <v>92.5</v>
      </c>
      <c r="H144" s="88">
        <f>VLOOKUP(B144,'ALL-DATA'!A:F,5,FALSE)</f>
        <v>125.57</v>
      </c>
      <c r="I144" s="88">
        <f>VLOOKUP(B144,'ALL-DATA'!A:F,6,FALSE)</f>
        <v>502.28</v>
      </c>
      <c r="J144" s="56">
        <v>1000</v>
      </c>
      <c r="K144" s="60"/>
      <c r="L144" s="89">
        <f t="shared" si="24"/>
        <v>497.72</v>
      </c>
      <c r="M144" s="49"/>
      <c r="N144" s="50"/>
      <c r="O144" s="50"/>
      <c r="P144" s="50">
        <f>((((((Table8[[#This Row],[OLD-WT]]-(Table8[[#This Row],[OLD-WT]]*1%))*Table8[[#This Row],[MELTING2]])/100))*80)/100)*Table8[[#This Row],[P-RATE3]]</f>
        <v>0</v>
      </c>
      <c r="Q144" s="50">
        <v>0</v>
      </c>
      <c r="R144" s="74">
        <f t="shared" si="22"/>
        <v>0</v>
      </c>
    </row>
    <row r="145" spans="1:18" x14ac:dyDescent="0.45">
      <c r="A145" s="85">
        <v>45584</v>
      </c>
      <c r="B145" s="50" t="str">
        <f t="shared" si="25"/>
        <v>S-RING-263</v>
      </c>
      <c r="C145" s="50" t="s">
        <v>732</v>
      </c>
      <c r="D145" s="86" t="s">
        <v>1160</v>
      </c>
      <c r="E145" s="87">
        <f>VLOOKUP(B145,'ALL-DATA'!A:F,2,FALSE)</f>
        <v>1.61</v>
      </c>
      <c r="F145" s="50">
        <f>VLOOKUP(B145,'ALL-DATA'!A:F,3,FALSE)</f>
        <v>92.5</v>
      </c>
      <c r="G145" s="50">
        <f>VLOOKUP(B145,'ALL-DATA'!A:F,4,FALSE)</f>
        <v>92.5</v>
      </c>
      <c r="H145" s="88">
        <f>VLOOKUP(B145,'ALL-DATA'!A:F,5,FALSE)</f>
        <v>123</v>
      </c>
      <c r="I145" s="88">
        <f>VLOOKUP(B145,'ALL-DATA'!A:F,6,FALSE)</f>
        <v>198.03</v>
      </c>
      <c r="J145" s="56">
        <v>400</v>
      </c>
      <c r="K145" s="60"/>
      <c r="L145" s="89">
        <f t="shared" si="24"/>
        <v>701.97275199999967</v>
      </c>
      <c r="M145" s="49">
        <v>34.64</v>
      </c>
      <c r="N145" s="50">
        <v>81</v>
      </c>
      <c r="O145" s="50">
        <v>90</v>
      </c>
      <c r="P145" s="50">
        <f>((((((Table8[[#This Row],[OLD-WT]]-(Table8[[#This Row],[OLD-WT]]*1%))*Table8[[#This Row],[MELTING2]])/100))*80)/100)*Table8[[#This Row],[P-RATE3]]</f>
        <v>2000.0027519999996</v>
      </c>
      <c r="Q145" s="50">
        <v>1500</v>
      </c>
      <c r="R145" s="74">
        <f t="shared" si="22"/>
        <v>500.00275199999965</v>
      </c>
    </row>
    <row r="146" spans="1:18" x14ac:dyDescent="0.45">
      <c r="A146" s="85">
        <v>45584</v>
      </c>
      <c r="B146" s="50" t="str">
        <f t="shared" si="25"/>
        <v>S-RING-141</v>
      </c>
      <c r="C146" s="50" t="s">
        <v>732</v>
      </c>
      <c r="D146" s="86" t="s">
        <v>1161</v>
      </c>
      <c r="E146" s="87">
        <f>VLOOKUP(B146,'ALL-DATA'!A:F,2,FALSE)</f>
        <v>2.2000000000000002</v>
      </c>
      <c r="F146" s="50">
        <f>VLOOKUP(B146,'ALL-DATA'!A:F,3,FALSE)</f>
        <v>92.5</v>
      </c>
      <c r="G146" s="50">
        <f>VLOOKUP(B146,'ALL-DATA'!A:F,4,FALSE)</f>
        <v>92.5</v>
      </c>
      <c r="H146" s="88">
        <f>VLOOKUP(B146,'ALL-DATA'!A:F,5,FALSE)</f>
        <v>131.65</v>
      </c>
      <c r="I146" s="88">
        <f>VLOOKUP(B146,'ALL-DATA'!A:F,6,FALSE)</f>
        <v>289.63000000000005</v>
      </c>
      <c r="J146" s="56">
        <v>500</v>
      </c>
      <c r="K146" s="60"/>
      <c r="L146" s="89">
        <f>((J146+R146)-I146)</f>
        <v>210.36999999999995</v>
      </c>
      <c r="M146" s="49"/>
      <c r="N146" s="50"/>
      <c r="O146" s="50"/>
      <c r="P146" s="50">
        <f>((((((Table8[[#This Row],[OLD-WT]]-(Table8[[#This Row],[OLD-WT]]*1%))*Table8[[#This Row],[MELTING2]])/100))*80)/100)*Table8[[#This Row],[P-RATE3]]</f>
        <v>0</v>
      </c>
      <c r="Q146" s="50"/>
      <c r="R146" s="74">
        <f t="shared" si="22"/>
        <v>0</v>
      </c>
    </row>
    <row r="147" spans="1:18" x14ac:dyDescent="0.45">
      <c r="A147" s="85">
        <v>45587</v>
      </c>
      <c r="B147" s="50" t="str">
        <f t="shared" si="25"/>
        <v>S-BARACELET-G-92.5-16</v>
      </c>
      <c r="C147" s="50" t="s">
        <v>739</v>
      </c>
      <c r="D147" s="86" t="s">
        <v>919</v>
      </c>
      <c r="E147" s="87">
        <f>VLOOKUP(B147,'ALL-DATA'!A:F,2,FALSE)</f>
        <v>6.76</v>
      </c>
      <c r="F147" s="50">
        <f>VLOOKUP(B147,'ALL-DATA'!A:F,3,FALSE)</f>
        <v>92.5</v>
      </c>
      <c r="G147" s="50">
        <f>VLOOKUP(B147,'ALL-DATA'!A:F,4,FALSE)</f>
        <v>-71.5</v>
      </c>
      <c r="H147" s="88">
        <f>VLOOKUP(B147,'ALL-DATA'!A:F,5,FALSE)</f>
        <v>127</v>
      </c>
      <c r="I147" s="88">
        <f>VLOOKUP(B147,'ALL-DATA'!A:F,6,FALSE)</f>
        <v>858.52</v>
      </c>
      <c r="J147" s="56">
        <v>1350</v>
      </c>
      <c r="K147" s="60"/>
      <c r="L147" s="89">
        <f>((J147+R147)-I147)</f>
        <v>559.82871040000009</v>
      </c>
      <c r="M147" s="49">
        <v>15.56</v>
      </c>
      <c r="N147" s="50">
        <v>81</v>
      </c>
      <c r="O147" s="50">
        <v>92</v>
      </c>
      <c r="P147" s="50">
        <f>((((((Table8[[#This Row],[OLD-WT]]-(Table8[[#This Row],[OLD-WT]]*1%))*Table8[[#This Row],[MELTING2]])/100))*80)/100)*Table8[[#This Row],[P-RATE3]]</f>
        <v>918.34871039999996</v>
      </c>
      <c r="Q147" s="50">
        <v>850</v>
      </c>
      <c r="R147" s="74">
        <f t="shared" si="22"/>
        <v>68.348710399999959</v>
      </c>
    </row>
    <row r="148" spans="1:18" x14ac:dyDescent="0.45">
      <c r="A148" s="85">
        <v>45589</v>
      </c>
      <c r="B148" s="50" t="str">
        <f t="shared" si="25"/>
        <v>S-CHAIN-N-44</v>
      </c>
      <c r="C148" s="50" t="s">
        <v>733</v>
      </c>
      <c r="D148" s="86" t="s">
        <v>798</v>
      </c>
      <c r="E148" s="87">
        <f>VLOOKUP(B148,'ALL-DATA'!A:F,2,FALSE)</f>
        <v>15.4</v>
      </c>
      <c r="F148" s="50">
        <f>VLOOKUP(B148,'ALL-DATA'!A:F,3,FALSE)</f>
        <v>86</v>
      </c>
      <c r="G148" s="50">
        <f>VLOOKUP(B148,'ALL-DATA'!A:F,4,FALSE)</f>
        <v>-21</v>
      </c>
      <c r="H148" s="88">
        <f>VLOOKUP(B148,'ALL-DATA'!A:F,5,FALSE)</f>
        <v>94.8</v>
      </c>
      <c r="I148" s="88">
        <f>VLOOKUP(B148,'ALL-DATA'!A:F,6,FALSE)</f>
        <v>1255.5312000000001</v>
      </c>
      <c r="J148" s="187">
        <v>2100</v>
      </c>
      <c r="K148" s="182">
        <v>600</v>
      </c>
      <c r="L148" s="89">
        <f>((J148+R148)-I148)-Table8[[#This Row],[BALANCE]]</f>
        <v>368.89870719999976</v>
      </c>
      <c r="M148" s="49">
        <v>10.58</v>
      </c>
      <c r="N148" s="50">
        <v>81</v>
      </c>
      <c r="O148" s="50">
        <v>92</v>
      </c>
      <c r="P148" s="50">
        <f>((((((Table8[[#This Row],[OLD-WT]]-(Table8[[#This Row],[OLD-WT]]*1%))*Table8[[#This Row],[MELTING2]])/100))*80)/100)*Table8[[#This Row],[P-RATE3]]</f>
        <v>624.4299072</v>
      </c>
      <c r="Q148" s="50">
        <v>500</v>
      </c>
      <c r="R148" s="74">
        <f t="shared" si="22"/>
        <v>124.4299072</v>
      </c>
    </row>
    <row r="149" spans="1:18" x14ac:dyDescent="0.45">
      <c r="A149" s="85">
        <v>45591</v>
      </c>
      <c r="B149" s="50" t="str">
        <f t="shared" si="25"/>
        <v>S-CHAIN-N-14</v>
      </c>
      <c r="C149" s="50" t="s">
        <v>733</v>
      </c>
      <c r="D149" s="86" t="s">
        <v>1169</v>
      </c>
      <c r="E149" s="87">
        <f>VLOOKUP(B149,'ALL-DATA'!A:F,2,FALSE)</f>
        <v>16.95</v>
      </c>
      <c r="F149" s="50">
        <f>VLOOKUP(B149,'ALL-DATA'!A:F,3,FALSE)</f>
        <v>86</v>
      </c>
      <c r="G149" s="50">
        <f>VLOOKUP(B149,'ALL-DATA'!A:F,4,FALSE)</f>
        <v>-21</v>
      </c>
      <c r="H149" s="88">
        <f>VLOOKUP(B149,'ALL-DATA'!A:F,5,FALSE)</f>
        <v>90</v>
      </c>
      <c r="I149" s="88">
        <f>VLOOKUP(B149,'ALL-DATA'!A:F,6,FALSE)</f>
        <v>1311.93</v>
      </c>
      <c r="J149" s="56">
        <v>2150</v>
      </c>
      <c r="K149" s="60"/>
      <c r="L149" s="89">
        <f>((J149+R149)-I149)</f>
        <v>1102.0431999999998</v>
      </c>
      <c r="M149" s="49">
        <v>11.5</v>
      </c>
      <c r="N149" s="50">
        <v>81</v>
      </c>
      <c r="O149" s="50">
        <v>90</v>
      </c>
      <c r="P149" s="50">
        <f>((((((Table8[[#This Row],[OLD-WT]]-(Table8[[#This Row],[OLD-WT]]*1%))*Table8[[#This Row],[MELTING2]])/100))*80)/100)*Table8[[#This Row],[P-RATE3]]</f>
        <v>663.97320000000002</v>
      </c>
      <c r="Q149" s="50">
        <v>400</v>
      </c>
      <c r="R149" s="74">
        <f t="shared" si="22"/>
        <v>263.97320000000002</v>
      </c>
    </row>
    <row r="150" spans="1:18" x14ac:dyDescent="0.45">
      <c r="A150" s="85">
        <v>45591</v>
      </c>
      <c r="B150" s="50" t="str">
        <f t="shared" si="25"/>
        <v>S-RING-128</v>
      </c>
      <c r="C150" s="50" t="s">
        <v>732</v>
      </c>
      <c r="D150" s="86" t="s">
        <v>1170</v>
      </c>
      <c r="E150" s="87">
        <f>VLOOKUP(B150,'ALL-DATA'!A:F,2,FALSE)</f>
        <v>0.96</v>
      </c>
      <c r="F150" s="50">
        <f>VLOOKUP(B150,'ALL-DATA'!A:F,3,FALSE)</f>
        <v>92.5</v>
      </c>
      <c r="G150" s="50">
        <f>VLOOKUP(B150,'ALL-DATA'!A:F,4,FALSE)</f>
        <v>92.5</v>
      </c>
      <c r="H150" s="88">
        <f>VLOOKUP(B150,'ALL-DATA'!A:F,5,FALSE)</f>
        <v>127</v>
      </c>
      <c r="I150" s="88">
        <f>VLOOKUP(B150,'ALL-DATA'!A:F,6,FALSE)</f>
        <v>121.92</v>
      </c>
      <c r="J150" s="56">
        <v>250</v>
      </c>
      <c r="K150" s="60"/>
      <c r="L150" s="89">
        <f>((J150+R150)-I150)</f>
        <v>128.07999999999998</v>
      </c>
      <c r="M150" s="49"/>
      <c r="N150" s="50"/>
      <c r="O150" s="50"/>
      <c r="P150" s="50">
        <f>((((((Table8[[#This Row],[OLD-WT]]-(Table8[[#This Row],[OLD-WT]]*1%))*Table8[[#This Row],[MELTING2]])/100))*80)/100)*Table8[[#This Row],[P-RATE3]]</f>
        <v>0</v>
      </c>
      <c r="Q150" s="50"/>
      <c r="R150" s="74">
        <f t="shared" si="22"/>
        <v>0</v>
      </c>
    </row>
    <row r="151" spans="1:18" x14ac:dyDescent="0.45">
      <c r="A151" s="85">
        <v>45592</v>
      </c>
      <c r="B151" s="50" t="str">
        <f t="shared" si="25"/>
        <v>S-B-KOLUSU--81</v>
      </c>
      <c r="C151" s="50" t="s">
        <v>728</v>
      </c>
      <c r="D151" s="86" t="s">
        <v>787</v>
      </c>
      <c r="E151" s="87">
        <f>VLOOKUP(B151,'ALL-DATA'!A:F,2,FALSE)</f>
        <v>39</v>
      </c>
      <c r="F151" s="50">
        <f>VLOOKUP(B151,'ALL-DATA'!A:F,3,FALSE)</f>
        <v>79</v>
      </c>
      <c r="G151" s="50">
        <f>VLOOKUP(B151,'ALL-DATA'!A:F,4,FALSE)</f>
        <v>-14</v>
      </c>
      <c r="H151" s="88">
        <f>VLOOKUP(B151,'ALL-DATA'!A:F,5,FALSE)</f>
        <v>86.4</v>
      </c>
      <c r="I151" s="88">
        <f>VLOOKUP(B151,'ALL-DATA'!A:F,6,FALSE)</f>
        <v>2661.9839999999999</v>
      </c>
      <c r="J151" s="56">
        <v>5200</v>
      </c>
      <c r="K151" s="60"/>
      <c r="L151" s="89">
        <f>((J151+R151)-I151)-I152</f>
        <v>1097.4808000000003</v>
      </c>
      <c r="M151" s="49">
        <v>86</v>
      </c>
      <c r="N151" s="50">
        <v>81</v>
      </c>
      <c r="O151" s="50">
        <v>90</v>
      </c>
      <c r="P151" s="50">
        <f>((((((Table8[[#This Row],[OLD-WT]]-(Table8[[#This Row],[OLD-WT]]*1%))*Table8[[#This Row],[MELTING2]])/100))*80)/100)*Table8[[#This Row],[P-RATE3]]</f>
        <v>4965.3648000000003</v>
      </c>
      <c r="Q151" s="50">
        <v>6000</v>
      </c>
      <c r="R151" s="74">
        <f t="shared" si="22"/>
        <v>-1034.6351999999997</v>
      </c>
    </row>
    <row r="152" spans="1:18" x14ac:dyDescent="0.45">
      <c r="A152" s="85">
        <v>45592</v>
      </c>
      <c r="B152" s="134" t="s">
        <v>1190</v>
      </c>
      <c r="C152" s="50"/>
      <c r="D152" s="86"/>
      <c r="E152" s="87">
        <f>VLOOKUP(B152,'ALL-DATA'!A:F,2,FALSE)</f>
        <v>5.5</v>
      </c>
      <c r="F152" s="50">
        <f>VLOOKUP(B152,'ALL-DATA'!A:F,3,FALSE)</f>
        <v>82</v>
      </c>
      <c r="G152" s="50">
        <f>VLOOKUP(B152,'ALL-DATA'!A:F,4,FALSE)</f>
        <v>0</v>
      </c>
      <c r="H152" s="88">
        <f>VLOOKUP(B152,'ALL-DATA'!A:F,5,FALSE)</f>
        <v>90</v>
      </c>
      <c r="I152" s="88">
        <f>VLOOKUP(B152,'ALL-DATA'!A:F,6,FALSE)</f>
        <v>405.9</v>
      </c>
      <c r="J152" s="56"/>
      <c r="K152" s="60"/>
      <c r="L152" s="89">
        <v>0</v>
      </c>
      <c r="M152" s="49"/>
      <c r="N152" s="50"/>
      <c r="O152" s="50"/>
      <c r="P152" s="50"/>
      <c r="Q152" s="50"/>
      <c r="R152" s="74"/>
    </row>
    <row r="153" spans="1:18" x14ac:dyDescent="0.45">
      <c r="A153" s="85">
        <v>45592</v>
      </c>
      <c r="B153" s="50" t="str">
        <f>C153&amp;D153</f>
        <v>S-BARACELET-B-10</v>
      </c>
      <c r="C153" s="50" t="s">
        <v>738</v>
      </c>
      <c r="D153" s="86" t="s">
        <v>793</v>
      </c>
      <c r="E153" s="87">
        <f>VLOOKUP(B153,'ALL-DATA'!A:F,2,FALSE)</f>
        <v>33.11</v>
      </c>
      <c r="F153" s="50">
        <f>VLOOKUP(B153,'ALL-DATA'!A:F,3,FALSE)</f>
        <v>86</v>
      </c>
      <c r="G153" s="50">
        <f>VLOOKUP(B153,'ALL-DATA'!A:F,4,FALSE)</f>
        <v>-65</v>
      </c>
      <c r="H153" s="88">
        <f>VLOOKUP(B153,'ALL-DATA'!A:F,5,FALSE)</f>
        <v>90</v>
      </c>
      <c r="I153" s="88">
        <f>VLOOKUP(B153,'ALL-DATA'!A:F,6,FALSE)</f>
        <v>2562.7139999999999</v>
      </c>
      <c r="J153" s="56">
        <v>4400</v>
      </c>
      <c r="K153" s="60"/>
      <c r="L153" s="89">
        <f>((J153+R153)-I153)-I155</f>
        <v>1737.2860000000001</v>
      </c>
      <c r="M153" s="49"/>
      <c r="N153" s="50"/>
      <c r="O153" s="50"/>
      <c r="P153" s="50">
        <f>((((((Table8[[#This Row],[OLD-WT]]-(Table8[[#This Row],[OLD-WT]]*1%))*Table8[[#This Row],[MELTING2]])/100))*80)/100)*Table8[[#This Row],[P-RATE3]]</f>
        <v>0</v>
      </c>
      <c r="Q153" s="50"/>
      <c r="R153" s="74">
        <f t="shared" si="22"/>
        <v>0</v>
      </c>
    </row>
    <row r="154" spans="1:18" x14ac:dyDescent="0.45">
      <c r="A154" s="85">
        <v>45592</v>
      </c>
      <c r="B154" s="50" t="str">
        <f>C154&amp;D154</f>
        <v>S-BARACELET-G-92.5-7</v>
      </c>
      <c r="C154" s="50" t="s">
        <v>739</v>
      </c>
      <c r="D154" s="86" t="s">
        <v>877</v>
      </c>
      <c r="E154" s="87">
        <f>VLOOKUP(B154,'ALL-DATA'!A:F,2,FALSE)</f>
        <v>7.31</v>
      </c>
      <c r="F154" s="50">
        <f>VLOOKUP(B154,'ALL-DATA'!A:F,3,FALSE)</f>
        <v>92.5</v>
      </c>
      <c r="G154" s="50">
        <f>VLOOKUP(B154,'ALL-DATA'!A:F,4,FALSE)</f>
        <v>-71.5</v>
      </c>
      <c r="H154" s="88">
        <f>VLOOKUP(B154,'ALL-DATA'!A:F,5,FALSE)</f>
        <v>127</v>
      </c>
      <c r="I154" s="88">
        <f>VLOOKUP(B154,'ALL-DATA'!A:F,6,FALSE)</f>
        <v>928.37</v>
      </c>
      <c r="J154" s="56">
        <v>1700</v>
      </c>
      <c r="K154" s="60"/>
      <c r="L154" s="89">
        <f>((J154+R154)-I154)</f>
        <v>771.63</v>
      </c>
      <c r="M154" s="49"/>
      <c r="N154" s="50"/>
      <c r="O154" s="50"/>
      <c r="P154" s="50">
        <f>((((((Table8[[#This Row],[OLD-WT]]-(Table8[[#This Row],[OLD-WT]]*1%))*Table8[[#This Row],[MELTING2]])/100))*80)/100)*Table8[[#This Row],[P-RATE3]]</f>
        <v>0</v>
      </c>
      <c r="Q154" s="50"/>
      <c r="R154" s="74">
        <f t="shared" si="22"/>
        <v>0</v>
      </c>
    </row>
    <row r="155" spans="1:18" x14ac:dyDescent="0.45">
      <c r="A155" s="85">
        <v>45592</v>
      </c>
      <c r="B155" s="133" t="s">
        <v>1082</v>
      </c>
      <c r="C155" s="50"/>
      <c r="D155" s="86"/>
      <c r="E155" s="87">
        <f>VLOOKUP(B155,'ALL-DATA'!A:F,2,FALSE)</f>
        <v>1</v>
      </c>
      <c r="F155" s="50">
        <f>VLOOKUP(B155,'ALL-DATA'!A:F,3,FALSE)</f>
        <v>0</v>
      </c>
      <c r="G155" s="50">
        <f>VLOOKUP(B155,'ALL-DATA'!A:F,4,FALSE)</f>
        <v>0</v>
      </c>
      <c r="H155" s="88">
        <f>VLOOKUP(B155,'ALL-DATA'!A:F,5,FALSE)</f>
        <v>0</v>
      </c>
      <c r="I155" s="88">
        <f>VLOOKUP(B155,'ALL-DATA'!A:F,6,FALSE)</f>
        <v>100</v>
      </c>
      <c r="J155" s="56"/>
      <c r="K155" s="60"/>
      <c r="L155" s="89">
        <v>0</v>
      </c>
      <c r="M155" s="49"/>
      <c r="N155" s="50"/>
      <c r="O155" s="50"/>
      <c r="P155" s="50">
        <f>((((((Table8[[#This Row],[OLD-WT]]-(Table8[[#This Row],[OLD-WT]]*1%))*Table8[[#This Row],[MELTING2]])/100))*80)/100)*Table8[[#This Row],[P-RATE3]]</f>
        <v>0</v>
      </c>
      <c r="Q155" s="50"/>
      <c r="R155" s="74">
        <f t="shared" si="22"/>
        <v>0</v>
      </c>
    </row>
    <row r="156" spans="1:18" x14ac:dyDescent="0.45">
      <c r="A156" s="85">
        <v>45592</v>
      </c>
      <c r="B156" s="50" t="str">
        <f>C156&amp;D156</f>
        <v>G-RING-B19</v>
      </c>
      <c r="C156" s="50" t="s">
        <v>720</v>
      </c>
      <c r="D156" s="86" t="s">
        <v>1002</v>
      </c>
      <c r="E156" s="87">
        <f>VLOOKUP(B156,'ALL-DATA'!A:F,2,FALSE)</f>
        <v>2.0499999999999998</v>
      </c>
      <c r="F156" s="50">
        <f>VLOOKUP(B156,'ALL-DATA'!A:F,3,FALSE)</f>
        <v>95.5</v>
      </c>
      <c r="G156" s="50">
        <f>VLOOKUP(B156,'ALL-DATA'!A:F,4,FALSE)</f>
        <v>-3.5</v>
      </c>
      <c r="H156" s="88">
        <f>VLOOKUP(B156,'ALL-DATA'!A:F,5,FALSE)</f>
        <v>7218.2</v>
      </c>
      <c r="I156" s="88">
        <f>VLOOKUP(B156,'ALL-DATA'!A:F,6,FALSE)</f>
        <v>14131.431049999999</v>
      </c>
      <c r="J156" s="187">
        <v>16500</v>
      </c>
      <c r="K156" s="182"/>
      <c r="L156" s="89">
        <f>((J156+R156)-I156)</f>
        <v>2368.5689500000008</v>
      </c>
      <c r="M156" s="49"/>
      <c r="N156" s="50"/>
      <c r="O156" s="50"/>
      <c r="P156" s="50">
        <f>((((((Table8[[#This Row],[OLD-WT]]-(Table8[[#This Row],[OLD-WT]]*1%))*Table8[[#This Row],[MELTING2]])/100))*80)/100)*Table8[[#This Row],[P-RATE3]]</f>
        <v>0</v>
      </c>
      <c r="Q156" s="50"/>
      <c r="R156" s="74">
        <f t="shared" si="22"/>
        <v>0</v>
      </c>
    </row>
    <row r="157" spans="1:18" x14ac:dyDescent="0.45">
      <c r="A157" s="85">
        <v>45593</v>
      </c>
      <c r="B157" s="50" t="str">
        <f>C157&amp;D157</f>
        <v>S-CHAIN-N-2</v>
      </c>
      <c r="C157" s="50" t="s">
        <v>733</v>
      </c>
      <c r="D157" s="86" t="s">
        <v>797</v>
      </c>
      <c r="E157" s="87">
        <f>VLOOKUP(B157,'ALL-DATA'!A:F,2,FALSE)</f>
        <v>11.6</v>
      </c>
      <c r="F157" s="50">
        <f>VLOOKUP(B157,'ALL-DATA'!A:F,3,FALSE)</f>
        <v>86</v>
      </c>
      <c r="G157" s="50">
        <f>VLOOKUP(B157,'ALL-DATA'!A:F,4,FALSE)</f>
        <v>-21</v>
      </c>
      <c r="H157" s="88">
        <f>VLOOKUP(B157,'ALL-DATA'!A:F,5,FALSE)</f>
        <v>90</v>
      </c>
      <c r="I157" s="88">
        <f>VLOOKUP(B157,'ALL-DATA'!A:F,6,FALSE)</f>
        <v>897.84</v>
      </c>
      <c r="J157" s="56">
        <v>2000</v>
      </c>
      <c r="K157" s="60"/>
      <c r="L157" s="89">
        <f>((J157+R157)-I157)-I159</f>
        <v>1002.1599999999999</v>
      </c>
      <c r="M157" s="49"/>
      <c r="N157" s="50"/>
      <c r="O157" s="50"/>
      <c r="P157" s="50">
        <f>((((((Table8[[#This Row],[OLD-WT]]-(Table8[[#This Row],[OLD-WT]]*1%))*Table8[[#This Row],[MELTING2]])/100))*80)/100)*Table8[[#This Row],[P-RATE3]]</f>
        <v>0</v>
      </c>
      <c r="Q157" s="50"/>
      <c r="R157" s="74">
        <f t="shared" si="22"/>
        <v>0</v>
      </c>
    </row>
    <row r="158" spans="1:18" x14ac:dyDescent="0.45">
      <c r="A158" s="85">
        <v>45593</v>
      </c>
      <c r="B158" s="50" t="str">
        <f>C158&amp;D158</f>
        <v>S-CHAIN-N-48</v>
      </c>
      <c r="C158" s="50" t="s">
        <v>733</v>
      </c>
      <c r="D158" s="86" t="s">
        <v>1194</v>
      </c>
      <c r="E158" s="87">
        <f>VLOOKUP(B158,'ALL-DATA'!A:F,2,FALSE)</f>
        <v>13</v>
      </c>
      <c r="F158" s="50">
        <f>VLOOKUP(B158,'ALL-DATA'!A:F,3,FALSE)</f>
        <v>86</v>
      </c>
      <c r="G158" s="50">
        <f>VLOOKUP(B158,'ALL-DATA'!A:F,4,FALSE)</f>
        <v>-21</v>
      </c>
      <c r="H158" s="88">
        <f>VLOOKUP(B158,'ALL-DATA'!A:F,5,FALSE)</f>
        <v>94.8</v>
      </c>
      <c r="I158" s="88">
        <f>VLOOKUP(B158,'ALL-DATA'!A:F,6,FALSE)</f>
        <v>1059.864</v>
      </c>
      <c r="J158" s="56">
        <v>2000</v>
      </c>
      <c r="K158" s="60"/>
      <c r="L158" s="89">
        <f>((J158+R158)-I158)</f>
        <v>1016.0151231999998</v>
      </c>
      <c r="M158" s="49">
        <v>2.98</v>
      </c>
      <c r="N158" s="50">
        <v>81</v>
      </c>
      <c r="O158" s="50">
        <v>92</v>
      </c>
      <c r="P158" s="50">
        <f>((((((Table8[[#This Row],[OLD-WT]]-(Table8[[#This Row],[OLD-WT]]*1%))*Table8[[#This Row],[MELTING2]])/100))*80)/100)*Table8[[#This Row],[P-RATE3]]</f>
        <v>175.87912319999998</v>
      </c>
      <c r="Q158" s="50">
        <v>100</v>
      </c>
      <c r="R158" s="74">
        <f t="shared" si="22"/>
        <v>75.879123199999981</v>
      </c>
    </row>
    <row r="159" spans="1:18" x14ac:dyDescent="0.45">
      <c r="A159" s="85">
        <v>45593</v>
      </c>
      <c r="B159" s="133" t="s">
        <v>1082</v>
      </c>
      <c r="C159" s="50"/>
      <c r="D159" s="86"/>
      <c r="E159" s="87">
        <f>VLOOKUP(B159,'ALL-DATA'!A:F,2,FALSE)</f>
        <v>1</v>
      </c>
      <c r="F159" s="50">
        <f>VLOOKUP(B159,'ALL-DATA'!A:F,3,FALSE)</f>
        <v>0</v>
      </c>
      <c r="G159" s="50">
        <f>VLOOKUP(B159,'ALL-DATA'!A:F,4,FALSE)</f>
        <v>0</v>
      </c>
      <c r="H159" s="88">
        <f>VLOOKUP(B159,'ALL-DATA'!A:F,5,FALSE)</f>
        <v>0</v>
      </c>
      <c r="I159" s="88">
        <f>VLOOKUP(B159,'ALL-DATA'!A:F,6,FALSE)</f>
        <v>100</v>
      </c>
      <c r="J159" s="56"/>
      <c r="K159" s="60"/>
      <c r="L159" s="89">
        <v>0</v>
      </c>
      <c r="M159" s="49"/>
      <c r="N159" s="50"/>
      <c r="O159" s="50"/>
      <c r="P159" s="50">
        <f>((((((Table8[[#This Row],[OLD-WT]]-(Table8[[#This Row],[OLD-WT]]*1%))*Table8[[#This Row],[MELTING2]])/100))*80)/100)*Table8[[#This Row],[P-RATE3]]</f>
        <v>0</v>
      </c>
      <c r="Q159" s="50"/>
      <c r="R159" s="74">
        <f t="shared" si="22"/>
        <v>0</v>
      </c>
    </row>
    <row r="160" spans="1:18" x14ac:dyDescent="0.45">
      <c r="A160" s="85">
        <v>45593</v>
      </c>
      <c r="B160" s="50" t="str">
        <f>C160&amp;D160</f>
        <v>S-B-KOLUSU--48</v>
      </c>
      <c r="C160" s="50" t="s">
        <v>728</v>
      </c>
      <c r="D160" s="86" t="s">
        <v>1194</v>
      </c>
      <c r="E160" s="87">
        <f>VLOOKUP(B160,'ALL-DATA'!A:F,2,FALSE)</f>
        <v>32.9</v>
      </c>
      <c r="F160" s="50">
        <f>VLOOKUP(B160,'ALL-DATA'!A:F,3,FALSE)</f>
        <v>82</v>
      </c>
      <c r="G160" s="50">
        <f>VLOOKUP(B160,'ALL-DATA'!A:F,4,FALSE)</f>
        <v>17</v>
      </c>
      <c r="H160" s="88">
        <f>VLOOKUP(B160,'ALL-DATA'!A:F,5,FALSE)</f>
        <v>86.14</v>
      </c>
      <c r="I160" s="88">
        <f>VLOOKUP(B160,'ALL-DATA'!A:F,6,FALSE)</f>
        <v>2323.88492</v>
      </c>
      <c r="J160" s="56">
        <v>4400</v>
      </c>
      <c r="K160" s="60"/>
      <c r="L160" s="89">
        <f>((J160+R160)-I160)-I161</f>
        <v>1670.2150799999999</v>
      </c>
      <c r="M160" s="49"/>
      <c r="N160" s="50"/>
      <c r="O160" s="50"/>
      <c r="P160" s="50">
        <f>((((((Table8[[#This Row],[OLD-WT]]-(Table8[[#This Row],[OLD-WT]]*1%))*Table8[[#This Row],[MELTING2]])/100))*80)/100)*Table8[[#This Row],[P-RATE3]]</f>
        <v>0</v>
      </c>
      <c r="Q160" s="50"/>
      <c r="R160" s="74">
        <f t="shared" si="22"/>
        <v>0</v>
      </c>
    </row>
    <row r="161" spans="1:18" x14ac:dyDescent="0.45">
      <c r="A161" s="85">
        <v>45593</v>
      </c>
      <c r="B161" s="133" t="s">
        <v>1190</v>
      </c>
      <c r="C161" s="50"/>
      <c r="D161" s="86"/>
      <c r="E161" s="87">
        <f>VLOOKUP(B161,'ALL-DATA'!A:F,2,FALSE)</f>
        <v>5.5</v>
      </c>
      <c r="F161" s="50">
        <f>VLOOKUP(B161,'ALL-DATA'!A:F,3,FALSE)</f>
        <v>82</v>
      </c>
      <c r="G161" s="50">
        <f>VLOOKUP(B161,'ALL-DATA'!A:F,4,FALSE)</f>
        <v>0</v>
      </c>
      <c r="H161" s="88">
        <f>VLOOKUP(B161,'ALL-DATA'!A:F,5,FALSE)</f>
        <v>90</v>
      </c>
      <c r="I161" s="88">
        <f>VLOOKUP(B161,'ALL-DATA'!A:F,6,FALSE)</f>
        <v>405.9</v>
      </c>
      <c r="J161" s="56"/>
      <c r="K161" s="60"/>
      <c r="L161" s="89">
        <v>0</v>
      </c>
      <c r="M161" s="49"/>
      <c r="N161" s="50"/>
      <c r="O161" s="50"/>
      <c r="P161" s="50">
        <f>((((((Table8[[#This Row],[OLD-WT]]-(Table8[[#This Row],[OLD-WT]]*1%))*Table8[[#This Row],[MELTING2]])/100))*80)/100)*Table8[[#This Row],[P-RATE3]]</f>
        <v>0</v>
      </c>
      <c r="Q161" s="50"/>
      <c r="R161" s="74">
        <f t="shared" si="22"/>
        <v>0</v>
      </c>
    </row>
    <row r="162" spans="1:18" x14ac:dyDescent="0.45">
      <c r="A162" s="85">
        <v>45593</v>
      </c>
      <c r="B162" s="50" t="str">
        <f t="shared" ref="B162:B169" si="26">C162&amp;D162</f>
        <v>S-B-KOLUSU--34</v>
      </c>
      <c r="C162" s="50" t="s">
        <v>728</v>
      </c>
      <c r="D162" s="86" t="s">
        <v>1014</v>
      </c>
      <c r="E162" s="87">
        <f>VLOOKUP(B162,'ALL-DATA'!A:F,2,FALSE)</f>
        <v>49.2</v>
      </c>
      <c r="F162" s="50">
        <f>VLOOKUP(B162,'ALL-DATA'!A:F,3,FALSE)</f>
        <v>82</v>
      </c>
      <c r="G162" s="50">
        <f>VLOOKUP(B162,'ALL-DATA'!A:F,4,FALSE)</f>
        <v>-17</v>
      </c>
      <c r="H162" s="88">
        <f>VLOOKUP(B162,'ALL-DATA'!A:F,5,FALSE)</f>
        <v>90</v>
      </c>
      <c r="I162" s="88">
        <f>VLOOKUP(B162,'ALL-DATA'!A:F,6,FALSE)</f>
        <v>3630.96</v>
      </c>
      <c r="J162" s="56">
        <v>5800</v>
      </c>
      <c r="K162" s="60"/>
      <c r="L162" s="89">
        <f t="shared" ref="L162:L168" si="27">((J162+R162)-I162)</f>
        <v>2169.04</v>
      </c>
      <c r="M162" s="49"/>
      <c r="N162" s="50"/>
      <c r="O162" s="50"/>
      <c r="P162" s="50">
        <f>((((((Table8[[#This Row],[OLD-WT]]-(Table8[[#This Row],[OLD-WT]]*1%))*Table8[[#This Row],[MELTING2]])/100))*80)/100)*Table8[[#This Row],[P-RATE3]]</f>
        <v>0</v>
      </c>
      <c r="Q162" s="50"/>
      <c r="R162" s="74">
        <f t="shared" si="22"/>
        <v>0</v>
      </c>
    </row>
    <row r="163" spans="1:18" x14ac:dyDescent="0.45">
      <c r="A163" s="85">
        <v>45595</v>
      </c>
      <c r="B163" s="50" t="str">
        <f t="shared" si="26"/>
        <v>S-B-KOLUSU--7</v>
      </c>
      <c r="C163" s="50" t="s">
        <v>728</v>
      </c>
      <c r="D163" s="86" t="s">
        <v>877</v>
      </c>
      <c r="E163" s="87">
        <f>VLOOKUP(B163,'ALL-DATA'!A:F,2,FALSE)</f>
        <v>59.32</v>
      </c>
      <c r="F163" s="50">
        <f>VLOOKUP(B163,'ALL-DATA'!A:F,3,FALSE)</f>
        <v>65</v>
      </c>
      <c r="G163" s="50">
        <f>VLOOKUP(B163,'ALL-DATA'!A:F,4,FALSE)</f>
        <v>-10</v>
      </c>
      <c r="H163" s="88">
        <f>VLOOKUP(B163,'ALL-DATA'!A:F,5,FALSE)</f>
        <v>89</v>
      </c>
      <c r="I163" s="88">
        <f>VLOOKUP(B163,'ALL-DATA'!A:F,6,FALSE)</f>
        <v>3431.6619999999998</v>
      </c>
      <c r="J163" s="56">
        <v>6800</v>
      </c>
      <c r="K163" s="60"/>
      <c r="L163" s="89">
        <f t="shared" si="27"/>
        <v>2475.4514079999994</v>
      </c>
      <c r="M163" s="49">
        <v>66.2</v>
      </c>
      <c r="N163" s="50">
        <v>81</v>
      </c>
      <c r="O163" s="50">
        <v>92</v>
      </c>
      <c r="P163" s="50">
        <f>((((((Table8[[#This Row],[OLD-WT]]-(Table8[[#This Row],[OLD-WT]]*1%))*Table8[[#This Row],[MELTING2]])/100))*80)/100)*Table8[[#This Row],[P-RATE3]]</f>
        <v>3907.1134079999993</v>
      </c>
      <c r="Q163" s="50">
        <v>4800</v>
      </c>
      <c r="R163" s="74">
        <f t="shared" si="22"/>
        <v>-892.88659200000075</v>
      </c>
    </row>
    <row r="164" spans="1:18" x14ac:dyDescent="0.45">
      <c r="A164" s="85">
        <v>45595</v>
      </c>
      <c r="B164" s="50" t="str">
        <f t="shared" si="26"/>
        <v>S-S-KOLUSU-18</v>
      </c>
      <c r="C164" s="50" t="s">
        <v>727</v>
      </c>
      <c r="D164" s="86" t="s">
        <v>1207</v>
      </c>
      <c r="E164" s="87">
        <f>VLOOKUP(B164,'ALL-DATA'!A:F,2,FALSE)</f>
        <v>62.1</v>
      </c>
      <c r="F164" s="50">
        <f>VLOOKUP(B164,'ALL-DATA'!A:F,3,FALSE)</f>
        <v>76.5</v>
      </c>
      <c r="G164" s="50">
        <f>VLOOKUP(B164,'ALL-DATA'!A:F,4,FALSE)</f>
        <v>-11.5</v>
      </c>
      <c r="H164" s="88">
        <f>VLOOKUP(B164,'ALL-DATA'!A:F,5,FALSE)</f>
        <v>89.9</v>
      </c>
      <c r="I164" s="88">
        <f>VLOOKUP(B164,'ALL-DATA'!A:F,6,FALSE)</f>
        <v>4270.8343500000001</v>
      </c>
      <c r="J164" s="187">
        <v>8400</v>
      </c>
      <c r="K164" s="182">
        <v>2500</v>
      </c>
      <c r="L164" s="89">
        <f t="shared" si="27"/>
        <v>3341.513586</v>
      </c>
      <c r="M164" s="49">
        <v>62.9</v>
      </c>
      <c r="N164" s="50">
        <v>81</v>
      </c>
      <c r="O164" s="50">
        <v>92</v>
      </c>
      <c r="P164" s="50">
        <f>((((((Table8[[#This Row],[OLD-WT]]-(Table8[[#This Row],[OLD-WT]]*1%))*Table8[[#This Row],[MELTING2]])/100))*80)/100)*Table8[[#This Row],[P-RATE3]]</f>
        <v>3712.3479360000001</v>
      </c>
      <c r="Q164" s="50">
        <v>4500</v>
      </c>
      <c r="R164" s="74">
        <f t="shared" si="22"/>
        <v>-787.65206399999988</v>
      </c>
    </row>
    <row r="165" spans="1:18" x14ac:dyDescent="0.45">
      <c r="A165" s="85">
        <v>45595</v>
      </c>
      <c r="B165" s="50" t="str">
        <f t="shared" si="26"/>
        <v>G-STUD-48</v>
      </c>
      <c r="C165" s="50" t="s">
        <v>721</v>
      </c>
      <c r="D165" s="86" t="s">
        <v>1194</v>
      </c>
      <c r="E165" s="87">
        <f>VLOOKUP(B165,'ALL-DATA'!A:F,2,FALSE)</f>
        <v>3.03</v>
      </c>
      <c r="F165" s="50">
        <f>VLOOKUP(B165,'ALL-DATA'!A:F,3,FALSE)</f>
        <v>97</v>
      </c>
      <c r="G165" s="50">
        <f>VLOOKUP(B165,'ALL-DATA'!A:F,4,FALSE)</f>
        <v>-5</v>
      </c>
      <c r="H165" s="88">
        <f>VLOOKUP(B165,'ALL-DATA'!A:F,5,FALSE)</f>
        <v>7420</v>
      </c>
      <c r="I165" s="88">
        <f>VLOOKUP(B165,'ALL-DATA'!A:F,6,FALSE)</f>
        <v>21808.121999999999</v>
      </c>
      <c r="J165" s="187">
        <v>25000</v>
      </c>
      <c r="K165" s="182">
        <v>10000</v>
      </c>
      <c r="L165" s="89">
        <f t="shared" si="27"/>
        <v>3191.8780000000006</v>
      </c>
      <c r="M165" s="49"/>
      <c r="N165" s="50"/>
      <c r="O165" s="50"/>
      <c r="P165" s="50">
        <f>((((((Table8[[#This Row],[OLD-WT]]-(Table8[[#This Row],[OLD-WT]]*1%))*Table8[[#This Row],[MELTING2]])/100))*80)/100)*Table8[[#This Row],[P-RATE3]]</f>
        <v>0</v>
      </c>
      <c r="Q165" s="50"/>
      <c r="R165" s="74">
        <f t="shared" si="22"/>
        <v>0</v>
      </c>
    </row>
    <row r="166" spans="1:18" x14ac:dyDescent="0.45">
      <c r="A166" s="85">
        <v>45595</v>
      </c>
      <c r="B166" s="50" t="str">
        <f t="shared" si="26"/>
        <v>S-RING-82</v>
      </c>
      <c r="C166" s="50" t="s">
        <v>732</v>
      </c>
      <c r="D166" s="86" t="s">
        <v>1209</v>
      </c>
      <c r="E166" s="87">
        <f>VLOOKUP(B166,'ALL-DATA'!A:F,2,FALSE)</f>
        <v>4.0599999999999996</v>
      </c>
      <c r="F166" s="50">
        <f>VLOOKUP(B166,'ALL-DATA'!A:F,3,FALSE)</f>
        <v>92.5</v>
      </c>
      <c r="G166" s="50">
        <f>VLOOKUP(B166,'ALL-DATA'!A:F,4,FALSE)</f>
        <v>92.5</v>
      </c>
      <c r="H166" s="88">
        <f>VLOOKUP(B166,'ALL-DATA'!A:F,5,FALSE)</f>
        <v>127</v>
      </c>
      <c r="I166" s="88">
        <f>VLOOKUP(B166,'ALL-DATA'!A:F,6,FALSE)</f>
        <v>515.62</v>
      </c>
      <c r="J166" s="56">
        <v>1000</v>
      </c>
      <c r="K166" s="60"/>
      <c r="L166" s="89">
        <f t="shared" si="27"/>
        <v>484.38</v>
      </c>
      <c r="M166" s="49"/>
      <c r="N166" s="50"/>
      <c r="O166" s="50"/>
      <c r="P166" s="50">
        <f>((((((Table8[[#This Row],[OLD-WT]]-(Table8[[#This Row],[OLD-WT]]*1%))*Table8[[#This Row],[MELTING2]])/100))*80)/100)*Table8[[#This Row],[P-RATE3]]</f>
        <v>0</v>
      </c>
      <c r="Q166" s="50"/>
      <c r="R166" s="74">
        <f t="shared" si="22"/>
        <v>0</v>
      </c>
    </row>
    <row r="167" spans="1:18" x14ac:dyDescent="0.45">
      <c r="A167" s="85">
        <v>45595</v>
      </c>
      <c r="B167" s="50" t="str">
        <f t="shared" si="26"/>
        <v>S-KAPPU-N-16-1</v>
      </c>
      <c r="C167" s="50" t="s">
        <v>740</v>
      </c>
      <c r="D167" s="86" t="s">
        <v>1212</v>
      </c>
      <c r="E167" s="87">
        <f>VLOOKUP(B167,'ALL-DATA'!A:F,2,FALSE)</f>
        <v>16.975000000000001</v>
      </c>
      <c r="F167" s="50">
        <f>VLOOKUP(B167,'ALL-DATA'!A:F,3,FALSE)</f>
        <v>85</v>
      </c>
      <c r="G167" s="50">
        <f>VLOOKUP(B167,'ALL-DATA'!A:F,4,FALSE)</f>
        <v>20</v>
      </c>
      <c r="H167" s="88">
        <f>VLOOKUP(B167,'ALL-DATA'!A:F,5,FALSE)</f>
        <v>83.19</v>
      </c>
      <c r="I167" s="88">
        <f>VLOOKUP(B167,'ALL-DATA'!A:F,6,FALSE)</f>
        <v>1200.3277125000002</v>
      </c>
      <c r="J167" s="56">
        <v>2500</v>
      </c>
      <c r="K167" s="60"/>
      <c r="L167" s="89">
        <f t="shared" si="27"/>
        <v>1299.6722874999998</v>
      </c>
      <c r="M167" s="49"/>
      <c r="N167" s="50"/>
      <c r="O167" s="50"/>
      <c r="P167" s="50">
        <f>((((((Table8[[#This Row],[OLD-WT]]-(Table8[[#This Row],[OLD-WT]]*1%))*Table8[[#This Row],[MELTING2]])/100))*80)/100)*Table8[[#This Row],[P-RATE3]]</f>
        <v>0</v>
      </c>
      <c r="Q167" s="50"/>
      <c r="R167" s="74">
        <f t="shared" si="22"/>
        <v>0</v>
      </c>
    </row>
    <row r="168" spans="1:18" x14ac:dyDescent="0.45">
      <c r="A168" s="85">
        <v>45595</v>
      </c>
      <c r="B168" s="50" t="str">
        <f t="shared" si="26"/>
        <v>S-RING-52</v>
      </c>
      <c r="C168" s="50" t="s">
        <v>732</v>
      </c>
      <c r="D168" s="86" t="s">
        <v>790</v>
      </c>
      <c r="E168" s="87">
        <f>VLOOKUP(B168,'ALL-DATA'!A:F,2,FALSE)</f>
        <v>1.25</v>
      </c>
      <c r="F168" s="50">
        <f>VLOOKUP(B168,'ALL-DATA'!A:F,3,FALSE)</f>
        <v>92.5</v>
      </c>
      <c r="G168" s="50">
        <f>VLOOKUP(B168,'ALL-DATA'!A:F,4,FALSE)</f>
        <v>92.5</v>
      </c>
      <c r="H168" s="88">
        <f>VLOOKUP(B168,'ALL-DATA'!A:F,5,FALSE)</f>
        <v>140</v>
      </c>
      <c r="I168" s="88">
        <f>VLOOKUP(B168,'ALL-DATA'!A:F,6,FALSE)</f>
        <v>175</v>
      </c>
      <c r="J168" s="56">
        <v>300</v>
      </c>
      <c r="K168" s="60"/>
      <c r="L168" s="89">
        <f t="shared" si="27"/>
        <v>125</v>
      </c>
      <c r="M168" s="49"/>
      <c r="N168" s="50"/>
      <c r="O168" s="50"/>
      <c r="P168" s="50">
        <f>((((((Table8[[#This Row],[OLD-WT]]-(Table8[[#This Row],[OLD-WT]]*1%))*Table8[[#This Row],[MELTING2]])/100))*80)/100)*Table8[[#This Row],[P-RATE3]]</f>
        <v>0</v>
      </c>
      <c r="Q168" s="50"/>
      <c r="R168" s="74">
        <f t="shared" si="22"/>
        <v>0</v>
      </c>
    </row>
    <row r="169" spans="1:18" x14ac:dyDescent="0.45">
      <c r="A169" s="85">
        <v>45595</v>
      </c>
      <c r="B169" s="50" t="str">
        <f t="shared" si="26"/>
        <v>S-B-KOLUSU--72</v>
      </c>
      <c r="C169" s="50" t="s">
        <v>728</v>
      </c>
      <c r="D169" s="86" t="s">
        <v>1213</v>
      </c>
      <c r="E169" s="87">
        <f>VLOOKUP(B169,'ALL-DATA'!A:F,2,FALSE)</f>
        <v>35.6</v>
      </c>
      <c r="F169" s="50">
        <f>VLOOKUP(B169,'ALL-DATA'!A:F,3,FALSE)</f>
        <v>79</v>
      </c>
      <c r="G169" s="50">
        <f>VLOOKUP(B169,'ALL-DATA'!A:F,4,FALSE)</f>
        <v>-14</v>
      </c>
      <c r="H169" s="88">
        <f>VLOOKUP(B169,'ALL-DATA'!A:F,5,FALSE)</f>
        <v>86.4</v>
      </c>
      <c r="I169" s="88">
        <f>VLOOKUP(B169,'ALL-DATA'!A:F,6,FALSE)</f>
        <v>2429.9136000000003</v>
      </c>
      <c r="J169" s="56">
        <v>4800</v>
      </c>
      <c r="K169" s="60"/>
      <c r="L169" s="89">
        <f>((J169+R169)-I169)-I170</f>
        <v>1830.9071839999997</v>
      </c>
      <c r="M169" s="49">
        <v>38.85</v>
      </c>
      <c r="N169" s="50">
        <v>81</v>
      </c>
      <c r="O169" s="50">
        <v>92</v>
      </c>
      <c r="P169" s="50">
        <f>((((((Table8[[#This Row],[OLD-WT]]-(Table8[[#This Row],[OLD-WT]]*1%))*Table8[[#This Row],[MELTING2]])/100))*80)/100)*Table8[[#This Row],[P-RATE3]]</f>
        <v>2292.9207839999999</v>
      </c>
      <c r="Q169" s="50">
        <v>2500</v>
      </c>
      <c r="R169" s="74">
        <f t="shared" si="22"/>
        <v>-207.07921600000009</v>
      </c>
    </row>
    <row r="170" spans="1:18" x14ac:dyDescent="0.45">
      <c r="A170" s="85">
        <v>45595</v>
      </c>
      <c r="B170" s="133" t="s">
        <v>1191</v>
      </c>
      <c r="C170" s="50"/>
      <c r="D170" s="86"/>
      <c r="E170" s="87">
        <f>VLOOKUP(B170,'ALL-DATA'!A:F,2,FALSE)</f>
        <v>4.5</v>
      </c>
      <c r="F170" s="50">
        <f>VLOOKUP(B170,'ALL-DATA'!A:F,3,FALSE)</f>
        <v>82</v>
      </c>
      <c r="G170" s="50">
        <f>VLOOKUP(B170,'ALL-DATA'!A:F,4,FALSE)</f>
        <v>0</v>
      </c>
      <c r="H170" s="88">
        <f>VLOOKUP(B170,'ALL-DATA'!A:F,5,FALSE)</f>
        <v>90</v>
      </c>
      <c r="I170" s="88">
        <f>VLOOKUP(B170,'ALL-DATA'!A:F,6,FALSE)</f>
        <v>332.1</v>
      </c>
      <c r="J170" s="56"/>
      <c r="K170" s="60"/>
      <c r="L170" s="89">
        <v>0</v>
      </c>
      <c r="M170" s="49"/>
      <c r="N170" s="50"/>
      <c r="O170" s="50"/>
      <c r="P170" s="50">
        <f>((((((Table8[[#This Row],[OLD-WT]]-(Table8[[#This Row],[OLD-WT]]*1%))*Table8[[#This Row],[MELTING2]])/100))*80)/100)*Table8[[#This Row],[P-RATE3]]</f>
        <v>0</v>
      </c>
      <c r="Q170" s="50"/>
      <c r="R170" s="74">
        <f t="shared" si="22"/>
        <v>0</v>
      </c>
    </row>
    <row r="171" spans="1:18" x14ac:dyDescent="0.45">
      <c r="A171" s="85">
        <v>45595</v>
      </c>
      <c r="B171" s="144" t="s">
        <v>806</v>
      </c>
      <c r="C171" s="50"/>
      <c r="D171" s="86"/>
      <c r="E171" s="87">
        <f>VLOOKUP(B171,'ALL-DATA'!A:F,2,FALSE)</f>
        <v>0</v>
      </c>
      <c r="F171" s="50">
        <f>VLOOKUP(B171,'ALL-DATA'!A:F,3,FALSE)</f>
        <v>0</v>
      </c>
      <c r="G171" s="50">
        <f>VLOOKUP(B171,'ALL-DATA'!A:F,4,FALSE)</f>
        <v>0</v>
      </c>
      <c r="H171" s="88">
        <f>VLOOKUP(B171,'ALL-DATA'!A:F,5,FALSE)</f>
        <v>0</v>
      </c>
      <c r="I171" s="88">
        <f>VLOOKUP(B171,'ALL-DATA'!A:F,6,FALSE)</f>
        <v>500</v>
      </c>
      <c r="J171" s="56">
        <v>800</v>
      </c>
      <c r="K171" s="60"/>
      <c r="L171" s="89">
        <f>((J171+R171)-I171)</f>
        <v>300</v>
      </c>
      <c r="M171" s="49"/>
      <c r="N171" s="50"/>
      <c r="O171" s="50"/>
      <c r="P171" s="50">
        <f>((((((Table8[[#This Row],[OLD-WT]]-(Table8[[#This Row],[OLD-WT]]*1%))*Table8[[#This Row],[MELTING2]])/100))*80)/100)*Table8[[#This Row],[P-RATE3]]</f>
        <v>0</v>
      </c>
      <c r="Q171" s="50"/>
      <c r="R171" s="74">
        <f t="shared" si="22"/>
        <v>0</v>
      </c>
    </row>
    <row r="172" spans="1:18" x14ac:dyDescent="0.45">
      <c r="A172" s="85">
        <v>45596</v>
      </c>
      <c r="B172" s="33" t="s">
        <v>1214</v>
      </c>
      <c r="C172" s="50"/>
      <c r="D172" s="86"/>
      <c r="E172" s="87">
        <f>VLOOKUP(B172,'ALL-DATA'!A:F,2,FALSE)</f>
        <v>8.5</v>
      </c>
      <c r="F172" s="50">
        <f>VLOOKUP(B172,'ALL-DATA'!A:F,3,FALSE)</f>
        <v>80</v>
      </c>
      <c r="G172" s="50">
        <f>VLOOKUP(B172,'ALL-DATA'!A:F,4,FALSE)</f>
        <v>-15</v>
      </c>
      <c r="H172" s="88">
        <f>VLOOKUP(B172,'ALL-DATA'!A:F,5,FALSE)</f>
        <v>93</v>
      </c>
      <c r="I172" s="88">
        <f>VLOOKUP(B172,'ALL-DATA'!A:F,6,FALSE)</f>
        <v>632.4</v>
      </c>
      <c r="J172" s="56">
        <v>1250</v>
      </c>
      <c r="K172" s="60"/>
      <c r="L172" s="89">
        <f>((J172+R172)-I172)</f>
        <v>706.68291199999987</v>
      </c>
      <c r="M172" s="49">
        <v>19.3</v>
      </c>
      <c r="N172" s="50">
        <v>81</v>
      </c>
      <c r="O172" s="50">
        <v>92</v>
      </c>
      <c r="P172" s="50">
        <f>((((((Table8[[#This Row],[OLD-WT]]-(Table8[[#This Row],[OLD-WT]]*1%))*Table8[[#This Row],[MELTING2]])/100))*80)/100)*Table8[[#This Row],[P-RATE3]]</f>
        <v>1139.0829119999999</v>
      </c>
      <c r="Q172" s="50">
        <v>1050</v>
      </c>
      <c r="R172" s="74">
        <f t="shared" si="22"/>
        <v>89.082911999999851</v>
      </c>
    </row>
    <row r="173" spans="1:18" x14ac:dyDescent="0.45">
      <c r="A173" s="85">
        <v>45596</v>
      </c>
      <c r="B173" s="50" t="str">
        <f>C173&amp;D173</f>
        <v/>
      </c>
      <c r="C173" s="50"/>
      <c r="D173" s="86"/>
      <c r="E173" s="87">
        <v>0</v>
      </c>
      <c r="F173" s="50">
        <v>0</v>
      </c>
      <c r="G173" s="50">
        <v>0</v>
      </c>
      <c r="H173" s="88">
        <v>0</v>
      </c>
      <c r="I173" s="88">
        <v>0</v>
      </c>
      <c r="J173" s="56"/>
      <c r="K173" s="60"/>
      <c r="L173" s="89">
        <f>Table8[[#This Row],[PROFIT-LOSS]]</f>
        <v>452.35455999999999</v>
      </c>
      <c r="M173" s="49">
        <v>0.192</v>
      </c>
      <c r="N173" s="50">
        <v>55</v>
      </c>
      <c r="O173" s="50">
        <v>7800</v>
      </c>
      <c r="P173" s="50">
        <f>((((((Table8[[#This Row],[OLD-WT]]-(Table8[[#This Row],[OLD-WT]]*1%))*Table8[[#This Row],[MELTING2]])/100))*80)/100)*Table8[[#This Row],[P-RATE3]]</f>
        <v>652.35455999999999</v>
      </c>
      <c r="Q173" s="50">
        <v>200</v>
      </c>
      <c r="R173" s="254">
        <f t="shared" si="22"/>
        <v>452.35455999999999</v>
      </c>
    </row>
    <row r="174" spans="1:18" x14ac:dyDescent="0.45">
      <c r="A174" s="85">
        <v>45597</v>
      </c>
      <c r="B174" s="50" t="str">
        <f>C174&amp;D174</f>
        <v>S-S-KOLUSU-96</v>
      </c>
      <c r="C174" s="50" t="s">
        <v>727</v>
      </c>
      <c r="D174" s="86" t="s">
        <v>1215</v>
      </c>
      <c r="E174" s="87">
        <f>VLOOKUP(B174,'ALL-DATA'!A:F,2,FALSE)</f>
        <v>161</v>
      </c>
      <c r="F174" s="50">
        <f>VLOOKUP(B174,'ALL-DATA'!A:F,3,FALSE)</f>
        <v>80</v>
      </c>
      <c r="G174" s="50">
        <f>VLOOKUP(B174,'ALL-DATA'!A:F,4,FALSE)</f>
        <v>-15</v>
      </c>
      <c r="H174" s="88">
        <f>VLOOKUP(B174,'ALL-DATA'!A:F,5,FALSE)</f>
        <v>86.4</v>
      </c>
      <c r="I174" s="88">
        <f>VLOOKUP(B174,'ALL-DATA'!A:F,6,FALSE)</f>
        <v>11128.320000000002</v>
      </c>
      <c r="J174" s="56">
        <v>18400</v>
      </c>
      <c r="K174" s="60"/>
      <c r="L174" s="89">
        <f>((J174+R174)-I174)-I175</f>
        <v>3688.3480319999981</v>
      </c>
      <c r="M174" s="49">
        <v>174.8</v>
      </c>
      <c r="N174" s="50">
        <v>81</v>
      </c>
      <c r="O174" s="50">
        <v>92</v>
      </c>
      <c r="P174" s="50">
        <f>((((((Table8[[#This Row],[OLD-WT]]-(Table8[[#This Row],[OLD-WT]]*1%))*Table8[[#This Row],[MELTING2]])/100))*80)/100)*Table8[[#This Row],[P-RATE3]]</f>
        <v>10316.668032</v>
      </c>
      <c r="Q174" s="50">
        <v>13800</v>
      </c>
      <c r="R174" s="254">
        <f t="shared" si="22"/>
        <v>-3483.3319680000004</v>
      </c>
    </row>
    <row r="175" spans="1:18" x14ac:dyDescent="0.45">
      <c r="A175" s="85">
        <v>45597</v>
      </c>
      <c r="B175" s="134" t="s">
        <v>1082</v>
      </c>
      <c r="C175" s="50"/>
      <c r="D175" s="86"/>
      <c r="E175" s="87">
        <f>VLOOKUP(B175,'ALL-DATA'!A:F,2,FALSE)</f>
        <v>1</v>
      </c>
      <c r="F175" s="50">
        <f>VLOOKUP(B175,'ALL-DATA'!A:F,3,FALSE)</f>
        <v>0</v>
      </c>
      <c r="G175" s="50">
        <f>VLOOKUP(B175,'ALL-DATA'!A:F,4,FALSE)</f>
        <v>0</v>
      </c>
      <c r="H175" s="88">
        <f>VLOOKUP(B175,'ALL-DATA'!A:F,5,FALSE)</f>
        <v>0</v>
      </c>
      <c r="I175" s="88">
        <f>VLOOKUP(B175,'ALL-DATA'!A:F,6,FALSE)</f>
        <v>100</v>
      </c>
      <c r="J175" s="56"/>
      <c r="K175" s="60"/>
      <c r="L175" s="89">
        <v>0</v>
      </c>
      <c r="M175" s="49"/>
      <c r="N175" s="50"/>
      <c r="O175" s="50"/>
      <c r="P175" s="50"/>
      <c r="Q175" s="50"/>
      <c r="R175" s="254"/>
    </row>
    <row r="176" spans="1:18" x14ac:dyDescent="0.45">
      <c r="A176" s="85">
        <v>45597</v>
      </c>
      <c r="B176" s="50" t="str">
        <f>C176&amp;D176</f>
        <v>G-PESERI-5-1</v>
      </c>
      <c r="C176" s="50" t="s">
        <v>726</v>
      </c>
      <c r="D176" s="86" t="s">
        <v>1218</v>
      </c>
      <c r="E176" s="87">
        <f>VLOOKUP(B176,'ALL-DATA'!A:F,2,FALSE)</f>
        <v>0.26500000000000001</v>
      </c>
      <c r="F176" s="50">
        <f>VLOOKUP(B176,'ALL-DATA'!A:F,3,FALSE)</f>
        <v>80.39</v>
      </c>
      <c r="G176" s="50">
        <f>VLOOKUP(B176,'ALL-DATA'!A:F,4,FALSE)</f>
        <v>-10</v>
      </c>
      <c r="H176" s="88">
        <f>VLOOKUP(B176,'ALL-DATA'!A:F,5,FALSE)</f>
        <v>7218.2</v>
      </c>
      <c r="I176" s="88">
        <f>VLOOKUP(B176,'ALL-DATA'!A:F,6,FALSE)</f>
        <v>1537.7184097000002</v>
      </c>
      <c r="J176" s="187">
        <v>2480</v>
      </c>
      <c r="K176" s="182">
        <v>400</v>
      </c>
      <c r="L176" s="89">
        <f t="shared" ref="L176:L181" si="28">((J176+R176)-I176)</f>
        <v>942.28159029999983</v>
      </c>
      <c r="M176" s="49"/>
      <c r="N176" s="50"/>
      <c r="O176" s="50"/>
      <c r="P176" s="50">
        <f>((((((Table8[[#This Row],[OLD-WT]]-(Table8[[#This Row],[OLD-WT]]*1%))*Table8[[#This Row],[MELTING2]])/100))*80)/100)*Table8[[#This Row],[P-RATE3]]</f>
        <v>0</v>
      </c>
      <c r="Q176" s="50"/>
      <c r="R176" s="254">
        <f t="shared" si="22"/>
        <v>0</v>
      </c>
    </row>
    <row r="177" spans="1:18" x14ac:dyDescent="0.45">
      <c r="A177" s="85">
        <v>45597</v>
      </c>
      <c r="B177" s="50" t="str">
        <f>C177&amp;D177</f>
        <v>S-B-KOLUSU--57</v>
      </c>
      <c r="C177" s="50" t="s">
        <v>728</v>
      </c>
      <c r="D177" s="86" t="s">
        <v>1221</v>
      </c>
      <c r="E177" s="87">
        <f>VLOOKUP(B177,'ALL-DATA'!A:F,2,FALSE)</f>
        <v>53.3</v>
      </c>
      <c r="F177" s="50">
        <f>VLOOKUP(B177,'ALL-DATA'!A:F,3,FALSE)</f>
        <v>74.03</v>
      </c>
      <c r="G177" s="50">
        <f>VLOOKUP(B177,'ALL-DATA'!A:F,4,FALSE)</f>
        <v>-14.030000000000001</v>
      </c>
      <c r="H177" s="88">
        <f>VLOOKUP(B177,'ALL-DATA'!A:F,5,FALSE)</f>
        <v>90</v>
      </c>
      <c r="I177" s="88">
        <f>VLOOKUP(B177,'ALL-DATA'!A:F,6,FALSE)</f>
        <v>3551.2191000000003</v>
      </c>
      <c r="J177" s="56">
        <v>6000</v>
      </c>
      <c r="K177" s="60"/>
      <c r="L177" s="89">
        <f t="shared" si="28"/>
        <v>2200.8266439999989</v>
      </c>
      <c r="M177" s="49">
        <v>70.349999999999994</v>
      </c>
      <c r="N177" s="50">
        <v>81</v>
      </c>
      <c r="O177" s="50">
        <v>92</v>
      </c>
      <c r="P177" s="50">
        <f>((((((Table8[[#This Row],[OLD-WT]]-(Table8[[#This Row],[OLD-WT]]*1%))*Table8[[#This Row],[MELTING2]])/100))*80)/100)*Table8[[#This Row],[P-RATE3]]</f>
        <v>4152.0457439999991</v>
      </c>
      <c r="Q177" s="50">
        <v>4400</v>
      </c>
      <c r="R177" s="254">
        <f t="shared" ref="R177" si="29">(P177-Q177)</f>
        <v>-247.9542560000009</v>
      </c>
    </row>
    <row r="178" spans="1:18" x14ac:dyDescent="0.45">
      <c r="A178" s="85">
        <v>45597</v>
      </c>
      <c r="B178" s="144" t="s">
        <v>1222</v>
      </c>
      <c r="C178" s="50"/>
      <c r="D178" s="86"/>
      <c r="E178" s="87">
        <f>VLOOKUP(B178,'ALL-DATA'!A:F,2,FALSE)</f>
        <v>17</v>
      </c>
      <c r="F178" s="50">
        <f>VLOOKUP(B178,'ALL-DATA'!A:F,3,FALSE)</f>
        <v>80</v>
      </c>
      <c r="G178" s="50">
        <f>VLOOKUP(B178,'ALL-DATA'!A:F,4,FALSE)</f>
        <v>-15</v>
      </c>
      <c r="H178" s="88">
        <f>VLOOKUP(B178,'ALL-DATA'!A:F,5,FALSE)</f>
        <v>93</v>
      </c>
      <c r="I178" s="88">
        <f>VLOOKUP(B178,'ALL-DATA'!A:F,6,FALSE)</f>
        <v>1264.8</v>
      </c>
      <c r="J178" s="56">
        <v>2100</v>
      </c>
      <c r="K178" s="60"/>
      <c r="L178" s="89">
        <f t="shared" si="28"/>
        <v>835.2</v>
      </c>
      <c r="M178" s="49"/>
      <c r="N178" s="50"/>
      <c r="O178" s="50"/>
      <c r="P178" s="50"/>
      <c r="Q178" s="50"/>
      <c r="R178" s="50"/>
    </row>
    <row r="179" spans="1:18" x14ac:dyDescent="0.45">
      <c r="A179" s="85">
        <v>45597</v>
      </c>
      <c r="B179" s="50" t="str">
        <f>C179&amp;D179</f>
        <v>S-CHAIN-N-51</v>
      </c>
      <c r="C179" s="50" t="s">
        <v>733</v>
      </c>
      <c r="D179" s="86" t="s">
        <v>792</v>
      </c>
      <c r="E179" s="87">
        <f>VLOOKUP(B179,'ALL-DATA'!A:F,2,FALSE)</f>
        <v>31.5</v>
      </c>
      <c r="F179" s="50">
        <f>VLOOKUP(B179,'ALL-DATA'!A:F,3,FALSE)</f>
        <v>86</v>
      </c>
      <c r="G179" s="50">
        <f>VLOOKUP(B179,'ALL-DATA'!A:F,4,FALSE)</f>
        <v>-21</v>
      </c>
      <c r="H179" s="88">
        <f>VLOOKUP(B179,'ALL-DATA'!A:F,5,FALSE)</f>
        <v>94.8</v>
      </c>
      <c r="I179" s="88">
        <f>VLOOKUP(B179,'ALL-DATA'!A:F,6,FALSE)</f>
        <v>2568.1320000000001</v>
      </c>
      <c r="J179" s="56">
        <v>3900</v>
      </c>
      <c r="K179" s="60"/>
      <c r="L179" s="89">
        <f t="shared" si="28"/>
        <v>1331.8679999999999</v>
      </c>
      <c r="M179" s="49"/>
      <c r="N179" s="50"/>
      <c r="O179" s="50"/>
      <c r="P179" s="50"/>
      <c r="Q179" s="50"/>
      <c r="R179" s="50"/>
    </row>
    <row r="180" spans="1:18" x14ac:dyDescent="0.45">
      <c r="A180" s="85">
        <v>45597</v>
      </c>
      <c r="B180" s="50" t="str">
        <f>C180&amp;D180</f>
        <v>S-RING-148</v>
      </c>
      <c r="C180" s="50" t="s">
        <v>732</v>
      </c>
      <c r="D180" s="86" t="s">
        <v>1223</v>
      </c>
      <c r="E180" s="87">
        <f>VLOOKUP(B180,'ALL-DATA'!A:F,2,FALSE)</f>
        <v>5.7</v>
      </c>
      <c r="F180" s="50">
        <f>VLOOKUP(B180,'ALL-DATA'!A:F,3,FALSE)</f>
        <v>92.5</v>
      </c>
      <c r="G180" s="50">
        <f>VLOOKUP(B180,'ALL-DATA'!A:F,4,FALSE)</f>
        <v>92.5</v>
      </c>
      <c r="H180" s="88">
        <f>VLOOKUP(B180,'ALL-DATA'!A:F,5,FALSE)</f>
        <v>131.65</v>
      </c>
      <c r="I180" s="88">
        <f>VLOOKUP(B180,'ALL-DATA'!A:F,6,FALSE)</f>
        <v>750.40500000000009</v>
      </c>
      <c r="J180" s="56">
        <v>1300</v>
      </c>
      <c r="K180" s="60"/>
      <c r="L180" s="89">
        <f t="shared" si="28"/>
        <v>549.59499999999991</v>
      </c>
      <c r="M180" s="49"/>
      <c r="N180" s="50"/>
      <c r="O180" s="50"/>
      <c r="P180" s="50"/>
      <c r="Q180" s="50"/>
      <c r="R180" s="50"/>
    </row>
    <row r="181" spans="1:18" x14ac:dyDescent="0.45">
      <c r="A181" s="85">
        <v>45597</v>
      </c>
      <c r="B181" s="50" t="str">
        <f>C181&amp;D181</f>
        <v>S-RING-244</v>
      </c>
      <c r="C181" s="50" t="s">
        <v>732</v>
      </c>
      <c r="D181" s="86" t="s">
        <v>1224</v>
      </c>
      <c r="E181" s="87">
        <f>VLOOKUP(B181,'ALL-DATA'!A:F,2,FALSE)</f>
        <v>3.01</v>
      </c>
      <c r="F181" s="50">
        <f>VLOOKUP(B181,'ALL-DATA'!A:F,3,FALSE)</f>
        <v>92.5</v>
      </c>
      <c r="G181" s="50">
        <f>VLOOKUP(B181,'ALL-DATA'!A:F,4,FALSE)</f>
        <v>92.5</v>
      </c>
      <c r="H181" s="88">
        <f>VLOOKUP(B181,'ALL-DATA'!A:F,5,FALSE)</f>
        <v>123</v>
      </c>
      <c r="I181" s="88">
        <f>VLOOKUP(B181,'ALL-DATA'!A:F,6,FALSE)</f>
        <v>370.22999999999996</v>
      </c>
      <c r="J181" s="56">
        <v>600</v>
      </c>
      <c r="K181" s="60"/>
      <c r="L181" s="89">
        <f t="shared" si="28"/>
        <v>229.77000000000004</v>
      </c>
      <c r="M181" s="49"/>
      <c r="N181" s="50"/>
      <c r="O181" s="50"/>
      <c r="P181" s="50"/>
      <c r="Q181" s="50"/>
      <c r="R181" s="50"/>
    </row>
  </sheetData>
  <phoneticPr fontId="7" type="noConversion"/>
  <pageMargins left="0.7" right="0.7" top="0.75" bottom="0.75" header="0.3" footer="0.3"/>
  <pageSetup paperSize="9" orientation="portrait" horizontalDpi="0" verticalDpi="0"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858E227-9ADD-4C09-AA1D-F9FCBF30A915}">
          <x14:formula1>
            <xm:f>'ALL-DATA'!$H$2:$H$36</xm:f>
          </x14:formula1>
          <xm:sqref>C2:C181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12CF6-6B86-4DB0-AA95-6D733FF12127}">
  <dimension ref="A1:Q211"/>
  <sheetViews>
    <sheetView zoomScaleNormal="100" workbookViewId="0">
      <pane ySplit="1" topLeftCell="A36" activePane="bottomLeft" state="frozen"/>
      <selection pane="bottomLeft" activeCell="C47" sqref="C47"/>
    </sheetView>
  </sheetViews>
  <sheetFormatPr defaultRowHeight="23.4" x14ac:dyDescent="0.45"/>
  <cols>
    <col min="1" max="1" width="19" bestFit="1" customWidth="1"/>
    <col min="2" max="2" width="27.109375" bestFit="1" customWidth="1"/>
    <col min="3" max="3" width="10.33203125" bestFit="1" customWidth="1"/>
    <col min="4" max="4" width="19.109375" style="90" bestFit="1" customWidth="1"/>
    <col min="5" max="5" width="15.5546875" style="29" bestFit="1" customWidth="1"/>
    <col min="6" max="6" width="13.5546875" style="121" bestFit="1" customWidth="1"/>
    <col min="7" max="7" width="10.33203125" style="1" bestFit="1" customWidth="1"/>
    <col min="8" max="8" width="15.77734375" style="1" bestFit="1" customWidth="1"/>
    <col min="9" max="9" width="15.5546875" style="90" bestFit="1" customWidth="1"/>
    <col min="10" max="10" width="15.44140625" style="90" bestFit="1" customWidth="1"/>
    <col min="16" max="16" width="14.21875" bestFit="1" customWidth="1"/>
    <col min="17" max="17" width="15" bestFit="1" customWidth="1"/>
  </cols>
  <sheetData>
    <row r="1" spans="1:17" ht="21" x14ac:dyDescent="0.4">
      <c r="A1" s="91" t="s">
        <v>696</v>
      </c>
      <c r="B1" s="91" t="s">
        <v>697</v>
      </c>
      <c r="C1" s="92" t="s">
        <v>836</v>
      </c>
      <c r="D1" s="93" t="s">
        <v>837</v>
      </c>
      <c r="E1" s="93" t="s">
        <v>838</v>
      </c>
      <c r="F1" s="96" t="s">
        <v>839</v>
      </c>
      <c r="G1" s="92" t="s">
        <v>840</v>
      </c>
      <c r="H1" s="92" t="s">
        <v>841</v>
      </c>
      <c r="I1" s="93" t="s">
        <v>842</v>
      </c>
      <c r="J1" s="93" t="s">
        <v>843</v>
      </c>
      <c r="P1" s="239" t="s">
        <v>1151</v>
      </c>
      <c r="Q1" s="239" t="s">
        <v>1152</v>
      </c>
    </row>
    <row r="2" spans="1:17" ht="21" x14ac:dyDescent="0.4">
      <c r="A2" s="94">
        <v>45582</v>
      </c>
      <c r="B2" s="92" t="s">
        <v>559</v>
      </c>
      <c r="C2" s="95">
        <v>4</v>
      </c>
      <c r="D2" s="93">
        <v>502.28</v>
      </c>
      <c r="E2" s="93">
        <v>1000</v>
      </c>
      <c r="F2" s="96">
        <v>497.72</v>
      </c>
      <c r="G2" s="95"/>
      <c r="H2" s="95">
        <v>0</v>
      </c>
      <c r="I2" s="93">
        <v>0</v>
      </c>
      <c r="J2" s="93">
        <v>0</v>
      </c>
      <c r="P2" s="240">
        <v>339.73</v>
      </c>
      <c r="Q2" s="240">
        <v>10997.46</v>
      </c>
    </row>
    <row r="3" spans="1:17" ht="18" x14ac:dyDescent="0.35">
      <c r="A3" s="94" t="s">
        <v>1150</v>
      </c>
      <c r="B3" s="92"/>
      <c r="C3" s="95">
        <v>4</v>
      </c>
      <c r="D3" s="93">
        <v>502.28</v>
      </c>
      <c r="E3" s="93">
        <v>1000</v>
      </c>
      <c r="F3" s="96">
        <v>497.72</v>
      </c>
      <c r="G3" s="95"/>
      <c r="H3" s="95">
        <v>0</v>
      </c>
      <c r="I3" s="93">
        <v>0</v>
      </c>
      <c r="J3" s="93">
        <v>0</v>
      </c>
    </row>
    <row r="4" spans="1:17" ht="18" x14ac:dyDescent="0.35">
      <c r="A4" s="94">
        <v>45584</v>
      </c>
      <c r="B4" s="92" t="s">
        <v>1133</v>
      </c>
      <c r="C4" s="95">
        <v>1.61</v>
      </c>
      <c r="D4" s="93">
        <v>198.03</v>
      </c>
      <c r="E4" s="93">
        <v>400</v>
      </c>
      <c r="F4" s="96">
        <v>701.97275199999967</v>
      </c>
      <c r="G4" s="95">
        <v>34.64</v>
      </c>
      <c r="H4" s="95">
        <v>2000.0027519999996</v>
      </c>
      <c r="I4" s="93">
        <v>1500</v>
      </c>
      <c r="J4" s="93">
        <v>500.00275199999965</v>
      </c>
    </row>
    <row r="5" spans="1:17" ht="18" x14ac:dyDescent="0.35">
      <c r="A5" s="92"/>
      <c r="B5" s="92" t="s">
        <v>470</v>
      </c>
      <c r="C5" s="95">
        <v>2.2000000000000002</v>
      </c>
      <c r="D5" s="93">
        <v>289.63000000000005</v>
      </c>
      <c r="E5" s="93">
        <v>500</v>
      </c>
      <c r="F5" s="96">
        <v>210.36999999999995</v>
      </c>
      <c r="G5" s="95"/>
      <c r="H5" s="95">
        <v>0</v>
      </c>
      <c r="I5" s="93"/>
      <c r="J5" s="93">
        <v>0</v>
      </c>
    </row>
    <row r="6" spans="1:17" ht="18" x14ac:dyDescent="0.35">
      <c r="A6" s="94" t="s">
        <v>1162</v>
      </c>
      <c r="B6" s="92"/>
      <c r="C6" s="95">
        <v>3.8100000000000005</v>
      </c>
      <c r="D6" s="93">
        <v>487.66000000000008</v>
      </c>
      <c r="E6" s="93">
        <v>900</v>
      </c>
      <c r="F6" s="96">
        <v>912.34275199999956</v>
      </c>
      <c r="G6" s="95">
        <v>34.64</v>
      </c>
      <c r="H6" s="95">
        <v>2000.0027519999996</v>
      </c>
      <c r="I6" s="93">
        <v>1500</v>
      </c>
      <c r="J6" s="93">
        <v>500.00275199999965</v>
      </c>
    </row>
    <row r="7" spans="1:17" ht="18" x14ac:dyDescent="0.35">
      <c r="A7" s="94">
        <v>45587</v>
      </c>
      <c r="B7" s="92" t="s">
        <v>663</v>
      </c>
      <c r="C7" s="95">
        <v>6.76</v>
      </c>
      <c r="D7" s="93">
        <v>858.52</v>
      </c>
      <c r="E7" s="93">
        <v>1350</v>
      </c>
      <c r="F7" s="96">
        <v>559.82871040000009</v>
      </c>
      <c r="G7" s="95">
        <v>15.56</v>
      </c>
      <c r="H7" s="95">
        <v>918.34871039999996</v>
      </c>
      <c r="I7" s="93">
        <v>850</v>
      </c>
      <c r="J7" s="93">
        <v>68.348710399999959</v>
      </c>
    </row>
    <row r="8" spans="1:17" ht="18" x14ac:dyDescent="0.35">
      <c r="A8" s="94" t="s">
        <v>1163</v>
      </c>
      <c r="B8" s="92"/>
      <c r="C8" s="95">
        <v>6.76</v>
      </c>
      <c r="D8" s="93">
        <v>858.52</v>
      </c>
      <c r="E8" s="93">
        <v>1350</v>
      </c>
      <c r="F8" s="96">
        <v>559.82871040000009</v>
      </c>
      <c r="G8" s="95">
        <v>15.56</v>
      </c>
      <c r="H8" s="95">
        <v>918.34871039999996</v>
      </c>
      <c r="I8" s="93">
        <v>850</v>
      </c>
      <c r="J8" s="93">
        <v>68.348710399999959</v>
      </c>
    </row>
    <row r="9" spans="1:17" ht="18" x14ac:dyDescent="0.35">
      <c r="A9" s="94">
        <v>45589</v>
      </c>
      <c r="B9" s="92" t="s">
        <v>607</v>
      </c>
      <c r="C9" s="95">
        <v>15.4</v>
      </c>
      <c r="D9" s="93">
        <v>1255.5312000000001</v>
      </c>
      <c r="E9" s="93">
        <v>2100</v>
      </c>
      <c r="F9" s="96">
        <v>368.89870719999976</v>
      </c>
      <c r="G9" s="95">
        <v>10.58</v>
      </c>
      <c r="H9" s="95">
        <v>624.4299072</v>
      </c>
      <c r="I9" s="93">
        <v>500</v>
      </c>
      <c r="J9" s="93">
        <v>124.4299072</v>
      </c>
    </row>
    <row r="10" spans="1:17" ht="18" x14ac:dyDescent="0.35">
      <c r="A10" s="94" t="s">
        <v>1168</v>
      </c>
      <c r="B10" s="92"/>
      <c r="C10" s="95">
        <v>15.4</v>
      </c>
      <c r="D10" s="93">
        <v>1255.5312000000001</v>
      </c>
      <c r="E10" s="93">
        <v>2100</v>
      </c>
      <c r="F10" s="96">
        <v>368.89870719999976</v>
      </c>
      <c r="G10" s="95">
        <v>10.58</v>
      </c>
      <c r="H10" s="95">
        <v>624.4299072</v>
      </c>
      <c r="I10" s="93">
        <v>500</v>
      </c>
      <c r="J10" s="93">
        <v>124.4299072</v>
      </c>
    </row>
    <row r="11" spans="1:17" ht="18" x14ac:dyDescent="0.35">
      <c r="A11" s="94">
        <v>45591</v>
      </c>
      <c r="B11" s="92" t="s">
        <v>576</v>
      </c>
      <c r="C11" s="95">
        <v>16.95</v>
      </c>
      <c r="D11" s="93">
        <v>1311.93</v>
      </c>
      <c r="E11" s="93">
        <v>2150</v>
      </c>
      <c r="F11" s="96">
        <v>1102.0431999999998</v>
      </c>
      <c r="G11" s="95">
        <v>11.5</v>
      </c>
      <c r="H11" s="95">
        <v>663.97320000000002</v>
      </c>
      <c r="I11" s="93">
        <v>400</v>
      </c>
      <c r="J11" s="93">
        <v>263.97320000000002</v>
      </c>
    </row>
    <row r="12" spans="1:17" ht="18" x14ac:dyDescent="0.35">
      <c r="A12" s="92"/>
      <c r="B12" s="92" t="s">
        <v>457</v>
      </c>
      <c r="C12" s="95">
        <v>0.96</v>
      </c>
      <c r="D12" s="93">
        <v>121.92</v>
      </c>
      <c r="E12" s="93">
        <v>250</v>
      </c>
      <c r="F12" s="96">
        <v>128.07999999999998</v>
      </c>
      <c r="G12" s="95"/>
      <c r="H12" s="95">
        <v>0</v>
      </c>
      <c r="I12" s="93"/>
      <c r="J12" s="93">
        <v>0</v>
      </c>
    </row>
    <row r="13" spans="1:17" ht="18" x14ac:dyDescent="0.35">
      <c r="A13" s="94" t="s">
        <v>1192</v>
      </c>
      <c r="B13" s="92"/>
      <c r="C13" s="95">
        <v>17.91</v>
      </c>
      <c r="D13" s="93">
        <v>1433.8500000000001</v>
      </c>
      <c r="E13" s="93">
        <v>2400</v>
      </c>
      <c r="F13" s="96">
        <v>1230.1231999999998</v>
      </c>
      <c r="G13" s="95">
        <v>11.5</v>
      </c>
      <c r="H13" s="95">
        <v>663.97320000000002</v>
      </c>
      <c r="I13" s="93">
        <v>400</v>
      </c>
      <c r="J13" s="93">
        <v>263.97320000000002</v>
      </c>
    </row>
    <row r="14" spans="1:17" ht="18" x14ac:dyDescent="0.35">
      <c r="A14" s="94">
        <v>45592</v>
      </c>
      <c r="B14" s="92" t="s">
        <v>1082</v>
      </c>
      <c r="C14" s="95">
        <v>1</v>
      </c>
      <c r="D14" s="93">
        <v>100</v>
      </c>
      <c r="E14" s="93"/>
      <c r="F14" s="96">
        <v>0</v>
      </c>
      <c r="G14" s="95"/>
      <c r="H14" s="95">
        <v>0</v>
      </c>
      <c r="I14" s="93"/>
      <c r="J14" s="93">
        <v>0</v>
      </c>
    </row>
    <row r="15" spans="1:17" ht="18" x14ac:dyDescent="0.35">
      <c r="A15" s="92"/>
      <c r="B15" s="92" t="s">
        <v>1189</v>
      </c>
      <c r="C15" s="95">
        <v>39</v>
      </c>
      <c r="D15" s="93">
        <v>2661.9839999999999</v>
      </c>
      <c r="E15" s="93">
        <v>5200</v>
      </c>
      <c r="F15" s="96">
        <v>1097.4808000000003</v>
      </c>
      <c r="G15" s="95">
        <v>86</v>
      </c>
      <c r="H15" s="95">
        <v>4965.3648000000003</v>
      </c>
      <c r="I15" s="93">
        <v>6000</v>
      </c>
      <c r="J15" s="93">
        <v>-1034.6351999999997</v>
      </c>
    </row>
    <row r="16" spans="1:17" ht="18" x14ac:dyDescent="0.35">
      <c r="A16" s="92"/>
      <c r="B16" s="92" t="s">
        <v>1190</v>
      </c>
      <c r="C16" s="95">
        <v>5.5</v>
      </c>
      <c r="D16" s="93">
        <v>405.9</v>
      </c>
      <c r="E16" s="93"/>
      <c r="F16" s="96">
        <v>0</v>
      </c>
      <c r="G16" s="95"/>
      <c r="H16" s="95"/>
      <c r="I16" s="93"/>
      <c r="J16" s="93"/>
    </row>
    <row r="17" spans="1:13" ht="18" x14ac:dyDescent="0.35">
      <c r="A17" s="92"/>
      <c r="B17" s="92" t="s">
        <v>634</v>
      </c>
      <c r="C17" s="95">
        <v>33.11</v>
      </c>
      <c r="D17" s="93">
        <v>2562.7139999999999</v>
      </c>
      <c r="E17" s="93">
        <v>4400</v>
      </c>
      <c r="F17" s="96">
        <v>1737.2860000000001</v>
      </c>
      <c r="G17" s="95"/>
      <c r="H17" s="95">
        <v>0</v>
      </c>
      <c r="I17" s="93"/>
      <c r="J17" s="93">
        <v>0</v>
      </c>
    </row>
    <row r="18" spans="1:13" ht="18" x14ac:dyDescent="0.35">
      <c r="A18" s="92"/>
      <c r="B18" s="92" t="s">
        <v>654</v>
      </c>
      <c r="C18" s="95">
        <v>7.31</v>
      </c>
      <c r="D18" s="93">
        <v>928.37</v>
      </c>
      <c r="E18" s="93">
        <v>1700</v>
      </c>
      <c r="F18" s="96">
        <v>771.63</v>
      </c>
      <c r="G18" s="95"/>
      <c r="H18" s="95">
        <v>0</v>
      </c>
      <c r="I18" s="93"/>
      <c r="J18" s="93">
        <v>0</v>
      </c>
    </row>
    <row r="19" spans="1:13" ht="18" x14ac:dyDescent="0.35">
      <c r="A19" s="92"/>
      <c r="B19" s="92" t="s">
        <v>770</v>
      </c>
      <c r="C19" s="95">
        <v>2.0499999999999998</v>
      </c>
      <c r="D19" s="93">
        <v>14131.431049999999</v>
      </c>
      <c r="E19" s="93">
        <v>16500</v>
      </c>
      <c r="F19" s="96">
        <v>2368.5689500000008</v>
      </c>
      <c r="G19" s="95"/>
      <c r="H19" s="95">
        <v>0</v>
      </c>
      <c r="I19" s="93"/>
      <c r="J19" s="93">
        <v>0</v>
      </c>
    </row>
    <row r="20" spans="1:13" ht="18" x14ac:dyDescent="0.35">
      <c r="A20" s="94" t="s">
        <v>1193</v>
      </c>
      <c r="B20" s="92"/>
      <c r="C20" s="95">
        <v>87.97</v>
      </c>
      <c r="D20" s="93">
        <v>20790.39905</v>
      </c>
      <c r="E20" s="93">
        <v>27800</v>
      </c>
      <c r="F20" s="96">
        <v>5974.9657500000012</v>
      </c>
      <c r="G20" s="95">
        <v>86</v>
      </c>
      <c r="H20" s="95">
        <v>4965.3648000000003</v>
      </c>
      <c r="I20" s="93">
        <v>6000</v>
      </c>
      <c r="J20" s="93">
        <v>-1034.6351999999997</v>
      </c>
      <c r="M20" t="s">
        <v>1164</v>
      </c>
    </row>
    <row r="21" spans="1:13" ht="18" x14ac:dyDescent="0.35">
      <c r="A21" s="94">
        <v>45593</v>
      </c>
      <c r="B21" s="92" t="s">
        <v>1082</v>
      </c>
      <c r="C21" s="95">
        <v>1</v>
      </c>
      <c r="D21" s="93">
        <v>100</v>
      </c>
      <c r="E21" s="93"/>
      <c r="F21" s="96">
        <v>0</v>
      </c>
      <c r="G21" s="95"/>
      <c r="H21" s="95">
        <v>0</v>
      </c>
      <c r="I21" s="93"/>
      <c r="J21" s="93">
        <v>0</v>
      </c>
    </row>
    <row r="22" spans="1:13" ht="18" x14ac:dyDescent="0.35">
      <c r="A22" s="92"/>
      <c r="B22" s="92" t="s">
        <v>1190</v>
      </c>
      <c r="C22" s="95">
        <v>5.5</v>
      </c>
      <c r="D22" s="93">
        <v>405.9</v>
      </c>
      <c r="E22" s="93"/>
      <c r="F22" s="96">
        <v>0</v>
      </c>
      <c r="G22" s="95"/>
      <c r="H22" s="95">
        <v>0</v>
      </c>
      <c r="I22" s="93"/>
      <c r="J22" s="93">
        <v>0</v>
      </c>
    </row>
    <row r="23" spans="1:13" ht="18" x14ac:dyDescent="0.35">
      <c r="A23" s="92"/>
      <c r="B23" s="92" t="s">
        <v>564</v>
      </c>
      <c r="C23" s="95">
        <v>11.6</v>
      </c>
      <c r="D23" s="93">
        <v>897.84</v>
      </c>
      <c r="E23" s="93">
        <v>2000</v>
      </c>
      <c r="F23" s="96">
        <v>1002.1599999999999</v>
      </c>
      <c r="G23" s="95"/>
      <c r="H23" s="95">
        <v>0</v>
      </c>
      <c r="I23" s="93"/>
      <c r="J23" s="93">
        <v>0</v>
      </c>
    </row>
    <row r="24" spans="1:13" ht="18" x14ac:dyDescent="0.35">
      <c r="A24" s="92"/>
      <c r="B24" s="92" t="s">
        <v>611</v>
      </c>
      <c r="C24" s="95">
        <v>13</v>
      </c>
      <c r="D24" s="93">
        <v>1059.864</v>
      </c>
      <c r="E24" s="93">
        <v>2000</v>
      </c>
      <c r="F24" s="96">
        <v>1016.0151231999998</v>
      </c>
      <c r="G24" s="95">
        <v>2.98</v>
      </c>
      <c r="H24" s="95">
        <v>175.87912319999998</v>
      </c>
      <c r="I24" s="93">
        <v>100</v>
      </c>
      <c r="J24" s="93">
        <v>75.879123199999981</v>
      </c>
    </row>
    <row r="25" spans="1:13" ht="18" x14ac:dyDescent="0.35">
      <c r="A25" s="92"/>
      <c r="B25" s="92" t="s">
        <v>282</v>
      </c>
      <c r="C25" s="95">
        <v>32.9</v>
      </c>
      <c r="D25" s="93">
        <v>2323.88492</v>
      </c>
      <c r="E25" s="93">
        <v>4400</v>
      </c>
      <c r="F25" s="96">
        <v>1670.2150799999999</v>
      </c>
      <c r="G25" s="95"/>
      <c r="H25" s="95">
        <v>0</v>
      </c>
      <c r="I25" s="93"/>
      <c r="J25" s="93">
        <v>0</v>
      </c>
    </row>
    <row r="26" spans="1:13" ht="18" x14ac:dyDescent="0.35">
      <c r="A26" s="92"/>
      <c r="B26" s="92" t="s">
        <v>268</v>
      </c>
      <c r="C26" s="95">
        <v>49.2</v>
      </c>
      <c r="D26" s="93">
        <v>3630.96</v>
      </c>
      <c r="E26" s="93">
        <v>5800</v>
      </c>
      <c r="F26" s="96">
        <v>2169.04</v>
      </c>
      <c r="G26" s="95"/>
      <c r="H26" s="95">
        <v>0</v>
      </c>
      <c r="I26" s="93"/>
      <c r="J26" s="93">
        <v>0</v>
      </c>
    </row>
    <row r="27" spans="1:13" ht="18" x14ac:dyDescent="0.35">
      <c r="A27" s="94" t="s">
        <v>1195</v>
      </c>
      <c r="B27" s="92"/>
      <c r="C27" s="95">
        <v>113.2</v>
      </c>
      <c r="D27" s="93">
        <v>8418.4489199999989</v>
      </c>
      <c r="E27" s="93">
        <v>14200</v>
      </c>
      <c r="F27" s="96">
        <v>5857.4302031999996</v>
      </c>
      <c r="G27" s="95">
        <v>2.98</v>
      </c>
      <c r="H27" s="95">
        <v>175.87912319999998</v>
      </c>
      <c r="I27" s="93">
        <v>100</v>
      </c>
      <c r="J27" s="93">
        <v>75.879123199999981</v>
      </c>
    </row>
    <row r="28" spans="1:13" ht="18" x14ac:dyDescent="0.35">
      <c r="A28" s="94">
        <v>45595</v>
      </c>
      <c r="B28" s="92" t="s">
        <v>241</v>
      </c>
      <c r="C28" s="95">
        <v>59.32</v>
      </c>
      <c r="D28" s="93">
        <v>3431.6619999999998</v>
      </c>
      <c r="E28" s="93">
        <v>6800</v>
      </c>
      <c r="F28" s="96">
        <v>2475.4514079999994</v>
      </c>
      <c r="G28" s="95">
        <v>66.2</v>
      </c>
      <c r="H28" s="95">
        <v>3907.1134079999993</v>
      </c>
      <c r="I28" s="93">
        <v>4800</v>
      </c>
      <c r="J28" s="93">
        <v>-892.88659200000075</v>
      </c>
    </row>
    <row r="29" spans="1:13" ht="18" x14ac:dyDescent="0.35">
      <c r="A29" s="92"/>
      <c r="B29" s="92" t="s">
        <v>171</v>
      </c>
      <c r="C29" s="95">
        <v>62.1</v>
      </c>
      <c r="D29" s="93">
        <v>4270.8343500000001</v>
      </c>
      <c r="E29" s="93">
        <v>8400</v>
      </c>
      <c r="F29" s="96">
        <v>3341.513586</v>
      </c>
      <c r="G29" s="95">
        <v>62.9</v>
      </c>
      <c r="H29" s="95">
        <v>3712.3479360000001</v>
      </c>
      <c r="I29" s="93">
        <v>4500</v>
      </c>
      <c r="J29" s="93">
        <v>-787.65206399999988</v>
      </c>
    </row>
    <row r="30" spans="1:13" ht="18" x14ac:dyDescent="0.35">
      <c r="A30" s="92"/>
      <c r="B30" s="92" t="s">
        <v>1071</v>
      </c>
      <c r="C30" s="95">
        <v>3.03</v>
      </c>
      <c r="D30" s="93">
        <v>21808.121999999999</v>
      </c>
      <c r="E30" s="93">
        <v>25000</v>
      </c>
      <c r="F30" s="96">
        <v>3191.8780000000006</v>
      </c>
      <c r="G30" s="95"/>
      <c r="H30" s="95">
        <v>0</v>
      </c>
      <c r="I30" s="93"/>
      <c r="J30" s="93">
        <v>0</v>
      </c>
    </row>
    <row r="31" spans="1:13" ht="18" x14ac:dyDescent="0.35">
      <c r="A31" s="92"/>
      <c r="B31" s="92" t="s">
        <v>411</v>
      </c>
      <c r="C31" s="95">
        <v>4.0599999999999996</v>
      </c>
      <c r="D31" s="93">
        <v>515.62</v>
      </c>
      <c r="E31" s="93">
        <v>1000</v>
      </c>
      <c r="F31" s="96">
        <v>484.38</v>
      </c>
      <c r="G31" s="95"/>
      <c r="H31" s="95">
        <v>0</v>
      </c>
      <c r="I31" s="93"/>
      <c r="J31" s="93">
        <v>0</v>
      </c>
    </row>
    <row r="32" spans="1:13" ht="18" x14ac:dyDescent="0.35">
      <c r="A32" s="92"/>
      <c r="B32" s="92" t="s">
        <v>1210</v>
      </c>
      <c r="C32" s="95">
        <v>16.975000000000001</v>
      </c>
      <c r="D32" s="93">
        <v>1200.3277125000002</v>
      </c>
      <c r="E32" s="93">
        <v>2500</v>
      </c>
      <c r="F32" s="96">
        <v>1299.6722874999998</v>
      </c>
      <c r="G32" s="95"/>
      <c r="H32" s="95">
        <v>0</v>
      </c>
      <c r="I32" s="93"/>
      <c r="J32" s="93">
        <v>0</v>
      </c>
    </row>
    <row r="33" spans="1:10" ht="18" x14ac:dyDescent="0.35">
      <c r="A33" s="92"/>
      <c r="B33" s="92" t="s">
        <v>381</v>
      </c>
      <c r="C33" s="95">
        <v>1.25</v>
      </c>
      <c r="D33" s="93">
        <v>175</v>
      </c>
      <c r="E33" s="93">
        <v>300</v>
      </c>
      <c r="F33" s="96">
        <v>125</v>
      </c>
      <c r="G33" s="95"/>
      <c r="H33" s="95">
        <v>0</v>
      </c>
      <c r="I33" s="93"/>
      <c r="J33" s="93">
        <v>0</v>
      </c>
    </row>
    <row r="34" spans="1:10" ht="18" x14ac:dyDescent="0.35">
      <c r="A34" s="92"/>
      <c r="B34" s="92" t="s">
        <v>1180</v>
      </c>
      <c r="C34" s="95">
        <v>35.6</v>
      </c>
      <c r="D34" s="93">
        <v>2429.9136000000003</v>
      </c>
      <c r="E34" s="93">
        <v>4800</v>
      </c>
      <c r="F34" s="96">
        <v>1830.9071839999997</v>
      </c>
      <c r="G34" s="95">
        <v>38.85</v>
      </c>
      <c r="H34" s="95">
        <v>2292.9207839999999</v>
      </c>
      <c r="I34" s="93">
        <v>2500</v>
      </c>
      <c r="J34" s="93">
        <v>-207.07921600000009</v>
      </c>
    </row>
    <row r="35" spans="1:10" ht="18" x14ac:dyDescent="0.35">
      <c r="A35" s="92"/>
      <c r="B35" s="92" t="s">
        <v>1191</v>
      </c>
      <c r="C35" s="95">
        <v>4.5</v>
      </c>
      <c r="D35" s="93">
        <v>332.1</v>
      </c>
      <c r="E35" s="93"/>
      <c r="F35" s="96">
        <v>0</v>
      </c>
      <c r="G35" s="95"/>
      <c r="H35" s="95">
        <v>0</v>
      </c>
      <c r="I35" s="93"/>
      <c r="J35" s="93">
        <v>0</v>
      </c>
    </row>
    <row r="36" spans="1:10" ht="18" x14ac:dyDescent="0.35">
      <c r="A36" s="92"/>
      <c r="B36" s="92" t="s">
        <v>806</v>
      </c>
      <c r="C36" s="95">
        <v>0</v>
      </c>
      <c r="D36" s="93">
        <v>500</v>
      </c>
      <c r="E36" s="93">
        <v>800</v>
      </c>
      <c r="F36" s="96">
        <v>300</v>
      </c>
      <c r="G36" s="95"/>
      <c r="H36" s="95">
        <v>0</v>
      </c>
      <c r="I36" s="93"/>
      <c r="J36" s="93">
        <v>0</v>
      </c>
    </row>
    <row r="37" spans="1:10" ht="18" x14ac:dyDescent="0.35">
      <c r="A37" s="94" t="s">
        <v>1208</v>
      </c>
      <c r="B37" s="92"/>
      <c r="C37" s="95">
        <v>186.83499999999998</v>
      </c>
      <c r="D37" s="93">
        <v>34663.579662499993</v>
      </c>
      <c r="E37" s="93">
        <v>49600</v>
      </c>
      <c r="F37" s="96">
        <v>13048.802465499999</v>
      </c>
      <c r="G37" s="95">
        <v>167.95</v>
      </c>
      <c r="H37" s="95">
        <v>9912.3821279999993</v>
      </c>
      <c r="I37" s="93">
        <v>11800</v>
      </c>
      <c r="J37" s="93">
        <v>-1887.6178720000007</v>
      </c>
    </row>
    <row r="38" spans="1:10" ht="18" x14ac:dyDescent="0.35">
      <c r="A38" s="94">
        <v>45596</v>
      </c>
      <c r="B38" s="92" t="s">
        <v>1214</v>
      </c>
      <c r="C38" s="95">
        <v>8.5</v>
      </c>
      <c r="D38" s="93">
        <v>632.4</v>
      </c>
      <c r="E38" s="93">
        <v>1250</v>
      </c>
      <c r="F38" s="96">
        <v>706.68291199999987</v>
      </c>
      <c r="G38" s="95">
        <v>19.3</v>
      </c>
      <c r="H38" s="95">
        <v>1139.0829119999999</v>
      </c>
      <c r="I38" s="93">
        <v>1050</v>
      </c>
      <c r="J38" s="93">
        <v>89.082911999999851</v>
      </c>
    </row>
    <row r="39" spans="1:10" ht="18" x14ac:dyDescent="0.35">
      <c r="A39" s="92"/>
      <c r="B39" s="92"/>
      <c r="C39" s="95">
        <v>0</v>
      </c>
      <c r="D39" s="93">
        <v>0</v>
      </c>
      <c r="E39" s="93"/>
      <c r="F39" s="96">
        <v>452.35455999999999</v>
      </c>
      <c r="G39" s="95">
        <v>0.192</v>
      </c>
      <c r="H39" s="95">
        <v>652.35455999999999</v>
      </c>
      <c r="I39" s="93">
        <v>200</v>
      </c>
      <c r="J39" s="93">
        <v>452.35455999999999</v>
      </c>
    </row>
    <row r="40" spans="1:10" ht="18" x14ac:dyDescent="0.35">
      <c r="A40" s="94" t="s">
        <v>1219</v>
      </c>
      <c r="B40" s="92"/>
      <c r="C40" s="95">
        <v>8.5</v>
      </c>
      <c r="D40" s="93">
        <v>632.4</v>
      </c>
      <c r="E40" s="93">
        <v>1250</v>
      </c>
      <c r="F40" s="96">
        <v>1159.037472</v>
      </c>
      <c r="G40" s="95">
        <v>19.492000000000001</v>
      </c>
      <c r="H40" s="95">
        <v>1791.4374719999998</v>
      </c>
      <c r="I40" s="93">
        <v>1250</v>
      </c>
      <c r="J40" s="93">
        <v>541.43747199999984</v>
      </c>
    </row>
    <row r="41" spans="1:10" ht="18" x14ac:dyDescent="0.35">
      <c r="A41" s="94">
        <v>45597</v>
      </c>
      <c r="B41" s="92" t="s">
        <v>1082</v>
      </c>
      <c r="C41" s="95">
        <v>1</v>
      </c>
      <c r="D41" s="93">
        <v>100</v>
      </c>
      <c r="E41" s="93"/>
      <c r="F41" s="96">
        <v>0</v>
      </c>
      <c r="G41" s="95"/>
      <c r="H41" s="95"/>
      <c r="I41" s="93"/>
      <c r="J41" s="93"/>
    </row>
    <row r="42" spans="1:10" ht="18" x14ac:dyDescent="0.35">
      <c r="A42" s="92"/>
      <c r="B42" s="92" t="s">
        <v>1205</v>
      </c>
      <c r="C42" s="95">
        <v>161</v>
      </c>
      <c r="D42" s="93">
        <v>11128.320000000002</v>
      </c>
      <c r="E42" s="93">
        <v>18400</v>
      </c>
      <c r="F42" s="96">
        <v>3688.3480319999981</v>
      </c>
      <c r="G42" s="95">
        <v>174.8</v>
      </c>
      <c r="H42" s="95">
        <v>10316.668032</v>
      </c>
      <c r="I42" s="93">
        <v>13800</v>
      </c>
      <c r="J42" s="93">
        <v>-3483.3319680000004</v>
      </c>
    </row>
    <row r="43" spans="1:10" ht="18" x14ac:dyDescent="0.35">
      <c r="A43" s="92"/>
      <c r="B43" s="92" t="s">
        <v>1216</v>
      </c>
      <c r="C43" s="95">
        <v>0.26500000000000001</v>
      </c>
      <c r="D43" s="93">
        <v>1537.7184097000002</v>
      </c>
      <c r="E43" s="93">
        <v>2480</v>
      </c>
      <c r="F43" s="96">
        <v>942.28159029999983</v>
      </c>
      <c r="G43" s="95"/>
      <c r="H43" s="95">
        <v>0</v>
      </c>
      <c r="I43" s="93"/>
      <c r="J43" s="93">
        <v>0</v>
      </c>
    </row>
    <row r="44" spans="1:10" ht="18" x14ac:dyDescent="0.35">
      <c r="A44" s="92"/>
      <c r="B44" s="92" t="s">
        <v>996</v>
      </c>
      <c r="C44" s="95">
        <v>53.3</v>
      </c>
      <c r="D44" s="93">
        <v>3551.2191000000003</v>
      </c>
      <c r="E44" s="93">
        <v>6000</v>
      </c>
      <c r="F44" s="96">
        <v>2200.8266439999989</v>
      </c>
      <c r="G44" s="95">
        <v>70.349999999999994</v>
      </c>
      <c r="H44" s="95">
        <v>4152.0457439999991</v>
      </c>
      <c r="I44" s="93">
        <v>4400</v>
      </c>
      <c r="J44" s="93">
        <v>-247.9542560000009</v>
      </c>
    </row>
    <row r="45" spans="1:10" ht="18" x14ac:dyDescent="0.35">
      <c r="A45" s="92"/>
      <c r="B45" s="92" t="s">
        <v>1222</v>
      </c>
      <c r="C45" s="95">
        <v>17</v>
      </c>
      <c r="D45" s="93">
        <v>1264.8</v>
      </c>
      <c r="E45" s="93">
        <v>2100</v>
      </c>
      <c r="F45" s="96">
        <v>835.2</v>
      </c>
      <c r="G45" s="95"/>
      <c r="H45" s="95"/>
      <c r="I45" s="93"/>
      <c r="J45" s="93"/>
    </row>
    <row r="46" spans="1:10" ht="18" x14ac:dyDescent="0.35">
      <c r="A46" s="92"/>
      <c r="B46" s="92" t="s">
        <v>614</v>
      </c>
      <c r="C46" s="95">
        <v>31.5</v>
      </c>
      <c r="D46" s="93">
        <v>2568.1320000000001</v>
      </c>
      <c r="E46" s="93">
        <v>3900</v>
      </c>
      <c r="F46" s="96">
        <v>1331.8679999999999</v>
      </c>
      <c r="G46" s="95"/>
      <c r="H46" s="95"/>
      <c r="I46" s="93"/>
      <c r="J46" s="93"/>
    </row>
    <row r="47" spans="1:10" ht="18" x14ac:dyDescent="0.35">
      <c r="A47" s="92"/>
      <c r="B47" s="92" t="s">
        <v>477</v>
      </c>
      <c r="C47" s="95">
        <v>5.7</v>
      </c>
      <c r="D47" s="93">
        <v>750.40500000000009</v>
      </c>
      <c r="E47" s="93">
        <v>1300</v>
      </c>
      <c r="F47" s="96">
        <v>549.59499999999991</v>
      </c>
      <c r="G47" s="95"/>
      <c r="H47" s="95"/>
      <c r="I47" s="93"/>
      <c r="J47" s="93"/>
    </row>
    <row r="48" spans="1:10" ht="18" x14ac:dyDescent="0.35">
      <c r="A48" s="92"/>
      <c r="B48" s="92" t="s">
        <v>1114</v>
      </c>
      <c r="C48" s="95">
        <v>3.01</v>
      </c>
      <c r="D48" s="93">
        <v>370.22999999999996</v>
      </c>
      <c r="E48" s="93">
        <v>600</v>
      </c>
      <c r="F48" s="96">
        <v>229.77000000000004</v>
      </c>
      <c r="G48" s="95"/>
      <c r="H48" s="95"/>
      <c r="I48" s="93"/>
      <c r="J48" s="93"/>
    </row>
    <row r="49" spans="1:10" ht="18" x14ac:dyDescent="0.35">
      <c r="A49" s="94" t="s">
        <v>1220</v>
      </c>
      <c r="B49" s="92"/>
      <c r="C49" s="95">
        <v>272.77499999999998</v>
      </c>
      <c r="D49" s="93">
        <v>21270.824509700004</v>
      </c>
      <c r="E49" s="93">
        <v>34780</v>
      </c>
      <c r="F49" s="96">
        <v>9777.889266299997</v>
      </c>
      <c r="G49" s="95">
        <v>245.15</v>
      </c>
      <c r="H49" s="95">
        <v>14468.713775999999</v>
      </c>
      <c r="I49" s="93">
        <v>18200</v>
      </c>
      <c r="J49" s="93">
        <v>-3731.2862240000013</v>
      </c>
    </row>
    <row r="50" spans="1:10" ht="18" x14ac:dyDescent="0.35">
      <c r="A50" s="94" t="s">
        <v>835</v>
      </c>
      <c r="B50" s="92"/>
      <c r="C50" s="95">
        <v>717.16</v>
      </c>
      <c r="D50" s="93">
        <v>90313.493342200018</v>
      </c>
      <c r="E50" s="93">
        <v>135380</v>
      </c>
      <c r="F50" s="96">
        <v>39387.038526600001</v>
      </c>
      <c r="G50" s="95">
        <v>593.85199999999998</v>
      </c>
      <c r="H50" s="95">
        <v>35520.531868799997</v>
      </c>
      <c r="I50" s="93">
        <v>40600</v>
      </c>
      <c r="J50" s="93">
        <v>-5079.4681312000021</v>
      </c>
    </row>
    <row r="51" spans="1:10" ht="14.4" x14ac:dyDescent="0.3">
      <c r="D51"/>
      <c r="E51"/>
      <c r="F51"/>
      <c r="G51"/>
      <c r="H51"/>
      <c r="I51"/>
      <c r="J51"/>
    </row>
    <row r="52" spans="1:10" ht="14.4" x14ac:dyDescent="0.3">
      <c r="D52"/>
      <c r="E52"/>
      <c r="F52"/>
      <c r="G52"/>
      <c r="H52"/>
      <c r="I52"/>
      <c r="J52"/>
    </row>
    <row r="53" spans="1:10" ht="14.4" x14ac:dyDescent="0.3">
      <c r="D53"/>
      <c r="E53"/>
      <c r="F53"/>
      <c r="G53"/>
      <c r="H53"/>
      <c r="I53"/>
      <c r="J53"/>
    </row>
    <row r="54" spans="1:10" ht="14.4" x14ac:dyDescent="0.3">
      <c r="D54"/>
      <c r="E54"/>
      <c r="F54"/>
      <c r="G54"/>
      <c r="H54"/>
      <c r="I54"/>
      <c r="J54"/>
    </row>
    <row r="55" spans="1:10" ht="14.4" x14ac:dyDescent="0.3">
      <c r="D55"/>
      <c r="E55"/>
      <c r="F55"/>
      <c r="G55"/>
      <c r="H55"/>
      <c r="I55"/>
      <c r="J55"/>
    </row>
    <row r="56" spans="1:10" ht="14.4" x14ac:dyDescent="0.3">
      <c r="D56"/>
      <c r="E56"/>
      <c r="F56"/>
      <c r="G56"/>
      <c r="H56"/>
      <c r="I56"/>
      <c r="J56"/>
    </row>
    <row r="57" spans="1:10" ht="14.4" x14ac:dyDescent="0.3">
      <c r="D57"/>
      <c r="E57"/>
      <c r="F57"/>
      <c r="G57"/>
      <c r="H57"/>
      <c r="I57"/>
      <c r="J57"/>
    </row>
    <row r="58" spans="1:10" ht="14.4" x14ac:dyDescent="0.3">
      <c r="D58"/>
      <c r="E58"/>
      <c r="F58"/>
      <c r="G58"/>
      <c r="H58"/>
      <c r="I58"/>
      <c r="J58"/>
    </row>
    <row r="59" spans="1:10" ht="14.4" x14ac:dyDescent="0.3">
      <c r="D59"/>
      <c r="E59"/>
      <c r="F59"/>
      <c r="G59"/>
      <c r="H59"/>
      <c r="I59"/>
      <c r="J59"/>
    </row>
    <row r="60" spans="1:10" ht="14.4" x14ac:dyDescent="0.3">
      <c r="D60"/>
      <c r="E60"/>
      <c r="F60"/>
      <c r="G60"/>
      <c r="H60"/>
      <c r="I60"/>
      <c r="J60"/>
    </row>
    <row r="61" spans="1:10" ht="14.4" x14ac:dyDescent="0.3">
      <c r="D61"/>
      <c r="E61"/>
      <c r="F61"/>
      <c r="G61"/>
      <c r="H61"/>
      <c r="I61"/>
      <c r="J61"/>
    </row>
    <row r="62" spans="1:10" ht="14.4" x14ac:dyDescent="0.3">
      <c r="D62"/>
      <c r="E62"/>
      <c r="F62"/>
      <c r="G62"/>
      <c r="H62"/>
      <c r="I62"/>
      <c r="J62"/>
    </row>
    <row r="63" spans="1:10" ht="14.4" x14ac:dyDescent="0.3">
      <c r="D63"/>
      <c r="E63"/>
      <c r="F63"/>
      <c r="G63"/>
      <c r="H63"/>
      <c r="I63"/>
      <c r="J63"/>
    </row>
    <row r="64" spans="1:10" ht="14.4" x14ac:dyDescent="0.3">
      <c r="D64"/>
      <c r="E64"/>
      <c r="F64"/>
      <c r="G64"/>
      <c r="H64"/>
      <c r="I64"/>
      <c r="J64"/>
    </row>
    <row r="65" customFormat="1" ht="14.4" x14ac:dyDescent="0.3"/>
    <row r="66" customFormat="1" ht="14.4" x14ac:dyDescent="0.3"/>
    <row r="67" customFormat="1" ht="14.4" x14ac:dyDescent="0.3"/>
    <row r="68" customFormat="1" ht="14.4" x14ac:dyDescent="0.3"/>
    <row r="69" customFormat="1" ht="14.4" x14ac:dyDescent="0.3"/>
    <row r="70" customFormat="1" ht="14.4" x14ac:dyDescent="0.3"/>
    <row r="71" customFormat="1" ht="14.4" x14ac:dyDescent="0.3"/>
    <row r="72" customFormat="1" ht="14.4" x14ac:dyDescent="0.3"/>
    <row r="73" customFormat="1" ht="14.4" x14ac:dyDescent="0.3"/>
    <row r="74" customFormat="1" ht="14.4" x14ac:dyDescent="0.3"/>
    <row r="75" customFormat="1" ht="14.4" x14ac:dyDescent="0.3"/>
    <row r="76" customFormat="1" ht="14.4" x14ac:dyDescent="0.3"/>
    <row r="77" customFormat="1" ht="14.4" x14ac:dyDescent="0.3"/>
    <row r="78" customFormat="1" ht="14.4" x14ac:dyDescent="0.3"/>
    <row r="79" customFormat="1" ht="14.4" x14ac:dyDescent="0.3"/>
    <row r="80" customFormat="1" ht="14.4" x14ac:dyDescent="0.3"/>
    <row r="81" customFormat="1" ht="14.4" x14ac:dyDescent="0.3"/>
    <row r="82" customFormat="1" ht="14.4" x14ac:dyDescent="0.3"/>
    <row r="83" customFormat="1" ht="14.4" x14ac:dyDescent="0.3"/>
    <row r="84" customFormat="1" ht="14.4" x14ac:dyDescent="0.3"/>
    <row r="85" customFormat="1" ht="14.4" x14ac:dyDescent="0.3"/>
    <row r="86" customFormat="1" ht="14.4" x14ac:dyDescent="0.3"/>
    <row r="87" customFormat="1" ht="14.4" x14ac:dyDescent="0.3"/>
    <row r="88" customFormat="1" ht="14.4" x14ac:dyDescent="0.3"/>
    <row r="89" customFormat="1" ht="14.4" x14ac:dyDescent="0.3"/>
    <row r="90" customFormat="1" ht="14.4" x14ac:dyDescent="0.3"/>
    <row r="91" customFormat="1" ht="14.4" x14ac:dyDescent="0.3"/>
    <row r="92" customFormat="1" ht="14.4" x14ac:dyDescent="0.3"/>
    <row r="93" customFormat="1" ht="14.4" x14ac:dyDescent="0.3"/>
    <row r="94" customFormat="1" ht="14.4" x14ac:dyDescent="0.3"/>
    <row r="95" customFormat="1" ht="14.4" x14ac:dyDescent="0.3"/>
    <row r="96" customFormat="1" ht="14.4" x14ac:dyDescent="0.3"/>
    <row r="97" customFormat="1" ht="14.4" x14ac:dyDescent="0.3"/>
    <row r="98" customFormat="1" ht="14.4" x14ac:dyDescent="0.3"/>
    <row r="99" customFormat="1" ht="14.4" x14ac:dyDescent="0.3"/>
    <row r="100" customFormat="1" ht="14.4" x14ac:dyDescent="0.3"/>
    <row r="101" customFormat="1" ht="14.4" x14ac:dyDescent="0.3"/>
    <row r="102" customFormat="1" ht="14.4" x14ac:dyDescent="0.3"/>
    <row r="103" customFormat="1" ht="14.4" x14ac:dyDescent="0.3"/>
    <row r="104" customFormat="1" ht="14.4" x14ac:dyDescent="0.3"/>
    <row r="105" customFormat="1" ht="14.4" x14ac:dyDescent="0.3"/>
    <row r="106" customFormat="1" ht="14.4" x14ac:dyDescent="0.3"/>
    <row r="107" customFormat="1" ht="14.4" x14ac:dyDescent="0.3"/>
    <row r="108" customFormat="1" ht="14.4" x14ac:dyDescent="0.3"/>
    <row r="109" customFormat="1" ht="14.4" x14ac:dyDescent="0.3"/>
    <row r="110" customFormat="1" ht="14.4" x14ac:dyDescent="0.3"/>
    <row r="111" customFormat="1" ht="14.4" x14ac:dyDescent="0.3"/>
    <row r="112" customFormat="1" ht="14.4" x14ac:dyDescent="0.3"/>
    <row r="113" customFormat="1" ht="14.4" x14ac:dyDescent="0.3"/>
    <row r="114" customFormat="1" ht="14.4" x14ac:dyDescent="0.3"/>
    <row r="115" customFormat="1" ht="14.4" x14ac:dyDescent="0.3"/>
    <row r="116" customFormat="1" ht="14.4" x14ac:dyDescent="0.3"/>
    <row r="117" customFormat="1" ht="14.4" x14ac:dyDescent="0.3"/>
    <row r="118" customFormat="1" ht="14.4" x14ac:dyDescent="0.3"/>
    <row r="119" customFormat="1" ht="14.4" x14ac:dyDescent="0.3"/>
    <row r="120" customFormat="1" ht="14.4" x14ac:dyDescent="0.3"/>
    <row r="121" customFormat="1" ht="14.4" x14ac:dyDescent="0.3"/>
    <row r="122" customFormat="1" ht="14.4" x14ac:dyDescent="0.3"/>
    <row r="123" customFormat="1" ht="14.4" x14ac:dyDescent="0.3"/>
    <row r="124" customFormat="1" ht="14.4" x14ac:dyDescent="0.3"/>
    <row r="125" customFormat="1" ht="14.4" x14ac:dyDescent="0.3"/>
    <row r="126" customFormat="1" ht="14.4" x14ac:dyDescent="0.3"/>
    <row r="127" customFormat="1" ht="14.4" x14ac:dyDescent="0.3"/>
    <row r="128" customFormat="1" ht="14.4" x14ac:dyDescent="0.3"/>
    <row r="129" customFormat="1" ht="14.4" x14ac:dyDescent="0.3"/>
    <row r="130" customFormat="1" ht="14.4" x14ac:dyDescent="0.3"/>
    <row r="131" customFormat="1" ht="14.4" x14ac:dyDescent="0.3"/>
    <row r="132" customFormat="1" ht="14.4" x14ac:dyDescent="0.3"/>
    <row r="133" customFormat="1" ht="14.4" x14ac:dyDescent="0.3"/>
    <row r="134" customFormat="1" ht="14.4" x14ac:dyDescent="0.3"/>
    <row r="135" customFormat="1" ht="14.4" x14ac:dyDescent="0.3"/>
    <row r="136" customFormat="1" ht="14.4" x14ac:dyDescent="0.3"/>
    <row r="137" customFormat="1" ht="14.4" x14ac:dyDescent="0.3"/>
    <row r="138" customFormat="1" ht="14.4" x14ac:dyDescent="0.3"/>
    <row r="139" customFormat="1" ht="14.4" x14ac:dyDescent="0.3"/>
    <row r="140" customFormat="1" ht="14.4" x14ac:dyDescent="0.3"/>
    <row r="141" customFormat="1" ht="14.4" x14ac:dyDescent="0.3"/>
    <row r="142" customFormat="1" ht="14.4" x14ac:dyDescent="0.3"/>
    <row r="143" customFormat="1" ht="14.4" x14ac:dyDescent="0.3"/>
    <row r="144" customFormat="1" ht="14.4" x14ac:dyDescent="0.3"/>
    <row r="145" customFormat="1" ht="14.4" x14ac:dyDescent="0.3"/>
    <row r="146" customFormat="1" ht="14.4" x14ac:dyDescent="0.3"/>
    <row r="147" customFormat="1" ht="14.4" x14ac:dyDescent="0.3"/>
    <row r="148" customFormat="1" ht="14.4" x14ac:dyDescent="0.3"/>
    <row r="149" customFormat="1" ht="14.4" x14ac:dyDescent="0.3"/>
    <row r="150" customFormat="1" ht="14.4" x14ac:dyDescent="0.3"/>
    <row r="151" customFormat="1" ht="14.4" x14ac:dyDescent="0.3"/>
    <row r="152" customFormat="1" ht="14.4" x14ac:dyDescent="0.3"/>
    <row r="153" customFormat="1" ht="14.4" x14ac:dyDescent="0.3"/>
    <row r="154" customFormat="1" ht="14.4" x14ac:dyDescent="0.3"/>
    <row r="155" customFormat="1" ht="14.4" x14ac:dyDescent="0.3"/>
    <row r="156" customFormat="1" ht="14.4" x14ac:dyDescent="0.3"/>
    <row r="157" customFormat="1" ht="14.4" x14ac:dyDescent="0.3"/>
    <row r="158" customFormat="1" ht="14.4" x14ac:dyDescent="0.3"/>
    <row r="159" customFormat="1" ht="14.4" x14ac:dyDescent="0.3"/>
    <row r="160" customFormat="1" ht="14.4" x14ac:dyDescent="0.3"/>
    <row r="161" customFormat="1" ht="14.4" x14ac:dyDescent="0.3"/>
    <row r="162" customFormat="1" ht="14.4" x14ac:dyDescent="0.3"/>
    <row r="163" customFormat="1" ht="14.4" x14ac:dyDescent="0.3"/>
    <row r="164" customFormat="1" ht="14.4" x14ac:dyDescent="0.3"/>
    <row r="165" customFormat="1" ht="14.4" x14ac:dyDescent="0.3"/>
    <row r="166" customFormat="1" ht="14.4" x14ac:dyDescent="0.3"/>
    <row r="167" customFormat="1" ht="14.4" x14ac:dyDescent="0.3"/>
    <row r="168" customFormat="1" ht="14.4" x14ac:dyDescent="0.3"/>
    <row r="169" customFormat="1" ht="14.4" x14ac:dyDescent="0.3"/>
    <row r="170" customFormat="1" ht="14.4" x14ac:dyDescent="0.3"/>
    <row r="171" customFormat="1" ht="14.4" x14ac:dyDescent="0.3"/>
    <row r="172" customFormat="1" ht="14.4" x14ac:dyDescent="0.3"/>
    <row r="173" customFormat="1" ht="14.4" x14ac:dyDescent="0.3"/>
    <row r="174" customFormat="1" ht="14.4" x14ac:dyDescent="0.3"/>
    <row r="175" customFormat="1" ht="14.4" x14ac:dyDescent="0.3"/>
    <row r="176" customFormat="1" ht="14.4" x14ac:dyDescent="0.3"/>
    <row r="177" customFormat="1" ht="14.4" x14ac:dyDescent="0.3"/>
    <row r="178" customFormat="1" ht="14.4" x14ac:dyDescent="0.3"/>
    <row r="179" customFormat="1" ht="14.4" x14ac:dyDescent="0.3"/>
    <row r="180" customFormat="1" ht="14.4" x14ac:dyDescent="0.3"/>
    <row r="181" customFormat="1" ht="14.4" x14ac:dyDescent="0.3"/>
    <row r="182" customFormat="1" ht="14.4" x14ac:dyDescent="0.3"/>
    <row r="183" customFormat="1" ht="14.4" x14ac:dyDescent="0.3"/>
    <row r="184" customFormat="1" ht="14.4" x14ac:dyDescent="0.3"/>
    <row r="185" customFormat="1" ht="14.4" x14ac:dyDescent="0.3"/>
    <row r="186" customFormat="1" ht="14.4" x14ac:dyDescent="0.3"/>
    <row r="187" customFormat="1" ht="14.4" x14ac:dyDescent="0.3"/>
    <row r="188" customFormat="1" ht="14.4" x14ac:dyDescent="0.3"/>
    <row r="189" customFormat="1" ht="14.4" x14ac:dyDescent="0.3"/>
    <row r="190" customFormat="1" ht="14.4" x14ac:dyDescent="0.3"/>
    <row r="191" customFormat="1" ht="14.4" x14ac:dyDescent="0.3"/>
    <row r="192" customFormat="1" ht="14.4" x14ac:dyDescent="0.3"/>
    <row r="193" customFormat="1" ht="14.4" x14ac:dyDescent="0.3"/>
    <row r="194" customFormat="1" ht="14.4" x14ac:dyDescent="0.3"/>
    <row r="195" customFormat="1" ht="14.4" x14ac:dyDescent="0.3"/>
    <row r="196" customFormat="1" ht="14.4" x14ac:dyDescent="0.3"/>
    <row r="197" customFormat="1" ht="14.4" x14ac:dyDescent="0.3"/>
    <row r="198" customFormat="1" ht="14.4" x14ac:dyDescent="0.3"/>
    <row r="199" customFormat="1" ht="14.4" x14ac:dyDescent="0.3"/>
    <row r="200" customFormat="1" ht="14.4" x14ac:dyDescent="0.3"/>
    <row r="201" customFormat="1" ht="14.4" x14ac:dyDescent="0.3"/>
    <row r="202" customFormat="1" ht="14.4" x14ac:dyDescent="0.3"/>
    <row r="203" customFormat="1" ht="14.4" x14ac:dyDescent="0.3"/>
    <row r="204" customFormat="1" ht="14.4" x14ac:dyDescent="0.3"/>
    <row r="205" customFormat="1" ht="14.4" x14ac:dyDescent="0.3"/>
    <row r="206" customFormat="1" ht="14.4" x14ac:dyDescent="0.3"/>
    <row r="207" customFormat="1" ht="14.4" x14ac:dyDescent="0.3"/>
    <row r="208" customFormat="1" ht="14.4" x14ac:dyDescent="0.3"/>
    <row r="209" customFormat="1" ht="14.4" x14ac:dyDescent="0.3"/>
    <row r="210" customFormat="1" ht="14.4" x14ac:dyDescent="0.3"/>
    <row r="211" customFormat="1" ht="14.4" x14ac:dyDescent="0.3"/>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3EED2-0715-4F50-A2F5-FBD5049F2994}">
  <dimension ref="A1:W67"/>
  <sheetViews>
    <sheetView workbookViewId="0">
      <selection activeCell="G17" sqref="G17"/>
    </sheetView>
  </sheetViews>
  <sheetFormatPr defaultColWidth="8.77734375" defaultRowHeight="23.4" x14ac:dyDescent="0.45"/>
  <cols>
    <col min="1" max="1" width="13.5546875" style="148" bestFit="1" customWidth="1"/>
    <col min="2" max="2" width="9.6640625" style="1" customWidth="1"/>
    <col min="3" max="3" width="30.5546875" style="1" bestFit="1" customWidth="1"/>
    <col min="4" max="4" width="16.109375" style="1" bestFit="1" customWidth="1"/>
    <col min="5" max="5" width="16.109375" style="117" bestFit="1" customWidth="1"/>
    <col min="6" max="6" width="18" style="149" customWidth="1"/>
    <col min="7" max="7" width="21" style="150" customWidth="1"/>
    <col min="8" max="8" width="19.5546875" style="149" customWidth="1"/>
    <col min="9" max="10" width="16.109375" style="1" bestFit="1" customWidth="1"/>
    <col min="11" max="11" width="11" style="1" bestFit="1" customWidth="1"/>
    <col min="12" max="12" width="10" style="1" bestFit="1" customWidth="1"/>
    <col min="13" max="13" width="12.33203125" style="1" bestFit="1" customWidth="1"/>
    <col min="14" max="14" width="11" style="1" bestFit="1" customWidth="1"/>
    <col min="15" max="18" width="6.6640625" style="1" bestFit="1" customWidth="1"/>
    <col min="19" max="19" width="7.6640625" style="1" bestFit="1" customWidth="1"/>
    <col min="20" max="20" width="12.109375" style="1" bestFit="1" customWidth="1"/>
    <col min="21" max="21" width="14.44140625" style="1" bestFit="1" customWidth="1"/>
    <col min="22" max="22" width="17.21875" style="1" bestFit="1" customWidth="1"/>
    <col min="23" max="23" width="19.5546875" style="1" bestFit="1" customWidth="1"/>
    <col min="24" max="16384" width="8.77734375" style="1"/>
  </cols>
  <sheetData>
    <row r="1" spans="1:23" x14ac:dyDescent="0.45">
      <c r="A1" s="148" t="s">
        <v>951</v>
      </c>
      <c r="B1" s="1" t="s">
        <v>952</v>
      </c>
      <c r="C1" s="1" t="s">
        <v>953</v>
      </c>
      <c r="D1" s="1" t="s">
        <v>954</v>
      </c>
      <c r="E1" s="117" t="s">
        <v>1</v>
      </c>
      <c r="F1" s="149" t="s">
        <v>958</v>
      </c>
      <c r="G1" s="150" t="s">
        <v>5</v>
      </c>
      <c r="H1" s="149" t="s">
        <v>959</v>
      </c>
      <c r="I1" s="237" t="s">
        <v>1153</v>
      </c>
      <c r="J1" s="237" t="s">
        <v>1154</v>
      </c>
      <c r="K1"/>
    </row>
    <row r="2" spans="1:23" x14ac:dyDescent="0.45">
      <c r="A2" s="148">
        <v>45485</v>
      </c>
      <c r="B2" s="1" t="s">
        <v>955</v>
      </c>
      <c r="C2" s="1" t="s">
        <v>962</v>
      </c>
      <c r="D2" s="241" t="s">
        <v>957</v>
      </c>
      <c r="E2" s="117">
        <v>241.61</v>
      </c>
      <c r="F2" s="149">
        <v>127.6</v>
      </c>
      <c r="G2" s="150">
        <v>31800</v>
      </c>
      <c r="H2" s="149">
        <f t="shared" ref="H2:H11" si="0">((((100/103)*G2)*1.5)/100)*2</f>
        <v>926.21359223300965</v>
      </c>
      <c r="I2" s="117">
        <f>SUM(E4+E5+E10)</f>
        <v>50.81</v>
      </c>
      <c r="J2" s="117">
        <f>(Table2[[#This Row],[WEIGHT]]+E3+E6+E7+E8+E9+E11+E13+E14+E12)</f>
        <v>4374.1299999999992</v>
      </c>
      <c r="K2"/>
    </row>
    <row r="3" spans="1:23" x14ac:dyDescent="0.45">
      <c r="A3" s="148">
        <v>45486</v>
      </c>
      <c r="B3" s="1" t="s">
        <v>955</v>
      </c>
      <c r="C3" s="1" t="s">
        <v>956</v>
      </c>
      <c r="D3" s="241" t="s">
        <v>957</v>
      </c>
      <c r="E3" s="117">
        <v>509</v>
      </c>
      <c r="F3" s="149">
        <v>95</v>
      </c>
      <c r="G3" s="150">
        <v>49810</v>
      </c>
      <c r="H3" s="149">
        <f t="shared" si="0"/>
        <v>1450.7766990291263</v>
      </c>
      <c r="K3"/>
    </row>
    <row r="4" spans="1:23" x14ac:dyDescent="0.45">
      <c r="A4" s="148">
        <v>45487</v>
      </c>
      <c r="B4" s="1" t="s">
        <v>955</v>
      </c>
      <c r="C4" s="1" t="s">
        <v>960</v>
      </c>
      <c r="D4" s="139" t="s">
        <v>961</v>
      </c>
      <c r="E4" s="117">
        <v>28.75</v>
      </c>
      <c r="F4" s="149">
        <v>6756.94</v>
      </c>
      <c r="G4" s="150">
        <v>200000</v>
      </c>
      <c r="H4" s="149">
        <f t="shared" si="0"/>
        <v>5825.2427184466014</v>
      </c>
      <c r="I4" s="117"/>
      <c r="K4"/>
      <c r="L4"/>
      <c r="M4"/>
      <c r="N4"/>
      <c r="O4"/>
      <c r="P4"/>
      <c r="Q4"/>
      <c r="R4"/>
      <c r="S4"/>
      <c r="T4"/>
      <c r="U4"/>
      <c r="V4"/>
      <c r="W4"/>
    </row>
    <row r="5" spans="1:23" x14ac:dyDescent="0.45">
      <c r="A5" s="148">
        <v>45488</v>
      </c>
      <c r="B5" s="1" t="s">
        <v>955</v>
      </c>
      <c r="C5" s="1" t="s">
        <v>960</v>
      </c>
      <c r="D5" s="139" t="s">
        <v>961</v>
      </c>
      <c r="E5" s="117">
        <v>4.0999999999999996</v>
      </c>
      <c r="F5" s="149">
        <v>6748.76</v>
      </c>
      <c r="G5" s="150">
        <v>28500</v>
      </c>
      <c r="H5" s="149">
        <f>((((100/103)*G5)*1.5)/100)*2</f>
        <v>830.09708737864082</v>
      </c>
      <c r="K5"/>
      <c r="L5"/>
      <c r="M5"/>
      <c r="N5"/>
      <c r="O5"/>
      <c r="P5"/>
      <c r="Q5"/>
      <c r="R5"/>
      <c r="S5"/>
      <c r="T5"/>
      <c r="U5"/>
      <c r="V5"/>
      <c r="W5"/>
    </row>
    <row r="6" spans="1:23" x14ac:dyDescent="0.45">
      <c r="A6" s="148">
        <v>45511</v>
      </c>
      <c r="B6" s="1" t="s">
        <v>963</v>
      </c>
      <c r="C6" s="1" t="s">
        <v>964</v>
      </c>
      <c r="D6" s="241" t="s">
        <v>957</v>
      </c>
      <c r="E6" s="117">
        <v>282.5</v>
      </c>
      <c r="F6" s="149">
        <v>63.68</v>
      </c>
      <c r="G6" s="150">
        <v>18530</v>
      </c>
      <c r="H6" s="149">
        <f t="shared" si="0"/>
        <v>539.70873786407765</v>
      </c>
      <c r="K6"/>
      <c r="L6"/>
      <c r="M6"/>
      <c r="N6"/>
      <c r="O6"/>
      <c r="P6"/>
      <c r="Q6"/>
      <c r="R6"/>
      <c r="S6"/>
      <c r="T6"/>
      <c r="U6"/>
      <c r="V6"/>
      <c r="W6"/>
    </row>
    <row r="7" spans="1:23" x14ac:dyDescent="0.45">
      <c r="A7" s="148">
        <v>45518</v>
      </c>
      <c r="B7" s="1" t="s">
        <v>955</v>
      </c>
      <c r="C7" s="1" t="s">
        <v>956</v>
      </c>
      <c r="D7" s="241" t="s">
        <v>957</v>
      </c>
      <c r="E7" s="117">
        <v>279</v>
      </c>
      <c r="F7" s="149">
        <v>95</v>
      </c>
      <c r="G7" s="150">
        <v>27300</v>
      </c>
      <c r="H7" s="149">
        <f t="shared" si="0"/>
        <v>795.14563106796118</v>
      </c>
      <c r="K7"/>
      <c r="L7"/>
      <c r="M7"/>
      <c r="N7"/>
      <c r="O7"/>
      <c r="P7"/>
      <c r="Q7"/>
      <c r="R7"/>
      <c r="S7"/>
      <c r="T7"/>
      <c r="U7"/>
      <c r="V7"/>
      <c r="W7"/>
    </row>
    <row r="8" spans="1:23" x14ac:dyDescent="0.45">
      <c r="A8" s="148">
        <v>45528</v>
      </c>
      <c r="B8" s="1" t="s">
        <v>963</v>
      </c>
      <c r="C8" s="1" t="s">
        <v>964</v>
      </c>
      <c r="D8" s="241" t="s">
        <v>957</v>
      </c>
      <c r="E8" s="117">
        <v>195.5</v>
      </c>
      <c r="F8" s="149">
        <v>79.260000000000005</v>
      </c>
      <c r="G8" s="150">
        <v>15960</v>
      </c>
      <c r="H8" s="149">
        <f t="shared" si="0"/>
        <v>464.85436893203877</v>
      </c>
      <c r="K8"/>
      <c r="L8"/>
      <c r="M8"/>
      <c r="N8"/>
      <c r="O8"/>
      <c r="P8"/>
      <c r="Q8"/>
      <c r="R8"/>
      <c r="S8"/>
      <c r="T8"/>
      <c r="U8"/>
      <c r="V8"/>
      <c r="W8"/>
    </row>
    <row r="9" spans="1:23" x14ac:dyDescent="0.45">
      <c r="A9" s="148">
        <v>45530</v>
      </c>
      <c r="B9" s="1" t="s">
        <v>955</v>
      </c>
      <c r="C9" s="1" t="s">
        <v>965</v>
      </c>
      <c r="D9" s="241" t="s">
        <v>957</v>
      </c>
      <c r="E9" s="117">
        <v>1000</v>
      </c>
      <c r="F9" s="149">
        <v>84.27</v>
      </c>
      <c r="G9" s="150">
        <v>86800</v>
      </c>
      <c r="H9" s="149">
        <f>((((100/103)*G9)*1.5)/100)*2</f>
        <v>2528.155339805825</v>
      </c>
      <c r="K9"/>
      <c r="L9"/>
      <c r="M9"/>
      <c r="N9"/>
      <c r="O9"/>
      <c r="P9"/>
      <c r="Q9"/>
      <c r="R9"/>
      <c r="S9"/>
      <c r="T9"/>
      <c r="U9"/>
      <c r="V9"/>
      <c r="W9"/>
    </row>
    <row r="10" spans="1:23" x14ac:dyDescent="0.45">
      <c r="A10" s="148">
        <v>45532</v>
      </c>
      <c r="B10" s="1" t="s">
        <v>955</v>
      </c>
      <c r="C10" s="1" t="s">
        <v>966</v>
      </c>
      <c r="D10" s="139" t="s">
        <v>961</v>
      </c>
      <c r="E10" s="117">
        <v>17.96</v>
      </c>
      <c r="F10" s="149">
        <v>6649.08</v>
      </c>
      <c r="G10" s="150">
        <v>123000</v>
      </c>
      <c r="H10" s="149">
        <f t="shared" si="0"/>
        <v>3582.5242718446602</v>
      </c>
      <c r="K10"/>
      <c r="L10"/>
      <c r="M10"/>
      <c r="N10"/>
      <c r="O10"/>
      <c r="P10"/>
      <c r="Q10"/>
      <c r="R10"/>
      <c r="S10"/>
      <c r="T10"/>
      <c r="U10"/>
      <c r="V10"/>
      <c r="W10"/>
    </row>
    <row r="11" spans="1:23" x14ac:dyDescent="0.45">
      <c r="A11" s="148">
        <v>45537</v>
      </c>
      <c r="B11" s="1" t="s">
        <v>967</v>
      </c>
      <c r="C11" s="1" t="s">
        <v>968</v>
      </c>
      <c r="D11" s="241" t="s">
        <v>957</v>
      </c>
      <c r="E11" s="117">
        <v>1200</v>
      </c>
      <c r="F11" s="149">
        <v>69.056299999999993</v>
      </c>
      <c r="G11" s="150">
        <v>85350</v>
      </c>
      <c r="H11" s="149">
        <f t="shared" si="0"/>
        <v>2485.9223300970871</v>
      </c>
      <c r="K11"/>
      <c r="L11"/>
      <c r="M11"/>
      <c r="N11"/>
      <c r="O11"/>
      <c r="P11"/>
      <c r="Q11"/>
      <c r="R11"/>
      <c r="S11"/>
      <c r="T11"/>
      <c r="U11"/>
      <c r="V11"/>
      <c r="W11"/>
    </row>
    <row r="12" spans="1:23" x14ac:dyDescent="0.45">
      <c r="A12" s="148">
        <v>45548</v>
      </c>
      <c r="B12" s="1" t="s">
        <v>955</v>
      </c>
      <c r="C12" s="1" t="s">
        <v>1028</v>
      </c>
      <c r="D12" s="241" t="s">
        <v>957</v>
      </c>
      <c r="E12" s="117">
        <v>63.73</v>
      </c>
      <c r="F12" s="149">
        <v>99</v>
      </c>
      <c r="G12" s="150">
        <v>6500</v>
      </c>
      <c r="H12" s="149">
        <f>((((100/103)*G12)*1.5)/100)*2</f>
        <v>189.32038834951459</v>
      </c>
      <c r="K12"/>
      <c r="L12"/>
      <c r="M12"/>
      <c r="N12"/>
      <c r="O12"/>
      <c r="P12"/>
      <c r="Q12"/>
      <c r="R12"/>
      <c r="S12"/>
      <c r="T12"/>
      <c r="U12"/>
      <c r="V12"/>
      <c r="W12"/>
    </row>
    <row r="13" spans="1:23" x14ac:dyDescent="0.45">
      <c r="A13" s="148">
        <v>45562</v>
      </c>
      <c r="B13" s="1" t="s">
        <v>955</v>
      </c>
      <c r="C13" s="1" t="s">
        <v>962</v>
      </c>
      <c r="D13" s="241" t="s">
        <v>957</v>
      </c>
      <c r="E13" s="117">
        <v>24.83</v>
      </c>
      <c r="F13" s="149">
        <v>148</v>
      </c>
      <c r="G13" s="150">
        <v>3675</v>
      </c>
      <c r="H13" s="149">
        <f>((((100/103)*G13)*1.5)/100)*2</f>
        <v>107.03883495145629</v>
      </c>
      <c r="K13"/>
      <c r="L13"/>
      <c r="M13"/>
      <c r="N13"/>
      <c r="O13"/>
      <c r="P13"/>
      <c r="Q13"/>
      <c r="R13"/>
      <c r="S13"/>
      <c r="T13"/>
      <c r="U13"/>
      <c r="V13"/>
      <c r="W13"/>
    </row>
    <row r="14" spans="1:23" x14ac:dyDescent="0.45">
      <c r="A14" s="148">
        <v>45567</v>
      </c>
      <c r="B14" s="1" t="s">
        <v>1031</v>
      </c>
      <c r="C14" s="1" t="s">
        <v>1032</v>
      </c>
      <c r="D14" s="241" t="s">
        <v>957</v>
      </c>
      <c r="E14" s="117">
        <v>577.96</v>
      </c>
      <c r="F14" s="149">
        <v>80.12</v>
      </c>
      <c r="G14" s="150">
        <v>47695</v>
      </c>
      <c r="H14" s="149">
        <f>((((100/103)*G14)*1.5)/100)*2</f>
        <v>1389.1747572815534</v>
      </c>
      <c r="K14"/>
      <c r="L14"/>
      <c r="M14"/>
      <c r="N14"/>
      <c r="O14"/>
      <c r="P14"/>
      <c r="Q14"/>
      <c r="R14"/>
      <c r="S14"/>
      <c r="T14"/>
      <c r="U14"/>
      <c r="V14"/>
      <c r="W14"/>
    </row>
    <row r="15" spans="1:23" x14ac:dyDescent="0.45">
      <c r="K15"/>
      <c r="L15"/>
      <c r="M15"/>
      <c r="N15"/>
      <c r="O15"/>
      <c r="P15"/>
      <c r="Q15"/>
      <c r="R15"/>
      <c r="S15"/>
      <c r="T15"/>
      <c r="U15"/>
      <c r="V15"/>
      <c r="W15"/>
    </row>
    <row r="16" spans="1:23" x14ac:dyDescent="0.45">
      <c r="A16"/>
      <c r="B16"/>
      <c r="C16"/>
      <c r="D16"/>
      <c r="E16"/>
      <c r="F16"/>
      <c r="G16"/>
      <c r="H16"/>
      <c r="I16"/>
      <c r="J16"/>
      <c r="K16"/>
      <c r="L16"/>
      <c r="M16"/>
      <c r="N16"/>
      <c r="O16"/>
      <c r="P16"/>
      <c r="Q16"/>
      <c r="R16"/>
      <c r="S16"/>
      <c r="T16"/>
      <c r="U16"/>
      <c r="V16"/>
      <c r="W16"/>
    </row>
    <row r="17" spans="1:23" x14ac:dyDescent="0.45">
      <c r="A17"/>
      <c r="B17"/>
      <c r="C17"/>
      <c r="D17"/>
      <c r="E17"/>
      <c r="F17"/>
      <c r="G17"/>
      <c r="H17"/>
      <c r="I17"/>
      <c r="J17"/>
      <c r="K17"/>
      <c r="L17"/>
      <c r="M17"/>
      <c r="N17"/>
      <c r="O17"/>
      <c r="P17"/>
      <c r="Q17"/>
      <c r="R17"/>
      <c r="S17"/>
      <c r="T17"/>
      <c r="U17"/>
      <c r="V17"/>
      <c r="W17"/>
    </row>
    <row r="18" spans="1:23" x14ac:dyDescent="0.45">
      <c r="A18"/>
      <c r="B18"/>
      <c r="C18"/>
      <c r="D18"/>
      <c r="E18"/>
      <c r="F18"/>
      <c r="G18"/>
      <c r="H18"/>
      <c r="I18"/>
      <c r="J18"/>
      <c r="K18"/>
      <c r="L18"/>
      <c r="M18"/>
      <c r="N18"/>
      <c r="O18"/>
      <c r="P18"/>
      <c r="Q18"/>
      <c r="R18"/>
      <c r="S18"/>
    </row>
    <row r="19" spans="1:23" x14ac:dyDescent="0.45">
      <c r="A19"/>
      <c r="B19"/>
      <c r="C19"/>
      <c r="D19"/>
      <c r="E19"/>
      <c r="F19"/>
      <c r="G19"/>
      <c r="H19"/>
      <c r="I19"/>
      <c r="J19"/>
      <c r="K19"/>
      <c r="L19"/>
      <c r="M19"/>
      <c r="N19"/>
      <c r="O19"/>
      <c r="P19"/>
      <c r="Q19"/>
      <c r="R19"/>
      <c r="S19"/>
    </row>
    <row r="20" spans="1:23" x14ac:dyDescent="0.45">
      <c r="A20"/>
      <c r="B20"/>
      <c r="C20"/>
      <c r="D20"/>
      <c r="E20"/>
      <c r="F20"/>
      <c r="G20"/>
      <c r="H20"/>
      <c r="I20"/>
      <c r="J20"/>
      <c r="K20"/>
      <c r="L20"/>
      <c r="M20"/>
      <c r="N20"/>
      <c r="O20"/>
      <c r="P20"/>
      <c r="Q20"/>
      <c r="R20"/>
      <c r="S20"/>
    </row>
    <row r="21" spans="1:23" x14ac:dyDescent="0.45">
      <c r="A21"/>
      <c r="B21"/>
      <c r="C21"/>
      <c r="D21"/>
      <c r="E21"/>
      <c r="F21"/>
      <c r="G21"/>
      <c r="H21"/>
      <c r="I21"/>
      <c r="J21"/>
      <c r="K21"/>
      <c r="L21"/>
      <c r="M21"/>
      <c r="N21"/>
      <c r="O21"/>
      <c r="P21"/>
      <c r="Q21"/>
      <c r="R21"/>
      <c r="S21"/>
    </row>
    <row r="22" spans="1:23" x14ac:dyDescent="0.45">
      <c r="A22"/>
      <c r="B22"/>
      <c r="C22"/>
      <c r="D22"/>
      <c r="E22"/>
      <c r="F22"/>
      <c r="G22"/>
      <c r="H22"/>
      <c r="I22"/>
      <c r="J22"/>
      <c r="K22"/>
      <c r="L22"/>
      <c r="M22"/>
      <c r="N22"/>
      <c r="O22"/>
      <c r="P22"/>
      <c r="Q22"/>
      <c r="R22"/>
      <c r="S22"/>
    </row>
    <row r="23" spans="1:23" x14ac:dyDescent="0.45">
      <c r="A23"/>
      <c r="B23"/>
      <c r="C23"/>
      <c r="D23"/>
      <c r="E23"/>
      <c r="F23"/>
      <c r="G23"/>
      <c r="H23"/>
      <c r="I23"/>
      <c r="J23"/>
      <c r="K23"/>
      <c r="L23"/>
      <c r="M23"/>
      <c r="N23"/>
      <c r="O23"/>
      <c r="P23"/>
      <c r="Q23"/>
      <c r="R23"/>
      <c r="S23"/>
    </row>
    <row r="24" spans="1:23" x14ac:dyDescent="0.45">
      <c r="A24"/>
      <c r="B24"/>
      <c r="C24"/>
      <c r="D24"/>
      <c r="E24"/>
      <c r="F24"/>
      <c r="G24"/>
      <c r="H24"/>
      <c r="I24"/>
      <c r="J24"/>
      <c r="K24"/>
      <c r="L24"/>
      <c r="M24"/>
      <c r="N24"/>
      <c r="O24"/>
      <c r="P24"/>
      <c r="Q24"/>
      <c r="R24"/>
      <c r="S24"/>
    </row>
    <row r="25" spans="1:23" x14ac:dyDescent="0.45">
      <c r="A25"/>
      <c r="B25"/>
      <c r="C25"/>
      <c r="D25"/>
      <c r="E25"/>
      <c r="F25"/>
      <c r="G25"/>
      <c r="H25"/>
      <c r="I25"/>
      <c r="J25"/>
      <c r="K25"/>
      <c r="L25"/>
      <c r="M25"/>
      <c r="N25"/>
      <c r="O25"/>
      <c r="P25"/>
      <c r="Q25"/>
      <c r="R25"/>
      <c r="S25"/>
    </row>
    <row r="26" spans="1:23" x14ac:dyDescent="0.45">
      <c r="A26"/>
      <c r="B26"/>
      <c r="C26"/>
      <c r="D26"/>
      <c r="E26"/>
      <c r="F26"/>
      <c r="G26"/>
      <c r="H26"/>
      <c r="I26"/>
      <c r="J26"/>
      <c r="K26"/>
      <c r="L26"/>
      <c r="M26"/>
      <c r="N26"/>
      <c r="O26"/>
      <c r="P26"/>
      <c r="Q26"/>
      <c r="R26"/>
      <c r="S26"/>
    </row>
    <row r="27" spans="1:23" x14ac:dyDescent="0.45">
      <c r="A27"/>
      <c r="B27"/>
      <c r="C27"/>
      <c r="D27"/>
      <c r="E27"/>
      <c r="F27"/>
      <c r="G27"/>
      <c r="H27"/>
      <c r="I27"/>
      <c r="J27"/>
      <c r="K27"/>
      <c r="L27"/>
      <c r="M27"/>
      <c r="N27"/>
      <c r="O27"/>
      <c r="P27"/>
      <c r="Q27"/>
      <c r="R27"/>
      <c r="S27"/>
    </row>
    <row r="28" spans="1:23" x14ac:dyDescent="0.45">
      <c r="A28"/>
      <c r="B28"/>
      <c r="C28"/>
      <c r="D28"/>
      <c r="E28"/>
      <c r="F28"/>
      <c r="G28"/>
      <c r="H28"/>
      <c r="I28"/>
      <c r="J28"/>
      <c r="K28"/>
      <c r="L28"/>
      <c r="M28"/>
      <c r="N28"/>
    </row>
    <row r="29" spans="1:23" x14ac:dyDescent="0.45">
      <c r="A29"/>
      <c r="B29"/>
      <c r="C29"/>
      <c r="D29"/>
      <c r="E29"/>
      <c r="F29"/>
      <c r="G29"/>
      <c r="H29"/>
      <c r="I29"/>
      <c r="J29"/>
      <c r="K29"/>
      <c r="L29"/>
      <c r="M29"/>
      <c r="N29"/>
    </row>
    <row r="30" spans="1:23" x14ac:dyDescent="0.45">
      <c r="A30"/>
      <c r="B30"/>
      <c r="C30"/>
      <c r="D30"/>
      <c r="E30"/>
      <c r="F30"/>
      <c r="G30"/>
      <c r="H30"/>
      <c r="I30"/>
      <c r="J30"/>
      <c r="K30"/>
      <c r="L30"/>
      <c r="M30"/>
      <c r="N30"/>
    </row>
    <row r="31" spans="1:23" x14ac:dyDescent="0.45">
      <c r="A31"/>
      <c r="B31"/>
      <c r="C31"/>
      <c r="D31"/>
      <c r="E31"/>
      <c r="F31"/>
      <c r="G31"/>
      <c r="H31"/>
      <c r="I31"/>
      <c r="J31"/>
      <c r="K31"/>
      <c r="L31"/>
      <c r="M31"/>
      <c r="N31"/>
    </row>
    <row r="32" spans="1:23" x14ac:dyDescent="0.45">
      <c r="A32"/>
      <c r="B32"/>
      <c r="C32"/>
      <c r="D32"/>
      <c r="E32"/>
      <c r="F32"/>
      <c r="G32"/>
      <c r="H32"/>
      <c r="I32"/>
      <c r="J32"/>
      <c r="K32"/>
      <c r="L32"/>
      <c r="M32"/>
      <c r="N32"/>
    </row>
    <row r="33" spans="1:14" x14ac:dyDescent="0.45">
      <c r="A33"/>
      <c r="B33"/>
      <c r="C33"/>
      <c r="D33"/>
      <c r="E33"/>
      <c r="F33"/>
      <c r="G33"/>
      <c r="H33"/>
      <c r="I33"/>
      <c r="J33"/>
      <c r="K33"/>
      <c r="L33"/>
      <c r="M33"/>
      <c r="N33"/>
    </row>
    <row r="34" spans="1:14" x14ac:dyDescent="0.45">
      <c r="A34"/>
      <c r="B34"/>
      <c r="C34"/>
      <c r="D34"/>
      <c r="E34"/>
      <c r="F34"/>
      <c r="G34"/>
      <c r="H34"/>
      <c r="I34"/>
      <c r="J34"/>
      <c r="K34"/>
      <c r="L34"/>
      <c r="M34"/>
      <c r="N34"/>
    </row>
    <row r="35" spans="1:14" x14ac:dyDescent="0.45">
      <c r="A35"/>
      <c r="B35"/>
      <c r="C35"/>
      <c r="D35"/>
      <c r="E35"/>
      <c r="F35"/>
      <c r="G35"/>
      <c r="H35"/>
      <c r="I35"/>
      <c r="J35"/>
      <c r="K35"/>
      <c r="L35"/>
      <c r="M35"/>
      <c r="N35"/>
    </row>
    <row r="36" spans="1:14" x14ac:dyDescent="0.45">
      <c r="A36"/>
      <c r="B36"/>
      <c r="C36"/>
      <c r="D36"/>
      <c r="E36"/>
      <c r="F36"/>
      <c r="G36"/>
      <c r="H36"/>
      <c r="I36"/>
      <c r="J36"/>
      <c r="K36"/>
      <c r="L36"/>
      <c r="M36"/>
      <c r="N36"/>
    </row>
    <row r="37" spans="1:14" x14ac:dyDescent="0.45">
      <c r="A37"/>
      <c r="B37"/>
      <c r="C37"/>
      <c r="D37"/>
      <c r="E37"/>
      <c r="F37"/>
      <c r="G37"/>
      <c r="H37"/>
      <c r="I37"/>
      <c r="J37"/>
      <c r="K37"/>
      <c r="L37"/>
      <c r="M37"/>
      <c r="N37"/>
    </row>
    <row r="38" spans="1:14" x14ac:dyDescent="0.45">
      <c r="A38"/>
      <c r="B38"/>
      <c r="C38"/>
      <c r="D38"/>
      <c r="E38"/>
      <c r="F38"/>
      <c r="G38"/>
      <c r="H38"/>
      <c r="I38"/>
      <c r="J38"/>
      <c r="K38"/>
      <c r="L38"/>
      <c r="M38"/>
      <c r="N38"/>
    </row>
    <row r="39" spans="1:14" x14ac:dyDescent="0.45">
      <c r="A39"/>
      <c r="B39"/>
      <c r="C39"/>
      <c r="D39"/>
      <c r="E39"/>
      <c r="F39"/>
      <c r="G39"/>
      <c r="H39"/>
      <c r="I39"/>
      <c r="J39"/>
      <c r="K39"/>
      <c r="L39"/>
      <c r="M39"/>
      <c r="N39"/>
    </row>
    <row r="40" spans="1:14" x14ac:dyDescent="0.45">
      <c r="A40"/>
      <c r="B40"/>
      <c r="C40"/>
      <c r="D40"/>
      <c r="E40"/>
      <c r="F40"/>
      <c r="G40"/>
      <c r="H40"/>
      <c r="I40"/>
      <c r="J40"/>
      <c r="K40"/>
      <c r="L40"/>
      <c r="M40"/>
      <c r="N40"/>
    </row>
    <row r="41" spans="1:14" x14ac:dyDescent="0.45">
      <c r="A41"/>
      <c r="B41"/>
      <c r="C41"/>
      <c r="D41"/>
      <c r="E41"/>
      <c r="F41"/>
      <c r="G41"/>
      <c r="H41"/>
      <c r="I41"/>
      <c r="J41"/>
      <c r="K41"/>
      <c r="L41"/>
      <c r="M41"/>
      <c r="N41"/>
    </row>
    <row r="42" spans="1:14" x14ac:dyDescent="0.45">
      <c r="A42"/>
      <c r="B42"/>
      <c r="C42"/>
      <c r="D42"/>
      <c r="E42"/>
      <c r="F42"/>
      <c r="G42"/>
      <c r="H42"/>
      <c r="I42"/>
      <c r="J42"/>
      <c r="K42"/>
      <c r="L42"/>
      <c r="M42"/>
      <c r="N42"/>
    </row>
    <row r="43" spans="1:14" x14ac:dyDescent="0.45">
      <c r="A43"/>
      <c r="B43"/>
      <c r="C43"/>
      <c r="D43"/>
      <c r="E43"/>
      <c r="F43"/>
      <c r="G43"/>
      <c r="H43"/>
      <c r="I43"/>
      <c r="J43"/>
      <c r="K43"/>
      <c r="L43"/>
      <c r="M43"/>
      <c r="N43"/>
    </row>
    <row r="44" spans="1:14" x14ac:dyDescent="0.45">
      <c r="A44"/>
      <c r="B44"/>
      <c r="C44"/>
      <c r="D44"/>
      <c r="E44"/>
      <c r="F44"/>
      <c r="G44"/>
      <c r="H44"/>
      <c r="I44"/>
      <c r="J44"/>
      <c r="K44"/>
      <c r="L44"/>
      <c r="M44"/>
      <c r="N44"/>
    </row>
    <row r="45" spans="1:14" x14ac:dyDescent="0.45">
      <c r="A45"/>
      <c r="B45"/>
      <c r="C45"/>
      <c r="D45"/>
      <c r="E45"/>
      <c r="F45"/>
      <c r="G45"/>
      <c r="H45"/>
      <c r="I45"/>
      <c r="J45"/>
      <c r="K45"/>
      <c r="L45"/>
      <c r="M45"/>
      <c r="N45"/>
    </row>
    <row r="46" spans="1:14" x14ac:dyDescent="0.45">
      <c r="A46"/>
      <c r="B46"/>
      <c r="C46"/>
      <c r="D46"/>
      <c r="E46"/>
      <c r="F46"/>
      <c r="G46"/>
      <c r="H46"/>
      <c r="I46"/>
      <c r="J46"/>
      <c r="K46"/>
      <c r="L46"/>
      <c r="M46"/>
      <c r="N46"/>
    </row>
    <row r="47" spans="1:14" x14ac:dyDescent="0.45">
      <c r="A47"/>
      <c r="B47"/>
      <c r="C47"/>
      <c r="D47"/>
      <c r="I47"/>
      <c r="J47"/>
      <c r="K47"/>
      <c r="L47"/>
    </row>
    <row r="48" spans="1:14" x14ac:dyDescent="0.45">
      <c r="A48"/>
      <c r="B48"/>
      <c r="C48"/>
      <c r="D48"/>
      <c r="I48"/>
      <c r="J48"/>
      <c r="K48"/>
      <c r="L48"/>
    </row>
    <row r="49" spans="1:11" x14ac:dyDescent="0.45">
      <c r="A49"/>
      <c r="B49"/>
      <c r="C49"/>
      <c r="D49"/>
      <c r="I49"/>
      <c r="J49"/>
      <c r="K49"/>
    </row>
    <row r="50" spans="1:11" x14ac:dyDescent="0.45">
      <c r="A50"/>
      <c r="B50"/>
      <c r="C50"/>
      <c r="D50"/>
      <c r="I50"/>
      <c r="J50"/>
      <c r="K50"/>
    </row>
    <row r="51" spans="1:11" x14ac:dyDescent="0.45">
      <c r="A51"/>
      <c r="B51"/>
      <c r="C51"/>
      <c r="D51"/>
      <c r="I51"/>
      <c r="J51"/>
      <c r="K51"/>
    </row>
    <row r="52" spans="1:11" x14ac:dyDescent="0.45">
      <c r="A52"/>
      <c r="B52"/>
      <c r="C52"/>
      <c r="D52"/>
      <c r="I52"/>
      <c r="J52"/>
      <c r="K52"/>
    </row>
    <row r="53" spans="1:11" x14ac:dyDescent="0.45">
      <c r="A53"/>
      <c r="B53"/>
      <c r="C53"/>
      <c r="D53"/>
      <c r="I53"/>
      <c r="J53"/>
      <c r="K53"/>
    </row>
    <row r="54" spans="1:11" x14ac:dyDescent="0.45">
      <c r="A54"/>
      <c r="B54"/>
      <c r="C54"/>
      <c r="D54"/>
      <c r="I54"/>
      <c r="J54"/>
      <c r="K54"/>
    </row>
    <row r="55" spans="1:11" x14ac:dyDescent="0.45">
      <c r="A55"/>
      <c r="B55"/>
      <c r="C55"/>
      <c r="D55"/>
      <c r="I55"/>
      <c r="J55"/>
      <c r="K55"/>
    </row>
    <row r="56" spans="1:11" x14ac:dyDescent="0.45">
      <c r="I56"/>
      <c r="J56"/>
      <c r="K56"/>
    </row>
    <row r="57" spans="1:11" x14ac:dyDescent="0.45">
      <c r="I57"/>
      <c r="J57"/>
      <c r="K57"/>
    </row>
    <row r="58" spans="1:11" x14ac:dyDescent="0.45">
      <c r="I58"/>
      <c r="J58"/>
      <c r="K58"/>
    </row>
    <row r="59" spans="1:11" x14ac:dyDescent="0.45">
      <c r="I59"/>
      <c r="J59"/>
      <c r="K59"/>
    </row>
    <row r="60" spans="1:11" x14ac:dyDescent="0.45">
      <c r="I60"/>
      <c r="J60"/>
      <c r="K60"/>
    </row>
    <row r="61" spans="1:11" x14ac:dyDescent="0.45">
      <c r="I61"/>
      <c r="J61"/>
      <c r="K61"/>
    </row>
    <row r="62" spans="1:11" x14ac:dyDescent="0.45">
      <c r="I62"/>
      <c r="J62"/>
      <c r="K62"/>
    </row>
    <row r="63" spans="1:11" x14ac:dyDescent="0.45">
      <c r="I63"/>
      <c r="J63"/>
      <c r="K63"/>
    </row>
    <row r="64" spans="1:11" x14ac:dyDescent="0.45">
      <c r="I64"/>
      <c r="J64"/>
      <c r="K64"/>
    </row>
    <row r="65" spans="9:11" x14ac:dyDescent="0.45">
      <c r="I65"/>
      <c r="J65"/>
      <c r="K65"/>
    </row>
    <row r="66" spans="9:11" x14ac:dyDescent="0.45">
      <c r="I66"/>
      <c r="J66"/>
      <c r="K66"/>
    </row>
    <row r="67" spans="9:11" x14ac:dyDescent="0.45">
      <c r="I67"/>
      <c r="J67"/>
      <c r="K67"/>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5FC28-5794-49FA-BCE2-842373A98151}">
  <dimension ref="A1:BC45"/>
  <sheetViews>
    <sheetView topLeftCell="C1" workbookViewId="0">
      <selection activeCell="H11" sqref="H11"/>
    </sheetView>
  </sheetViews>
  <sheetFormatPr defaultColWidth="8.77734375" defaultRowHeight="23.4" x14ac:dyDescent="0.45"/>
  <cols>
    <col min="1" max="1" width="24.6640625" style="1" bestFit="1" customWidth="1"/>
    <col min="2" max="2" width="19.5546875" style="1" bestFit="1" customWidth="1"/>
    <col min="3" max="3" width="18.33203125" style="151" bestFit="1" customWidth="1"/>
    <col min="4" max="4" width="17.5546875" style="1" bestFit="1" customWidth="1"/>
    <col min="5" max="5" width="18.33203125" style="151" bestFit="1" customWidth="1"/>
    <col min="6" max="6" width="23.21875" style="1" bestFit="1" customWidth="1"/>
    <col min="7" max="7" width="24" style="1" bestFit="1" customWidth="1"/>
    <col min="8" max="8" width="15.5546875" style="1" customWidth="1"/>
    <col min="9" max="9" width="28.5546875" style="1" bestFit="1" customWidth="1"/>
    <col min="10" max="10" width="17.5546875" style="1" bestFit="1" customWidth="1"/>
    <col min="11" max="11" width="18.33203125" style="1" bestFit="1" customWidth="1"/>
    <col min="12" max="12" width="27.77734375" style="1" bestFit="1" customWidth="1"/>
    <col min="13" max="13" width="28.5546875" style="1" bestFit="1" customWidth="1"/>
    <col min="14" max="14" width="17.5546875" style="1" bestFit="1" customWidth="1"/>
    <col min="15" max="15" width="18.33203125" style="1" bestFit="1" customWidth="1"/>
    <col min="16" max="16" width="27.77734375" style="1" bestFit="1" customWidth="1"/>
    <col min="17" max="17" width="28.5546875" style="1" bestFit="1" customWidth="1"/>
    <col min="18" max="18" width="17.5546875" style="1" bestFit="1" customWidth="1"/>
    <col min="19" max="19" width="18.33203125" style="1" bestFit="1" customWidth="1"/>
    <col min="20" max="20" width="27.77734375" style="1" bestFit="1" customWidth="1"/>
    <col min="21" max="21" width="28.5546875" style="1" bestFit="1" customWidth="1"/>
    <col min="22" max="22" width="17.5546875" style="1" bestFit="1" customWidth="1"/>
    <col min="23" max="23" width="18.33203125" style="1" bestFit="1" customWidth="1"/>
    <col min="24" max="24" width="27.77734375" style="1" bestFit="1" customWidth="1"/>
    <col min="25" max="25" width="28.5546875" style="1" bestFit="1" customWidth="1"/>
    <col min="26" max="26" width="17.5546875" style="1" bestFit="1" customWidth="1"/>
    <col min="27" max="27" width="18.33203125" style="1" bestFit="1" customWidth="1"/>
    <col min="28" max="28" width="27.77734375" style="1" bestFit="1" customWidth="1"/>
    <col min="29" max="29" width="28.5546875" style="1" bestFit="1" customWidth="1"/>
    <col min="30" max="30" width="17.5546875" style="1" bestFit="1" customWidth="1"/>
    <col min="31" max="31" width="18.33203125" style="1" bestFit="1" customWidth="1"/>
    <col min="32" max="32" width="27.77734375" style="1" bestFit="1" customWidth="1"/>
    <col min="33" max="33" width="28.5546875" style="1" bestFit="1" customWidth="1"/>
    <col min="34" max="34" width="17.5546875" style="1" bestFit="1" customWidth="1"/>
    <col min="35" max="35" width="18.33203125" style="1" bestFit="1" customWidth="1"/>
    <col min="36" max="36" width="27.77734375" style="1" bestFit="1" customWidth="1"/>
    <col min="37" max="37" width="28.5546875" style="1" bestFit="1" customWidth="1"/>
    <col min="38" max="38" width="17.5546875" style="1" bestFit="1" customWidth="1"/>
    <col min="39" max="39" width="18.33203125" style="1" bestFit="1" customWidth="1"/>
    <col min="40" max="40" width="27.77734375" style="1" bestFit="1" customWidth="1"/>
    <col min="41" max="41" width="28.5546875" style="1" bestFit="1" customWidth="1"/>
    <col min="42" max="42" width="17.5546875" style="1" bestFit="1" customWidth="1"/>
    <col min="43" max="43" width="18.33203125" style="1" bestFit="1" customWidth="1"/>
    <col min="44" max="44" width="27.77734375" style="1" bestFit="1" customWidth="1"/>
    <col min="45" max="45" width="28.5546875" style="1" bestFit="1" customWidth="1"/>
    <col min="46" max="46" width="17.5546875" style="1" bestFit="1" customWidth="1"/>
    <col min="47" max="47" width="18.33203125" style="1" bestFit="1" customWidth="1"/>
    <col min="48" max="48" width="27.77734375" style="1" bestFit="1" customWidth="1"/>
    <col min="49" max="49" width="28.5546875" style="1" bestFit="1" customWidth="1"/>
    <col min="50" max="50" width="17.5546875" style="1" bestFit="1" customWidth="1"/>
    <col min="51" max="51" width="18.33203125" style="1" bestFit="1" customWidth="1"/>
    <col min="52" max="52" width="27.77734375" style="1" bestFit="1" customWidth="1"/>
    <col min="53" max="53" width="28.5546875" style="1" bestFit="1" customWidth="1"/>
    <col min="54" max="54" width="23.21875" style="1" bestFit="1" customWidth="1"/>
    <col min="55" max="55" width="24" style="1" bestFit="1" customWidth="1"/>
    <col min="56" max="16384" width="8.77734375" style="1"/>
  </cols>
  <sheetData>
    <row r="1" spans="1:55" x14ac:dyDescent="0.45">
      <c r="A1" s="92"/>
      <c r="B1" s="91" t="s">
        <v>1155</v>
      </c>
      <c r="C1" s="242"/>
      <c r="D1" s="92"/>
      <c r="E1" s="92"/>
      <c r="F1" s="92"/>
      <c r="G1" s="92"/>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row>
    <row r="2" spans="1:55" x14ac:dyDescent="0.45">
      <c r="A2" s="92"/>
      <c r="B2" s="92" t="s">
        <v>961</v>
      </c>
      <c r="C2" s="92"/>
      <c r="D2" s="92" t="s">
        <v>957</v>
      </c>
      <c r="E2" s="92"/>
      <c r="F2" s="92" t="s">
        <v>973</v>
      </c>
      <c r="G2" s="92" t="s">
        <v>971</v>
      </c>
      <c r="H2" s="1" t="s">
        <v>1158</v>
      </c>
      <c r="I2" s="248" t="s">
        <v>1156</v>
      </c>
      <c r="J2" s="248" t="s">
        <v>957</v>
      </c>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row>
    <row r="3" spans="1:55" x14ac:dyDescent="0.45">
      <c r="A3" s="91" t="s">
        <v>969</v>
      </c>
      <c r="B3" s="92" t="s">
        <v>972</v>
      </c>
      <c r="C3" s="92" t="s">
        <v>970</v>
      </c>
      <c r="D3" s="92" t="s">
        <v>972</v>
      </c>
      <c r="E3" s="92" t="s">
        <v>970</v>
      </c>
      <c r="F3" s="92"/>
      <c r="G3" s="92"/>
      <c r="I3" s="1">
        <f>GETPIVOTDATA("Sum of WEIGHT",$A$1,"ITEMS","GOLD")</f>
        <v>50.81</v>
      </c>
      <c r="J3" s="1">
        <f>GETPIVOTDATA("Sum of WEIGHT",$A$1,"ITEMS","SILVER")</f>
        <v>4374.13</v>
      </c>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row>
    <row r="4" spans="1:55" x14ac:dyDescent="0.45">
      <c r="A4" s="243">
        <v>45485</v>
      </c>
      <c r="B4" s="95"/>
      <c r="C4" s="95"/>
      <c r="D4" s="95">
        <v>241.61</v>
      </c>
      <c r="E4" s="95">
        <v>31800</v>
      </c>
      <c r="F4" s="95">
        <v>241.61</v>
      </c>
      <c r="G4" s="95">
        <v>31800</v>
      </c>
      <c r="H4" s="247" t="s">
        <v>1157</v>
      </c>
      <c r="I4" s="238">
        <v>0.5</v>
      </c>
      <c r="J4" s="238">
        <v>120.6</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row>
    <row r="5" spans="1:55" x14ac:dyDescent="0.45">
      <c r="A5" s="244" t="s">
        <v>962</v>
      </c>
      <c r="B5" s="95"/>
      <c r="C5" s="95"/>
      <c r="D5" s="95">
        <v>241.61</v>
      </c>
      <c r="E5" s="95">
        <v>31800</v>
      </c>
      <c r="F5" s="95">
        <v>241.61</v>
      </c>
      <c r="G5" s="95">
        <v>31800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row>
    <row r="6" spans="1:55" x14ac:dyDescent="0.45">
      <c r="A6" s="243">
        <v>45486</v>
      </c>
      <c r="B6" s="95"/>
      <c r="C6" s="95"/>
      <c r="D6" s="95">
        <v>509</v>
      </c>
      <c r="E6" s="95">
        <v>49810</v>
      </c>
      <c r="F6" s="95">
        <v>509</v>
      </c>
      <c r="G6" s="95">
        <v>49810</v>
      </c>
      <c r="H6" s="249" t="s">
        <v>1099</v>
      </c>
      <c r="I6" s="249">
        <f>I3-(SUM(I4:I5))</f>
        <v>50.31</v>
      </c>
      <c r="J6" s="249">
        <f>J3-(SUM(J4:J5))</f>
        <v>4253.53</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row>
    <row r="7" spans="1:55" x14ac:dyDescent="0.45">
      <c r="A7" s="244" t="s">
        <v>956</v>
      </c>
      <c r="B7" s="95"/>
      <c r="C7" s="95"/>
      <c r="D7" s="95">
        <v>509</v>
      </c>
      <c r="E7" s="95">
        <v>49810</v>
      </c>
      <c r="F7" s="95">
        <v>509</v>
      </c>
      <c r="G7" s="95">
        <v>49810</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row>
    <row r="8" spans="1:55" x14ac:dyDescent="0.45">
      <c r="A8" s="243">
        <v>45487</v>
      </c>
      <c r="B8" s="95">
        <v>28.75</v>
      </c>
      <c r="C8" s="95">
        <v>200000</v>
      </c>
      <c r="D8" s="95"/>
      <c r="E8" s="95"/>
      <c r="F8" s="95">
        <v>28.75</v>
      </c>
      <c r="G8" s="95">
        <v>200000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row>
    <row r="9" spans="1:55" x14ac:dyDescent="0.45">
      <c r="A9" s="244" t="s">
        <v>960</v>
      </c>
      <c r="B9" s="95">
        <v>28.75</v>
      </c>
      <c r="C9" s="95">
        <v>200000</v>
      </c>
      <c r="D9" s="95"/>
      <c r="E9" s="95"/>
      <c r="F9" s="95">
        <v>28.75</v>
      </c>
      <c r="G9" s="95">
        <v>200000</v>
      </c>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row>
    <row r="10" spans="1:55" x14ac:dyDescent="0.45">
      <c r="A10" s="243">
        <v>45488</v>
      </c>
      <c r="B10" s="95">
        <v>4.0999999999999996</v>
      </c>
      <c r="C10" s="95">
        <v>28500</v>
      </c>
      <c r="D10" s="95"/>
      <c r="E10" s="95"/>
      <c r="F10" s="95">
        <v>4.0999999999999996</v>
      </c>
      <c r="G10" s="95">
        <v>28500</v>
      </c>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row>
    <row r="11" spans="1:55" x14ac:dyDescent="0.45">
      <c r="A11" s="244" t="s">
        <v>960</v>
      </c>
      <c r="B11" s="95">
        <v>4.0999999999999996</v>
      </c>
      <c r="C11" s="95">
        <v>28500</v>
      </c>
      <c r="D11" s="95"/>
      <c r="E11" s="95"/>
      <c r="F11" s="95">
        <v>4.0999999999999996</v>
      </c>
      <c r="G11" s="95">
        <v>28500</v>
      </c>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row>
    <row r="12" spans="1:55" x14ac:dyDescent="0.45">
      <c r="A12" s="243">
        <v>45511</v>
      </c>
      <c r="B12" s="95"/>
      <c r="C12" s="95"/>
      <c r="D12" s="95">
        <v>282.5</v>
      </c>
      <c r="E12" s="95">
        <v>18530</v>
      </c>
      <c r="F12" s="95">
        <v>282.5</v>
      </c>
      <c r="G12" s="95">
        <v>18530</v>
      </c>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row>
    <row r="13" spans="1:55" x14ac:dyDescent="0.45">
      <c r="A13" s="244" t="s">
        <v>964</v>
      </c>
      <c r="B13" s="95"/>
      <c r="C13" s="95"/>
      <c r="D13" s="95">
        <v>282.5</v>
      </c>
      <c r="E13" s="95">
        <v>18530</v>
      </c>
      <c r="F13" s="95">
        <v>282.5</v>
      </c>
      <c r="G13" s="95">
        <v>18530</v>
      </c>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row>
    <row r="14" spans="1:55" x14ac:dyDescent="0.45">
      <c r="A14" s="243">
        <v>45518</v>
      </c>
      <c r="B14" s="95"/>
      <c r="C14" s="95"/>
      <c r="D14" s="95">
        <v>279</v>
      </c>
      <c r="E14" s="95">
        <v>27300</v>
      </c>
      <c r="F14" s="95">
        <v>279</v>
      </c>
      <c r="G14" s="95">
        <v>27300</v>
      </c>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row>
    <row r="15" spans="1:55" x14ac:dyDescent="0.45">
      <c r="A15" s="244" t="s">
        <v>956</v>
      </c>
      <c r="B15" s="95"/>
      <c r="C15" s="95"/>
      <c r="D15" s="95">
        <v>279</v>
      </c>
      <c r="E15" s="95">
        <v>27300</v>
      </c>
      <c r="F15" s="95">
        <v>279</v>
      </c>
      <c r="G15" s="95">
        <v>27300</v>
      </c>
      <c r="H15"/>
      <c r="I15"/>
      <c r="J15"/>
      <c r="K15"/>
      <c r="L15"/>
      <c r="M15"/>
      <c r="N15"/>
      <c r="O15"/>
      <c r="P15"/>
      <c r="Q15"/>
      <c r="R15"/>
      <c r="S15"/>
      <c r="T15"/>
      <c r="U15"/>
      <c r="V15"/>
      <c r="W15"/>
      <c r="X15"/>
      <c r="Y15"/>
      <c r="Z15"/>
      <c r="AA15"/>
      <c r="AB15"/>
      <c r="AC15"/>
    </row>
    <row r="16" spans="1:55" x14ac:dyDescent="0.45">
      <c r="A16" s="243">
        <v>45528</v>
      </c>
      <c r="B16" s="95"/>
      <c r="C16" s="95"/>
      <c r="D16" s="95">
        <v>195.5</v>
      </c>
      <c r="E16" s="95">
        <v>15960</v>
      </c>
      <c r="F16" s="95">
        <v>195.5</v>
      </c>
      <c r="G16" s="95">
        <v>15960</v>
      </c>
      <c r="H16"/>
      <c r="I16"/>
      <c r="J16"/>
      <c r="K16"/>
      <c r="L16"/>
      <c r="M16"/>
      <c r="N16"/>
      <c r="O16"/>
      <c r="P16"/>
      <c r="Q16"/>
      <c r="R16"/>
      <c r="S16"/>
      <c r="T16"/>
      <c r="U16"/>
      <c r="V16"/>
      <c r="W16"/>
      <c r="X16"/>
      <c r="Y16"/>
      <c r="Z16"/>
      <c r="AA16"/>
    </row>
    <row r="17" spans="1:27" x14ac:dyDescent="0.45">
      <c r="A17" s="244" t="s">
        <v>964</v>
      </c>
      <c r="B17" s="95"/>
      <c r="C17" s="95"/>
      <c r="D17" s="95">
        <v>195.5</v>
      </c>
      <c r="E17" s="95">
        <v>15960</v>
      </c>
      <c r="F17" s="95">
        <v>195.5</v>
      </c>
      <c r="G17" s="95">
        <v>15960</v>
      </c>
      <c r="H17"/>
      <c r="I17"/>
      <c r="J17"/>
      <c r="K17"/>
      <c r="L17"/>
      <c r="M17"/>
      <c r="N17"/>
      <c r="O17"/>
      <c r="P17"/>
      <c r="Q17"/>
      <c r="R17"/>
      <c r="S17"/>
      <c r="T17"/>
      <c r="U17"/>
      <c r="V17"/>
      <c r="W17"/>
      <c r="X17"/>
      <c r="Y17"/>
      <c r="Z17"/>
      <c r="AA17"/>
    </row>
    <row r="18" spans="1:27" x14ac:dyDescent="0.45">
      <c r="A18" s="243">
        <v>45530</v>
      </c>
      <c r="B18" s="95"/>
      <c r="C18" s="95"/>
      <c r="D18" s="95">
        <v>1000</v>
      </c>
      <c r="E18" s="95">
        <v>86800</v>
      </c>
      <c r="F18" s="95">
        <v>1000</v>
      </c>
      <c r="G18" s="95">
        <v>86800</v>
      </c>
      <c r="H18"/>
      <c r="I18"/>
      <c r="J18"/>
      <c r="K18"/>
      <c r="L18"/>
      <c r="M18"/>
      <c r="N18"/>
      <c r="O18"/>
      <c r="P18"/>
      <c r="Q18"/>
      <c r="R18"/>
      <c r="S18"/>
      <c r="T18"/>
      <c r="U18"/>
      <c r="V18"/>
      <c r="W18"/>
      <c r="X18"/>
      <c r="Y18"/>
      <c r="Z18"/>
      <c r="AA18"/>
    </row>
    <row r="19" spans="1:27" x14ac:dyDescent="0.45">
      <c r="A19" s="244" t="s">
        <v>965</v>
      </c>
      <c r="B19" s="95"/>
      <c r="C19" s="95"/>
      <c r="D19" s="95">
        <v>1000</v>
      </c>
      <c r="E19" s="95">
        <v>86800</v>
      </c>
      <c r="F19" s="95">
        <v>1000</v>
      </c>
      <c r="G19" s="95">
        <v>86800</v>
      </c>
    </row>
    <row r="20" spans="1:27" x14ac:dyDescent="0.45">
      <c r="A20" s="243">
        <v>45532</v>
      </c>
      <c r="B20" s="95">
        <v>17.96</v>
      </c>
      <c r="C20" s="95">
        <v>123000</v>
      </c>
      <c r="D20" s="95"/>
      <c r="E20" s="95"/>
      <c r="F20" s="95">
        <v>17.96</v>
      </c>
      <c r="G20" s="95">
        <v>123000</v>
      </c>
    </row>
    <row r="21" spans="1:27" x14ac:dyDescent="0.45">
      <c r="A21" s="244" t="s">
        <v>966</v>
      </c>
      <c r="B21" s="95">
        <v>17.96</v>
      </c>
      <c r="C21" s="95">
        <v>123000</v>
      </c>
      <c r="D21" s="95"/>
      <c r="E21" s="95"/>
      <c r="F21" s="95">
        <v>17.96</v>
      </c>
      <c r="G21" s="95">
        <v>123000</v>
      </c>
    </row>
    <row r="22" spans="1:27" x14ac:dyDescent="0.45">
      <c r="A22" s="243">
        <v>45537</v>
      </c>
      <c r="B22" s="95"/>
      <c r="C22" s="95"/>
      <c r="D22" s="95">
        <v>1200</v>
      </c>
      <c r="E22" s="95">
        <v>85350</v>
      </c>
      <c r="F22" s="95">
        <v>1200</v>
      </c>
      <c r="G22" s="95">
        <v>85350</v>
      </c>
    </row>
    <row r="23" spans="1:27" x14ac:dyDescent="0.45">
      <c r="A23" s="244" t="s">
        <v>968</v>
      </c>
      <c r="B23" s="95"/>
      <c r="C23" s="95"/>
      <c r="D23" s="95">
        <v>1200</v>
      </c>
      <c r="E23" s="95">
        <v>85350</v>
      </c>
      <c r="F23" s="95">
        <v>1200</v>
      </c>
      <c r="G23" s="95">
        <v>85350</v>
      </c>
    </row>
    <row r="24" spans="1:27" x14ac:dyDescent="0.45">
      <c r="A24" s="243">
        <v>45548</v>
      </c>
      <c r="B24" s="95"/>
      <c r="C24" s="95"/>
      <c r="D24" s="95">
        <v>63.73</v>
      </c>
      <c r="E24" s="95">
        <v>6500</v>
      </c>
      <c r="F24" s="95">
        <v>63.73</v>
      </c>
      <c r="G24" s="95">
        <v>6500</v>
      </c>
    </row>
    <row r="25" spans="1:27" x14ac:dyDescent="0.45">
      <c r="A25" s="244" t="s">
        <v>1028</v>
      </c>
      <c r="B25" s="95"/>
      <c r="C25" s="95"/>
      <c r="D25" s="95">
        <v>63.73</v>
      </c>
      <c r="E25" s="95">
        <v>6500</v>
      </c>
      <c r="F25" s="95">
        <v>63.73</v>
      </c>
      <c r="G25" s="95">
        <v>6500</v>
      </c>
    </row>
    <row r="26" spans="1:27" x14ac:dyDescent="0.45">
      <c r="A26" s="243">
        <v>45562</v>
      </c>
      <c r="B26" s="95"/>
      <c r="C26" s="95"/>
      <c r="D26" s="95">
        <v>24.83</v>
      </c>
      <c r="E26" s="95">
        <v>3675</v>
      </c>
      <c r="F26" s="95">
        <v>24.83</v>
      </c>
      <c r="G26" s="95">
        <v>3675</v>
      </c>
    </row>
    <row r="27" spans="1:27" x14ac:dyDescent="0.45">
      <c r="A27" s="244" t="s">
        <v>962</v>
      </c>
      <c r="B27" s="95"/>
      <c r="C27" s="95"/>
      <c r="D27" s="95">
        <v>24.83</v>
      </c>
      <c r="E27" s="95">
        <v>3675</v>
      </c>
      <c r="F27" s="95">
        <v>24.83</v>
      </c>
      <c r="G27" s="95">
        <v>3675</v>
      </c>
    </row>
    <row r="28" spans="1:27" x14ac:dyDescent="0.45">
      <c r="A28" s="243">
        <v>45567</v>
      </c>
      <c r="B28" s="95"/>
      <c r="C28" s="95"/>
      <c r="D28" s="95">
        <v>577.96</v>
      </c>
      <c r="E28" s="95">
        <v>47695</v>
      </c>
      <c r="F28" s="95">
        <v>577.96</v>
      </c>
      <c r="G28" s="95">
        <v>47695</v>
      </c>
    </row>
    <row r="29" spans="1:27" x14ac:dyDescent="0.45">
      <c r="A29" s="244" t="s">
        <v>1032</v>
      </c>
      <c r="B29" s="95"/>
      <c r="C29" s="95"/>
      <c r="D29" s="95">
        <v>577.96</v>
      </c>
      <c r="E29" s="95">
        <v>47695</v>
      </c>
      <c r="F29" s="95">
        <v>577.96</v>
      </c>
      <c r="G29" s="95">
        <v>47695</v>
      </c>
    </row>
    <row r="30" spans="1:27" x14ac:dyDescent="0.45">
      <c r="A30" s="243" t="s">
        <v>835</v>
      </c>
      <c r="B30" s="246">
        <v>50.81</v>
      </c>
      <c r="C30" s="245">
        <v>351500</v>
      </c>
      <c r="D30" s="246">
        <v>4374.13</v>
      </c>
      <c r="E30" s="245">
        <v>373420</v>
      </c>
      <c r="F30" s="95">
        <v>4424.9400000000005</v>
      </c>
      <c r="G30" s="245">
        <v>724920</v>
      </c>
    </row>
    <row r="33" spans="1:7" x14ac:dyDescent="0.45">
      <c r="A33"/>
      <c r="B33"/>
      <c r="C33"/>
      <c r="D33"/>
      <c r="E33"/>
      <c r="F33"/>
      <c r="G33"/>
    </row>
    <row r="34" spans="1:7" x14ac:dyDescent="0.45">
      <c r="A34"/>
      <c r="B34"/>
      <c r="C34"/>
      <c r="D34"/>
      <c r="E34"/>
      <c r="F34"/>
      <c r="G34"/>
    </row>
    <row r="35" spans="1:7" x14ac:dyDescent="0.45">
      <c r="A35"/>
      <c r="B35"/>
      <c r="C35"/>
      <c r="D35"/>
      <c r="E35"/>
      <c r="F35"/>
      <c r="G35"/>
    </row>
    <row r="36" spans="1:7" x14ac:dyDescent="0.45">
      <c r="A36"/>
      <c r="B36"/>
      <c r="C36"/>
      <c r="D36"/>
      <c r="E36"/>
      <c r="F36"/>
      <c r="G36"/>
    </row>
    <row r="37" spans="1:7" x14ac:dyDescent="0.45">
      <c r="A37"/>
      <c r="B37"/>
      <c r="C37"/>
      <c r="D37"/>
      <c r="E37"/>
      <c r="F37"/>
      <c r="G37"/>
    </row>
    <row r="38" spans="1:7" x14ac:dyDescent="0.45">
      <c r="A38"/>
      <c r="B38"/>
      <c r="C38"/>
    </row>
    <row r="39" spans="1:7" x14ac:dyDescent="0.45">
      <c r="A39"/>
      <c r="B39"/>
      <c r="C39"/>
    </row>
    <row r="40" spans="1:7" x14ac:dyDescent="0.45">
      <c r="A40"/>
      <c r="B40"/>
      <c r="C40"/>
    </row>
    <row r="41" spans="1:7" x14ac:dyDescent="0.45">
      <c r="A41"/>
      <c r="B41"/>
      <c r="C41"/>
    </row>
    <row r="42" spans="1:7" x14ac:dyDescent="0.45">
      <c r="A42"/>
      <c r="B42"/>
      <c r="C42"/>
    </row>
    <row r="43" spans="1:7" x14ac:dyDescent="0.45">
      <c r="A43"/>
      <c r="B43"/>
      <c r="C43"/>
    </row>
    <row r="44" spans="1:7" x14ac:dyDescent="0.45">
      <c r="A44"/>
      <c r="B44"/>
      <c r="C44"/>
    </row>
    <row r="45" spans="1:7" x14ac:dyDescent="0.45">
      <c r="A45"/>
      <c r="B45"/>
      <c r="C45"/>
    </row>
  </sheetData>
  <pageMargins left="0.7" right="0.7" top="0.75" bottom="0.75" header="0.3" footer="0.3"/>
  <drawing r:id="rId2"/>
  <tableParts count="1">
    <tablePart r:id="rId3"/>
  </tableParts>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6BB3E-7A4C-4BDA-9EE5-88012DC27F94}">
  <dimension ref="A1:G25"/>
  <sheetViews>
    <sheetView zoomScaleNormal="100" workbookViewId="0">
      <selection activeCell="B25" sqref="B25"/>
    </sheetView>
  </sheetViews>
  <sheetFormatPr defaultRowHeight="23.4" x14ac:dyDescent="0.45"/>
  <cols>
    <col min="1" max="1" width="40.44140625" style="1" customWidth="1"/>
    <col min="2" max="2" width="23.21875" style="1" customWidth="1"/>
    <col min="3" max="3" width="29.33203125" style="1" bestFit="1" customWidth="1"/>
    <col min="4" max="4" width="18.5546875" style="1" bestFit="1" customWidth="1"/>
    <col min="5" max="5" width="33.5546875" style="1" bestFit="1" customWidth="1"/>
    <col min="6" max="6" width="16.88671875" style="1" bestFit="1" customWidth="1"/>
    <col min="7" max="7" width="19.21875" style="1" bestFit="1" customWidth="1"/>
    <col min="8" max="16384" width="8.88671875" style="1"/>
  </cols>
  <sheetData>
    <row r="1" spans="1:7" x14ac:dyDescent="0.45">
      <c r="A1" s="191" t="s">
        <v>1095</v>
      </c>
      <c r="B1" s="191" t="s">
        <v>1096</v>
      </c>
      <c r="C1" s="192" t="s">
        <v>815</v>
      </c>
      <c r="D1" s="192" t="s">
        <v>816</v>
      </c>
      <c r="E1" s="193" t="s">
        <v>828</v>
      </c>
      <c r="F1" s="194" t="s">
        <v>1</v>
      </c>
      <c r="G1" s="195" t="s">
        <v>5</v>
      </c>
    </row>
    <row r="2" spans="1:7" x14ac:dyDescent="0.45">
      <c r="A2" s="196" t="s">
        <v>1025</v>
      </c>
      <c r="B2" s="197">
        <v>6000</v>
      </c>
      <c r="C2" s="198" t="s">
        <v>879</v>
      </c>
      <c r="D2" s="199">
        <v>400</v>
      </c>
      <c r="E2" s="198" t="s">
        <v>1086</v>
      </c>
      <c r="F2" s="200">
        <v>3</v>
      </c>
      <c r="G2" s="180">
        <v>16500</v>
      </c>
    </row>
    <row r="3" spans="1:7" x14ac:dyDescent="0.45">
      <c r="A3" s="201" t="s">
        <v>1024</v>
      </c>
      <c r="B3" s="202">
        <v>3675</v>
      </c>
      <c r="C3" s="203" t="s">
        <v>880</v>
      </c>
      <c r="D3" s="204">
        <v>28100</v>
      </c>
      <c r="E3" s="205" t="s">
        <v>1089</v>
      </c>
      <c r="F3" s="206">
        <v>1.04</v>
      </c>
      <c r="G3" s="207">
        <v>5500</v>
      </c>
    </row>
    <row r="4" spans="1:7" ht="49.8" customHeight="1" x14ac:dyDescent="0.45">
      <c r="A4" s="208" t="s">
        <v>1023</v>
      </c>
      <c r="B4" s="197">
        <v>2410</v>
      </c>
      <c r="C4" s="209" t="s">
        <v>882</v>
      </c>
      <c r="D4" s="210">
        <v>400</v>
      </c>
      <c r="E4" s="211"/>
      <c r="F4" s="212"/>
      <c r="G4" s="213"/>
    </row>
    <row r="5" spans="1:7" x14ac:dyDescent="0.45">
      <c r="A5" s="201" t="s">
        <v>1087</v>
      </c>
      <c r="B5" s="202">
        <v>15100</v>
      </c>
      <c r="C5" s="214" t="s">
        <v>881</v>
      </c>
      <c r="D5" s="215">
        <v>600</v>
      </c>
      <c r="E5" s="216"/>
      <c r="F5" s="216"/>
      <c r="G5" s="217"/>
    </row>
    <row r="6" spans="1:7" x14ac:dyDescent="0.45">
      <c r="A6" s="196" t="s">
        <v>1022</v>
      </c>
      <c r="B6" s="197">
        <v>58300</v>
      </c>
      <c r="C6" s="218" t="s">
        <v>1027</v>
      </c>
      <c r="D6" s="219">
        <v>16000</v>
      </c>
      <c r="E6" s="211"/>
      <c r="F6" s="211"/>
      <c r="G6" s="220"/>
    </row>
    <row r="7" spans="1:7" x14ac:dyDescent="0.45">
      <c r="A7" s="201" t="s">
        <v>1029</v>
      </c>
      <c r="B7" s="202">
        <v>6500</v>
      </c>
      <c r="C7" s="214" t="s">
        <v>1091</v>
      </c>
      <c r="D7" s="216">
        <v>100</v>
      </c>
      <c r="E7" s="216"/>
      <c r="F7" s="216"/>
      <c r="G7" s="217"/>
    </row>
    <row r="8" spans="1:7" x14ac:dyDescent="0.45">
      <c r="A8" s="196" t="s">
        <v>1030</v>
      </c>
      <c r="B8" s="197">
        <v>47695</v>
      </c>
      <c r="C8" s="232" t="s">
        <v>944</v>
      </c>
      <c r="D8" s="233">
        <f>SUM(D2:D7)</f>
        <v>45600</v>
      </c>
      <c r="E8" s="211"/>
      <c r="F8" s="211"/>
      <c r="G8" s="220"/>
    </row>
    <row r="9" spans="1:7" x14ac:dyDescent="0.45">
      <c r="A9" s="201" t="s">
        <v>1088</v>
      </c>
      <c r="B9" s="202">
        <v>1000</v>
      </c>
      <c r="C9" s="216"/>
      <c r="D9" s="216"/>
      <c r="E9" s="216"/>
      <c r="F9" s="216"/>
      <c r="G9" s="217"/>
    </row>
    <row r="10" spans="1:7" x14ac:dyDescent="0.45">
      <c r="A10" s="196" t="s">
        <v>1090</v>
      </c>
      <c r="B10" s="197">
        <v>74500</v>
      </c>
      <c r="C10" s="211"/>
      <c r="D10" s="211"/>
      <c r="E10" s="211"/>
      <c r="F10" s="211"/>
      <c r="G10" s="220"/>
    </row>
    <row r="11" spans="1:7" x14ac:dyDescent="0.45">
      <c r="A11" s="229" t="s">
        <v>1107</v>
      </c>
      <c r="B11" s="195" t="s">
        <v>5</v>
      </c>
      <c r="C11" s="211"/>
      <c r="D11" s="211"/>
      <c r="E11" s="211"/>
      <c r="F11" s="211"/>
      <c r="G11" s="220"/>
    </row>
    <row r="12" spans="1:7" x14ac:dyDescent="0.45">
      <c r="A12" s="230" t="s">
        <v>1108</v>
      </c>
      <c r="B12" s="180">
        <v>16500</v>
      </c>
      <c r="C12" s="211"/>
      <c r="D12" s="211"/>
      <c r="E12" s="211"/>
      <c r="F12" s="211"/>
      <c r="G12" s="220"/>
    </row>
    <row r="13" spans="1:7" x14ac:dyDescent="0.45">
      <c r="A13" s="231" t="s">
        <v>1109</v>
      </c>
      <c r="B13" s="207">
        <v>5500</v>
      </c>
      <c r="C13" s="211"/>
      <c r="D13" s="211"/>
      <c r="E13" s="211"/>
      <c r="F13" s="211"/>
      <c r="G13" s="220"/>
    </row>
    <row r="14" spans="1:7" x14ac:dyDescent="0.45">
      <c r="A14" s="221" t="s">
        <v>1099</v>
      </c>
      <c r="B14" s="222">
        <f>SUM(B2:B10)+B12+B13</f>
        <v>237180</v>
      </c>
      <c r="C14" s="216"/>
      <c r="D14" s="216"/>
      <c r="E14" s="216"/>
      <c r="F14" s="216"/>
      <c r="G14" s="217"/>
    </row>
    <row r="15" spans="1:7" x14ac:dyDescent="0.45">
      <c r="A15" s="163" t="s">
        <v>1097</v>
      </c>
      <c r="B15" s="164">
        <v>36.03</v>
      </c>
      <c r="C15" s="164"/>
      <c r="D15" s="164"/>
      <c r="E15" s="164"/>
      <c r="F15" s="164"/>
      <c r="G15" s="223"/>
    </row>
    <row r="18" spans="1:2" x14ac:dyDescent="0.45">
      <c r="A18" s="225" t="s">
        <v>1100</v>
      </c>
      <c r="B18" s="227">
        <v>293181</v>
      </c>
    </row>
    <row r="19" spans="1:2" ht="46.2" x14ac:dyDescent="0.45">
      <c r="A19" s="226" t="s">
        <v>1106</v>
      </c>
      <c r="B19" s="227">
        <v>367610</v>
      </c>
    </row>
    <row r="20" spans="1:2" x14ac:dyDescent="0.45">
      <c r="A20" s="225" t="s">
        <v>1101</v>
      </c>
      <c r="B20" s="224">
        <v>75211</v>
      </c>
    </row>
    <row r="21" spans="1:2" x14ac:dyDescent="0.45">
      <c r="A21" s="225" t="s">
        <v>1102</v>
      </c>
      <c r="B21" s="227">
        <v>20371</v>
      </c>
    </row>
    <row r="22" spans="1:2" x14ac:dyDescent="0.45">
      <c r="A22" s="225" t="s">
        <v>1103</v>
      </c>
      <c r="B22" s="227">
        <v>45600</v>
      </c>
    </row>
    <row r="23" spans="1:2" x14ac:dyDescent="0.45">
      <c r="A23" s="225" t="s">
        <v>1104</v>
      </c>
      <c r="B23" s="228">
        <v>24300</v>
      </c>
    </row>
    <row r="24" spans="1:2" x14ac:dyDescent="0.45">
      <c r="A24" s="225" t="s">
        <v>1105</v>
      </c>
      <c r="B24" s="228">
        <v>237180</v>
      </c>
    </row>
    <row r="25" spans="1:2" x14ac:dyDescent="0.45">
      <c r="A25" s="225" t="s">
        <v>1112</v>
      </c>
      <c r="B25" s="228">
        <f>B20-B21</f>
        <v>54840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ALL-DATA</vt:lpstr>
      <vt:lpstr>DAILY DATA</vt:lpstr>
      <vt:lpstr>PIVOT-TABLE</vt:lpstr>
      <vt:lpstr>RTGS</vt:lpstr>
      <vt:lpstr>RTGS PIVOT-TABLE</vt:lpstr>
      <vt:lpstr>SEP-OCT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Saro Sk</dc:creator>
  <cp:lastModifiedBy>Saro Sk</cp:lastModifiedBy>
  <dcterms:created xsi:type="dcterms:W3CDTF">2024-08-20T13:56:39Z</dcterms:created>
  <dcterms:modified xsi:type="dcterms:W3CDTF">2024-11-01T15:00:34Z</dcterms:modified>
</cp:coreProperties>
</file>