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58" documentId="13_ncr:1_{D05DBB12-C0A0-4A10-94D5-46E974ECFF2B}" xr6:coauthVersionLast="47" xr6:coauthVersionMax="47" xr10:uidLastSave="{D426BDD2-D22C-45F0-9126-8E2BB5BC46BD}"/>
  <bookViews>
    <workbookView xWindow="-108" yWindow="-108" windowWidth="23256" windowHeight="12456" tabRatio="633" activeTab="1"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 name="OTC-NOV" sheetId="9" r:id="rId7"/>
    <sheet name="NOV-DEC" sheetId="11" r:id="rId8"/>
    <sheet name="DEC-JAN" sheetId="12" r:id="rId9"/>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1" r:id="rId10"/>
    <pivotCache cacheId="6"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5" i="3" l="1"/>
  <c r="H505" i="3"/>
  <c r="I505" i="3"/>
  <c r="L505" i="3" s="1"/>
  <c r="D460" i="1"/>
  <c r="D461" i="1"/>
  <c r="F460" i="1"/>
  <c r="F461" i="1"/>
  <c r="G505" i="3" l="1"/>
  <c r="F505" i="3"/>
  <c r="B532" i="3" l="1"/>
  <c r="E532" i="3" s="1"/>
  <c r="E531" i="3"/>
  <c r="B519" i="3"/>
  <c r="I532" i="3" l="1"/>
  <c r="L532" i="3" s="1"/>
  <c r="H532" i="3"/>
  <c r="G532" i="3"/>
  <c r="F532" i="3"/>
  <c r="I531" i="3"/>
  <c r="L531" i="3" s="1"/>
  <c r="H531" i="3"/>
  <c r="G531" i="3"/>
  <c r="F531" i="3"/>
  <c r="E530" i="3"/>
  <c r="F530" i="3"/>
  <c r="H530" i="3"/>
  <c r="D1259" i="1"/>
  <c r="F1259" i="1"/>
  <c r="D1260" i="1"/>
  <c r="F1260" i="1"/>
  <c r="D1261" i="1"/>
  <c r="F1261" i="1"/>
  <c r="B529" i="3"/>
  <c r="E529" i="3" s="1"/>
  <c r="B528" i="3"/>
  <c r="E528" i="3" s="1"/>
  <c r="B527" i="3"/>
  <c r="E527" i="3" s="1"/>
  <c r="P525" i="3"/>
  <c r="R525" i="3" s="1"/>
  <c r="P526" i="3"/>
  <c r="R526" i="3" s="1"/>
  <c r="B526" i="3"/>
  <c r="E526" i="3" s="1"/>
  <c r="B525" i="3"/>
  <c r="G525" i="3" s="1"/>
  <c r="R523" i="3"/>
  <c r="P524" i="3"/>
  <c r="R524" i="3" s="1"/>
  <c r="B524" i="3"/>
  <c r="E524" i="3" s="1"/>
  <c r="B523" i="3"/>
  <c r="E523" i="3" s="1"/>
  <c r="P520" i="3"/>
  <c r="R520" i="3" s="1"/>
  <c r="P521" i="3"/>
  <c r="R521" i="3" s="1"/>
  <c r="P522" i="3"/>
  <c r="R522" i="3" s="1"/>
  <c r="B522" i="3"/>
  <c r="E522" i="3" s="1"/>
  <c r="B521" i="3"/>
  <c r="E521" i="3" s="1"/>
  <c r="B520" i="3"/>
  <c r="E520" i="3" s="1"/>
  <c r="B508" i="3"/>
  <c r="P519" i="3"/>
  <c r="R519" i="3" s="1"/>
  <c r="E519" i="3"/>
  <c r="P513" i="3"/>
  <c r="R513" i="3" s="1"/>
  <c r="P514" i="3"/>
  <c r="R514" i="3" s="1"/>
  <c r="P515" i="3"/>
  <c r="R515" i="3" s="1"/>
  <c r="P516" i="3"/>
  <c r="R516" i="3" s="1"/>
  <c r="P517" i="3"/>
  <c r="R517" i="3" s="1"/>
  <c r="P518" i="3"/>
  <c r="R518" i="3" s="1"/>
  <c r="B518" i="3"/>
  <c r="E518" i="3" s="1"/>
  <c r="E517" i="3"/>
  <c r="F517" i="3"/>
  <c r="G517" i="3"/>
  <c r="H517" i="3"/>
  <c r="I517" i="3"/>
  <c r="B516" i="3"/>
  <c r="E516" i="3" s="1"/>
  <c r="E515" i="3"/>
  <c r="F515" i="3"/>
  <c r="G515" i="3"/>
  <c r="H515" i="3"/>
  <c r="I515" i="3"/>
  <c r="B514" i="3"/>
  <c r="E514" i="3" s="1"/>
  <c r="B513" i="3"/>
  <c r="E513" i="3" s="1"/>
  <c r="P512" i="3"/>
  <c r="R512" i="3" s="1"/>
  <c r="B512" i="3"/>
  <c r="E512" i="3" s="1"/>
  <c r="P510" i="3"/>
  <c r="R510" i="3" s="1"/>
  <c r="P511" i="3"/>
  <c r="R511" i="3" s="1"/>
  <c r="P509" i="3"/>
  <c r="F1063" i="1"/>
  <c r="F1062" i="1"/>
  <c r="F1061" i="1"/>
  <c r="F1060" i="1"/>
  <c r="F1059" i="1"/>
  <c r="F1058" i="1"/>
  <c r="F1057" i="1"/>
  <c r="H529" i="3" l="1"/>
  <c r="F529" i="3"/>
  <c r="H528" i="3"/>
  <c r="G528" i="3"/>
  <c r="F528" i="3"/>
  <c r="H527" i="3"/>
  <c r="F527" i="3"/>
  <c r="H526" i="3"/>
  <c r="G526" i="3"/>
  <c r="F526" i="3"/>
  <c r="F525" i="3"/>
  <c r="E525" i="3"/>
  <c r="H525" i="3"/>
  <c r="H524" i="3"/>
  <c r="G524" i="3"/>
  <c r="F524" i="3"/>
  <c r="H523" i="3"/>
  <c r="F523" i="3"/>
  <c r="H522" i="3"/>
  <c r="F522" i="3"/>
  <c r="H521" i="3"/>
  <c r="F521" i="3"/>
  <c r="F520" i="3"/>
  <c r="H520" i="3"/>
  <c r="L517" i="3"/>
  <c r="F519" i="3"/>
  <c r="H519" i="3"/>
  <c r="L515" i="3"/>
  <c r="H518" i="3"/>
  <c r="G518" i="3"/>
  <c r="F518" i="3"/>
  <c r="H516" i="3"/>
  <c r="F516" i="3"/>
  <c r="H514" i="3"/>
  <c r="G514" i="3"/>
  <c r="F514" i="3"/>
  <c r="H513" i="3"/>
  <c r="F513" i="3"/>
  <c r="H512" i="3"/>
  <c r="F512" i="3"/>
  <c r="B511" i="3"/>
  <c r="E511" i="3" s="1"/>
  <c r="F510" i="3"/>
  <c r="E510" i="3"/>
  <c r="G510" i="3"/>
  <c r="H510" i="3"/>
  <c r="R509" i="3"/>
  <c r="B509" i="3"/>
  <c r="E509" i="3" s="1"/>
  <c r="E502" i="3"/>
  <c r="P506" i="3"/>
  <c r="R506" i="3" s="1"/>
  <c r="P507" i="3"/>
  <c r="R507" i="3" s="1"/>
  <c r="P508" i="3"/>
  <c r="R508" i="3" s="1"/>
  <c r="E508" i="3"/>
  <c r="B507" i="3"/>
  <c r="E507" i="3" s="1"/>
  <c r="K488" i="3"/>
  <c r="K489" i="3"/>
  <c r="K490" i="3"/>
  <c r="K491" i="3"/>
  <c r="K492" i="3"/>
  <c r="K493" i="3"/>
  <c r="K494" i="3"/>
  <c r="K495" i="3"/>
  <c r="K496" i="3"/>
  <c r="K497" i="3"/>
  <c r="K498" i="3"/>
  <c r="K499" i="3"/>
  <c r="B506" i="3"/>
  <c r="E506" i="3" s="1"/>
  <c r="P503" i="3"/>
  <c r="R503" i="3" s="1"/>
  <c r="P504" i="3"/>
  <c r="R504" i="3" s="1"/>
  <c r="B504" i="3"/>
  <c r="E504" i="3" s="1"/>
  <c r="E503" i="3"/>
  <c r="F503" i="3"/>
  <c r="G503" i="3"/>
  <c r="H503" i="3"/>
  <c r="P500" i="3"/>
  <c r="R500" i="3" s="1"/>
  <c r="P501" i="3"/>
  <c r="R501" i="3" s="1"/>
  <c r="E501" i="3"/>
  <c r="F501" i="3"/>
  <c r="G501" i="3"/>
  <c r="H501" i="3"/>
  <c r="I501" i="3"/>
  <c r="B500" i="3"/>
  <c r="E500" i="3" s="1"/>
  <c r="K487" i="3"/>
  <c r="B499" i="3"/>
  <c r="E499" i="3" s="1"/>
  <c r="B498" i="3"/>
  <c r="E498" i="3" s="1"/>
  <c r="B497" i="3"/>
  <c r="E497" i="3" s="1"/>
  <c r="M497" i="3" s="1"/>
  <c r="P497" i="3" s="1"/>
  <c r="R497" i="3" s="1"/>
  <c r="B496" i="3"/>
  <c r="E496" i="3" s="1"/>
  <c r="M496" i="3" s="1"/>
  <c r="P496" i="3" s="1"/>
  <c r="R496" i="3" s="1"/>
  <c r="B495" i="3"/>
  <c r="E495" i="3" s="1"/>
  <c r="B494" i="3"/>
  <c r="E494" i="3" s="1"/>
  <c r="B493" i="3"/>
  <c r="E493" i="3" s="1"/>
  <c r="B492" i="3"/>
  <c r="E492" i="3" s="1"/>
  <c r="B491" i="3"/>
  <c r="E491" i="3" s="1"/>
  <c r="B490" i="3"/>
  <c r="E490" i="3" s="1"/>
  <c r="M490" i="3" s="1"/>
  <c r="P490" i="3" s="1"/>
  <c r="R490" i="3" s="1"/>
  <c r="B489" i="3"/>
  <c r="E489" i="3" s="1"/>
  <c r="E488" i="3"/>
  <c r="B487" i="3"/>
  <c r="E487" i="3" s="1"/>
  <c r="R485" i="3"/>
  <c r="P486" i="3"/>
  <c r="R486" i="3" s="1"/>
  <c r="P482" i="3"/>
  <c r="R482" i="3" s="1"/>
  <c r="P483" i="3"/>
  <c r="R483" i="3" s="1"/>
  <c r="P484" i="3"/>
  <c r="R484" i="3" s="1"/>
  <c r="E486" i="3"/>
  <c r="E485" i="3"/>
  <c r="F485" i="3"/>
  <c r="G485" i="3"/>
  <c r="H485" i="3"/>
  <c r="F1190" i="1"/>
  <c r="I485" i="3" s="1"/>
  <c r="F1191" i="1"/>
  <c r="F1192" i="1"/>
  <c r="F1189" i="1"/>
  <c r="E484" i="3"/>
  <c r="F484" i="3"/>
  <c r="G484" i="3"/>
  <c r="H484" i="3"/>
  <c r="I484" i="3"/>
  <c r="E483" i="3"/>
  <c r="B482" i="3"/>
  <c r="E482" i="3" s="1"/>
  <c r="P481" i="3"/>
  <c r="R481" i="3" s="1"/>
  <c r="R480" i="3"/>
  <c r="E481" i="3"/>
  <c r="F480" i="3"/>
  <c r="G480" i="3"/>
  <c r="H480" i="3"/>
  <c r="B228" i="1"/>
  <c r="F228" i="1" s="1"/>
  <c r="B227" i="1"/>
  <c r="E480" i="3" s="1"/>
  <c r="D175" i="1"/>
  <c r="F175" i="1"/>
  <c r="P476" i="3"/>
  <c r="R476" i="3" s="1"/>
  <c r="P477" i="3"/>
  <c r="R477" i="3" s="1"/>
  <c r="P478" i="3"/>
  <c r="R478" i="3" s="1"/>
  <c r="P479" i="3"/>
  <c r="R479" i="3" s="1"/>
  <c r="E479" i="3"/>
  <c r="F479" i="3"/>
  <c r="G479" i="3"/>
  <c r="H479" i="3"/>
  <c r="I479" i="3"/>
  <c r="E478" i="3"/>
  <c r="F478" i="3"/>
  <c r="G478" i="3"/>
  <c r="H478" i="3"/>
  <c r="I478" i="3"/>
  <c r="B477" i="3"/>
  <c r="E477" i="3" s="1"/>
  <c r="B476" i="3"/>
  <c r="E476" i="3" s="1"/>
  <c r="P475" i="3"/>
  <c r="R475" i="3" s="1"/>
  <c r="E475" i="3"/>
  <c r="F475" i="3"/>
  <c r="G475" i="3"/>
  <c r="H475" i="3"/>
  <c r="P472" i="3"/>
  <c r="R472" i="3" s="1"/>
  <c r="P473" i="3"/>
  <c r="R473" i="3" s="1"/>
  <c r="P474" i="3"/>
  <c r="R474" i="3" s="1"/>
  <c r="E474" i="3"/>
  <c r="F474" i="3"/>
  <c r="G474" i="3"/>
  <c r="H474" i="3"/>
  <c r="B473" i="3"/>
  <c r="F473" i="3" s="1"/>
  <c r="F899" i="1"/>
  <c r="B472" i="3"/>
  <c r="E472" i="3" s="1"/>
  <c r="P468" i="3"/>
  <c r="R468" i="3" s="1"/>
  <c r="P469" i="3"/>
  <c r="R469" i="3" s="1"/>
  <c r="P470" i="3"/>
  <c r="R470" i="3" s="1"/>
  <c r="P471" i="3"/>
  <c r="R471" i="3" s="1"/>
  <c r="E471" i="3"/>
  <c r="F471" i="3"/>
  <c r="G471" i="3"/>
  <c r="H471" i="3"/>
  <c r="I471" i="3"/>
  <c r="E470" i="3"/>
  <c r="F470" i="3"/>
  <c r="G470" i="3"/>
  <c r="H470" i="3"/>
  <c r="I470" i="3"/>
  <c r="B469" i="3"/>
  <c r="E469" i="3" s="1"/>
  <c r="F468" i="3"/>
  <c r="H468" i="3"/>
  <c r="B173" i="1"/>
  <c r="E468" i="3" s="1"/>
  <c r="D174" i="1"/>
  <c r="F174" i="1"/>
  <c r="R466" i="3"/>
  <c r="P464" i="3"/>
  <c r="R464" i="3" s="1"/>
  <c r="P465" i="3"/>
  <c r="R465" i="3" s="1"/>
  <c r="P467" i="3"/>
  <c r="R467" i="3" s="1"/>
  <c r="B467" i="3"/>
  <c r="E467" i="3" s="1"/>
  <c r="B466" i="3"/>
  <c r="E466" i="3" s="1"/>
  <c r="E465" i="3"/>
  <c r="F465" i="3"/>
  <c r="G465" i="3"/>
  <c r="H465" i="3"/>
  <c r="F1336" i="1"/>
  <c r="I465" i="3" s="1"/>
  <c r="E464" i="3"/>
  <c r="F464" i="3"/>
  <c r="G464" i="3"/>
  <c r="H464" i="3"/>
  <c r="F1239" i="1"/>
  <c r="I475" i="3" s="1"/>
  <c r="F1240" i="1"/>
  <c r="I474" i="3" s="1"/>
  <c r="F1241" i="1"/>
  <c r="I503" i="3" s="1"/>
  <c r="F1242" i="1"/>
  <c r="F1243" i="1"/>
  <c r="F1244" i="1"/>
  <c r="F1245" i="1"/>
  <c r="F1246" i="1"/>
  <c r="F1247" i="1"/>
  <c r="F1248" i="1"/>
  <c r="F1249" i="1"/>
  <c r="F1250" i="1"/>
  <c r="F1251" i="1"/>
  <c r="F1252" i="1"/>
  <c r="F1253" i="1"/>
  <c r="F1254" i="1"/>
  <c r="F1255" i="1"/>
  <c r="P462" i="3"/>
  <c r="R462" i="3" s="1"/>
  <c r="P463" i="3"/>
  <c r="R463" i="3" s="1"/>
  <c r="E463" i="3"/>
  <c r="F463" i="3"/>
  <c r="G463" i="3"/>
  <c r="H463" i="3"/>
  <c r="I463" i="3"/>
  <c r="E462" i="3"/>
  <c r="F462" i="3"/>
  <c r="G462" i="3"/>
  <c r="H462" i="3"/>
  <c r="P460" i="3"/>
  <c r="R460" i="3" s="1"/>
  <c r="P461" i="3"/>
  <c r="R461" i="3" s="1"/>
  <c r="B461" i="3"/>
  <c r="E461" i="3" s="1"/>
  <c r="M488" i="3" l="1"/>
  <c r="P488" i="3" s="1"/>
  <c r="R488" i="3" s="1"/>
  <c r="M489" i="3"/>
  <c r="P489" i="3" s="1"/>
  <c r="R489" i="3" s="1"/>
  <c r="M494" i="3"/>
  <c r="P494" i="3" s="1"/>
  <c r="R494" i="3" s="1"/>
  <c r="M491" i="3"/>
  <c r="P491" i="3" s="1"/>
  <c r="R491" i="3" s="1"/>
  <c r="M492" i="3"/>
  <c r="P492" i="3" s="1"/>
  <c r="R492" i="3" s="1"/>
  <c r="M495" i="3"/>
  <c r="P495" i="3" s="1"/>
  <c r="R495" i="3" s="1"/>
  <c r="I511" i="3"/>
  <c r="L511" i="3" s="1"/>
  <c r="H511" i="3"/>
  <c r="G511" i="3"/>
  <c r="F511" i="3"/>
  <c r="I510" i="3"/>
  <c r="L510" i="3" s="1"/>
  <c r="F509" i="3"/>
  <c r="H509" i="3"/>
  <c r="M487" i="3"/>
  <c r="P487" i="3" s="1"/>
  <c r="R487" i="3" s="1"/>
  <c r="M493" i="3"/>
  <c r="P493" i="3" s="1"/>
  <c r="R493" i="3" s="1"/>
  <c r="H502" i="3"/>
  <c r="G502" i="3"/>
  <c r="F502" i="3"/>
  <c r="H508" i="3"/>
  <c r="G508" i="3"/>
  <c r="F508" i="3"/>
  <c r="H507" i="3"/>
  <c r="F507" i="3"/>
  <c r="M499" i="3"/>
  <c r="P499" i="3" s="1"/>
  <c r="R499" i="3" s="1"/>
  <c r="M498" i="3"/>
  <c r="P498" i="3" s="1"/>
  <c r="R498" i="3" s="1"/>
  <c r="L503" i="3"/>
  <c r="H506" i="3"/>
  <c r="G506" i="3"/>
  <c r="F506" i="3"/>
  <c r="H504" i="3"/>
  <c r="F504" i="3"/>
  <c r="H500" i="3"/>
  <c r="F500" i="3"/>
  <c r="H499" i="3"/>
  <c r="F499" i="3"/>
  <c r="H498" i="3"/>
  <c r="F498" i="3"/>
  <c r="H497" i="3"/>
  <c r="F497" i="3"/>
  <c r="H496" i="3"/>
  <c r="F496" i="3"/>
  <c r="H495" i="3"/>
  <c r="F495" i="3"/>
  <c r="H494" i="3"/>
  <c r="F494" i="3"/>
  <c r="H493" i="3"/>
  <c r="F493" i="3"/>
  <c r="H492" i="3"/>
  <c r="F492" i="3"/>
  <c r="H491" i="3"/>
  <c r="G491" i="3"/>
  <c r="F491" i="3"/>
  <c r="H490" i="3"/>
  <c r="F490" i="3"/>
  <c r="H489" i="3"/>
  <c r="F489" i="3"/>
  <c r="H488" i="3"/>
  <c r="F488" i="3"/>
  <c r="H487" i="3"/>
  <c r="F487" i="3"/>
  <c r="H486" i="3"/>
  <c r="G486" i="3"/>
  <c r="F486" i="3"/>
  <c r="L485" i="3"/>
  <c r="L484" i="3"/>
  <c r="I483" i="3"/>
  <c r="L483" i="3" s="1"/>
  <c r="H483" i="3"/>
  <c r="G483" i="3"/>
  <c r="F483" i="3"/>
  <c r="H482" i="3"/>
  <c r="G482" i="3"/>
  <c r="F482" i="3"/>
  <c r="I481" i="3"/>
  <c r="L481" i="3" s="1"/>
  <c r="H481" i="3"/>
  <c r="G481" i="3"/>
  <c r="F481" i="3"/>
  <c r="L478" i="3"/>
  <c r="L479" i="3"/>
  <c r="H477" i="3"/>
  <c r="G477" i="3"/>
  <c r="F477" i="3"/>
  <c r="H476" i="3"/>
  <c r="G476" i="3"/>
  <c r="F476" i="3"/>
  <c r="L475" i="3"/>
  <c r="L474" i="3"/>
  <c r="E473" i="3"/>
  <c r="H473" i="3"/>
  <c r="G473" i="3"/>
  <c r="H472" i="3"/>
  <c r="G472" i="3"/>
  <c r="F472" i="3"/>
  <c r="L470" i="3"/>
  <c r="L471" i="3"/>
  <c r="F469" i="3"/>
  <c r="H469" i="3"/>
  <c r="L465" i="3"/>
  <c r="H467" i="3"/>
  <c r="F467" i="3"/>
  <c r="H466" i="3"/>
  <c r="F466" i="3"/>
  <c r="L463" i="3"/>
  <c r="H461" i="3"/>
  <c r="F461" i="3"/>
  <c r="E460" i="3" l="1"/>
  <c r="F460" i="3"/>
  <c r="G460" i="3"/>
  <c r="H460" i="3"/>
  <c r="P459" i="3"/>
  <c r="R459" i="3" s="1"/>
  <c r="B459" i="3"/>
  <c r="E459" i="3" s="1"/>
  <c r="P454" i="3"/>
  <c r="R454" i="3" s="1"/>
  <c r="P455" i="3"/>
  <c r="R455" i="3" s="1"/>
  <c r="P456" i="3"/>
  <c r="R456" i="3" s="1"/>
  <c r="P457" i="3"/>
  <c r="R457" i="3" s="1"/>
  <c r="P458" i="3"/>
  <c r="R458" i="3" s="1"/>
  <c r="D456" i="1"/>
  <c r="D457" i="1"/>
  <c r="D458" i="1"/>
  <c r="D459" i="1"/>
  <c r="H459" i="3" l="1"/>
  <c r="F459" i="3"/>
  <c r="F456" i="1" l="1"/>
  <c r="F457" i="1"/>
  <c r="F458" i="1"/>
  <c r="F459" i="1"/>
  <c r="B458" i="3"/>
  <c r="E458" i="3" s="1"/>
  <c r="E457" i="3"/>
  <c r="F457" i="3"/>
  <c r="G457" i="3"/>
  <c r="H457" i="3"/>
  <c r="B456" i="3"/>
  <c r="E456" i="3" s="1"/>
  <c r="E455" i="3"/>
  <c r="F455" i="3"/>
  <c r="G455" i="3"/>
  <c r="H455" i="3"/>
  <c r="I455" i="3"/>
  <c r="L455" i="3" s="1"/>
  <c r="E454" i="3"/>
  <c r="P453" i="3"/>
  <c r="R453" i="3" s="1"/>
  <c r="E453" i="3"/>
  <c r="F453" i="3"/>
  <c r="G453" i="3"/>
  <c r="H453" i="3"/>
  <c r="I453" i="3"/>
  <c r="P452" i="3"/>
  <c r="R452" i="3" s="1"/>
  <c r="P451" i="3"/>
  <c r="R451" i="3" s="1"/>
  <c r="B452" i="3"/>
  <c r="E452" i="3" s="1"/>
  <c r="E448" i="3"/>
  <c r="E439" i="3"/>
  <c r="P437" i="3"/>
  <c r="R437" i="3" s="1"/>
  <c r="E437" i="3"/>
  <c r="P450" i="3"/>
  <c r="R450" i="3" s="1"/>
  <c r="P446" i="3"/>
  <c r="R446" i="3" s="1"/>
  <c r="P447" i="3"/>
  <c r="R447" i="3" s="1"/>
  <c r="P449" i="3"/>
  <c r="R449" i="3" s="1"/>
  <c r="E451" i="3"/>
  <c r="F451" i="3"/>
  <c r="G451" i="3"/>
  <c r="H451" i="3"/>
  <c r="I451" i="3"/>
  <c r="B450" i="3"/>
  <c r="E450" i="3" s="1"/>
  <c r="B449" i="3"/>
  <c r="E449" i="3" s="1"/>
  <c r="B447" i="3"/>
  <c r="E447" i="3" s="1"/>
  <c r="B446" i="3"/>
  <c r="E446" i="3" s="1"/>
  <c r="P442" i="3"/>
  <c r="R442" i="3" s="1"/>
  <c r="P443" i="3"/>
  <c r="R443" i="3" s="1"/>
  <c r="P444" i="3"/>
  <c r="R444" i="3" s="1"/>
  <c r="P445" i="3"/>
  <c r="R445" i="3" s="1"/>
  <c r="B445" i="3"/>
  <c r="E445" i="3" s="1"/>
  <c r="B444" i="3"/>
  <c r="E444" i="3" s="1"/>
  <c r="I458" i="3" l="1"/>
  <c r="L458" i="3" s="1"/>
  <c r="H458" i="3"/>
  <c r="G458" i="3"/>
  <c r="F458" i="3"/>
  <c r="F456" i="3"/>
  <c r="H456" i="3"/>
  <c r="I454" i="3"/>
  <c r="L454" i="3" s="1"/>
  <c r="H454" i="3"/>
  <c r="G454" i="3"/>
  <c r="F454" i="3"/>
  <c r="L453" i="3"/>
  <c r="H452" i="3"/>
  <c r="G452" i="3"/>
  <c r="F452" i="3"/>
  <c r="I448" i="3"/>
  <c r="L448" i="3" s="1"/>
  <c r="H448" i="3"/>
  <c r="G448" i="3"/>
  <c r="F448" i="3"/>
  <c r="I439" i="3"/>
  <c r="L439" i="3" s="1"/>
  <c r="H439" i="3"/>
  <c r="G439" i="3"/>
  <c r="F439" i="3"/>
  <c r="I437" i="3"/>
  <c r="L437" i="3" s="1"/>
  <c r="H437" i="3"/>
  <c r="G437" i="3"/>
  <c r="F437" i="3"/>
  <c r="F450" i="3"/>
  <c r="H450" i="3"/>
  <c r="F449" i="3"/>
  <c r="H449" i="3"/>
  <c r="H447" i="3"/>
  <c r="G447" i="3"/>
  <c r="F447" i="3"/>
  <c r="H446" i="3"/>
  <c r="G446" i="3"/>
  <c r="F446" i="3"/>
  <c r="F445" i="3"/>
  <c r="H445" i="3"/>
  <c r="H444" i="3"/>
  <c r="F444" i="3"/>
  <c r="B443" i="3"/>
  <c r="F443" i="3" s="1"/>
  <c r="B442" i="3"/>
  <c r="F442" i="3" s="1"/>
  <c r="P440" i="3"/>
  <c r="R440" i="3" s="1"/>
  <c r="P441" i="3"/>
  <c r="R441" i="3" s="1"/>
  <c r="B441" i="3"/>
  <c r="E441" i="3" s="1"/>
  <c r="B440" i="3"/>
  <c r="E440" i="3" s="1"/>
  <c r="P438" i="3"/>
  <c r="R438" i="3" s="1"/>
  <c r="P431" i="3"/>
  <c r="R431" i="3" s="1"/>
  <c r="P432" i="3"/>
  <c r="R432" i="3" s="1"/>
  <c r="P433" i="3"/>
  <c r="R433" i="3" s="1"/>
  <c r="P434" i="3"/>
  <c r="R434" i="3" s="1"/>
  <c r="P435" i="3"/>
  <c r="R435" i="3" s="1"/>
  <c r="P436" i="3"/>
  <c r="R436" i="3" s="1"/>
  <c r="F438" i="3"/>
  <c r="E438" i="3"/>
  <c r="F143" i="1"/>
  <c r="B436" i="3"/>
  <c r="E436" i="3" s="1"/>
  <c r="B435" i="3"/>
  <c r="E435" i="3" s="1"/>
  <c r="B434" i="3"/>
  <c r="E434" i="3" s="1"/>
  <c r="E433" i="3"/>
  <c r="F433" i="3"/>
  <c r="G433" i="3"/>
  <c r="H433" i="3"/>
  <c r="I433" i="3"/>
  <c r="E432" i="3"/>
  <c r="F432" i="3"/>
  <c r="G432" i="3"/>
  <c r="H432" i="3"/>
  <c r="E431" i="3"/>
  <c r="F431" i="3"/>
  <c r="G431" i="3"/>
  <c r="H431" i="3"/>
  <c r="I431" i="3"/>
  <c r="P429" i="3"/>
  <c r="R429" i="3" s="1"/>
  <c r="P430" i="3"/>
  <c r="R430" i="3" s="1"/>
  <c r="B430" i="3"/>
  <c r="E430" i="3" s="1"/>
  <c r="B429" i="3"/>
  <c r="E429" i="3" s="1"/>
  <c r="B428" i="3"/>
  <c r="H428" i="3" s="1"/>
  <c r="B425" i="3"/>
  <c r="E425" i="3" s="1"/>
  <c r="P426" i="3"/>
  <c r="R426" i="3" s="1"/>
  <c r="P427" i="3"/>
  <c r="R427" i="3" s="1"/>
  <c r="P428" i="3"/>
  <c r="R428" i="3" s="1"/>
  <c r="E427" i="3"/>
  <c r="F427" i="3"/>
  <c r="G427" i="3"/>
  <c r="H427" i="3"/>
  <c r="I427" i="3"/>
  <c r="E426" i="3"/>
  <c r="P425" i="3"/>
  <c r="R425" i="3" s="1"/>
  <c r="P423" i="3"/>
  <c r="R423" i="3" s="1"/>
  <c r="P424" i="3"/>
  <c r="R424" i="3" s="1"/>
  <c r="B424" i="3"/>
  <c r="E424" i="3" s="1"/>
  <c r="F1188" i="1"/>
  <c r="F1187" i="1"/>
  <c r="F1193" i="1"/>
  <c r="E443" i="3" l="1"/>
  <c r="H443" i="3"/>
  <c r="E442" i="3"/>
  <c r="H442" i="3"/>
  <c r="F441" i="3"/>
  <c r="H441" i="3"/>
  <c r="G441" i="3"/>
  <c r="F440" i="3"/>
  <c r="H440" i="3"/>
  <c r="G440" i="3"/>
  <c r="L431" i="3"/>
  <c r="L433" i="3"/>
  <c r="H438" i="3"/>
  <c r="G438" i="3"/>
  <c r="I436" i="3"/>
  <c r="L436" i="3" s="1"/>
  <c r="H436" i="3"/>
  <c r="G436" i="3"/>
  <c r="F436" i="3"/>
  <c r="F435" i="3"/>
  <c r="H435" i="3"/>
  <c r="H434" i="3"/>
  <c r="G434" i="3"/>
  <c r="F434" i="3"/>
  <c r="H430" i="3"/>
  <c r="F430" i="3"/>
  <c r="L427" i="3"/>
  <c r="H429" i="3"/>
  <c r="F429" i="3"/>
  <c r="F428" i="3"/>
  <c r="E428" i="3"/>
  <c r="I426" i="3"/>
  <c r="L426" i="3" s="1"/>
  <c r="H426" i="3"/>
  <c r="G426" i="3"/>
  <c r="F426" i="3"/>
  <c r="H425" i="3"/>
  <c r="G425" i="3"/>
  <c r="F425" i="3"/>
  <c r="G424" i="3"/>
  <c r="H424" i="3"/>
  <c r="F424" i="3"/>
  <c r="B412" i="3"/>
  <c r="F412" i="3" s="1"/>
  <c r="B400" i="3"/>
  <c r="E400" i="3" s="1"/>
  <c r="B401" i="3"/>
  <c r="E401" i="3" s="1"/>
  <c r="B402" i="3"/>
  <c r="E412" i="3" l="1"/>
  <c r="H412" i="3"/>
  <c r="F401" i="3"/>
  <c r="G402" i="3"/>
  <c r="H400" i="3"/>
  <c r="G401" i="3"/>
  <c r="H402" i="3"/>
  <c r="F402" i="3"/>
  <c r="H401" i="3"/>
  <c r="E402" i="3"/>
  <c r="F400" i="3"/>
  <c r="B423" i="3" l="1"/>
  <c r="E423" i="3" s="1"/>
  <c r="P419" i="3"/>
  <c r="R419" i="3" s="1"/>
  <c r="P420" i="3"/>
  <c r="R420" i="3" s="1"/>
  <c r="P421" i="3"/>
  <c r="R421" i="3" s="1"/>
  <c r="P422" i="3"/>
  <c r="R422" i="3" s="1"/>
  <c r="E422" i="3"/>
  <c r="F422" i="3"/>
  <c r="G422" i="3"/>
  <c r="H422" i="3"/>
  <c r="F1234" i="1"/>
  <c r="I432" i="3" s="1"/>
  <c r="L432" i="3" s="1"/>
  <c r="F1235" i="1"/>
  <c r="I438" i="3" s="1"/>
  <c r="L438" i="3" s="1"/>
  <c r="F1236" i="1"/>
  <c r="I457" i="3" s="1"/>
  <c r="L457" i="3" s="1"/>
  <c r="F1237" i="1"/>
  <c r="I460" i="3" s="1"/>
  <c r="L460" i="3" s="1"/>
  <c r="F1238" i="1"/>
  <c r="I464" i="3" s="1"/>
  <c r="L464" i="3" s="1"/>
  <c r="E421" i="3"/>
  <c r="F421" i="3"/>
  <c r="G421" i="3"/>
  <c r="H421" i="3"/>
  <c r="B420" i="3"/>
  <c r="E420" i="3" s="1"/>
  <c r="B419" i="3"/>
  <c r="E419" i="3" s="1"/>
  <c r="P418" i="3"/>
  <c r="R418" i="3" s="1"/>
  <c r="B418" i="3"/>
  <c r="E418" i="3" s="1"/>
  <c r="P416" i="3"/>
  <c r="R416" i="3" s="1"/>
  <c r="P417" i="3"/>
  <c r="R417" i="3" s="1"/>
  <c r="B417" i="3"/>
  <c r="E417" i="3" s="1"/>
  <c r="E416" i="3"/>
  <c r="F416" i="3"/>
  <c r="G416" i="3"/>
  <c r="H416" i="3"/>
  <c r="I416" i="3"/>
  <c r="P414" i="3"/>
  <c r="R414" i="3" s="1"/>
  <c r="P415" i="3"/>
  <c r="R415" i="3" s="1"/>
  <c r="B415" i="3"/>
  <c r="E415" i="3" s="1"/>
  <c r="B414" i="3"/>
  <c r="E414" i="3" s="1"/>
  <c r="P413" i="3"/>
  <c r="R413" i="3" s="1"/>
  <c r="E413" i="3"/>
  <c r="F413" i="3"/>
  <c r="G413" i="3"/>
  <c r="P405" i="3"/>
  <c r="R405" i="3" s="1"/>
  <c r="P406" i="3"/>
  <c r="R406" i="3" s="1"/>
  <c r="P407" i="3"/>
  <c r="R407" i="3" s="1"/>
  <c r="P408" i="3"/>
  <c r="R408" i="3" s="1"/>
  <c r="P409" i="3"/>
  <c r="R409" i="3" s="1"/>
  <c r="P410" i="3"/>
  <c r="R410" i="3" s="1"/>
  <c r="P411" i="3"/>
  <c r="R411" i="3" s="1"/>
  <c r="E411" i="3"/>
  <c r="F411" i="3"/>
  <c r="G411" i="3"/>
  <c r="H411" i="3"/>
  <c r="E410" i="3"/>
  <c r="F410" i="3"/>
  <c r="G410" i="3"/>
  <c r="H410" i="3"/>
  <c r="I410" i="3"/>
  <c r="B399" i="3"/>
  <c r="E399" i="3" s="1"/>
  <c r="B397" i="3"/>
  <c r="E403" i="3"/>
  <c r="F403" i="3"/>
  <c r="G403" i="3"/>
  <c r="H403" i="3"/>
  <c r="I403" i="3"/>
  <c r="P403" i="3"/>
  <c r="R403" i="3" s="1"/>
  <c r="H423" i="3" l="1"/>
  <c r="G423" i="3"/>
  <c r="F423" i="3"/>
  <c r="H420" i="3"/>
  <c r="F420" i="3"/>
  <c r="H419" i="3"/>
  <c r="G419" i="3"/>
  <c r="F419" i="3"/>
  <c r="H418" i="3"/>
  <c r="G418" i="3"/>
  <c r="F418" i="3"/>
  <c r="L416" i="3"/>
  <c r="H417" i="3"/>
  <c r="G417" i="3"/>
  <c r="F417" i="3"/>
  <c r="H415" i="3"/>
  <c r="F415" i="3"/>
  <c r="G415" i="3"/>
  <c r="H414" i="3"/>
  <c r="F414" i="3"/>
  <c r="H413" i="3"/>
  <c r="L410" i="3"/>
  <c r="H399" i="3"/>
  <c r="L403" i="3"/>
  <c r="F399" i="3"/>
  <c r="B409" i="3" l="1"/>
  <c r="E409" i="3" s="1"/>
  <c r="B408" i="3"/>
  <c r="E408" i="3" s="1"/>
  <c r="B407" i="3"/>
  <c r="E407" i="3" s="1"/>
  <c r="B406" i="3"/>
  <c r="E406" i="3" s="1"/>
  <c r="B405" i="3"/>
  <c r="E405" i="3" s="1"/>
  <c r="P397" i="3"/>
  <c r="R397" i="3" s="1"/>
  <c r="P398" i="3"/>
  <c r="R398" i="3" s="1"/>
  <c r="P404" i="3"/>
  <c r="R404" i="3" s="1"/>
  <c r="E404" i="3"/>
  <c r="F404" i="3"/>
  <c r="G404" i="3"/>
  <c r="H404" i="3"/>
  <c r="F1230" i="1"/>
  <c r="I411" i="3" s="1"/>
  <c r="L411" i="3" s="1"/>
  <c r="F1231" i="1"/>
  <c r="I413" i="3" s="1"/>
  <c r="L413" i="3" s="1"/>
  <c r="F1232" i="1"/>
  <c r="I421" i="3" s="1"/>
  <c r="L421" i="3" s="1"/>
  <c r="E398" i="3"/>
  <c r="F398" i="3"/>
  <c r="G398" i="3"/>
  <c r="H398" i="3"/>
  <c r="E397" i="3"/>
  <c r="P395" i="3"/>
  <c r="R395" i="3" s="1"/>
  <c r="P396" i="3"/>
  <c r="R396" i="3" s="1"/>
  <c r="R394" i="3"/>
  <c r="E396" i="3"/>
  <c r="F396" i="3"/>
  <c r="G396" i="3"/>
  <c r="H396" i="3"/>
  <c r="I396" i="3"/>
  <c r="B395" i="3"/>
  <c r="E395" i="3" s="1"/>
  <c r="B394" i="3"/>
  <c r="E394" i="3" s="1"/>
  <c r="P388" i="3"/>
  <c r="R388" i="3" s="1"/>
  <c r="P389" i="3"/>
  <c r="R389" i="3" s="1"/>
  <c r="P390" i="3"/>
  <c r="R390" i="3" s="1"/>
  <c r="P391" i="3"/>
  <c r="R391" i="3" s="1"/>
  <c r="P392" i="3"/>
  <c r="R392" i="3" s="1"/>
  <c r="P393" i="3"/>
  <c r="R393" i="3" s="1"/>
  <c r="B393" i="3"/>
  <c r="E393" i="3" s="1"/>
  <c r="B392" i="3"/>
  <c r="E392" i="3" s="1"/>
  <c r="B391" i="3"/>
  <c r="E391" i="3" s="1"/>
  <c r="E390" i="3"/>
  <c r="F390" i="3"/>
  <c r="G390" i="3"/>
  <c r="H390" i="3"/>
  <c r="I390" i="3"/>
  <c r="B389" i="3"/>
  <c r="E389" i="3" s="1"/>
  <c r="B388" i="3"/>
  <c r="F388" i="3" s="1"/>
  <c r="P384" i="3"/>
  <c r="R384" i="3" s="1"/>
  <c r="P385" i="3"/>
  <c r="R385" i="3" s="1"/>
  <c r="P386" i="3"/>
  <c r="R386" i="3" s="1"/>
  <c r="P387" i="3"/>
  <c r="R387" i="3" s="1"/>
  <c r="B387" i="3"/>
  <c r="F387" i="3" s="1"/>
  <c r="B386" i="3"/>
  <c r="F386" i="3" s="1"/>
  <c r="B385" i="3"/>
  <c r="E385" i="3" s="1"/>
  <c r="B384" i="3"/>
  <c r="P383" i="3"/>
  <c r="R383" i="3" s="1"/>
  <c r="R382" i="3"/>
  <c r="E383" i="3"/>
  <c r="F383" i="3"/>
  <c r="G383" i="3"/>
  <c r="H383" i="3"/>
  <c r="I383" i="3"/>
  <c r="B382" i="3"/>
  <c r="E382" i="3" s="1"/>
  <c r="P380" i="3"/>
  <c r="R380" i="3" s="1"/>
  <c r="P381" i="3"/>
  <c r="R381" i="3" s="1"/>
  <c r="P375" i="3"/>
  <c r="R375" i="3" s="1"/>
  <c r="P376" i="3"/>
  <c r="R376" i="3" s="1"/>
  <c r="P377" i="3"/>
  <c r="R377" i="3" s="1"/>
  <c r="P378" i="3"/>
  <c r="R378" i="3" s="1"/>
  <c r="B381" i="3"/>
  <c r="E381" i="3" s="1"/>
  <c r="B380" i="3"/>
  <c r="E380" i="3" s="1"/>
  <c r="R379" i="3"/>
  <c r="B379" i="3"/>
  <c r="F379" i="3" s="1"/>
  <c r="B378" i="3"/>
  <c r="F378" i="3" s="1"/>
  <c r="B377" i="3"/>
  <c r="E377" i="3" s="1"/>
  <c r="E376" i="3"/>
  <c r="F376" i="3"/>
  <c r="G376" i="3"/>
  <c r="H376" i="3"/>
  <c r="F1228" i="1"/>
  <c r="I398" i="3" s="1"/>
  <c r="F1229" i="1"/>
  <c r="I404" i="3" s="1"/>
  <c r="B375" i="3"/>
  <c r="F375" i="3" s="1"/>
  <c r="P372" i="3"/>
  <c r="R372" i="3" s="1"/>
  <c r="P373" i="3"/>
  <c r="R373" i="3" s="1"/>
  <c r="P374" i="3"/>
  <c r="R374" i="3" s="1"/>
  <c r="B374" i="3"/>
  <c r="E374" i="3" s="1"/>
  <c r="B373" i="3"/>
  <c r="E373" i="3" s="1"/>
  <c r="B372" i="3"/>
  <c r="E372" i="3" s="1"/>
  <c r="H389" i="3" l="1"/>
  <c r="F389" i="3"/>
  <c r="H406" i="3"/>
  <c r="H409" i="3"/>
  <c r="G409" i="3"/>
  <c r="H408" i="3"/>
  <c r="F408" i="3"/>
  <c r="F409" i="3"/>
  <c r="G408" i="3"/>
  <c r="H407" i="3"/>
  <c r="G407" i="3"/>
  <c r="F407" i="3"/>
  <c r="L398" i="3"/>
  <c r="G406" i="3"/>
  <c r="F406" i="3"/>
  <c r="G405" i="3"/>
  <c r="F405" i="3"/>
  <c r="H405" i="3"/>
  <c r="L404" i="3"/>
  <c r="L396" i="3"/>
  <c r="H397" i="3"/>
  <c r="G397" i="3"/>
  <c r="F397" i="3"/>
  <c r="H395" i="3"/>
  <c r="G395" i="3"/>
  <c r="F395" i="3"/>
  <c r="G394" i="3"/>
  <c r="F394" i="3"/>
  <c r="H394" i="3"/>
  <c r="L390" i="3"/>
  <c r="H393" i="3"/>
  <c r="G393" i="3"/>
  <c r="F393" i="3"/>
  <c r="H392" i="3"/>
  <c r="G392" i="3"/>
  <c r="F392" i="3"/>
  <c r="H391" i="3"/>
  <c r="F391" i="3"/>
  <c r="G389" i="3"/>
  <c r="H388" i="3"/>
  <c r="E388" i="3"/>
  <c r="E387" i="3"/>
  <c r="H387" i="3"/>
  <c r="E386" i="3"/>
  <c r="H386" i="3"/>
  <c r="H385" i="3"/>
  <c r="F385" i="3"/>
  <c r="F384" i="3"/>
  <c r="H384" i="3"/>
  <c r="E384" i="3"/>
  <c r="L383" i="3"/>
  <c r="H382" i="3"/>
  <c r="F382" i="3"/>
  <c r="E375" i="3"/>
  <c r="F381" i="3"/>
  <c r="H381" i="3"/>
  <c r="F380" i="3"/>
  <c r="G380" i="3"/>
  <c r="I380" i="3"/>
  <c r="L380" i="3" s="1"/>
  <c r="H380" i="3"/>
  <c r="G379" i="3"/>
  <c r="H379" i="3"/>
  <c r="E379" i="3"/>
  <c r="E378" i="3"/>
  <c r="H378" i="3"/>
  <c r="G378" i="3"/>
  <c r="H377" i="3"/>
  <c r="F377" i="3"/>
  <c r="H375" i="3"/>
  <c r="G375" i="3"/>
  <c r="G374" i="3"/>
  <c r="H374" i="3"/>
  <c r="F374" i="3"/>
  <c r="H373" i="3"/>
  <c r="G373" i="3"/>
  <c r="F373" i="3"/>
  <c r="H372" i="3"/>
  <c r="G372" i="3"/>
  <c r="F372" i="3"/>
  <c r="F1136" i="1" l="1"/>
  <c r="F1137" i="1"/>
  <c r="F1138" i="1"/>
  <c r="F1139" i="1"/>
  <c r="F1140" i="1"/>
  <c r="F1141" i="1"/>
  <c r="F1142" i="1"/>
  <c r="F1143" i="1"/>
  <c r="F1144" i="1"/>
  <c r="F1145" i="1"/>
  <c r="F1146" i="1"/>
  <c r="F1135" i="1"/>
  <c r="F987" i="1"/>
  <c r="F988" i="1"/>
  <c r="I440" i="3" s="1"/>
  <c r="L440" i="3" s="1"/>
  <c r="F989" i="1"/>
  <c r="F990" i="1"/>
  <c r="F991" i="1"/>
  <c r="F992" i="1"/>
  <c r="I473" i="3" s="1"/>
  <c r="L473" i="3" s="1"/>
  <c r="F993" i="1"/>
  <c r="F994" i="1"/>
  <c r="F995" i="1"/>
  <c r="F996" i="1"/>
  <c r="F997" i="1"/>
  <c r="F998" i="1"/>
  <c r="F999" i="1"/>
  <c r="F1000" i="1"/>
  <c r="I418" i="3" s="1"/>
  <c r="L418" i="3" s="1"/>
  <c r="F1001" i="1"/>
  <c r="F1002" i="1"/>
  <c r="F1003" i="1"/>
  <c r="F1004" i="1"/>
  <c r="F1005" i="1"/>
  <c r="F1006" i="1"/>
  <c r="F1007" i="1"/>
  <c r="F1008" i="1"/>
  <c r="F1009" i="1"/>
  <c r="F1010" i="1"/>
  <c r="I491" i="3" s="1"/>
  <c r="L491" i="3" s="1"/>
  <c r="F1011" i="1"/>
  <c r="I524" i="3" s="1"/>
  <c r="L524" i="3" s="1"/>
  <c r="F1012" i="1"/>
  <c r="F1013" i="1"/>
  <c r="F1014" i="1"/>
  <c r="F1015" i="1"/>
  <c r="F986" i="1"/>
  <c r="F1179" i="1"/>
  <c r="F1175" i="1"/>
  <c r="F1176" i="1"/>
  <c r="F1177" i="1"/>
  <c r="F1178" i="1"/>
  <c r="D1176" i="1"/>
  <c r="D1177" i="1"/>
  <c r="D1178" i="1"/>
  <c r="D1179" i="1"/>
  <c r="F477" i="1"/>
  <c r="D476" i="1"/>
  <c r="D477" i="1"/>
  <c r="D478" i="1"/>
  <c r="G429" i="3" s="1"/>
  <c r="D479" i="1"/>
  <c r="D480" i="1"/>
  <c r="F476" i="1"/>
  <c r="F478" i="1"/>
  <c r="I429" i="3" s="1"/>
  <c r="L429" i="3" s="1"/>
  <c r="F479" i="1"/>
  <c r="F480" i="1"/>
  <c r="F1133" i="1"/>
  <c r="F1134" i="1"/>
  <c r="F1132" i="1"/>
  <c r="F1131" i="1"/>
  <c r="H1135" i="1" l="1"/>
  <c r="F195" i="1" l="1"/>
  <c r="F193" i="1"/>
  <c r="I447" i="3" s="1"/>
  <c r="L447" i="3" s="1"/>
  <c r="F194" i="1"/>
  <c r="F192" i="1"/>
  <c r="F181" i="1" l="1"/>
  <c r="I377" i="3" s="1"/>
  <c r="L377" i="3" s="1"/>
  <c r="F180" i="1"/>
  <c r="F179" i="1"/>
  <c r="F178" i="1"/>
  <c r="F72" i="1"/>
  <c r="D73" i="1"/>
  <c r="G444" i="3" s="1"/>
  <c r="D72" i="1"/>
  <c r="F73" i="1"/>
  <c r="I444" i="3" s="1"/>
  <c r="L444" i="3" s="1"/>
  <c r="F74" i="1"/>
  <c r="F75" i="1"/>
  <c r="B363" i="3"/>
  <c r="E363" i="3" s="1"/>
  <c r="B348" i="3"/>
  <c r="E348" i="3" s="1"/>
  <c r="F363" i="3" l="1"/>
  <c r="H363" i="3"/>
  <c r="H348" i="3"/>
  <c r="F348" i="3"/>
  <c r="P368" i="3" l="1"/>
  <c r="R368" i="3" s="1"/>
  <c r="P369" i="3"/>
  <c r="R369" i="3" s="1"/>
  <c r="P370" i="3"/>
  <c r="R370" i="3" s="1"/>
  <c r="P371" i="3"/>
  <c r="R371" i="3" s="1"/>
  <c r="B371" i="3"/>
  <c r="E371" i="3" s="1"/>
  <c r="B370" i="3"/>
  <c r="E370" i="3" s="1"/>
  <c r="B369" i="3"/>
  <c r="E369" i="3" s="1"/>
  <c r="B368" i="3"/>
  <c r="E368" i="3" s="1"/>
  <c r="R364" i="3"/>
  <c r="R365" i="3"/>
  <c r="P359" i="3"/>
  <c r="R359" i="3" s="1"/>
  <c r="P360" i="3"/>
  <c r="R360" i="3" s="1"/>
  <c r="P361" i="3"/>
  <c r="R361" i="3" s="1"/>
  <c r="P362" i="3"/>
  <c r="R362" i="3" s="1"/>
  <c r="P366" i="3"/>
  <c r="R366" i="3" s="1"/>
  <c r="P367" i="3"/>
  <c r="R367" i="3" s="1"/>
  <c r="E367" i="3"/>
  <c r="F367" i="3"/>
  <c r="G367" i="3"/>
  <c r="H367" i="3"/>
  <c r="I367" i="3"/>
  <c r="B366" i="3"/>
  <c r="E366" i="3" s="1"/>
  <c r="B365" i="3"/>
  <c r="E365" i="3" s="1"/>
  <c r="B364" i="3"/>
  <c r="E364" i="3" s="1"/>
  <c r="B362" i="3"/>
  <c r="E362" i="3" s="1"/>
  <c r="B361" i="3"/>
  <c r="F361" i="3" s="1"/>
  <c r="B360" i="3"/>
  <c r="E360" i="3" s="1"/>
  <c r="B342" i="3"/>
  <c r="E342" i="3" s="1"/>
  <c r="B359" i="3"/>
  <c r="E359" i="3" s="1"/>
  <c r="P358" i="3"/>
  <c r="R358" i="3" s="1"/>
  <c r="B358" i="3"/>
  <c r="P355" i="3"/>
  <c r="R355" i="3" s="1"/>
  <c r="P356" i="3"/>
  <c r="R356" i="3" s="1"/>
  <c r="P357" i="3"/>
  <c r="R357" i="3" s="1"/>
  <c r="E357" i="3"/>
  <c r="F357" i="3"/>
  <c r="G357" i="3"/>
  <c r="H357" i="3"/>
  <c r="E356" i="3"/>
  <c r="F356" i="3"/>
  <c r="G356" i="3"/>
  <c r="H356" i="3"/>
  <c r="I356" i="3"/>
  <c r="B355" i="3"/>
  <c r="E355" i="3" s="1"/>
  <c r="P354" i="3"/>
  <c r="R354" i="3" s="1"/>
  <c r="B354" i="3"/>
  <c r="E354" i="3" s="1"/>
  <c r="P346" i="3"/>
  <c r="R346" i="3" s="1"/>
  <c r="P347" i="3"/>
  <c r="R347" i="3" s="1"/>
  <c r="P349" i="3"/>
  <c r="R349" i="3" s="1"/>
  <c r="P350" i="3"/>
  <c r="R350" i="3" s="1"/>
  <c r="P351" i="3"/>
  <c r="R351" i="3" s="1"/>
  <c r="P352" i="3"/>
  <c r="R352" i="3" s="1"/>
  <c r="P353" i="3"/>
  <c r="R353" i="3" s="1"/>
  <c r="E353" i="3"/>
  <c r="F353" i="3"/>
  <c r="G353" i="3"/>
  <c r="H353" i="3"/>
  <c r="F1225" i="1"/>
  <c r="I353" i="3" s="1"/>
  <c r="F1226" i="1"/>
  <c r="I357" i="3" s="1"/>
  <c r="F1227" i="1"/>
  <c r="I376" i="3" s="1"/>
  <c r="L376" i="3" s="1"/>
  <c r="F1233" i="1"/>
  <c r="I422" i="3" s="1"/>
  <c r="L422" i="3" s="1"/>
  <c r="E352" i="3"/>
  <c r="F352" i="3"/>
  <c r="G352" i="3"/>
  <c r="H352" i="3"/>
  <c r="I352" i="3"/>
  <c r="B351" i="3"/>
  <c r="F351" i="3" s="1"/>
  <c r="B350" i="3"/>
  <c r="E350" i="3" s="1"/>
  <c r="E13" i="12"/>
  <c r="I25" i="11"/>
  <c r="B349" i="3"/>
  <c r="E349" i="3" s="1"/>
  <c r="E347" i="3"/>
  <c r="F347" i="3"/>
  <c r="G347" i="3"/>
  <c r="H347" i="3"/>
  <c r="I347" i="3"/>
  <c r="E346" i="3"/>
  <c r="F346" i="3"/>
  <c r="G346" i="3"/>
  <c r="H346" i="3"/>
  <c r="P345" i="3"/>
  <c r="R345" i="3" s="1"/>
  <c r="B345" i="3"/>
  <c r="E345" i="3" s="1"/>
  <c r="P344" i="3"/>
  <c r="R344" i="3" s="1"/>
  <c r="P335" i="3"/>
  <c r="R335" i="3" s="1"/>
  <c r="R341" i="3"/>
  <c r="P340" i="3"/>
  <c r="R340" i="3" s="1"/>
  <c r="R342" i="3"/>
  <c r="R343" i="3"/>
  <c r="B344" i="3"/>
  <c r="E344" i="3" s="1"/>
  <c r="B343" i="3"/>
  <c r="E343" i="3" s="1"/>
  <c r="E276" i="3"/>
  <c r="F985" i="1"/>
  <c r="B341" i="3"/>
  <c r="E341" i="3" s="1"/>
  <c r="P339" i="3"/>
  <c r="R339" i="3" s="1"/>
  <c r="E340" i="3"/>
  <c r="F340" i="3"/>
  <c r="G340" i="3"/>
  <c r="H340" i="3"/>
  <c r="E339" i="3"/>
  <c r="F339" i="3"/>
  <c r="G339" i="3"/>
  <c r="H339" i="3"/>
  <c r="P336" i="3"/>
  <c r="R336" i="3" s="1"/>
  <c r="P337" i="3"/>
  <c r="R337" i="3" s="1"/>
  <c r="P338" i="3"/>
  <c r="R338" i="3" s="1"/>
  <c r="E338" i="3"/>
  <c r="F338" i="3"/>
  <c r="G338" i="3"/>
  <c r="H338" i="3"/>
  <c r="E337" i="3"/>
  <c r="F337" i="3"/>
  <c r="G337" i="3"/>
  <c r="H337" i="3"/>
  <c r="I337" i="3"/>
  <c r="E336" i="3"/>
  <c r="F336" i="3"/>
  <c r="G336" i="3"/>
  <c r="H336" i="3"/>
  <c r="I336" i="3"/>
  <c r="P333" i="3"/>
  <c r="R333" i="3" s="1"/>
  <c r="P334" i="3"/>
  <c r="R334" i="3" s="1"/>
  <c r="E335" i="3"/>
  <c r="F335" i="3"/>
  <c r="G335" i="3"/>
  <c r="H335" i="3"/>
  <c r="B334" i="3"/>
  <c r="E334" i="3" s="1"/>
  <c r="E333" i="3"/>
  <c r="F333" i="3"/>
  <c r="G333" i="3"/>
  <c r="H333" i="3"/>
  <c r="P327" i="3"/>
  <c r="R327" i="3" s="1"/>
  <c r="P328" i="3"/>
  <c r="R328" i="3" s="1"/>
  <c r="P329" i="3"/>
  <c r="R329" i="3" s="1"/>
  <c r="P330" i="3"/>
  <c r="R330" i="3" s="1"/>
  <c r="P331" i="3"/>
  <c r="R331" i="3" s="1"/>
  <c r="P332" i="3"/>
  <c r="R332" i="3" s="1"/>
  <c r="B332" i="3"/>
  <c r="E332" i="3" s="1"/>
  <c r="E331" i="3"/>
  <c r="B330" i="3"/>
  <c r="E330" i="3" s="1"/>
  <c r="F359" i="1"/>
  <c r="F358" i="1"/>
  <c r="D366" i="1"/>
  <c r="D358" i="1"/>
  <c r="D359" i="1"/>
  <c r="D360" i="1"/>
  <c r="G391" i="3" s="1"/>
  <c r="D361" i="1"/>
  <c r="D362" i="1"/>
  <c r="D363" i="1"/>
  <c r="D364" i="1"/>
  <c r="D365" i="1"/>
  <c r="F360" i="1"/>
  <c r="I391" i="3" s="1"/>
  <c r="L391" i="3" s="1"/>
  <c r="F361" i="1"/>
  <c r="F362" i="1"/>
  <c r="F363" i="1"/>
  <c r="F364" i="1"/>
  <c r="F365" i="1"/>
  <c r="F366" i="1"/>
  <c r="F1322" i="1"/>
  <c r="I338" i="3" s="1"/>
  <c r="F1056" i="1"/>
  <c r="D1047" i="1"/>
  <c r="D1048" i="1"/>
  <c r="G513" i="3" s="1"/>
  <c r="D1049" i="1"/>
  <c r="D1050" i="1"/>
  <c r="D1051" i="1"/>
  <c r="D1052" i="1"/>
  <c r="D1053" i="1"/>
  <c r="G385" i="3" s="1"/>
  <c r="D1054" i="1"/>
  <c r="D1055" i="1"/>
  <c r="D1056" i="1"/>
  <c r="F1047" i="1"/>
  <c r="F1048" i="1"/>
  <c r="I513" i="3" s="1"/>
  <c r="L513" i="3" s="1"/>
  <c r="F1049" i="1"/>
  <c r="F1050" i="1"/>
  <c r="F1051" i="1"/>
  <c r="F1052" i="1"/>
  <c r="F1053" i="1"/>
  <c r="I385" i="3" s="1"/>
  <c r="L385" i="3" s="1"/>
  <c r="F1054" i="1"/>
  <c r="F1055" i="1"/>
  <c r="F1046" i="1"/>
  <c r="I469" i="3" s="1"/>
  <c r="L469" i="3" s="1"/>
  <c r="D1046" i="1"/>
  <c r="G469" i="3" s="1"/>
  <c r="F1196" i="1"/>
  <c r="F1195" i="1"/>
  <c r="F1321" i="1"/>
  <c r="I335" i="3" s="1"/>
  <c r="F1169" i="1"/>
  <c r="F1170" i="1"/>
  <c r="F1171" i="1"/>
  <c r="F1172" i="1"/>
  <c r="F1173" i="1"/>
  <c r="F1174" i="1"/>
  <c r="F1168" i="1"/>
  <c r="I446" i="3" s="1"/>
  <c r="L446" i="3" s="1"/>
  <c r="F1164" i="1"/>
  <c r="F1167" i="1"/>
  <c r="F1166" i="1"/>
  <c r="F1165" i="1"/>
  <c r="F1163" i="1"/>
  <c r="H359" i="3" l="1"/>
  <c r="G359" i="3"/>
  <c r="I358" i="3"/>
  <c r="L358" i="3" s="1"/>
  <c r="F359" i="3"/>
  <c r="H371" i="3"/>
  <c r="F371" i="3"/>
  <c r="H370" i="3"/>
  <c r="F370" i="3"/>
  <c r="F369" i="3"/>
  <c r="H369" i="3"/>
  <c r="F368" i="3"/>
  <c r="G368" i="3"/>
  <c r="H368" i="3"/>
  <c r="H366" i="3"/>
  <c r="F366" i="3"/>
  <c r="H365" i="3"/>
  <c r="F365" i="3"/>
  <c r="G365" i="3"/>
  <c r="H364" i="3"/>
  <c r="F364" i="3"/>
  <c r="H362" i="3"/>
  <c r="G362" i="3"/>
  <c r="E361" i="3"/>
  <c r="H361" i="3"/>
  <c r="F362" i="3"/>
  <c r="G361" i="3"/>
  <c r="H360" i="3"/>
  <c r="F360" i="3"/>
  <c r="L357" i="3"/>
  <c r="H358" i="3"/>
  <c r="G358" i="3"/>
  <c r="F358" i="3"/>
  <c r="E358" i="3"/>
  <c r="F355" i="3"/>
  <c r="H355" i="3"/>
  <c r="G355" i="3"/>
  <c r="L347" i="3"/>
  <c r="H354" i="3"/>
  <c r="F354" i="3"/>
  <c r="L353" i="3"/>
  <c r="E351" i="3"/>
  <c r="H351" i="3"/>
  <c r="H350" i="3"/>
  <c r="F350" i="3"/>
  <c r="H349" i="3"/>
  <c r="F349" i="3"/>
  <c r="H345" i="3"/>
  <c r="F345" i="3"/>
  <c r="H344" i="3"/>
  <c r="F344" i="3"/>
  <c r="H343" i="3"/>
  <c r="G343" i="3"/>
  <c r="F343" i="3"/>
  <c r="H342" i="3"/>
  <c r="G342" i="3"/>
  <c r="F342" i="3"/>
  <c r="I276" i="3"/>
  <c r="L276" i="3" s="1"/>
  <c r="H276" i="3"/>
  <c r="G276" i="3"/>
  <c r="F276" i="3"/>
  <c r="I341" i="3"/>
  <c r="L341" i="3" s="1"/>
  <c r="H341" i="3"/>
  <c r="G341" i="3"/>
  <c r="F341" i="3"/>
  <c r="L335" i="3"/>
  <c r="L338" i="3"/>
  <c r="H334" i="3"/>
  <c r="F334" i="3"/>
  <c r="G332" i="3"/>
  <c r="H332" i="3"/>
  <c r="F332" i="3"/>
  <c r="H331" i="3"/>
  <c r="G331" i="3"/>
  <c r="F331" i="3"/>
  <c r="H330" i="3"/>
  <c r="G330" i="3"/>
  <c r="F330" i="3"/>
  <c r="F1320" i="1" l="1"/>
  <c r="I339" i="3" s="1"/>
  <c r="L339" i="3" s="1"/>
  <c r="F1147" i="1"/>
  <c r="F1129" i="1"/>
  <c r="F1128" i="1"/>
  <c r="D1131" i="1"/>
  <c r="F1194" i="1"/>
  <c r="F1319" i="1"/>
  <c r="I333" i="3" s="1"/>
  <c r="L333" i="3" s="1"/>
  <c r="F498" i="1"/>
  <c r="I482" i="3" s="1"/>
  <c r="L482" i="3" s="1"/>
  <c r="B329" i="3"/>
  <c r="E329" i="3" s="1"/>
  <c r="B328" i="3"/>
  <c r="E328" i="3" s="1"/>
  <c r="B327" i="3"/>
  <c r="E327" i="3" s="1"/>
  <c r="P325" i="3"/>
  <c r="R325" i="3" s="1"/>
  <c r="P326" i="3"/>
  <c r="R326" i="3" s="1"/>
  <c r="E326" i="3"/>
  <c r="F326" i="3"/>
  <c r="G326" i="3"/>
  <c r="H326" i="3"/>
  <c r="I326" i="3"/>
  <c r="E325" i="3"/>
  <c r="F325" i="3"/>
  <c r="G325" i="3"/>
  <c r="H325" i="3"/>
  <c r="I325" i="3"/>
  <c r="P324" i="3"/>
  <c r="R324" i="3" s="1"/>
  <c r="B324" i="3"/>
  <c r="E324" i="3" s="1"/>
  <c r="P318" i="3"/>
  <c r="R318" i="3" s="1"/>
  <c r="P319" i="3"/>
  <c r="R319" i="3" s="1"/>
  <c r="P320" i="3"/>
  <c r="R320" i="3" s="1"/>
  <c r="P321" i="3"/>
  <c r="R321" i="3" s="1"/>
  <c r="P322" i="3"/>
  <c r="R322" i="3" s="1"/>
  <c r="P323" i="3"/>
  <c r="R323" i="3" s="1"/>
  <c r="E323" i="3"/>
  <c r="F323" i="3"/>
  <c r="G323" i="3"/>
  <c r="H323" i="3"/>
  <c r="E322" i="3"/>
  <c r="F322" i="3"/>
  <c r="G322" i="3"/>
  <c r="H322" i="3"/>
  <c r="I322" i="3"/>
  <c r="B321" i="3"/>
  <c r="F321" i="3" s="1"/>
  <c r="F320" i="3"/>
  <c r="E320" i="3"/>
  <c r="G320" i="3"/>
  <c r="H320" i="3"/>
  <c r="I320" i="3"/>
  <c r="B319" i="3"/>
  <c r="E318" i="3"/>
  <c r="F318" i="3"/>
  <c r="G318" i="3"/>
  <c r="H318" i="3"/>
  <c r="I318" i="3"/>
  <c r="P312" i="3"/>
  <c r="R312" i="3" s="1"/>
  <c r="P313" i="3"/>
  <c r="R313" i="3" s="1"/>
  <c r="P314" i="3"/>
  <c r="R314" i="3" s="1"/>
  <c r="P315" i="3"/>
  <c r="R315" i="3" s="1"/>
  <c r="P316" i="3"/>
  <c r="R316" i="3" s="1"/>
  <c r="P317" i="3"/>
  <c r="R317" i="3" s="1"/>
  <c r="B317" i="3"/>
  <c r="F317" i="3" s="1"/>
  <c r="E316" i="3"/>
  <c r="F316" i="3"/>
  <c r="G316" i="3"/>
  <c r="H316" i="3"/>
  <c r="I316" i="3"/>
  <c r="B315" i="3"/>
  <c r="E315" i="3" s="1"/>
  <c r="B314" i="3"/>
  <c r="E314" i="3" s="1"/>
  <c r="E313" i="3"/>
  <c r="F313" i="3"/>
  <c r="G313" i="3"/>
  <c r="H313" i="3"/>
  <c r="I313" i="3"/>
  <c r="E312" i="3"/>
  <c r="F312" i="3"/>
  <c r="G312" i="3"/>
  <c r="H312" i="3"/>
  <c r="I312" i="3"/>
  <c r="P310" i="3"/>
  <c r="R310" i="3" s="1"/>
  <c r="P311" i="3"/>
  <c r="R311" i="3" s="1"/>
  <c r="E311" i="3"/>
  <c r="F311" i="3"/>
  <c r="G311" i="3"/>
  <c r="H311" i="3"/>
  <c r="F1222" i="1"/>
  <c r="I323" i="3" s="1"/>
  <c r="F1223" i="1"/>
  <c r="I331" i="3" s="1"/>
  <c r="L331" i="3" s="1"/>
  <c r="F1224" i="1"/>
  <c r="I346" i="3" s="1"/>
  <c r="L346" i="3" s="1"/>
  <c r="E310" i="3"/>
  <c r="F310" i="3"/>
  <c r="G310" i="3"/>
  <c r="H310" i="3"/>
  <c r="I310" i="3"/>
  <c r="M307" i="3"/>
  <c r="P307" i="3" s="1"/>
  <c r="Q307" i="3"/>
  <c r="M308" i="3"/>
  <c r="P308" i="3" s="1"/>
  <c r="Q308" i="3"/>
  <c r="Q309" i="3"/>
  <c r="M309" i="3"/>
  <c r="P309" i="3" s="1"/>
  <c r="P302" i="3"/>
  <c r="R302" i="3" s="1"/>
  <c r="P303" i="3"/>
  <c r="R303" i="3" s="1"/>
  <c r="P304" i="3"/>
  <c r="R304" i="3" s="1"/>
  <c r="P305" i="3"/>
  <c r="R305" i="3" s="1"/>
  <c r="P306" i="3"/>
  <c r="R306" i="3" s="1"/>
  <c r="B309" i="3"/>
  <c r="E309" i="3" s="1"/>
  <c r="B308" i="3"/>
  <c r="E308" i="3" s="1"/>
  <c r="B307" i="3"/>
  <c r="E307" i="3" s="1"/>
  <c r="B306" i="3"/>
  <c r="E306" i="3" s="1"/>
  <c r="B305" i="3"/>
  <c r="E305" i="3" s="1"/>
  <c r="B304" i="3"/>
  <c r="E304" i="3" s="1"/>
  <c r="B303" i="3"/>
  <c r="E303" i="3" s="1"/>
  <c r="B302" i="3"/>
  <c r="F302" i="3" s="1"/>
  <c r="P300" i="3"/>
  <c r="R300" i="3" s="1"/>
  <c r="P301" i="3"/>
  <c r="R301" i="3" s="1"/>
  <c r="B301" i="3"/>
  <c r="E301" i="3" s="1"/>
  <c r="E300" i="3"/>
  <c r="F300" i="3"/>
  <c r="G300" i="3"/>
  <c r="H300" i="3"/>
  <c r="R296" i="3"/>
  <c r="P297" i="3"/>
  <c r="R297" i="3" s="1"/>
  <c r="P298" i="3"/>
  <c r="R298" i="3" s="1"/>
  <c r="P299" i="3"/>
  <c r="R299" i="3" s="1"/>
  <c r="B299" i="3"/>
  <c r="E298" i="3"/>
  <c r="F298" i="3"/>
  <c r="H298" i="3"/>
  <c r="I298" i="3"/>
  <c r="E297" i="3"/>
  <c r="F297" i="3"/>
  <c r="G297" i="3"/>
  <c r="H297" i="3"/>
  <c r="I297" i="3"/>
  <c r="B296" i="3"/>
  <c r="E296" i="3" s="1"/>
  <c r="P295" i="3"/>
  <c r="R295" i="3" s="1"/>
  <c r="B295" i="3"/>
  <c r="E295" i="3" s="1"/>
  <c r="M293" i="3"/>
  <c r="P293" i="3" s="1"/>
  <c r="Q293" i="3"/>
  <c r="Q294" i="3"/>
  <c r="M294" i="3"/>
  <c r="P294" i="3" s="1"/>
  <c r="P290" i="3"/>
  <c r="R290" i="3" s="1"/>
  <c r="P291" i="3"/>
  <c r="R291" i="3" s="1"/>
  <c r="P292" i="3"/>
  <c r="R292" i="3" s="1"/>
  <c r="B294" i="3"/>
  <c r="E294" i="3" s="1"/>
  <c r="B293" i="3"/>
  <c r="E293" i="3" s="1"/>
  <c r="E292" i="3"/>
  <c r="F292" i="3"/>
  <c r="G292" i="3"/>
  <c r="H292" i="3"/>
  <c r="B291" i="3"/>
  <c r="E290" i="3"/>
  <c r="F290" i="3"/>
  <c r="G290" i="3"/>
  <c r="H290" i="3"/>
  <c r="F1220" i="1"/>
  <c r="I300" i="3" s="1"/>
  <c r="F1221" i="1"/>
  <c r="I311" i="3" s="1"/>
  <c r="P285" i="3"/>
  <c r="R285" i="3" s="1"/>
  <c r="P286" i="3"/>
  <c r="R286" i="3" s="1"/>
  <c r="P287" i="3"/>
  <c r="R287" i="3" s="1"/>
  <c r="P288" i="3"/>
  <c r="R288" i="3" s="1"/>
  <c r="P289" i="3"/>
  <c r="R289" i="3" s="1"/>
  <c r="E288" i="3"/>
  <c r="F288" i="3"/>
  <c r="G288" i="3"/>
  <c r="H288" i="3"/>
  <c r="B289" i="3"/>
  <c r="F289" i="3" s="1"/>
  <c r="B287" i="3"/>
  <c r="E287" i="3" s="1"/>
  <c r="F286" i="3"/>
  <c r="E286" i="3"/>
  <c r="H286" i="3"/>
  <c r="I286" i="3"/>
  <c r="B285" i="3"/>
  <c r="E285" i="3" s="1"/>
  <c r="R283" i="3"/>
  <c r="P284" i="3"/>
  <c r="R284" i="3" s="1"/>
  <c r="B284" i="3"/>
  <c r="F284" i="3" s="1"/>
  <c r="P277" i="3"/>
  <c r="R277" i="3" s="1"/>
  <c r="P278" i="3"/>
  <c r="R278" i="3" s="1"/>
  <c r="P279" i="3"/>
  <c r="R279" i="3" s="1"/>
  <c r="P280" i="3"/>
  <c r="R280" i="3" s="1"/>
  <c r="P281" i="3"/>
  <c r="R281" i="3" s="1"/>
  <c r="P282" i="3"/>
  <c r="R282" i="3" s="1"/>
  <c r="B282" i="3"/>
  <c r="E282" i="3" s="1"/>
  <c r="D356" i="1"/>
  <c r="G507" i="3" s="1"/>
  <c r="D357" i="1"/>
  <c r="F356" i="1"/>
  <c r="I507" i="3" s="1"/>
  <c r="L507" i="3" s="1"/>
  <c r="F357" i="1"/>
  <c r="F1148" i="1"/>
  <c r="I394" i="3" s="1"/>
  <c r="L394" i="3" s="1"/>
  <c r="F1156" i="1"/>
  <c r="F497" i="1"/>
  <c r="R308" i="3" l="1"/>
  <c r="R293" i="3"/>
  <c r="R307" i="3"/>
  <c r="H314" i="3"/>
  <c r="H329" i="3"/>
  <c r="H315" i="3"/>
  <c r="G315" i="3"/>
  <c r="G329" i="3"/>
  <c r="F329" i="3"/>
  <c r="F328" i="3"/>
  <c r="H328" i="3"/>
  <c r="H327" i="3"/>
  <c r="G327" i="3"/>
  <c r="F327" i="3"/>
  <c r="G328" i="3"/>
  <c r="L326" i="3"/>
  <c r="L325" i="3"/>
  <c r="H324" i="3"/>
  <c r="G324" i="3"/>
  <c r="F324" i="3"/>
  <c r="L323" i="3"/>
  <c r="L322" i="3"/>
  <c r="L320" i="3"/>
  <c r="H321" i="3"/>
  <c r="E321" i="3"/>
  <c r="E319" i="3"/>
  <c r="H319" i="3"/>
  <c r="F319" i="3"/>
  <c r="L313" i="3"/>
  <c r="L312" i="3"/>
  <c r="L316" i="3"/>
  <c r="E317" i="3"/>
  <c r="H317" i="3"/>
  <c r="F315" i="3"/>
  <c r="G314" i="3"/>
  <c r="F314" i="3"/>
  <c r="L311" i="3"/>
  <c r="L310" i="3"/>
  <c r="R309" i="3"/>
  <c r="H309" i="3"/>
  <c r="F309" i="3"/>
  <c r="H308" i="3"/>
  <c r="F308" i="3"/>
  <c r="H307" i="3"/>
  <c r="G307" i="3"/>
  <c r="F307" i="3"/>
  <c r="H305" i="3"/>
  <c r="F305" i="3"/>
  <c r="G305" i="3"/>
  <c r="H304" i="3"/>
  <c r="F304" i="3"/>
  <c r="G304" i="3"/>
  <c r="H306" i="3"/>
  <c r="F306" i="3"/>
  <c r="G306" i="3"/>
  <c r="H303" i="3"/>
  <c r="F303" i="3"/>
  <c r="G302" i="3"/>
  <c r="H302" i="3"/>
  <c r="E302" i="3"/>
  <c r="L300" i="3"/>
  <c r="G301" i="3"/>
  <c r="H301" i="3"/>
  <c r="F301" i="3"/>
  <c r="H299" i="3"/>
  <c r="G299" i="3"/>
  <c r="F299" i="3"/>
  <c r="E299" i="3"/>
  <c r="L298" i="3"/>
  <c r="L297" i="3"/>
  <c r="G298" i="3"/>
  <c r="H296" i="3"/>
  <c r="F296" i="3"/>
  <c r="H295" i="3"/>
  <c r="F295" i="3"/>
  <c r="R294" i="3"/>
  <c r="G294" i="3"/>
  <c r="H294" i="3"/>
  <c r="F294" i="3"/>
  <c r="H293" i="3"/>
  <c r="F293" i="3"/>
  <c r="H291" i="3"/>
  <c r="F291" i="3"/>
  <c r="E291" i="3"/>
  <c r="L286" i="3"/>
  <c r="E289" i="3"/>
  <c r="G289" i="3"/>
  <c r="H289" i="3"/>
  <c r="H287" i="3"/>
  <c r="F287" i="3"/>
  <c r="G286" i="3"/>
  <c r="H285" i="3"/>
  <c r="F285" i="3"/>
  <c r="G285" i="3"/>
  <c r="H284" i="3"/>
  <c r="E284" i="3"/>
  <c r="H282" i="3"/>
  <c r="F282" i="3"/>
  <c r="D455" i="1"/>
  <c r="F455" i="1"/>
  <c r="F176" i="1" l="1"/>
  <c r="F173" i="1"/>
  <c r="I468" i="3" s="1"/>
  <c r="L468" i="3" s="1"/>
  <c r="F172" i="1"/>
  <c r="D172" i="1"/>
  <c r="D173" i="1"/>
  <c r="G468" i="3" s="1"/>
  <c r="D176" i="1"/>
  <c r="D177" i="1"/>
  <c r="G420" i="3" s="1"/>
  <c r="F177" i="1"/>
  <c r="I420" i="3" s="1"/>
  <c r="L420" i="3" s="1"/>
  <c r="E25" i="9"/>
  <c r="I24" i="11"/>
  <c r="I14" i="11"/>
  <c r="B281" i="3"/>
  <c r="B280" i="3"/>
  <c r="B279" i="3"/>
  <c r="B278" i="3"/>
  <c r="E278" i="3" s="1"/>
  <c r="B277" i="3"/>
  <c r="E277" i="3" s="1"/>
  <c r="P274" i="3"/>
  <c r="R274" i="3" s="1"/>
  <c r="P275" i="3"/>
  <c r="R275" i="3" s="1"/>
  <c r="B275" i="3"/>
  <c r="B274" i="3"/>
  <c r="P271" i="3"/>
  <c r="R271" i="3" s="1"/>
  <c r="P272" i="3"/>
  <c r="R272" i="3" s="1"/>
  <c r="P273" i="3"/>
  <c r="R273" i="3" s="1"/>
  <c r="B273" i="3"/>
  <c r="B272" i="3"/>
  <c r="B271" i="3"/>
  <c r="P266" i="3"/>
  <c r="R266" i="3" s="1"/>
  <c r="P267" i="3"/>
  <c r="R267" i="3" s="1"/>
  <c r="P268" i="3"/>
  <c r="R268" i="3" s="1"/>
  <c r="P269" i="3"/>
  <c r="R269" i="3" s="1"/>
  <c r="P270" i="3"/>
  <c r="R270" i="3" s="1"/>
  <c r="B270" i="3"/>
  <c r="B234" i="3"/>
  <c r="B229" i="3"/>
  <c r="B227" i="3"/>
  <c r="E227" i="3" s="1"/>
  <c r="B231" i="3"/>
  <c r="P224" i="3"/>
  <c r="R224" i="3" s="1"/>
  <c r="P225" i="3"/>
  <c r="R225" i="3" s="1"/>
  <c r="P226" i="3"/>
  <c r="R226" i="3" s="1"/>
  <c r="P227" i="3"/>
  <c r="R227" i="3" s="1"/>
  <c r="P228" i="3"/>
  <c r="R228" i="3" s="1"/>
  <c r="P230" i="3"/>
  <c r="R230" i="3" s="1"/>
  <c r="P231" i="3"/>
  <c r="R231" i="3" s="1"/>
  <c r="P233" i="3"/>
  <c r="R233" i="3" s="1"/>
  <c r="P234" i="3"/>
  <c r="R234" i="3" s="1"/>
  <c r="B226" i="3"/>
  <c r="D77" i="1"/>
  <c r="B269" i="3"/>
  <c r="E269" i="3" s="1"/>
  <c r="B267" i="3"/>
  <c r="F267" i="3" s="1"/>
  <c r="F826" i="1"/>
  <c r="F844" i="1"/>
  <c r="F898" i="1"/>
  <c r="F834" i="1"/>
  <c r="F835" i="1"/>
  <c r="F836" i="1"/>
  <c r="F837" i="1"/>
  <c r="I378" i="3" s="1"/>
  <c r="L378" i="3" s="1"/>
  <c r="F838" i="1"/>
  <c r="F839" i="1"/>
  <c r="I359" i="3" s="1"/>
  <c r="L359" i="3" s="1"/>
  <c r="F840" i="1"/>
  <c r="F841" i="1"/>
  <c r="F842" i="1"/>
  <c r="F843" i="1"/>
  <c r="F845" i="1"/>
  <c r="F846" i="1"/>
  <c r="F847" i="1"/>
  <c r="F848" i="1"/>
  <c r="I476" i="3" s="1"/>
  <c r="L476" i="3" s="1"/>
  <c r="F849" i="1"/>
  <c r="F850" i="1"/>
  <c r="I423" i="3" s="1"/>
  <c r="L423" i="3" s="1"/>
  <c r="F851" i="1"/>
  <c r="F852" i="1"/>
  <c r="F853" i="1"/>
  <c r="F854" i="1"/>
  <c r="F855" i="1"/>
  <c r="F856" i="1"/>
  <c r="F857" i="1"/>
  <c r="F858" i="1"/>
  <c r="I289" i="3" s="1"/>
  <c r="L289" i="3" s="1"/>
  <c r="F859" i="1"/>
  <c r="I373" i="3" s="1"/>
  <c r="L373" i="3" s="1"/>
  <c r="F860" i="1"/>
  <c r="I302" i="3" s="1"/>
  <c r="L302" i="3" s="1"/>
  <c r="F861" i="1"/>
  <c r="F862" i="1"/>
  <c r="F863" i="1"/>
  <c r="F864" i="1"/>
  <c r="F865" i="1"/>
  <c r="F866" i="1"/>
  <c r="F867" i="1"/>
  <c r="F868" i="1"/>
  <c r="F869" i="1"/>
  <c r="F870" i="1"/>
  <c r="F871" i="1"/>
  <c r="F872" i="1"/>
  <c r="F873" i="1"/>
  <c r="F874" i="1"/>
  <c r="F875" i="1"/>
  <c r="F876" i="1"/>
  <c r="F877" i="1"/>
  <c r="F878" i="1"/>
  <c r="F879" i="1"/>
  <c r="F880" i="1"/>
  <c r="F881" i="1"/>
  <c r="I372" i="3" s="1"/>
  <c r="L372" i="3" s="1"/>
  <c r="F882" i="1"/>
  <c r="I393" i="3" s="1"/>
  <c r="L393" i="3" s="1"/>
  <c r="F883" i="1"/>
  <c r="I315" i="3" s="1"/>
  <c r="L315" i="3" s="1"/>
  <c r="F884" i="1"/>
  <c r="F885" i="1"/>
  <c r="I409" i="3" s="1"/>
  <c r="L409" i="3" s="1"/>
  <c r="F886" i="1"/>
  <c r="I329" i="3" s="1"/>
  <c r="L329" i="3" s="1"/>
  <c r="F887" i="1"/>
  <c r="F888" i="1"/>
  <c r="F889" i="1"/>
  <c r="F890" i="1"/>
  <c r="I375" i="3" s="1"/>
  <c r="L375" i="3" s="1"/>
  <c r="F891" i="1"/>
  <c r="F892" i="1"/>
  <c r="F893" i="1"/>
  <c r="F894" i="1"/>
  <c r="F895" i="1"/>
  <c r="F896" i="1"/>
  <c r="F897" i="1"/>
  <c r="F833" i="1"/>
  <c r="B266" i="3"/>
  <c r="P265" i="3"/>
  <c r="R265" i="3" s="1"/>
  <c r="B265" i="3"/>
  <c r="D974" i="1"/>
  <c r="D975" i="1"/>
  <c r="D976" i="1"/>
  <c r="D977" i="1"/>
  <c r="D978" i="1"/>
  <c r="D979" i="1"/>
  <c r="D973" i="1"/>
  <c r="F974" i="1"/>
  <c r="F975" i="1"/>
  <c r="F976" i="1"/>
  <c r="F977" i="1"/>
  <c r="F978" i="1"/>
  <c r="F979" i="1"/>
  <c r="F980" i="1"/>
  <c r="F981" i="1"/>
  <c r="F982" i="1"/>
  <c r="I392" i="3" s="1"/>
  <c r="L392" i="3" s="1"/>
  <c r="F983" i="1"/>
  <c r="F984" i="1"/>
  <c r="P263" i="3"/>
  <c r="R263" i="3" s="1"/>
  <c r="P264" i="3"/>
  <c r="R264" i="3" s="1"/>
  <c r="B264" i="3"/>
  <c r="F237" i="1"/>
  <c r="I263" i="3" s="1"/>
  <c r="E263" i="3"/>
  <c r="P259" i="3"/>
  <c r="R259" i="3" s="1"/>
  <c r="P260" i="3"/>
  <c r="R260" i="3" s="1"/>
  <c r="P261" i="3"/>
  <c r="R261" i="3" s="1"/>
  <c r="P262" i="3"/>
  <c r="R262" i="3" s="1"/>
  <c r="B262" i="3"/>
  <c r="E262" i="3" s="1"/>
  <c r="F1311" i="1"/>
  <c r="B260" i="3"/>
  <c r="B259" i="3"/>
  <c r="P253" i="3"/>
  <c r="R253" i="3" s="1"/>
  <c r="P254" i="3"/>
  <c r="R254" i="3" s="1"/>
  <c r="P255" i="3"/>
  <c r="R255" i="3" s="1"/>
  <c r="P256" i="3"/>
  <c r="R256" i="3" s="1"/>
  <c r="P257" i="3"/>
  <c r="R257" i="3" s="1"/>
  <c r="P258" i="3"/>
  <c r="R258" i="3" s="1"/>
  <c r="P252" i="3"/>
  <c r="R252" i="3" s="1"/>
  <c r="B255" i="3"/>
  <c r="E255" i="3" s="1"/>
  <c r="B253" i="3"/>
  <c r="B252" i="3"/>
  <c r="P251" i="3"/>
  <c r="R251" i="3" s="1"/>
  <c r="F1217" i="1"/>
  <c r="F1218" i="1"/>
  <c r="P245" i="3"/>
  <c r="R245" i="3" s="1"/>
  <c r="P246" i="3"/>
  <c r="R246" i="3" s="1"/>
  <c r="P248" i="3"/>
  <c r="R248" i="3" s="1"/>
  <c r="P249" i="3"/>
  <c r="R249" i="3" s="1"/>
  <c r="P250" i="3"/>
  <c r="R250" i="3" s="1"/>
  <c r="B250" i="3"/>
  <c r="B249" i="3"/>
  <c r="B248" i="3"/>
  <c r="H248" i="3" s="1"/>
  <c r="B245" i="3"/>
  <c r="P241" i="3"/>
  <c r="R241" i="3" s="1"/>
  <c r="P242" i="3"/>
  <c r="R242" i="3" s="1"/>
  <c r="P243" i="3"/>
  <c r="R243" i="3" s="1"/>
  <c r="P244" i="3"/>
  <c r="R244" i="3" s="1"/>
  <c r="B243" i="3"/>
  <c r="B242" i="3"/>
  <c r="E242" i="3" s="1"/>
  <c r="P235" i="3"/>
  <c r="R235" i="3" s="1"/>
  <c r="P236" i="3"/>
  <c r="R236" i="3" s="1"/>
  <c r="P237" i="3"/>
  <c r="R237" i="3" s="1"/>
  <c r="P238" i="3"/>
  <c r="R238" i="3" s="1"/>
  <c r="P239" i="3"/>
  <c r="R239" i="3" s="1"/>
  <c r="P240" i="3"/>
  <c r="R240" i="3" s="1"/>
  <c r="B240" i="3"/>
  <c r="E240" i="3" s="1"/>
  <c r="F1307" i="1"/>
  <c r="F1109" i="1"/>
  <c r="F1152" i="1"/>
  <c r="I294" i="3" s="1"/>
  <c r="L294" i="3" s="1"/>
  <c r="F973" i="1"/>
  <c r="F1306" i="1"/>
  <c r="F1097" i="1"/>
  <c r="F1099" i="1"/>
  <c r="F1096" i="1"/>
  <c r="F1098" i="1"/>
  <c r="F1100" i="1"/>
  <c r="F1101" i="1"/>
  <c r="F1102" i="1"/>
  <c r="F1103" i="1"/>
  <c r="F1095" i="1"/>
  <c r="D1104" i="1"/>
  <c r="D1094" i="1"/>
  <c r="D189" i="1"/>
  <c r="F189" i="1"/>
  <c r="F171" i="1"/>
  <c r="F166" i="1"/>
  <c r="D160" i="1"/>
  <c r="G399" i="3" s="1"/>
  <c r="D161" i="1"/>
  <c r="D162" i="1"/>
  <c r="G521" i="3" s="1"/>
  <c r="D163" i="1"/>
  <c r="D164" i="1"/>
  <c r="D165" i="1"/>
  <c r="D166" i="1"/>
  <c r="D167" i="1"/>
  <c r="D168" i="1"/>
  <c r="D169" i="1"/>
  <c r="G363" i="3" s="1"/>
  <c r="D170" i="1"/>
  <c r="D171" i="1"/>
  <c r="D159" i="1"/>
  <c r="F159" i="1"/>
  <c r="F160" i="1"/>
  <c r="I399" i="3" s="1"/>
  <c r="L399" i="3" s="1"/>
  <c r="F161" i="1"/>
  <c r="F162" i="1"/>
  <c r="I521" i="3" s="1"/>
  <c r="L521" i="3" s="1"/>
  <c r="F163" i="1"/>
  <c r="F164" i="1"/>
  <c r="F165" i="1"/>
  <c r="F167" i="1"/>
  <c r="F168" i="1"/>
  <c r="F169" i="1"/>
  <c r="I363" i="3" s="1"/>
  <c r="L363" i="3" s="1"/>
  <c r="F170" i="1"/>
  <c r="F140" i="1"/>
  <c r="D139" i="1"/>
  <c r="D140" i="1"/>
  <c r="D141" i="1"/>
  <c r="D142" i="1"/>
  <c r="D138" i="1"/>
  <c r="F139" i="1"/>
  <c r="F141" i="1"/>
  <c r="F142" i="1"/>
  <c r="F69" i="1"/>
  <c r="F67" i="1"/>
  <c r="D68" i="1"/>
  <c r="G386" i="3" s="1"/>
  <c r="D69" i="1"/>
  <c r="D70" i="1"/>
  <c r="D67" i="1"/>
  <c r="F68" i="1"/>
  <c r="I386" i="3" s="1"/>
  <c r="L386" i="3" s="1"/>
  <c r="F70" i="1"/>
  <c r="F539" i="1"/>
  <c r="F542" i="1"/>
  <c r="F535" i="1"/>
  <c r="F536" i="1"/>
  <c r="F537" i="1"/>
  <c r="F538" i="1"/>
  <c r="F532" i="1"/>
  <c r="F533" i="1"/>
  <c r="F534" i="1"/>
  <c r="F540" i="1"/>
  <c r="F541" i="1"/>
  <c r="F531" i="1"/>
  <c r="B236" i="3"/>
  <c r="B238" i="3"/>
  <c r="D470" i="1"/>
  <c r="G497" i="3" s="1"/>
  <c r="D471" i="1"/>
  <c r="G499" i="3" s="1"/>
  <c r="D472" i="1"/>
  <c r="D473" i="1"/>
  <c r="D474" i="1"/>
  <c r="D475" i="1"/>
  <c r="F470" i="1"/>
  <c r="I497" i="3" s="1"/>
  <c r="L497" i="3" s="1"/>
  <c r="F471" i="1"/>
  <c r="I499" i="3" s="1"/>
  <c r="L499" i="3" s="1"/>
  <c r="F472" i="1"/>
  <c r="F473" i="1"/>
  <c r="F474" i="1"/>
  <c r="F475" i="1"/>
  <c r="F451" i="1"/>
  <c r="F454" i="1"/>
  <c r="F453" i="1"/>
  <c r="I291" i="3" s="1"/>
  <c r="D448" i="1"/>
  <c r="D449" i="1"/>
  <c r="G461" i="3" s="1"/>
  <c r="D450" i="1"/>
  <c r="D451" i="1"/>
  <c r="D452" i="1"/>
  <c r="D453" i="1"/>
  <c r="G291" i="3" s="1"/>
  <c r="D454" i="1"/>
  <c r="F448" i="1"/>
  <c r="F449" i="1"/>
  <c r="I461" i="3" s="1"/>
  <c r="L461" i="3" s="1"/>
  <c r="F450" i="1"/>
  <c r="F452" i="1"/>
  <c r="D353" i="1"/>
  <c r="G381" i="3" s="1"/>
  <c r="D354" i="1"/>
  <c r="D355" i="1"/>
  <c r="G512" i="3" s="1"/>
  <c r="F353" i="1"/>
  <c r="I381" i="3" s="1"/>
  <c r="L381" i="3" s="1"/>
  <c r="F354" i="1"/>
  <c r="F355" i="1"/>
  <c r="I512" i="3" s="1"/>
  <c r="L512" i="3" s="1"/>
  <c r="E24" i="9"/>
  <c r="I16" i="9"/>
  <c r="F12" i="9"/>
  <c r="P202" i="3"/>
  <c r="R202" i="3" s="1"/>
  <c r="P199" i="3"/>
  <c r="R199" i="3" s="1"/>
  <c r="P203" i="3"/>
  <c r="R203" i="3" s="1"/>
  <c r="R201" i="3"/>
  <c r="B202" i="3"/>
  <c r="B161" i="3"/>
  <c r="B162" i="3"/>
  <c r="B163" i="3"/>
  <c r="B164" i="3"/>
  <c r="P223" i="3"/>
  <c r="R223" i="3" s="1"/>
  <c r="F1215" i="1"/>
  <c r="F1216" i="1"/>
  <c r="B223" i="3"/>
  <c r="B149" i="3"/>
  <c r="E149" i="3" s="1"/>
  <c r="P222" i="3"/>
  <c r="R222" i="3" s="1"/>
  <c r="P217" i="3"/>
  <c r="R217" i="3" s="1"/>
  <c r="P218" i="3"/>
  <c r="R218" i="3" s="1"/>
  <c r="B222" i="3"/>
  <c r="P219" i="3"/>
  <c r="R219" i="3" s="1"/>
  <c r="R220" i="3"/>
  <c r="P221" i="3"/>
  <c r="R221" i="3" s="1"/>
  <c r="B221" i="3"/>
  <c r="E221" i="3" s="1"/>
  <c r="P215" i="3"/>
  <c r="R215" i="3" s="1"/>
  <c r="P216" i="3"/>
  <c r="R216" i="3" s="1"/>
  <c r="B219" i="3"/>
  <c r="B218" i="3"/>
  <c r="F218" i="3" s="1"/>
  <c r="B217" i="3"/>
  <c r="W6" i="3"/>
  <c r="E215" i="3"/>
  <c r="F215" i="3"/>
  <c r="G215" i="3"/>
  <c r="H215" i="3"/>
  <c r="P212" i="3"/>
  <c r="R212" i="3" s="1"/>
  <c r="P213" i="3"/>
  <c r="R213" i="3" s="1"/>
  <c r="P214" i="3"/>
  <c r="R214" i="3" s="1"/>
  <c r="B214" i="3"/>
  <c r="B213" i="3"/>
  <c r="P205" i="3"/>
  <c r="R205" i="3" s="1"/>
  <c r="P206" i="3"/>
  <c r="R206" i="3" s="1"/>
  <c r="P207" i="3"/>
  <c r="R207" i="3" s="1"/>
  <c r="P209" i="3"/>
  <c r="R209" i="3" s="1"/>
  <c r="P210" i="3"/>
  <c r="R210" i="3" s="1"/>
  <c r="P211" i="3"/>
  <c r="R211" i="3" s="1"/>
  <c r="B211" i="3"/>
  <c r="B209" i="3"/>
  <c r="B207" i="3"/>
  <c r="F1045" i="1"/>
  <c r="F1044" i="1"/>
  <c r="D1045" i="1"/>
  <c r="D1044" i="1"/>
  <c r="F1258" i="1"/>
  <c r="I530" i="3" s="1"/>
  <c r="L530" i="3" s="1"/>
  <c r="D1258" i="1"/>
  <c r="G530" i="3" s="1"/>
  <c r="F496" i="1"/>
  <c r="I215" i="3" s="1"/>
  <c r="F822" i="1"/>
  <c r="I477" i="3" s="1"/>
  <c r="L477" i="3" s="1"/>
  <c r="F819" i="1"/>
  <c r="F820" i="1"/>
  <c r="F1104" i="1"/>
  <c r="F812" i="1"/>
  <c r="F824" i="1"/>
  <c r="F825" i="1"/>
  <c r="F827" i="1"/>
  <c r="F828" i="1"/>
  <c r="F829" i="1"/>
  <c r="F830" i="1"/>
  <c r="F831" i="1"/>
  <c r="F832" i="1"/>
  <c r="I514" i="3" s="1"/>
  <c r="L514" i="3" s="1"/>
  <c r="F821" i="1"/>
  <c r="F823" i="1"/>
  <c r="F818" i="1"/>
  <c r="D129" i="1"/>
  <c r="D130" i="1"/>
  <c r="D131" i="1"/>
  <c r="D132" i="1"/>
  <c r="D133" i="1"/>
  <c r="D134" i="1"/>
  <c r="D135" i="1"/>
  <c r="D136" i="1"/>
  <c r="D137" i="1"/>
  <c r="D128" i="1"/>
  <c r="F128" i="1"/>
  <c r="F129" i="1"/>
  <c r="F130" i="1"/>
  <c r="F131" i="1"/>
  <c r="F132" i="1"/>
  <c r="F133" i="1"/>
  <c r="F134" i="1"/>
  <c r="F135" i="1"/>
  <c r="F136" i="1"/>
  <c r="F137" i="1"/>
  <c r="F138" i="1"/>
  <c r="F65" i="1"/>
  <c r="F63" i="1"/>
  <c r="F64" i="1"/>
  <c r="F66" i="1"/>
  <c r="F1298" i="1"/>
  <c r="F1294" i="1"/>
  <c r="B205" i="3"/>
  <c r="P200" i="3"/>
  <c r="R200" i="3" s="1"/>
  <c r="P204" i="3"/>
  <c r="R204" i="3" s="1"/>
  <c r="B204" i="3"/>
  <c r="B203" i="3"/>
  <c r="E203" i="3" s="1"/>
  <c r="B200" i="3"/>
  <c r="H200" i="3" s="1"/>
  <c r="P197" i="3"/>
  <c r="R197" i="3" s="1"/>
  <c r="P198" i="3"/>
  <c r="R198" i="3" s="1"/>
  <c r="B198" i="3"/>
  <c r="J179" i="3"/>
  <c r="AG13" i="3"/>
  <c r="W7" i="3" s="1"/>
  <c r="P190" i="3"/>
  <c r="R190" i="3" s="1"/>
  <c r="P191" i="3"/>
  <c r="R191" i="3" s="1"/>
  <c r="P192" i="3"/>
  <c r="R192" i="3" s="1"/>
  <c r="P193" i="3"/>
  <c r="R193" i="3" s="1"/>
  <c r="P194" i="3"/>
  <c r="R194" i="3" s="1"/>
  <c r="P195" i="3"/>
  <c r="R195" i="3" s="1"/>
  <c r="P196" i="3"/>
  <c r="R196" i="3" s="1"/>
  <c r="B196" i="3"/>
  <c r="B195" i="3"/>
  <c r="F195" i="3" s="1"/>
  <c r="B194" i="3"/>
  <c r="B193" i="3"/>
  <c r="H193" i="3" s="1"/>
  <c r="F1213" i="1"/>
  <c r="F1214" i="1"/>
  <c r="F1257" i="1"/>
  <c r="I486" i="3" s="1"/>
  <c r="L486" i="3" s="1"/>
  <c r="F1256" i="1"/>
  <c r="B190" i="3"/>
  <c r="P189" i="3"/>
  <c r="R189" i="3" s="1"/>
  <c r="P182" i="3"/>
  <c r="R182" i="3" s="1"/>
  <c r="P183" i="3"/>
  <c r="R183" i="3" s="1"/>
  <c r="P184" i="3"/>
  <c r="R184" i="3" s="1"/>
  <c r="P185" i="3"/>
  <c r="R185" i="3" s="1"/>
  <c r="P186" i="3"/>
  <c r="R186" i="3" s="1"/>
  <c r="P187" i="3"/>
  <c r="R187" i="3" s="1"/>
  <c r="P188" i="3"/>
  <c r="R188" i="3" s="1"/>
  <c r="B187" i="3"/>
  <c r="B186" i="3"/>
  <c r="H186" i="3" s="1"/>
  <c r="B185" i="3"/>
  <c r="B184" i="3"/>
  <c r="B183" i="3"/>
  <c r="F1211" i="1"/>
  <c r="P181" i="3"/>
  <c r="R181" i="3" s="1"/>
  <c r="B181" i="3"/>
  <c r="F181" i="3" s="1"/>
  <c r="B203" i="1"/>
  <c r="F203" i="1" s="1"/>
  <c r="B202" i="1"/>
  <c r="F202" i="1" s="1"/>
  <c r="P179" i="3"/>
  <c r="R179" i="3" s="1"/>
  <c r="B179" i="3"/>
  <c r="H179" i="3" s="1"/>
  <c r="P178" i="3"/>
  <c r="R178" i="3" s="1"/>
  <c r="B178" i="3"/>
  <c r="P175" i="3"/>
  <c r="R175" i="3" s="1"/>
  <c r="P176" i="3"/>
  <c r="R176" i="3" s="1"/>
  <c r="P177" i="3"/>
  <c r="R177" i="3" s="1"/>
  <c r="F1210" i="1"/>
  <c r="P171" i="3"/>
  <c r="R171" i="3" s="1"/>
  <c r="P172" i="3"/>
  <c r="R172" i="3" s="1"/>
  <c r="P173" i="3"/>
  <c r="R173" i="3" s="1"/>
  <c r="P174" i="3"/>
  <c r="R174" i="3" s="1"/>
  <c r="B174" i="3"/>
  <c r="B173" i="3"/>
  <c r="E173" i="3" s="1"/>
  <c r="B1120" i="1"/>
  <c r="F1120" i="1" s="1"/>
  <c r="B1119" i="1"/>
  <c r="F1119" i="1" s="1"/>
  <c r="B172" i="3"/>
  <c r="B171" i="3"/>
  <c r="P160" i="3"/>
  <c r="R160" i="3" s="1"/>
  <c r="P165" i="3"/>
  <c r="R165" i="3" s="1"/>
  <c r="P166" i="3"/>
  <c r="R166" i="3" s="1"/>
  <c r="P167" i="3"/>
  <c r="R167" i="3" s="1"/>
  <c r="P168" i="3"/>
  <c r="R168" i="3" s="1"/>
  <c r="P169" i="3"/>
  <c r="R169" i="3" s="1"/>
  <c r="P170" i="3"/>
  <c r="R170" i="3" s="1"/>
  <c r="B168" i="3"/>
  <c r="B169" i="3"/>
  <c r="B170" i="3"/>
  <c r="E170" i="3" s="1"/>
  <c r="B167" i="3"/>
  <c r="E167" i="3" s="1"/>
  <c r="B165" i="3"/>
  <c r="E165" i="3" s="1"/>
  <c r="D343" i="1"/>
  <c r="G443" i="3" s="1"/>
  <c r="D344" i="1"/>
  <c r="D345" i="1"/>
  <c r="D346" i="1"/>
  <c r="D347" i="1"/>
  <c r="G284" i="3" s="1"/>
  <c r="D348" i="1"/>
  <c r="D349" i="1"/>
  <c r="G371" i="3" s="1"/>
  <c r="D350" i="1"/>
  <c r="D351" i="1"/>
  <c r="D352" i="1"/>
  <c r="G344" i="3" s="1"/>
  <c r="D342" i="1"/>
  <c r="D334" i="1"/>
  <c r="D333" i="1"/>
  <c r="D332" i="1"/>
  <c r="F342" i="1"/>
  <c r="F343" i="1"/>
  <c r="I443" i="3" s="1"/>
  <c r="L443" i="3" s="1"/>
  <c r="F344" i="1"/>
  <c r="F345" i="1"/>
  <c r="F346" i="1"/>
  <c r="F347" i="1"/>
  <c r="I284" i="3" s="1"/>
  <c r="L284" i="3" s="1"/>
  <c r="F348" i="1"/>
  <c r="F349" i="1"/>
  <c r="I371" i="3" s="1"/>
  <c r="L371" i="3" s="1"/>
  <c r="F350" i="1"/>
  <c r="F351" i="1"/>
  <c r="F352" i="1"/>
  <c r="I344" i="3" s="1"/>
  <c r="L344" i="3" s="1"/>
  <c r="F430" i="1"/>
  <c r="D433" i="1"/>
  <c r="D434" i="1"/>
  <c r="D435" i="1"/>
  <c r="D436" i="1"/>
  <c r="D437" i="1"/>
  <c r="D438" i="1"/>
  <c r="D439" i="1"/>
  <c r="D440" i="1"/>
  <c r="D441" i="1"/>
  <c r="D442" i="1"/>
  <c r="D443" i="1"/>
  <c r="D444" i="1"/>
  <c r="G459" i="3" s="1"/>
  <c r="D445" i="1"/>
  <c r="G522" i="3" s="1"/>
  <c r="D446" i="1"/>
  <c r="D447" i="1"/>
  <c r="G387" i="3" s="1"/>
  <c r="D431" i="1"/>
  <c r="D432" i="1"/>
  <c r="D430" i="1"/>
  <c r="D429" i="1"/>
  <c r="P156" i="3"/>
  <c r="R156" i="3" s="1"/>
  <c r="P157" i="3"/>
  <c r="R157" i="3" s="1"/>
  <c r="P158" i="3"/>
  <c r="R158" i="3" s="1"/>
  <c r="P159" i="3"/>
  <c r="R159" i="3" s="1"/>
  <c r="B159" i="3"/>
  <c r="B158" i="3"/>
  <c r="B157" i="3"/>
  <c r="E157" i="3" s="1"/>
  <c r="F1185" i="1"/>
  <c r="I288" i="3" s="1"/>
  <c r="F1184" i="1"/>
  <c r="I502" i="3" s="1"/>
  <c r="L501" i="3" s="1"/>
  <c r="F429" i="1"/>
  <c r="F431" i="1"/>
  <c r="F432" i="1"/>
  <c r="F433" i="1"/>
  <c r="F434" i="1"/>
  <c r="F435" i="1"/>
  <c r="F436" i="1"/>
  <c r="F437" i="1"/>
  <c r="F438" i="1"/>
  <c r="F439" i="1"/>
  <c r="F440" i="1"/>
  <c r="F441" i="1"/>
  <c r="F442" i="1"/>
  <c r="F443" i="1"/>
  <c r="F444" i="1"/>
  <c r="I459" i="3" s="1"/>
  <c r="L459" i="3" s="1"/>
  <c r="F445" i="1"/>
  <c r="I522" i="3" s="1"/>
  <c r="L522" i="3" s="1"/>
  <c r="F446" i="1"/>
  <c r="F447" i="1"/>
  <c r="I387" i="3" s="1"/>
  <c r="L387" i="3" s="1"/>
  <c r="P152" i="3"/>
  <c r="R152" i="3" s="1"/>
  <c r="P154" i="3"/>
  <c r="R154" i="3" s="1"/>
  <c r="P155" i="3"/>
  <c r="R155" i="3" s="1"/>
  <c r="P151" i="3"/>
  <c r="R151" i="3" s="1"/>
  <c r="B155" i="3"/>
  <c r="B154" i="3"/>
  <c r="B152" i="3"/>
  <c r="F152" i="3" s="1"/>
  <c r="P150" i="3"/>
  <c r="R150" i="3" s="1"/>
  <c r="B151" i="3"/>
  <c r="B150" i="3"/>
  <c r="W8" i="3"/>
  <c r="P148" i="3"/>
  <c r="R148" i="3" s="1"/>
  <c r="B148" i="3"/>
  <c r="P146" i="3"/>
  <c r="R146" i="3" s="1"/>
  <c r="P147" i="3"/>
  <c r="R147" i="3" s="1"/>
  <c r="B147" i="3"/>
  <c r="B146" i="3"/>
  <c r="J2" i="5"/>
  <c r="I2" i="5"/>
  <c r="H9" i="5"/>
  <c r="H263" i="3"/>
  <c r="G263" i="3"/>
  <c r="F263" i="3"/>
  <c r="B222" i="1"/>
  <c r="F222" i="1" s="1"/>
  <c r="P141" i="3"/>
  <c r="R141" i="3" s="1"/>
  <c r="P142" i="3"/>
  <c r="R142" i="3" s="1"/>
  <c r="P143" i="3"/>
  <c r="R143" i="3" s="1"/>
  <c r="P144" i="3"/>
  <c r="R144" i="3" s="1"/>
  <c r="P145" i="3"/>
  <c r="R145" i="3" s="1"/>
  <c r="P140" i="3"/>
  <c r="R140" i="3" s="1"/>
  <c r="F757" i="1"/>
  <c r="F755" i="1"/>
  <c r="F788" i="1"/>
  <c r="F684" i="1"/>
  <c r="F1161" i="1"/>
  <c r="I430" i="3" s="1"/>
  <c r="L430" i="3" s="1"/>
  <c r="F787" i="1"/>
  <c r="F782" i="1"/>
  <c r="F801" i="1"/>
  <c r="F795" i="1"/>
  <c r="F745" i="1"/>
  <c r="F746" i="1"/>
  <c r="F747" i="1"/>
  <c r="I328" i="3" s="1"/>
  <c r="L328" i="3" s="1"/>
  <c r="F748" i="1"/>
  <c r="F749" i="1"/>
  <c r="F750" i="1"/>
  <c r="F751" i="1"/>
  <c r="F752" i="1"/>
  <c r="F753" i="1"/>
  <c r="F754" i="1"/>
  <c r="F756" i="1"/>
  <c r="F758" i="1"/>
  <c r="F759" i="1"/>
  <c r="F760" i="1"/>
  <c r="F761" i="1"/>
  <c r="I299" i="3" s="1"/>
  <c r="L299" i="3" s="1"/>
  <c r="F762" i="1"/>
  <c r="F763" i="1"/>
  <c r="F764" i="1"/>
  <c r="F765" i="1"/>
  <c r="F766" i="1"/>
  <c r="I415" i="3" s="1"/>
  <c r="L415" i="3" s="1"/>
  <c r="F767" i="1"/>
  <c r="F768" i="1"/>
  <c r="F769" i="1"/>
  <c r="F770" i="1"/>
  <c r="F771" i="1"/>
  <c r="I518" i="3" s="1"/>
  <c r="L518" i="3" s="1"/>
  <c r="F772" i="1"/>
  <c r="I307" i="3" s="1"/>
  <c r="L307" i="3" s="1"/>
  <c r="F773" i="1"/>
  <c r="F774" i="1"/>
  <c r="F775" i="1"/>
  <c r="F776" i="1"/>
  <c r="F777" i="1"/>
  <c r="I305" i="3" s="1"/>
  <c r="L305" i="3" s="1"/>
  <c r="F778" i="1"/>
  <c r="F779" i="1"/>
  <c r="F780" i="1"/>
  <c r="F781" i="1"/>
  <c r="F783" i="1"/>
  <c r="F784" i="1"/>
  <c r="F785" i="1"/>
  <c r="F786" i="1"/>
  <c r="F789" i="1"/>
  <c r="F790" i="1"/>
  <c r="F791" i="1"/>
  <c r="I332" i="3" s="1"/>
  <c r="L332" i="3" s="1"/>
  <c r="F792" i="1"/>
  <c r="F793" i="1"/>
  <c r="F794" i="1"/>
  <c r="I389" i="3" s="1"/>
  <c r="L389" i="3" s="1"/>
  <c r="F796" i="1"/>
  <c r="F797" i="1"/>
  <c r="F798" i="1"/>
  <c r="F799" i="1"/>
  <c r="F800" i="1"/>
  <c r="F802" i="1"/>
  <c r="F803" i="1"/>
  <c r="F804" i="1"/>
  <c r="F805" i="1"/>
  <c r="F806" i="1"/>
  <c r="F807" i="1"/>
  <c r="F808" i="1"/>
  <c r="F809" i="1"/>
  <c r="F810" i="1"/>
  <c r="F811" i="1"/>
  <c r="F813" i="1"/>
  <c r="F814" i="1"/>
  <c r="F815" i="1"/>
  <c r="F816" i="1"/>
  <c r="F817" i="1"/>
  <c r="I355" i="3" s="1"/>
  <c r="L355" i="3" s="1"/>
  <c r="F744" i="1"/>
  <c r="B145" i="3"/>
  <c r="B144" i="3"/>
  <c r="B25" i="8"/>
  <c r="D8" i="8"/>
  <c r="B14" i="8"/>
  <c r="B141" i="3"/>
  <c r="F141" i="3" s="1"/>
  <c r="F1212" i="1"/>
  <c r="P139" i="3"/>
  <c r="R139" i="3" s="1"/>
  <c r="B139" i="3"/>
  <c r="F139" i="3" s="1"/>
  <c r="P138" i="3"/>
  <c r="R138" i="3" s="1"/>
  <c r="P136" i="3"/>
  <c r="R136" i="3" s="1"/>
  <c r="P137" i="3"/>
  <c r="R137" i="3" s="1"/>
  <c r="P135" i="3"/>
  <c r="R135" i="3" s="1"/>
  <c r="R132" i="3"/>
  <c r="B138" i="3"/>
  <c r="J88" i="3"/>
  <c r="B135" i="3"/>
  <c r="P120" i="3"/>
  <c r="R120" i="3" s="1"/>
  <c r="P113" i="3"/>
  <c r="R113" i="3" s="1"/>
  <c r="P97" i="3"/>
  <c r="R97" i="3" s="1"/>
  <c r="F421" i="1"/>
  <c r="F420"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B134" i="3"/>
  <c r="B133" i="3"/>
  <c r="B132" i="3"/>
  <c r="H132" i="3" s="1"/>
  <c r="F1209" i="1"/>
  <c r="B130" i="3"/>
  <c r="F1296" i="1"/>
  <c r="B122" i="3"/>
  <c r="B126" i="3"/>
  <c r="B127" i="3"/>
  <c r="B128" i="3"/>
  <c r="H128" i="3" s="1"/>
  <c r="D187" i="1"/>
  <c r="D188" i="1"/>
  <c r="D186" i="1"/>
  <c r="G412" i="3" s="1"/>
  <c r="F187" i="1"/>
  <c r="F188" i="1"/>
  <c r="F157" i="1"/>
  <c r="F158" i="1"/>
  <c r="I528" i="3" s="1"/>
  <c r="L528" i="3" s="1"/>
  <c r="D119" i="1"/>
  <c r="D120" i="1"/>
  <c r="D121" i="1"/>
  <c r="D122" i="1"/>
  <c r="D123" i="1"/>
  <c r="D124" i="1"/>
  <c r="D125" i="1"/>
  <c r="D126" i="1"/>
  <c r="D127" i="1"/>
  <c r="D118" i="1"/>
  <c r="F118" i="1"/>
  <c r="F119" i="1"/>
  <c r="F120" i="1"/>
  <c r="F121" i="1"/>
  <c r="F122" i="1"/>
  <c r="F123" i="1"/>
  <c r="F124" i="1"/>
  <c r="F125" i="1"/>
  <c r="F126" i="1"/>
  <c r="F127" i="1"/>
  <c r="F62" i="1"/>
  <c r="F1208" i="1"/>
  <c r="F1157" i="1"/>
  <c r="F1158" i="1"/>
  <c r="F1159" i="1"/>
  <c r="F1153" i="1"/>
  <c r="F1151" i="1"/>
  <c r="F1150" i="1"/>
  <c r="F1149" i="1"/>
  <c r="F1154" i="1"/>
  <c r="D1160" i="1"/>
  <c r="D1161" i="1"/>
  <c r="G430" i="3" s="1"/>
  <c r="D1162" i="1"/>
  <c r="D1157" i="1"/>
  <c r="D1158" i="1"/>
  <c r="D1159" i="1"/>
  <c r="D1156" i="1"/>
  <c r="F1160" i="1"/>
  <c r="F1162" i="1"/>
  <c r="D1091" i="1"/>
  <c r="D1092" i="1"/>
  <c r="D1093" i="1"/>
  <c r="D1090" i="1"/>
  <c r="F1091" i="1"/>
  <c r="F1092" i="1"/>
  <c r="F1093" i="1"/>
  <c r="F1094" i="1"/>
  <c r="F1090" i="1"/>
  <c r="D1130" i="1"/>
  <c r="D1129" i="1"/>
  <c r="F1130" i="1"/>
  <c r="D964" i="1"/>
  <c r="D965" i="1"/>
  <c r="G295" i="3" s="1"/>
  <c r="D966" i="1"/>
  <c r="D967" i="1"/>
  <c r="D968" i="1"/>
  <c r="D969" i="1"/>
  <c r="D970" i="1"/>
  <c r="D971" i="1"/>
  <c r="G490" i="3" s="1"/>
  <c r="D972" i="1"/>
  <c r="G319" i="3" s="1"/>
  <c r="D963" i="1"/>
  <c r="F963" i="1"/>
  <c r="F964" i="1"/>
  <c r="F965" i="1"/>
  <c r="I295" i="3" s="1"/>
  <c r="L295" i="3" s="1"/>
  <c r="F966" i="1"/>
  <c r="F967" i="1"/>
  <c r="F968" i="1"/>
  <c r="F969" i="1"/>
  <c r="F970" i="1"/>
  <c r="F971" i="1"/>
  <c r="I490" i="3" s="1"/>
  <c r="L490" i="3" s="1"/>
  <c r="F972" i="1"/>
  <c r="I319" i="3" s="1"/>
  <c r="L319" i="3" s="1"/>
  <c r="D1040" i="1"/>
  <c r="G321" i="3" s="1"/>
  <c r="D1041" i="1"/>
  <c r="G414" i="3" s="1"/>
  <c r="D1042" i="1"/>
  <c r="D1043" i="1"/>
  <c r="G345" i="3" s="1"/>
  <c r="D1039" i="1"/>
  <c r="F1039" i="1"/>
  <c r="F1040" i="1"/>
  <c r="I321" i="3" s="1"/>
  <c r="L321" i="3" s="1"/>
  <c r="F1041" i="1"/>
  <c r="I414" i="3" s="1"/>
  <c r="L414" i="3" s="1"/>
  <c r="F1042" i="1"/>
  <c r="F1043" i="1"/>
  <c r="I345" i="3" s="1"/>
  <c r="L345" i="3" s="1"/>
  <c r="H14" i="5"/>
  <c r="H13" i="5"/>
  <c r="H12" i="5"/>
  <c r="B120" i="3"/>
  <c r="B119" i="3"/>
  <c r="H119" i="3" s="1"/>
  <c r="B118" i="3"/>
  <c r="B117" i="3"/>
  <c r="E117" i="3" s="1"/>
  <c r="B113" i="3"/>
  <c r="B115" i="3"/>
  <c r="G115" i="3" s="1"/>
  <c r="F231" i="1"/>
  <c r="R112" i="3"/>
  <c r="B112" i="3"/>
  <c r="B111" i="3"/>
  <c r="B110" i="3"/>
  <c r="F110" i="3" s="1"/>
  <c r="B109" i="3"/>
  <c r="AC22" i="3"/>
  <c r="B107" i="3"/>
  <c r="B106" i="3"/>
  <c r="F106" i="3" s="1"/>
  <c r="B104" i="3"/>
  <c r="B102" i="3"/>
  <c r="E102" i="3" s="1"/>
  <c r="B100" i="3"/>
  <c r="F1219" i="1"/>
  <c r="I290" i="3" s="1"/>
  <c r="L290" i="3" s="1"/>
  <c r="B98" i="3"/>
  <c r="B97" i="3"/>
  <c r="H97" i="3" s="1"/>
  <c r="B96" i="3"/>
  <c r="B95" i="3"/>
  <c r="H95" i="3" s="1"/>
  <c r="B94" i="3"/>
  <c r="F1206" i="1"/>
  <c r="F1207" i="1"/>
  <c r="F1205" i="1"/>
  <c r="B93" i="3"/>
  <c r="B92" i="3"/>
  <c r="B91" i="3"/>
  <c r="D1205" i="1"/>
  <c r="D421" i="1"/>
  <c r="D422" i="1"/>
  <c r="D423" i="1"/>
  <c r="D424" i="1"/>
  <c r="D425" i="1"/>
  <c r="D426" i="1"/>
  <c r="D427" i="1"/>
  <c r="D428" i="1"/>
  <c r="D420" i="1"/>
  <c r="F422" i="1"/>
  <c r="F423" i="1"/>
  <c r="F424" i="1"/>
  <c r="F425" i="1"/>
  <c r="F426" i="1"/>
  <c r="F427" i="1"/>
  <c r="F428" i="1"/>
  <c r="D340" i="1"/>
  <c r="D341" i="1"/>
  <c r="D339" i="1"/>
  <c r="F339" i="1"/>
  <c r="F340" i="1"/>
  <c r="F341" i="1"/>
  <c r="B33" i="3"/>
  <c r="P33" i="3"/>
  <c r="R33" i="3" s="1"/>
  <c r="B2" i="3"/>
  <c r="F2" i="3" s="1"/>
  <c r="P2" i="3"/>
  <c r="R2" i="3" s="1"/>
  <c r="B3" i="3"/>
  <c r="P3" i="3"/>
  <c r="R3" i="3" s="1"/>
  <c r="B4" i="3"/>
  <c r="P4" i="3"/>
  <c r="R4" i="3" s="1"/>
  <c r="B5" i="3"/>
  <c r="G5" i="3" s="1"/>
  <c r="P5" i="3"/>
  <c r="R5" i="3" s="1"/>
  <c r="B6" i="3"/>
  <c r="P6" i="3"/>
  <c r="R6" i="3" s="1"/>
  <c r="B7" i="3"/>
  <c r="P7" i="3"/>
  <c r="R7" i="3" s="1"/>
  <c r="P8" i="3"/>
  <c r="R8" i="3" s="1"/>
  <c r="B9" i="3"/>
  <c r="F9" i="3" s="1"/>
  <c r="P9" i="3"/>
  <c r="R9" i="3" s="1"/>
  <c r="B10" i="3"/>
  <c r="P10" i="3"/>
  <c r="R10" i="3" s="1"/>
  <c r="B11" i="3"/>
  <c r="H11" i="3" s="1"/>
  <c r="P11" i="3"/>
  <c r="R11" i="3" s="1"/>
  <c r="B12" i="3"/>
  <c r="E12" i="3" s="1"/>
  <c r="P12" i="3"/>
  <c r="R12" i="3" s="1"/>
  <c r="B13" i="3"/>
  <c r="P13" i="3"/>
  <c r="R13" i="3" s="1"/>
  <c r="B14" i="3"/>
  <c r="P14" i="3"/>
  <c r="R14" i="3" s="1"/>
  <c r="B15" i="3"/>
  <c r="P15" i="3"/>
  <c r="R15" i="3" s="1"/>
  <c r="B16" i="3"/>
  <c r="P16" i="3"/>
  <c r="R16" i="3" s="1"/>
  <c r="B17" i="3"/>
  <c r="P17" i="3"/>
  <c r="R17" i="3" s="1"/>
  <c r="B18" i="3"/>
  <c r="P18" i="3"/>
  <c r="R18" i="3" s="1"/>
  <c r="B19" i="3"/>
  <c r="P19" i="3"/>
  <c r="R19" i="3" s="1"/>
  <c r="B20" i="3"/>
  <c r="P20" i="3"/>
  <c r="R20" i="3" s="1"/>
  <c r="B21" i="3"/>
  <c r="E21" i="3" s="1"/>
  <c r="P21" i="3"/>
  <c r="R21" i="3" s="1"/>
  <c r="B22" i="3"/>
  <c r="P22" i="3"/>
  <c r="R22" i="3" s="1"/>
  <c r="B23" i="3"/>
  <c r="H23" i="3" s="1"/>
  <c r="P23" i="3"/>
  <c r="R23" i="3" s="1"/>
  <c r="B24" i="3"/>
  <c r="H24" i="3" s="1"/>
  <c r="P24" i="3"/>
  <c r="R24" i="3" s="1"/>
  <c r="B25" i="3"/>
  <c r="P25" i="3"/>
  <c r="R25" i="3" s="1"/>
  <c r="B26" i="3"/>
  <c r="E26" i="3" s="1"/>
  <c r="P26" i="3"/>
  <c r="R26" i="3" s="1"/>
  <c r="B27" i="3"/>
  <c r="E27" i="3" s="1"/>
  <c r="P27" i="3"/>
  <c r="R27" i="3" s="1"/>
  <c r="B28" i="3"/>
  <c r="E28" i="3" s="1"/>
  <c r="P28" i="3"/>
  <c r="R28" i="3" s="1"/>
  <c r="B29" i="3"/>
  <c r="P29" i="3"/>
  <c r="R29" i="3" s="1"/>
  <c r="B30" i="3"/>
  <c r="E30" i="3" s="1"/>
  <c r="P30" i="3"/>
  <c r="R30" i="3" s="1"/>
  <c r="B31" i="3"/>
  <c r="P31" i="3"/>
  <c r="R31" i="3" s="1"/>
  <c r="B32" i="3"/>
  <c r="P32" i="3"/>
  <c r="R32" i="3" s="1"/>
  <c r="B35" i="3"/>
  <c r="P35" i="3"/>
  <c r="R35" i="3" s="1"/>
  <c r="B36" i="3"/>
  <c r="P36" i="3"/>
  <c r="R36" i="3" s="1"/>
  <c r="B37" i="3"/>
  <c r="P37" i="3"/>
  <c r="R37" i="3" s="1"/>
  <c r="B38" i="3"/>
  <c r="P38" i="3"/>
  <c r="R38" i="3" s="1"/>
  <c r="P39" i="3"/>
  <c r="R39" i="3" s="1"/>
  <c r="P40" i="3"/>
  <c r="R40" i="3" s="1"/>
  <c r="B41" i="3"/>
  <c r="P41" i="3"/>
  <c r="R41" i="3" s="1"/>
  <c r="B42" i="3"/>
  <c r="P42" i="3"/>
  <c r="R42" i="3" s="1"/>
  <c r="P43" i="3"/>
  <c r="R43" i="3" s="1"/>
  <c r="B44" i="3"/>
  <c r="P44" i="3"/>
  <c r="R44" i="3" s="1"/>
  <c r="B45" i="3"/>
  <c r="P45" i="3"/>
  <c r="R45" i="3" s="1"/>
  <c r="B46" i="3"/>
  <c r="P46" i="3"/>
  <c r="R46" i="3" s="1"/>
  <c r="B47" i="3"/>
  <c r="P47" i="3"/>
  <c r="R47" i="3" s="1"/>
  <c r="B48" i="3"/>
  <c r="P48" i="3"/>
  <c r="R48" i="3" s="1"/>
  <c r="B49" i="3"/>
  <c r="P49" i="3"/>
  <c r="R49" i="3" s="1"/>
  <c r="P50" i="3"/>
  <c r="R50" i="3" s="1"/>
  <c r="B51" i="3"/>
  <c r="G51" i="3" s="1"/>
  <c r="P51" i="3"/>
  <c r="R51" i="3" s="1"/>
  <c r="B52" i="3"/>
  <c r="P52" i="3"/>
  <c r="R52" i="3" s="1"/>
  <c r="B53" i="3"/>
  <c r="P53" i="3"/>
  <c r="R53" i="3" s="1"/>
  <c r="B54" i="3"/>
  <c r="P54" i="3"/>
  <c r="R54" i="3" s="1"/>
  <c r="B55" i="3"/>
  <c r="P55" i="3"/>
  <c r="R55" i="3" s="1"/>
  <c r="P56" i="3"/>
  <c r="R56" i="3" s="1"/>
  <c r="B57" i="3"/>
  <c r="P57" i="3"/>
  <c r="R57" i="3" s="1"/>
  <c r="P58" i="3"/>
  <c r="R58" i="3" s="1"/>
  <c r="B59" i="3"/>
  <c r="P59" i="3"/>
  <c r="R59" i="3" s="1"/>
  <c r="B60" i="3"/>
  <c r="P60" i="3"/>
  <c r="R60" i="3" s="1"/>
  <c r="B61" i="3"/>
  <c r="P61" i="3"/>
  <c r="R61" i="3" s="1"/>
  <c r="B62" i="3"/>
  <c r="P62" i="3"/>
  <c r="R62" i="3" s="1"/>
  <c r="B63" i="3"/>
  <c r="P63" i="3"/>
  <c r="R63" i="3" s="1"/>
  <c r="B64" i="3"/>
  <c r="P64" i="3"/>
  <c r="R64" i="3" s="1"/>
  <c r="L64" i="3" s="1"/>
  <c r="B65" i="3"/>
  <c r="P65" i="3"/>
  <c r="R65" i="3" s="1"/>
  <c r="B66" i="3"/>
  <c r="P66" i="3"/>
  <c r="R66" i="3" s="1"/>
  <c r="B67" i="3"/>
  <c r="P67" i="3"/>
  <c r="R67" i="3" s="1"/>
  <c r="B68" i="3"/>
  <c r="P68" i="3"/>
  <c r="R68" i="3" s="1"/>
  <c r="P69" i="3"/>
  <c r="R69" i="3" s="1"/>
  <c r="B70" i="3"/>
  <c r="P70" i="3"/>
  <c r="R70" i="3" s="1"/>
  <c r="B71" i="3"/>
  <c r="F71" i="3" s="1"/>
  <c r="P71" i="3"/>
  <c r="R71" i="3" s="1"/>
  <c r="B72" i="3"/>
  <c r="P72" i="3"/>
  <c r="R72" i="3" s="1"/>
  <c r="P73" i="3"/>
  <c r="R73" i="3" s="1"/>
  <c r="B74" i="3"/>
  <c r="P74" i="3"/>
  <c r="R74" i="3" s="1"/>
  <c r="P75" i="3"/>
  <c r="R75" i="3" s="1"/>
  <c r="P76" i="3"/>
  <c r="R76" i="3" s="1"/>
  <c r="P77" i="3"/>
  <c r="R77" i="3" s="1"/>
  <c r="E78" i="3"/>
  <c r="F78" i="3"/>
  <c r="G78" i="3"/>
  <c r="H78" i="3"/>
  <c r="P78" i="3"/>
  <c r="R78" i="3" s="1"/>
  <c r="B79" i="3"/>
  <c r="P79" i="3"/>
  <c r="R79" i="3" s="1"/>
  <c r="B80" i="3"/>
  <c r="P80" i="3"/>
  <c r="R80" i="3" s="1"/>
  <c r="B81" i="3"/>
  <c r="E81" i="3" s="1"/>
  <c r="P81" i="3"/>
  <c r="R81" i="3" s="1"/>
  <c r="P82" i="3"/>
  <c r="R82" i="3" s="1"/>
  <c r="B83" i="3"/>
  <c r="E83" i="3" s="1"/>
  <c r="P83" i="3"/>
  <c r="R83" i="3" s="1"/>
  <c r="B84" i="3"/>
  <c r="E84" i="3" s="1"/>
  <c r="P84" i="3"/>
  <c r="R84" i="3" s="1"/>
  <c r="H11" i="5"/>
  <c r="B90" i="3"/>
  <c r="B88" i="3"/>
  <c r="E88" i="3" s="1"/>
  <c r="B87" i="3"/>
  <c r="B86" i="3"/>
  <c r="H86" i="3" s="1"/>
  <c r="B85" i="3"/>
  <c r="E85" i="3" s="1"/>
  <c r="F1273" i="1"/>
  <c r="H4" i="5"/>
  <c r="H5" i="5"/>
  <c r="H2" i="5"/>
  <c r="H6" i="5"/>
  <c r="H10" i="5"/>
  <c r="H7" i="5"/>
  <c r="H8" i="5"/>
  <c r="H3" i="5"/>
  <c r="T25" i="3"/>
  <c r="U25" i="3" s="1"/>
  <c r="F526" i="1"/>
  <c r="F527" i="1"/>
  <c r="F528" i="1"/>
  <c r="F529" i="1"/>
  <c r="F530" i="1"/>
  <c r="F525" i="1"/>
  <c r="I441" i="3" s="1"/>
  <c r="L441" i="3" s="1"/>
  <c r="D419" i="1"/>
  <c r="F419" i="1"/>
  <c r="F1274" i="1"/>
  <c r="F1272" i="1"/>
  <c r="D962" i="1"/>
  <c r="F962" i="1"/>
  <c r="D1155" i="1"/>
  <c r="D1154" i="1"/>
  <c r="F1155" i="1"/>
  <c r="D416" i="1"/>
  <c r="D417" i="1"/>
  <c r="D418" i="1"/>
  <c r="D415" i="1"/>
  <c r="F415" i="1"/>
  <c r="F416" i="1"/>
  <c r="F417" i="1"/>
  <c r="F418" i="1"/>
  <c r="F337" i="1"/>
  <c r="F338" i="1"/>
  <c r="I506" i="3" s="1"/>
  <c r="L506" i="3" s="1"/>
  <c r="F1181" i="1"/>
  <c r="F523" i="1"/>
  <c r="F524" i="1"/>
  <c r="F522" i="1"/>
  <c r="F235" i="1"/>
  <c r="F1269" i="1"/>
  <c r="F1279" i="1"/>
  <c r="F1277" i="1"/>
  <c r="F1270" i="1"/>
  <c r="F482" i="1"/>
  <c r="F1267" i="1"/>
  <c r="F1268" i="1"/>
  <c r="F1275" i="1"/>
  <c r="F1266" i="1"/>
  <c r="F1265" i="1"/>
  <c r="F1264" i="1"/>
  <c r="F1105" i="1"/>
  <c r="F1127" i="1"/>
  <c r="F1126" i="1"/>
  <c r="F1125" i="1"/>
  <c r="F1124" i="1"/>
  <c r="F1123" i="1"/>
  <c r="F1122" i="1"/>
  <c r="F1121" i="1"/>
  <c r="F1118" i="1"/>
  <c r="F1117" i="1"/>
  <c r="F1116" i="1"/>
  <c r="F1115" i="1"/>
  <c r="F1114" i="1"/>
  <c r="D1114" i="1"/>
  <c r="F1113" i="1"/>
  <c r="D1113" i="1"/>
  <c r="F1112" i="1"/>
  <c r="D1112" i="1"/>
  <c r="F1111" i="1"/>
  <c r="D1111" i="1"/>
  <c r="F1110" i="1"/>
  <c r="I309" i="3" s="1"/>
  <c r="L309" i="3" s="1"/>
  <c r="D1110" i="1"/>
  <c r="G309" i="3" s="1"/>
  <c r="D1109" i="1"/>
  <c r="F1108" i="1"/>
  <c r="D1108" i="1"/>
  <c r="F1107" i="1"/>
  <c r="D1107" i="1"/>
  <c r="F1106" i="1"/>
  <c r="D1106" i="1"/>
  <c r="D1105" i="1"/>
  <c r="F1089" i="1"/>
  <c r="F1088" i="1"/>
  <c r="F1087" i="1"/>
  <c r="F1086" i="1"/>
  <c r="F1085" i="1"/>
  <c r="D1085" i="1"/>
  <c r="F1084" i="1"/>
  <c r="D1084" i="1"/>
  <c r="F1083" i="1"/>
  <c r="D1083" i="1"/>
  <c r="F1082" i="1"/>
  <c r="D1082" i="1"/>
  <c r="F1081" i="1"/>
  <c r="I349" i="3" s="1"/>
  <c r="L349" i="3" s="1"/>
  <c r="D1081" i="1"/>
  <c r="G349" i="3" s="1"/>
  <c r="F1080" i="1"/>
  <c r="D1080" i="1"/>
  <c r="F1079" i="1"/>
  <c r="D1079" i="1"/>
  <c r="F1078" i="1"/>
  <c r="D1078" i="1"/>
  <c r="F1077" i="1"/>
  <c r="D1077" i="1"/>
  <c r="F1076" i="1"/>
  <c r="D1076" i="1"/>
  <c r="F1075" i="1"/>
  <c r="D1075" i="1"/>
  <c r="F1074" i="1"/>
  <c r="D1074" i="1"/>
  <c r="F1073" i="1"/>
  <c r="D1073" i="1"/>
  <c r="F1072" i="1"/>
  <c r="D1072" i="1"/>
  <c r="F1071" i="1"/>
  <c r="D1071" i="1"/>
  <c r="F1070" i="1"/>
  <c r="D1070" i="1"/>
  <c r="F1069" i="1"/>
  <c r="D1069" i="1"/>
  <c r="F1068" i="1"/>
  <c r="D1068" i="1"/>
  <c r="F1067" i="1"/>
  <c r="D1067" i="1"/>
  <c r="F1066" i="1"/>
  <c r="D1066" i="1"/>
  <c r="F1065" i="1"/>
  <c r="D1065" i="1"/>
  <c r="F1064" i="1"/>
  <c r="D1064" i="1"/>
  <c r="F1037" i="1"/>
  <c r="F1036" i="1"/>
  <c r="I495" i="3" s="1"/>
  <c r="L495" i="3" s="1"/>
  <c r="D1036" i="1"/>
  <c r="G495" i="3" s="1"/>
  <c r="F1035" i="1"/>
  <c r="D1035" i="1"/>
  <c r="F1034" i="1"/>
  <c r="I494" i="3" s="1"/>
  <c r="L494" i="3" s="1"/>
  <c r="D1034" i="1"/>
  <c r="G494" i="3" s="1"/>
  <c r="F1033" i="1"/>
  <c r="I496" i="3" s="1"/>
  <c r="L496" i="3" s="1"/>
  <c r="D1033" i="1"/>
  <c r="G496" i="3" s="1"/>
  <c r="F1032" i="1"/>
  <c r="D1032" i="1"/>
  <c r="F1031" i="1"/>
  <c r="D1031" i="1"/>
  <c r="F1030" i="1"/>
  <c r="D1030" i="1"/>
  <c r="F1029" i="1"/>
  <c r="D1029" i="1"/>
  <c r="F1028" i="1"/>
  <c r="D1028" i="1"/>
  <c r="F1027" i="1"/>
  <c r="D1027" i="1"/>
  <c r="F1026" i="1"/>
  <c r="I519" i="3" s="1"/>
  <c r="L519" i="3" s="1"/>
  <c r="D1026" i="1"/>
  <c r="G519" i="3" s="1"/>
  <c r="F1025" i="1"/>
  <c r="D1025" i="1"/>
  <c r="F1024" i="1"/>
  <c r="I435" i="3" s="1"/>
  <c r="L435" i="3" s="1"/>
  <c r="D1024" i="1"/>
  <c r="G435" i="3" s="1"/>
  <c r="F1023" i="1"/>
  <c r="I493" i="3" s="1"/>
  <c r="L493" i="3" s="1"/>
  <c r="D1023" i="1"/>
  <c r="G493" i="3" s="1"/>
  <c r="F1022" i="1"/>
  <c r="D1022" i="1"/>
  <c r="F1021" i="1"/>
  <c r="D1021" i="1"/>
  <c r="F1020" i="1"/>
  <c r="D1020" i="1"/>
  <c r="F1019" i="1"/>
  <c r="D1019" i="1"/>
  <c r="F1018" i="1"/>
  <c r="D1018" i="1"/>
  <c r="F1017" i="1"/>
  <c r="D1017" i="1"/>
  <c r="F1016" i="1"/>
  <c r="D1016" i="1"/>
  <c r="F961" i="1"/>
  <c r="F960" i="1"/>
  <c r="F959" i="1"/>
  <c r="F958" i="1"/>
  <c r="F957" i="1"/>
  <c r="F956" i="1"/>
  <c r="D956" i="1"/>
  <c r="F955" i="1"/>
  <c r="D955" i="1"/>
  <c r="F954" i="1"/>
  <c r="D954" i="1"/>
  <c r="F953" i="1"/>
  <c r="D953" i="1"/>
  <c r="F952" i="1"/>
  <c r="I492" i="3" s="1"/>
  <c r="L492" i="3" s="1"/>
  <c r="D952" i="1"/>
  <c r="G492" i="3" s="1"/>
  <c r="F951" i="1"/>
  <c r="D951" i="1"/>
  <c r="F950" i="1"/>
  <c r="D950" i="1"/>
  <c r="F949" i="1"/>
  <c r="I351" i="3" s="1"/>
  <c r="L351" i="3" s="1"/>
  <c r="D949" i="1"/>
  <c r="G351" i="3" s="1"/>
  <c r="F948" i="1"/>
  <c r="D948" i="1"/>
  <c r="F947" i="1"/>
  <c r="D947" i="1"/>
  <c r="F946" i="1"/>
  <c r="I489" i="3" s="1"/>
  <c r="L489" i="3" s="1"/>
  <c r="D946" i="1"/>
  <c r="G489" i="3" s="1"/>
  <c r="F945" i="1"/>
  <c r="D945" i="1"/>
  <c r="F944" i="1"/>
  <c r="D944" i="1"/>
  <c r="F943" i="1"/>
  <c r="D943" i="1"/>
  <c r="F942" i="1"/>
  <c r="D942" i="1"/>
  <c r="F941" i="1"/>
  <c r="D941" i="1"/>
  <c r="F940" i="1"/>
  <c r="D940" i="1"/>
  <c r="F939" i="1"/>
  <c r="D939" i="1"/>
  <c r="F938" i="1"/>
  <c r="D938" i="1"/>
  <c r="F937" i="1"/>
  <c r="D937" i="1"/>
  <c r="F936" i="1"/>
  <c r="D936" i="1"/>
  <c r="F935" i="1"/>
  <c r="D935" i="1"/>
  <c r="F934" i="1"/>
  <c r="D934" i="1"/>
  <c r="F933" i="1"/>
  <c r="F932" i="1"/>
  <c r="D932" i="1"/>
  <c r="F931" i="1"/>
  <c r="D931" i="1"/>
  <c r="F930" i="1"/>
  <c r="D930" i="1"/>
  <c r="F929" i="1"/>
  <c r="D929" i="1"/>
  <c r="F928" i="1"/>
  <c r="D928" i="1"/>
  <c r="F927" i="1"/>
  <c r="D927" i="1"/>
  <c r="F926" i="1"/>
  <c r="I488" i="3" s="1"/>
  <c r="L488" i="3" s="1"/>
  <c r="D926" i="1"/>
  <c r="G488" i="3" s="1"/>
  <c r="F925" i="1"/>
  <c r="D925" i="1"/>
  <c r="F924" i="1"/>
  <c r="D924" i="1"/>
  <c r="F923" i="1"/>
  <c r="D923" i="1"/>
  <c r="F922" i="1"/>
  <c r="D922" i="1"/>
  <c r="F921" i="1"/>
  <c r="D921" i="1"/>
  <c r="F920" i="1"/>
  <c r="D920" i="1"/>
  <c r="F919" i="1"/>
  <c r="D919" i="1"/>
  <c r="F918" i="1"/>
  <c r="D918" i="1"/>
  <c r="F917" i="1"/>
  <c r="D917" i="1"/>
  <c r="F916" i="1"/>
  <c r="I504" i="3" s="1"/>
  <c r="L504" i="3" s="1"/>
  <c r="D916" i="1"/>
  <c r="G504" i="3" s="1"/>
  <c r="F915" i="1"/>
  <c r="D915" i="1"/>
  <c r="F914" i="1"/>
  <c r="D914" i="1"/>
  <c r="F913" i="1"/>
  <c r="D913" i="1"/>
  <c r="F912" i="1"/>
  <c r="D912" i="1"/>
  <c r="F911" i="1"/>
  <c r="D911" i="1"/>
  <c r="F910" i="1"/>
  <c r="D910" i="1"/>
  <c r="F909" i="1"/>
  <c r="D909" i="1"/>
  <c r="F908" i="1"/>
  <c r="I487" i="3" s="1"/>
  <c r="L487" i="3" s="1"/>
  <c r="D908" i="1"/>
  <c r="G487" i="3" s="1"/>
  <c r="F907" i="1"/>
  <c r="D907" i="1"/>
  <c r="F906" i="1"/>
  <c r="D906" i="1"/>
  <c r="F905" i="1"/>
  <c r="D905" i="1"/>
  <c r="F904" i="1"/>
  <c r="D904" i="1"/>
  <c r="F903" i="1"/>
  <c r="D903" i="1"/>
  <c r="F902" i="1"/>
  <c r="I308" i="3" s="1"/>
  <c r="L308" i="3" s="1"/>
  <c r="D902" i="1"/>
  <c r="G308" i="3" s="1"/>
  <c r="F901" i="1"/>
  <c r="D901" i="1"/>
  <c r="F900" i="1"/>
  <c r="D900" i="1"/>
  <c r="F743" i="1"/>
  <c r="F742" i="1"/>
  <c r="F741" i="1"/>
  <c r="F740" i="1"/>
  <c r="F739" i="1"/>
  <c r="F738" i="1"/>
  <c r="F737" i="1"/>
  <c r="F736" i="1"/>
  <c r="F735" i="1"/>
  <c r="F734" i="1"/>
  <c r="F733" i="1"/>
  <c r="F732" i="1"/>
  <c r="F731" i="1"/>
  <c r="I508" i="3" s="1"/>
  <c r="L508" i="3" s="1"/>
  <c r="F730" i="1"/>
  <c r="F729" i="1"/>
  <c r="F728" i="1"/>
  <c r="F727" i="1"/>
  <c r="F726" i="1"/>
  <c r="F725" i="1"/>
  <c r="F724" i="1"/>
  <c r="F723" i="1"/>
  <c r="F722" i="1"/>
  <c r="F721" i="1"/>
  <c r="F720" i="1"/>
  <c r="F719" i="1"/>
  <c r="F718" i="1"/>
  <c r="F717" i="1"/>
  <c r="I368" i="3" s="1"/>
  <c r="L368" i="3" s="1"/>
  <c r="F716" i="1"/>
  <c r="F715" i="1"/>
  <c r="F714" i="1"/>
  <c r="F713" i="1"/>
  <c r="I314" i="3" s="1"/>
  <c r="L314" i="3" s="1"/>
  <c r="F712" i="1"/>
  <c r="F711" i="1"/>
  <c r="F710" i="1"/>
  <c r="F709" i="1"/>
  <c r="F708" i="1"/>
  <c r="F707" i="1"/>
  <c r="F706" i="1"/>
  <c r="F705" i="1"/>
  <c r="I330" i="3" s="1"/>
  <c r="L330" i="3" s="1"/>
  <c r="F704" i="1"/>
  <c r="F703" i="1"/>
  <c r="F702" i="1"/>
  <c r="F701" i="1"/>
  <c r="F700" i="1"/>
  <c r="F699" i="1"/>
  <c r="F698" i="1"/>
  <c r="F697" i="1"/>
  <c r="F696" i="1"/>
  <c r="F695" i="1"/>
  <c r="I526" i="3" s="1"/>
  <c r="L526" i="3" s="1"/>
  <c r="F694" i="1"/>
  <c r="F693" i="1"/>
  <c r="F692" i="1"/>
  <c r="I343" i="3" s="1"/>
  <c r="L343" i="3" s="1"/>
  <c r="F691" i="1"/>
  <c r="F690" i="1"/>
  <c r="F689" i="1"/>
  <c r="F688" i="1"/>
  <c r="F687" i="1"/>
  <c r="F686" i="1"/>
  <c r="I434" i="3" s="1"/>
  <c r="L434" i="3" s="1"/>
  <c r="F685" i="1"/>
  <c r="F683" i="1"/>
  <c r="I324" i="3" s="1"/>
  <c r="L324" i="3" s="1"/>
  <c r="F682" i="1"/>
  <c r="F681" i="1"/>
  <c r="F680" i="1"/>
  <c r="F679" i="1"/>
  <c r="F678" i="1"/>
  <c r="F677" i="1"/>
  <c r="I342" i="3" s="1"/>
  <c r="L342" i="3" s="1"/>
  <c r="F676" i="1"/>
  <c r="F675" i="1"/>
  <c r="F674" i="1"/>
  <c r="F673" i="1"/>
  <c r="F672" i="1"/>
  <c r="F671" i="1"/>
  <c r="I306" i="3" s="1"/>
  <c r="L306" i="3" s="1"/>
  <c r="F670" i="1"/>
  <c r="F669" i="1"/>
  <c r="F668" i="1"/>
  <c r="F667" i="1"/>
  <c r="F666" i="1"/>
  <c r="F665" i="1"/>
  <c r="F664" i="1"/>
  <c r="F663" i="1"/>
  <c r="F662" i="1"/>
  <c r="F661" i="1"/>
  <c r="F660" i="1"/>
  <c r="F659" i="1"/>
  <c r="F658" i="1"/>
  <c r="F657" i="1"/>
  <c r="F656" i="1"/>
  <c r="F655" i="1"/>
  <c r="F654" i="1"/>
  <c r="F653" i="1"/>
  <c r="F652" i="1"/>
  <c r="I304" i="3" s="1"/>
  <c r="L304" i="3" s="1"/>
  <c r="F651" i="1"/>
  <c r="F650" i="1"/>
  <c r="F649" i="1"/>
  <c r="F648" i="1"/>
  <c r="F647" i="1"/>
  <c r="F646" i="1"/>
  <c r="F645" i="1"/>
  <c r="F644" i="1"/>
  <c r="F643" i="1"/>
  <c r="F642" i="1"/>
  <c r="I327" i="3" s="1"/>
  <c r="L327" i="3" s="1"/>
  <c r="F641" i="1"/>
  <c r="I424" i="3" s="1"/>
  <c r="L424" i="3" s="1"/>
  <c r="F640" i="1"/>
  <c r="F639" i="1"/>
  <c r="F638" i="1"/>
  <c r="I419" i="3" s="1"/>
  <c r="L419" i="3" s="1"/>
  <c r="F637" i="1"/>
  <c r="I407" i="3" s="1"/>
  <c r="L407" i="3" s="1"/>
  <c r="F636" i="1"/>
  <c r="F635" i="1"/>
  <c r="I417" i="3" s="1"/>
  <c r="L417" i="3" s="1"/>
  <c r="F634" i="1"/>
  <c r="F633" i="1"/>
  <c r="I406" i="3" s="1"/>
  <c r="L406" i="3" s="1"/>
  <c r="F632" i="1"/>
  <c r="F631" i="1"/>
  <c r="F630" i="1"/>
  <c r="I408" i="3" s="1"/>
  <c r="L408" i="3" s="1"/>
  <c r="F629" i="1"/>
  <c r="F628" i="1"/>
  <c r="I425" i="3" s="1"/>
  <c r="L425" i="3" s="1"/>
  <c r="F627" i="1"/>
  <c r="F626" i="1"/>
  <c r="F625" i="1"/>
  <c r="F624" i="1"/>
  <c r="F623" i="1"/>
  <c r="F622" i="1"/>
  <c r="F621" i="1"/>
  <c r="I472" i="3" s="1"/>
  <c r="L472" i="3" s="1"/>
  <c r="F620" i="1"/>
  <c r="F619" i="1"/>
  <c r="F618" i="1"/>
  <c r="F617" i="1"/>
  <c r="F616" i="1"/>
  <c r="I374" i="3" s="1"/>
  <c r="L374" i="3" s="1"/>
  <c r="F615" i="1"/>
  <c r="F614" i="1"/>
  <c r="F613" i="1"/>
  <c r="F612" i="1"/>
  <c r="F611" i="1"/>
  <c r="F610" i="1"/>
  <c r="F609" i="1"/>
  <c r="F608" i="1"/>
  <c r="F607" i="1"/>
  <c r="I405" i="3" s="1"/>
  <c r="L405" i="3" s="1"/>
  <c r="F606" i="1"/>
  <c r="F605" i="1"/>
  <c r="F604" i="1"/>
  <c r="F603" i="1"/>
  <c r="I525" i="3" s="1"/>
  <c r="L525" i="3" s="1"/>
  <c r="F602" i="1"/>
  <c r="I379" i="3" s="1"/>
  <c r="L379" i="3" s="1"/>
  <c r="F601" i="1"/>
  <c r="F600" i="1"/>
  <c r="I397" i="3" s="1"/>
  <c r="L397" i="3" s="1"/>
  <c r="F599" i="1"/>
  <c r="F598" i="1"/>
  <c r="F597" i="1"/>
  <c r="I395" i="3" s="1"/>
  <c r="L395" i="3" s="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I285" i="3" s="1"/>
  <c r="L285" i="3" s="1"/>
  <c r="F560" i="1"/>
  <c r="F559" i="1"/>
  <c r="F558" i="1"/>
  <c r="F557" i="1"/>
  <c r="F556" i="1"/>
  <c r="F555" i="1"/>
  <c r="F554" i="1"/>
  <c r="F553" i="1"/>
  <c r="F552" i="1"/>
  <c r="F551" i="1"/>
  <c r="F550" i="1"/>
  <c r="F549" i="1"/>
  <c r="F548" i="1"/>
  <c r="F547" i="1"/>
  <c r="F546" i="1"/>
  <c r="F545" i="1"/>
  <c r="I452" i="3" s="1"/>
  <c r="L452" i="3" s="1"/>
  <c r="F544" i="1"/>
  <c r="F543" i="1"/>
  <c r="I301" i="3" s="1"/>
  <c r="L301" i="3" s="1"/>
  <c r="F521" i="1"/>
  <c r="F520" i="1"/>
  <c r="F519" i="1"/>
  <c r="F518" i="1"/>
  <c r="F517" i="1"/>
  <c r="F516" i="1"/>
  <c r="F515" i="1"/>
  <c r="F514" i="1"/>
  <c r="F513" i="1"/>
  <c r="F512" i="1"/>
  <c r="F511" i="1"/>
  <c r="F510" i="1"/>
  <c r="F509" i="1"/>
  <c r="F508" i="1"/>
  <c r="F507" i="1"/>
  <c r="F506" i="1"/>
  <c r="F505" i="1"/>
  <c r="F504" i="1"/>
  <c r="F503" i="1"/>
  <c r="F502" i="1"/>
  <c r="F501" i="1"/>
  <c r="F500" i="1"/>
  <c r="F499" i="1"/>
  <c r="F495" i="1"/>
  <c r="F494" i="1"/>
  <c r="I293" i="3" s="1"/>
  <c r="L293" i="3" s="1"/>
  <c r="D494" i="1"/>
  <c r="G293" i="3" s="1"/>
  <c r="F493" i="1"/>
  <c r="D493" i="1"/>
  <c r="F492" i="1"/>
  <c r="D492" i="1"/>
  <c r="F491" i="1"/>
  <c r="I529" i="3" s="1"/>
  <c r="L529" i="3" s="1"/>
  <c r="D491" i="1"/>
  <c r="G529" i="3" s="1"/>
  <c r="F490" i="1"/>
  <c r="D490" i="1"/>
  <c r="F489" i="1"/>
  <c r="I334" i="3" s="1"/>
  <c r="L334" i="3" s="1"/>
  <c r="D489" i="1"/>
  <c r="G334" i="3" s="1"/>
  <c r="F488" i="1"/>
  <c r="D488" i="1"/>
  <c r="F487" i="1"/>
  <c r="D487" i="1"/>
  <c r="F486" i="1"/>
  <c r="D486" i="1"/>
  <c r="F485" i="1"/>
  <c r="D485" i="1"/>
  <c r="F484" i="1"/>
  <c r="D484" i="1"/>
  <c r="F483" i="1"/>
  <c r="D483" i="1"/>
  <c r="D482" i="1"/>
  <c r="F481" i="1"/>
  <c r="D481" i="1"/>
  <c r="F469" i="1"/>
  <c r="I498" i="3" s="1"/>
  <c r="L498" i="3" s="1"/>
  <c r="D469" i="1"/>
  <c r="G498" i="3" s="1"/>
  <c r="F468" i="1"/>
  <c r="D468" i="1"/>
  <c r="F467" i="1"/>
  <c r="D467" i="1"/>
  <c r="F466" i="1"/>
  <c r="D466" i="1"/>
  <c r="F465" i="1"/>
  <c r="D465" i="1"/>
  <c r="F464" i="1"/>
  <c r="I369" i="3" s="1"/>
  <c r="L369" i="3" s="1"/>
  <c r="D464" i="1"/>
  <c r="G369" i="3" s="1"/>
  <c r="F463" i="1"/>
  <c r="D463" i="1"/>
  <c r="F462" i="1"/>
  <c r="D462" i="1"/>
  <c r="F414" i="1"/>
  <c r="F413" i="1"/>
  <c r="F411" i="1"/>
  <c r="D411" i="1"/>
  <c r="F410" i="1"/>
  <c r="D410" i="1"/>
  <c r="F409" i="1"/>
  <c r="D409" i="1"/>
  <c r="F408" i="1"/>
  <c r="I287" i="3" s="1"/>
  <c r="D408" i="1"/>
  <c r="G287" i="3" s="1"/>
  <c r="F407" i="1"/>
  <c r="D407" i="1"/>
  <c r="F406" i="1"/>
  <c r="D406" i="1"/>
  <c r="F405" i="1"/>
  <c r="D405" i="1"/>
  <c r="F404" i="1"/>
  <c r="D404" i="1"/>
  <c r="F403" i="1"/>
  <c r="D403" i="1"/>
  <c r="F402" i="1"/>
  <c r="D402" i="1"/>
  <c r="F401" i="1"/>
  <c r="D401" i="1"/>
  <c r="F400" i="1"/>
  <c r="D400" i="1"/>
  <c r="F399" i="1"/>
  <c r="D399" i="1"/>
  <c r="F398" i="1"/>
  <c r="D398" i="1"/>
  <c r="F397" i="1"/>
  <c r="D397" i="1"/>
  <c r="F396" i="1"/>
  <c r="D396" i="1"/>
  <c r="F395" i="1"/>
  <c r="I366" i="3" s="1"/>
  <c r="L366" i="3" s="1"/>
  <c r="D395" i="1"/>
  <c r="G366" i="3" s="1"/>
  <c r="F394" i="1"/>
  <c r="D394" i="1"/>
  <c r="F393" i="1"/>
  <c r="D393" i="1"/>
  <c r="F392" i="1"/>
  <c r="D392" i="1"/>
  <c r="F391" i="1"/>
  <c r="D391" i="1"/>
  <c r="F390" i="1"/>
  <c r="D390" i="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I317" i="3" s="1"/>
  <c r="L317" i="3" s="1"/>
  <c r="D373" i="1"/>
  <c r="G317" i="3" s="1"/>
  <c r="F372" i="1"/>
  <c r="D372" i="1"/>
  <c r="F371" i="1"/>
  <c r="D371" i="1"/>
  <c r="F370" i="1"/>
  <c r="D370" i="1"/>
  <c r="F369" i="1"/>
  <c r="D369" i="1"/>
  <c r="F368" i="1"/>
  <c r="D368" i="1"/>
  <c r="F367" i="1"/>
  <c r="D367" i="1"/>
  <c r="F336" i="1"/>
  <c r="F335" i="1"/>
  <c r="F334" i="1"/>
  <c r="F333" i="1"/>
  <c r="F332" i="1"/>
  <c r="F331" i="1"/>
  <c r="D331" i="1"/>
  <c r="F330" i="1"/>
  <c r="I456" i="3" s="1"/>
  <c r="L456" i="3" s="1"/>
  <c r="D330" i="1"/>
  <c r="G456" i="3" s="1"/>
  <c r="F329" i="1"/>
  <c r="D329" i="1"/>
  <c r="F328" i="1"/>
  <c r="D328" i="1"/>
  <c r="F327" i="1"/>
  <c r="D327" i="1"/>
  <c r="F326" i="1"/>
  <c r="I282" i="3" s="1"/>
  <c r="L282" i="3" s="1"/>
  <c r="D326" i="1"/>
  <c r="G282" i="3" s="1"/>
  <c r="F325" i="1"/>
  <c r="D325" i="1"/>
  <c r="F324" i="1"/>
  <c r="D324" i="1"/>
  <c r="F323" i="1"/>
  <c r="D323" i="1"/>
  <c r="F322" i="1"/>
  <c r="D322" i="1"/>
  <c r="F321" i="1"/>
  <c r="D321" i="1"/>
  <c r="F320" i="1"/>
  <c r="D320" i="1"/>
  <c r="F319" i="1"/>
  <c r="D319" i="1"/>
  <c r="F318" i="1"/>
  <c r="D318" i="1"/>
  <c r="F317" i="1"/>
  <c r="I445" i="3" s="1"/>
  <c r="L445" i="3" s="1"/>
  <c r="D317" i="1"/>
  <c r="G445" i="3" s="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I388" i="3" s="1"/>
  <c r="L388" i="3" s="1"/>
  <c r="D302" i="1"/>
  <c r="G388" i="3" s="1"/>
  <c r="F301" i="1"/>
  <c r="D301" i="1"/>
  <c r="F300" i="1"/>
  <c r="D300" i="1"/>
  <c r="F299" i="1"/>
  <c r="D299" i="1"/>
  <c r="F298" i="1"/>
  <c r="D298" i="1"/>
  <c r="F297" i="1"/>
  <c r="D297" i="1"/>
  <c r="F296" i="1"/>
  <c r="D296" i="1"/>
  <c r="F295" i="1"/>
  <c r="D295" i="1"/>
  <c r="F294" i="1"/>
  <c r="D294" i="1"/>
  <c r="F293" i="1"/>
  <c r="I428" i="3" s="1"/>
  <c r="L428" i="3" s="1"/>
  <c r="D293" i="1"/>
  <c r="G428" i="3" s="1"/>
  <c r="F292" i="1"/>
  <c r="I509" i="3" s="1"/>
  <c r="L509" i="3" s="1"/>
  <c r="D292" i="1"/>
  <c r="G509" i="3" s="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I500" i="3" s="1"/>
  <c r="L500" i="3" s="1"/>
  <c r="D277" i="1"/>
  <c r="G500" i="3" s="1"/>
  <c r="F276" i="1"/>
  <c r="D276" i="1"/>
  <c r="F275" i="1"/>
  <c r="D275" i="1"/>
  <c r="F274" i="1"/>
  <c r="D274" i="1"/>
  <c r="F273" i="1"/>
  <c r="D273" i="1"/>
  <c r="F272" i="1"/>
  <c r="I527" i="3" s="1"/>
  <c r="L527" i="3" s="1"/>
  <c r="D272" i="1"/>
  <c r="G527" i="3" s="1"/>
  <c r="F271" i="1"/>
  <c r="D271" i="1"/>
  <c r="F270" i="1"/>
  <c r="D270" i="1"/>
  <c r="F269" i="1"/>
  <c r="D269" i="1"/>
  <c r="F268" i="1"/>
  <c r="I354" i="3" s="1"/>
  <c r="L354" i="3" s="1"/>
  <c r="D268" i="1"/>
  <c r="G354" i="3" s="1"/>
  <c r="F267" i="1"/>
  <c r="D267" i="1"/>
  <c r="F266" i="1"/>
  <c r="D266" i="1"/>
  <c r="F265" i="1"/>
  <c r="D265" i="1"/>
  <c r="F264" i="1"/>
  <c r="D264" i="1"/>
  <c r="F263" i="1"/>
  <c r="D263" i="1"/>
  <c r="F262" i="1"/>
  <c r="D262" i="1"/>
  <c r="F261" i="1"/>
  <c r="D261" i="1"/>
  <c r="F260" i="1"/>
  <c r="D260" i="1"/>
  <c r="F259" i="1"/>
  <c r="D259" i="1"/>
  <c r="F258" i="1"/>
  <c r="D258" i="1"/>
  <c r="F257" i="1"/>
  <c r="I348" i="3" s="1"/>
  <c r="L348" i="3" s="1"/>
  <c r="D257" i="1"/>
  <c r="G348" i="3" s="1"/>
  <c r="F256" i="1"/>
  <c r="D256" i="1"/>
  <c r="F255" i="1"/>
  <c r="F254" i="1"/>
  <c r="F253" i="1"/>
  <c r="F252" i="1"/>
  <c r="F251" i="1"/>
  <c r="F250" i="1"/>
  <c r="F249" i="1"/>
  <c r="F248" i="1"/>
  <c r="F247" i="1"/>
  <c r="F246" i="1"/>
  <c r="F245" i="1"/>
  <c r="F242" i="1"/>
  <c r="F244" i="1"/>
  <c r="F243" i="1"/>
  <c r="F241" i="1"/>
  <c r="F240" i="1"/>
  <c r="F239" i="1"/>
  <c r="F238" i="1"/>
  <c r="F236" i="1"/>
  <c r="F234" i="1"/>
  <c r="F233" i="1"/>
  <c r="F232" i="1"/>
  <c r="F230" i="1"/>
  <c r="F229" i="1"/>
  <c r="F227" i="1"/>
  <c r="I480" i="3" s="1"/>
  <c r="L480" i="3" s="1"/>
  <c r="F226" i="1"/>
  <c r="F225" i="1"/>
  <c r="F224" i="1"/>
  <c r="F223" i="1"/>
  <c r="F221" i="1"/>
  <c r="F220" i="1"/>
  <c r="F219" i="1"/>
  <c r="F218" i="1"/>
  <c r="F217" i="1"/>
  <c r="F216" i="1"/>
  <c r="F215" i="1"/>
  <c r="F214" i="1"/>
  <c r="F213" i="1"/>
  <c r="F212" i="1"/>
  <c r="I340" i="3" s="1"/>
  <c r="L340" i="3" s="1"/>
  <c r="F211" i="1"/>
  <c r="F210" i="1"/>
  <c r="F209" i="1"/>
  <c r="F208" i="1"/>
  <c r="F207" i="1"/>
  <c r="F206" i="1"/>
  <c r="F205" i="1"/>
  <c r="F204" i="1"/>
  <c r="F201" i="1"/>
  <c r="I365" i="3" s="1"/>
  <c r="L365" i="3" s="1"/>
  <c r="F200" i="1"/>
  <c r="F199" i="1"/>
  <c r="F198" i="1"/>
  <c r="F186" i="1"/>
  <c r="I412" i="3" s="1"/>
  <c r="L412" i="3" s="1"/>
  <c r="F185" i="1"/>
  <c r="D185" i="1"/>
  <c r="F184" i="1"/>
  <c r="D184" i="1"/>
  <c r="F183" i="1"/>
  <c r="D183" i="1"/>
  <c r="F182" i="1"/>
  <c r="D182" i="1"/>
  <c r="D181" i="1"/>
  <c r="G377" i="3" s="1"/>
  <c r="F156" i="1"/>
  <c r="D156" i="1"/>
  <c r="F155" i="1"/>
  <c r="I466" i="3" s="1"/>
  <c r="L466" i="3" s="1"/>
  <c r="D155" i="1"/>
  <c r="G466" i="3" s="1"/>
  <c r="F154" i="1"/>
  <c r="D154" i="1"/>
  <c r="F153" i="1"/>
  <c r="D153" i="1"/>
  <c r="F152" i="1"/>
  <c r="D152" i="1"/>
  <c r="F151" i="1"/>
  <c r="D151" i="1"/>
  <c r="F150" i="1"/>
  <c r="I350" i="3" s="1"/>
  <c r="L350" i="3" s="1"/>
  <c r="D150" i="1"/>
  <c r="G350" i="3" s="1"/>
  <c r="F149" i="1"/>
  <c r="D149" i="1"/>
  <c r="F148" i="1"/>
  <c r="D148" i="1"/>
  <c r="F147" i="1"/>
  <c r="I520" i="3" s="1"/>
  <c r="L520" i="3" s="1"/>
  <c r="D147" i="1"/>
  <c r="G520" i="3" s="1"/>
  <c r="F145" i="1"/>
  <c r="D145" i="1"/>
  <c r="F144" i="1"/>
  <c r="D144" i="1"/>
  <c r="F116" i="1"/>
  <c r="F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I442" i="3" s="1"/>
  <c r="L442" i="3" s="1"/>
  <c r="D101" i="1"/>
  <c r="G442" i="3" s="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I523" i="3" s="1"/>
  <c r="L523" i="3" s="1"/>
  <c r="D78" i="1"/>
  <c r="G523" i="3" s="1"/>
  <c r="F77" i="1"/>
  <c r="F60" i="1"/>
  <c r="I78" i="3" s="1"/>
  <c r="F59" i="1"/>
  <c r="F58" i="1"/>
  <c r="D58" i="1"/>
  <c r="F57" i="1"/>
  <c r="D57" i="1"/>
  <c r="F56" i="1"/>
  <c r="D56" i="1"/>
  <c r="F55" i="1"/>
  <c r="D55" i="1"/>
  <c r="F54" i="1"/>
  <c r="D54" i="1"/>
  <c r="F53" i="1"/>
  <c r="I364" i="3" s="1"/>
  <c r="L364" i="3" s="1"/>
  <c r="D53" i="1"/>
  <c r="G364" i="3" s="1"/>
  <c r="F52" i="1"/>
  <c r="I467" i="3" s="1"/>
  <c r="L467" i="3" s="1"/>
  <c r="D52" i="1"/>
  <c r="G467" i="3" s="1"/>
  <c r="F51" i="1"/>
  <c r="I382" i="3" s="1"/>
  <c r="L382" i="3" s="1"/>
  <c r="D51" i="1"/>
  <c r="G382" i="3" s="1"/>
  <c r="F50" i="1"/>
  <c r="D50" i="1"/>
  <c r="F49" i="1"/>
  <c r="D49" i="1"/>
  <c r="F48" i="1"/>
  <c r="D48" i="1"/>
  <c r="F47" i="1"/>
  <c r="D47" i="1"/>
  <c r="F46" i="1"/>
  <c r="D46" i="1"/>
  <c r="F45" i="1"/>
  <c r="D45" i="1"/>
  <c r="F44" i="1"/>
  <c r="D44" i="1"/>
  <c r="F43" i="1"/>
  <c r="D43" i="1"/>
  <c r="F42" i="1"/>
  <c r="D42" i="1"/>
  <c r="F41" i="1"/>
  <c r="D41" i="1"/>
  <c r="F40" i="1"/>
  <c r="D40" i="1"/>
  <c r="F39" i="1"/>
  <c r="D39" i="1"/>
  <c r="F38" i="1"/>
  <c r="D38" i="1"/>
  <c r="F37" i="1"/>
  <c r="I449" i="3" s="1"/>
  <c r="L449" i="3" s="1"/>
  <c r="D37" i="1"/>
  <c r="G449" i="3" s="1"/>
  <c r="F36" i="1"/>
  <c r="D36" i="1"/>
  <c r="F35" i="1"/>
  <c r="D35" i="1"/>
  <c r="F34" i="1"/>
  <c r="D34" i="1"/>
  <c r="F33" i="1"/>
  <c r="D33" i="1"/>
  <c r="F32" i="1"/>
  <c r="D32" i="1"/>
  <c r="F31" i="1"/>
  <c r="D31" i="1"/>
  <c r="F30" i="1"/>
  <c r="I303" i="3" s="1"/>
  <c r="L303" i="3" s="1"/>
  <c r="D30" i="1"/>
  <c r="G303" i="3" s="1"/>
  <c r="F29" i="1"/>
  <c r="D29" i="1"/>
  <c r="F28" i="1"/>
  <c r="D28" i="1"/>
  <c r="F27" i="1"/>
  <c r="D27" i="1"/>
  <c r="F26" i="1"/>
  <c r="D26" i="1"/>
  <c r="F25" i="1"/>
  <c r="D25" i="1"/>
  <c r="F24" i="1"/>
  <c r="D24" i="1"/>
  <c r="F23" i="1"/>
  <c r="I450" i="3" s="1"/>
  <c r="L450" i="3" s="1"/>
  <c r="D23" i="1"/>
  <c r="G450" i="3" s="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I384" i="3" s="1"/>
  <c r="L384" i="3" s="1"/>
  <c r="D3" i="1"/>
  <c r="G384" i="3" s="1"/>
  <c r="F2" i="1"/>
  <c r="D2" i="1"/>
  <c r="J3" i="6"/>
  <c r="I3" i="6"/>
  <c r="T2" i="3" l="1"/>
  <c r="U2" i="3"/>
  <c r="G370" i="3"/>
  <c r="G516" i="3"/>
  <c r="I370" i="3"/>
  <c r="L370" i="3" s="1"/>
  <c r="I516" i="3"/>
  <c r="L516" i="3" s="1"/>
  <c r="I292" i="3"/>
  <c r="L291" i="3" s="1"/>
  <c r="I462" i="3"/>
  <c r="L462" i="3" s="1"/>
  <c r="G360" i="3"/>
  <c r="G400" i="3"/>
  <c r="I360" i="3"/>
  <c r="L360" i="3" s="1"/>
  <c r="I400" i="3"/>
  <c r="L400" i="3" s="1"/>
  <c r="I361" i="3"/>
  <c r="L361" i="3" s="1"/>
  <c r="I401" i="3"/>
  <c r="L401" i="3" s="1"/>
  <c r="I362" i="3"/>
  <c r="L362" i="3" s="1"/>
  <c r="I402" i="3"/>
  <c r="L402" i="3" s="1"/>
  <c r="I296" i="3"/>
  <c r="L296" i="3" s="1"/>
  <c r="G296" i="3"/>
  <c r="G45" i="3"/>
  <c r="L287" i="3"/>
  <c r="E2" i="3"/>
  <c r="H339" i="1"/>
  <c r="G111" i="3"/>
  <c r="I55" i="3"/>
  <c r="L55" i="3" s="1"/>
  <c r="G168" i="3"/>
  <c r="G68" i="3"/>
  <c r="I243" i="3"/>
  <c r="G60" i="3"/>
  <c r="I17" i="3"/>
  <c r="L17" i="3" s="1"/>
  <c r="I174" i="3"/>
  <c r="G66" i="3"/>
  <c r="I190" i="3"/>
  <c r="G231" i="3"/>
  <c r="G238" i="3"/>
  <c r="G236" i="3"/>
  <c r="I278" i="3"/>
  <c r="L278" i="3" s="1"/>
  <c r="G278" i="3"/>
  <c r="H278" i="3"/>
  <c r="F278" i="3"/>
  <c r="I277" i="3"/>
  <c r="L277" i="3" s="1"/>
  <c r="H277" i="3"/>
  <c r="G277" i="3"/>
  <c r="F277" i="3"/>
  <c r="H267" i="3"/>
  <c r="I6" i="6"/>
  <c r="J6" i="6"/>
  <c r="I238" i="3"/>
  <c r="L238" i="3" s="1"/>
  <c r="E195" i="3"/>
  <c r="E97" i="3"/>
  <c r="G203" i="3"/>
  <c r="H203" i="3"/>
  <c r="G195" i="3"/>
  <c r="I240" i="3"/>
  <c r="L240" i="3" s="1"/>
  <c r="E111" i="3"/>
  <c r="H195" i="3"/>
  <c r="I195" i="3"/>
  <c r="L195" i="3" s="1"/>
  <c r="I181" i="3"/>
  <c r="L181" i="3" s="1"/>
  <c r="F269" i="3"/>
  <c r="G269" i="3"/>
  <c r="H269" i="3"/>
  <c r="I267" i="3"/>
  <c r="L267" i="3" s="1"/>
  <c r="G71" i="3"/>
  <c r="H71" i="3"/>
  <c r="E132" i="3"/>
  <c r="F203" i="3"/>
  <c r="E106" i="3"/>
  <c r="I227" i="3"/>
  <c r="H227" i="3"/>
  <c r="G227" i="3"/>
  <c r="F227" i="3"/>
  <c r="G267" i="3"/>
  <c r="I193" i="3"/>
  <c r="L193" i="3" s="1"/>
  <c r="F240" i="3"/>
  <c r="H242" i="3"/>
  <c r="H243" i="3"/>
  <c r="I179" i="3"/>
  <c r="I203" i="3"/>
  <c r="L203" i="3" s="1"/>
  <c r="I218" i="3"/>
  <c r="L218" i="3" s="1"/>
  <c r="I242" i="3"/>
  <c r="L242" i="3" s="1"/>
  <c r="G240" i="3"/>
  <c r="G218" i="3"/>
  <c r="I231" i="3"/>
  <c r="H231" i="3"/>
  <c r="F231" i="3"/>
  <c r="E231" i="3"/>
  <c r="H240" i="3"/>
  <c r="F170" i="3"/>
  <c r="E71" i="3"/>
  <c r="H170" i="3"/>
  <c r="F27" i="3"/>
  <c r="F132" i="3"/>
  <c r="F28" i="3"/>
  <c r="G152" i="3"/>
  <c r="H152" i="3"/>
  <c r="I132" i="3"/>
  <c r="L132" i="3" s="1"/>
  <c r="H111" i="3"/>
  <c r="G179" i="3"/>
  <c r="H85" i="3"/>
  <c r="E119" i="3"/>
  <c r="G132" i="3"/>
  <c r="G23" i="3"/>
  <c r="F174" i="3"/>
  <c r="G28" i="3"/>
  <c r="I28" i="3"/>
  <c r="L28" i="3" s="1"/>
  <c r="E24" i="3"/>
  <c r="I60" i="3"/>
  <c r="L60" i="3" s="1"/>
  <c r="F60" i="3"/>
  <c r="I5" i="3"/>
  <c r="L5" i="3" s="1"/>
  <c r="E218" i="3"/>
  <c r="I200" i="3"/>
  <c r="L200" i="3" s="1"/>
  <c r="H181" i="3"/>
  <c r="H106" i="3"/>
  <c r="H5" i="3"/>
  <c r="I149" i="3"/>
  <c r="L149" i="3" s="1"/>
  <c r="F238" i="3"/>
  <c r="F149" i="3"/>
  <c r="I119" i="3"/>
  <c r="L119" i="3" s="1"/>
  <c r="F97" i="3"/>
  <c r="I71" i="3"/>
  <c r="L71" i="3" s="1"/>
  <c r="I152" i="3"/>
  <c r="F186" i="3"/>
  <c r="F255" i="3"/>
  <c r="E152" i="3"/>
  <c r="I111" i="3"/>
  <c r="L111" i="3" s="1"/>
  <c r="F167" i="3"/>
  <c r="H149" i="3"/>
  <c r="F111" i="3"/>
  <c r="G190" i="3"/>
  <c r="G255" i="3"/>
  <c r="F12" i="3"/>
  <c r="G149" i="3"/>
  <c r="G119" i="3"/>
  <c r="L78" i="3"/>
  <c r="E5" i="3"/>
  <c r="E95" i="3"/>
  <c r="H190" i="3"/>
  <c r="H255" i="3"/>
  <c r="H187" i="3"/>
  <c r="G187" i="3"/>
  <c r="F187" i="3"/>
  <c r="G2" i="3"/>
  <c r="I173" i="3"/>
  <c r="L173" i="3" s="1"/>
  <c r="H173" i="3"/>
  <c r="G173" i="3"/>
  <c r="F173" i="3"/>
  <c r="I65" i="3"/>
  <c r="L65" i="3" s="1"/>
  <c r="E65" i="3"/>
  <c r="I187" i="3"/>
  <c r="I269" i="3"/>
  <c r="L269" i="3" s="1"/>
  <c r="H130" i="3"/>
  <c r="E130" i="3"/>
  <c r="F21" i="3"/>
  <c r="G65" i="3"/>
  <c r="F5" i="3"/>
  <c r="I2" i="3"/>
  <c r="L2" i="3" s="1"/>
  <c r="E45" i="3"/>
  <c r="I45" i="3"/>
  <c r="L45" i="3" s="1"/>
  <c r="H45" i="3"/>
  <c r="F128" i="3"/>
  <c r="E128" i="3"/>
  <c r="G128" i="3"/>
  <c r="F85" i="3"/>
  <c r="I95" i="3"/>
  <c r="L95" i="3" s="1"/>
  <c r="I128" i="3"/>
  <c r="L128" i="3" s="1"/>
  <c r="F86" i="3"/>
  <c r="I86" i="3"/>
  <c r="L86" i="3" s="1"/>
  <c r="G86" i="3"/>
  <c r="I141" i="3"/>
  <c r="L141" i="3" s="1"/>
  <c r="H141" i="3"/>
  <c r="G12" i="3"/>
  <c r="F45" i="3"/>
  <c r="H112" i="3"/>
  <c r="E112" i="3"/>
  <c r="I112" i="3"/>
  <c r="G112" i="3"/>
  <c r="F112" i="3"/>
  <c r="I12" i="3"/>
  <c r="L12" i="3" s="1"/>
  <c r="G85" i="3"/>
  <c r="H65" i="3"/>
  <c r="E243" i="3"/>
  <c r="E200" i="3"/>
  <c r="G200" i="3"/>
  <c r="F200" i="3"/>
  <c r="H12" i="3"/>
  <c r="F243" i="3"/>
  <c r="I260" i="3"/>
  <c r="L260" i="3" s="1"/>
  <c r="H260" i="3"/>
  <c r="F260" i="3"/>
  <c r="I85" i="3"/>
  <c r="L85" i="3" s="1"/>
  <c r="G243" i="3"/>
  <c r="E187" i="3"/>
  <c r="H28" i="3"/>
  <c r="F119" i="3"/>
  <c r="H174" i="3"/>
  <c r="H218" i="3"/>
  <c r="E260" i="3"/>
  <c r="F221" i="3"/>
  <c r="E207" i="3"/>
  <c r="I207" i="3"/>
  <c r="H207" i="3"/>
  <c r="F207" i="3"/>
  <c r="G207" i="3"/>
  <c r="H221" i="3"/>
  <c r="I221" i="3"/>
  <c r="L221" i="3" s="1"/>
  <c r="I236" i="3"/>
  <c r="E219" i="3"/>
  <c r="G219" i="3"/>
  <c r="I219" i="3"/>
  <c r="I262" i="3"/>
  <c r="L262" i="3" s="1"/>
  <c r="G262" i="3"/>
  <c r="H262" i="3"/>
  <c r="F262" i="3"/>
  <c r="E139" i="3"/>
  <c r="I139" i="3"/>
  <c r="L139" i="3" s="1"/>
  <c r="F23" i="3"/>
  <c r="I23" i="3"/>
  <c r="L23" i="3" s="1"/>
  <c r="E23" i="3"/>
  <c r="I83" i="3"/>
  <c r="L83" i="3" s="1"/>
  <c r="I18" i="3"/>
  <c r="L18" i="3" s="1"/>
  <c r="E18" i="3"/>
  <c r="G260" i="3"/>
  <c r="H18" i="3"/>
  <c r="F26" i="3"/>
  <c r="I26" i="3"/>
  <c r="L26" i="3" s="1"/>
  <c r="G26" i="3"/>
  <c r="H26" i="3"/>
  <c r="E135" i="3"/>
  <c r="I135" i="3"/>
  <c r="H135" i="3"/>
  <c r="G135" i="3"/>
  <c r="F135" i="3"/>
  <c r="I168" i="3"/>
  <c r="L168" i="3" s="1"/>
  <c r="H168" i="3"/>
  <c r="E168" i="3"/>
  <c r="E181" i="3"/>
  <c r="G181" i="3"/>
  <c r="E190" i="3"/>
  <c r="F190" i="3"/>
  <c r="G139" i="3"/>
  <c r="G221" i="3"/>
  <c r="E11" i="3"/>
  <c r="F11" i="3"/>
  <c r="H102" i="3"/>
  <c r="I102" i="3"/>
  <c r="L102" i="3" s="1"/>
  <c r="H110" i="3"/>
  <c r="G110" i="3"/>
  <c r="H139" i="3"/>
  <c r="H60" i="3"/>
  <c r="E60" i="3"/>
  <c r="E169" i="3"/>
  <c r="H169" i="3"/>
  <c r="F169" i="3"/>
  <c r="F65" i="3"/>
  <c r="G88" i="3"/>
  <c r="I11" i="3"/>
  <c r="L11" i="3" s="1"/>
  <c r="E253" i="3"/>
  <c r="I253" i="3"/>
  <c r="L253" i="3" s="1"/>
  <c r="H236" i="3"/>
  <c r="F236" i="3"/>
  <c r="G95" i="3"/>
  <c r="F95" i="3"/>
  <c r="G11" i="3"/>
  <c r="G55" i="3"/>
  <c r="I157" i="3"/>
  <c r="L157" i="3" s="1"/>
  <c r="F157" i="3"/>
  <c r="H157" i="3"/>
  <c r="E186" i="3"/>
  <c r="I186" i="3"/>
  <c r="L186" i="3" s="1"/>
  <c r="G186" i="3"/>
  <c r="E236" i="3"/>
  <c r="L215" i="3"/>
  <c r="E267" i="3"/>
  <c r="G141" i="3"/>
  <c r="I170" i="3"/>
  <c r="L170" i="3" s="1"/>
  <c r="G170" i="3"/>
  <c r="E141" i="3"/>
  <c r="E238" i="3"/>
  <c r="L263" i="3"/>
  <c r="I126" i="3"/>
  <c r="L126" i="3" s="1"/>
  <c r="F126" i="3"/>
  <c r="G126" i="3"/>
  <c r="G84" i="3"/>
  <c r="I84" i="3"/>
  <c r="L84" i="3" s="1"/>
  <c r="H84" i="3"/>
  <c r="F84" i="3"/>
  <c r="F17" i="3"/>
  <c r="E17" i="3"/>
  <c r="H17" i="3"/>
  <c r="G17" i="3"/>
  <c r="H81" i="3"/>
  <c r="F81" i="3"/>
  <c r="G81" i="3"/>
  <c r="I81" i="3"/>
  <c r="L81" i="3" s="1"/>
  <c r="I24" i="3"/>
  <c r="L24" i="3" s="1"/>
  <c r="G24" i="3"/>
  <c r="F24" i="3"/>
  <c r="G109" i="3"/>
  <c r="F109" i="3"/>
  <c r="I109" i="3"/>
  <c r="L109" i="3" s="1"/>
  <c r="H88" i="3"/>
  <c r="F88" i="3"/>
  <c r="I88" i="3"/>
  <c r="G248" i="3"/>
  <c r="F248" i="3"/>
  <c r="E248" i="3"/>
  <c r="I248" i="3"/>
  <c r="L248" i="3" s="1"/>
  <c r="H27" i="3"/>
  <c r="I27" i="3"/>
  <c r="L27" i="3" s="1"/>
  <c r="G27" i="3"/>
  <c r="H126" i="3"/>
  <c r="H30" i="3"/>
  <c r="I30" i="3"/>
  <c r="L30" i="3" s="1"/>
  <c r="G30" i="3"/>
  <c r="F30" i="3"/>
  <c r="H109" i="3"/>
  <c r="H21" i="3"/>
  <c r="G21" i="3"/>
  <c r="I21" i="3"/>
  <c r="L21" i="3" s="1"/>
  <c r="E115" i="3"/>
  <c r="F115" i="3"/>
  <c r="I115" i="3"/>
  <c r="L115" i="3" s="1"/>
  <c r="H115" i="3"/>
  <c r="H66" i="3"/>
  <c r="I66" i="3"/>
  <c r="E66" i="3"/>
  <c r="F66" i="3"/>
  <c r="E109" i="3"/>
  <c r="E126" i="3"/>
  <c r="G130" i="3"/>
  <c r="I130" i="3"/>
  <c r="L130" i="3" s="1"/>
  <c r="F130" i="3"/>
  <c r="H167" i="3"/>
  <c r="I167" i="3"/>
  <c r="L167" i="3" s="1"/>
  <c r="G167" i="3"/>
  <c r="F117" i="3"/>
  <c r="I117" i="3"/>
  <c r="L117" i="3" s="1"/>
  <c r="H117" i="3"/>
  <c r="E174" i="3"/>
  <c r="E68" i="3"/>
  <c r="F68" i="3"/>
  <c r="I68" i="3"/>
  <c r="L68" i="3" s="1"/>
  <c r="H68" i="3"/>
  <c r="F242" i="3"/>
  <c r="G242" i="3"/>
  <c r="G97" i="3"/>
  <c r="I9" i="3"/>
  <c r="L9" i="3" s="1"/>
  <c r="F102" i="3"/>
  <c r="F168" i="3"/>
  <c r="H238" i="3"/>
  <c r="I169" i="3"/>
  <c r="L169" i="3" s="1"/>
  <c r="G169" i="3"/>
  <c r="F193" i="3"/>
  <c r="G193" i="3"/>
  <c r="F83" i="3"/>
  <c r="G83" i="3"/>
  <c r="G102" i="3"/>
  <c r="G174" i="3"/>
  <c r="E193" i="3"/>
  <c r="F219" i="3"/>
  <c r="H253" i="3"/>
  <c r="I255" i="3"/>
  <c r="L255" i="3" s="1"/>
  <c r="G165" i="3"/>
  <c r="H165" i="3"/>
  <c r="F165" i="3"/>
  <c r="I165" i="3"/>
  <c r="H83" i="3"/>
  <c r="G157" i="3"/>
  <c r="F253" i="3"/>
  <c r="W2" i="3"/>
  <c r="G253" i="3"/>
  <c r="I97" i="3"/>
  <c r="I106" i="3"/>
  <c r="L106" i="3" s="1"/>
  <c r="E110" i="3"/>
  <c r="E86" i="3"/>
  <c r="F51" i="3"/>
  <c r="F18" i="3"/>
  <c r="H2" i="3"/>
  <c r="E55" i="3"/>
  <c r="H55" i="3"/>
  <c r="F55" i="3"/>
  <c r="G18" i="3"/>
  <c r="H219" i="3"/>
  <c r="H9" i="3"/>
  <c r="E9" i="3"/>
  <c r="G9" i="3"/>
  <c r="I110" i="3"/>
  <c r="L110" i="3" s="1"/>
  <c r="G117" i="3"/>
  <c r="G106" i="3"/>
  <c r="I51" i="3"/>
  <c r="L51" i="3" s="1"/>
  <c r="H51" i="3"/>
  <c r="E51" i="3"/>
  <c r="F179" i="3"/>
  <c r="E179" i="3"/>
  <c r="X2" i="3" l="1"/>
  <c r="G162" i="3"/>
  <c r="E91" i="3"/>
  <c r="E158" i="3"/>
  <c r="I41" i="3"/>
  <c r="L41" i="3" s="1"/>
  <c r="H96" i="3"/>
  <c r="F133" i="3"/>
  <c r="E79" i="3"/>
  <c r="F74" i="3"/>
  <c r="H151" i="3"/>
  <c r="I33" i="3"/>
  <c r="L33" i="3" s="1"/>
  <c r="H279" i="3"/>
  <c r="E146" i="3"/>
  <c r="E223" i="3"/>
  <c r="G16" i="3"/>
  <c r="H36" i="3"/>
  <c r="G209" i="3"/>
  <c r="I92" i="3"/>
  <c r="L92" i="3" s="1"/>
  <c r="I251" i="3"/>
  <c r="L251" i="3" s="1"/>
  <c r="I82" i="3"/>
  <c r="L82" i="3" s="1"/>
  <c r="I226" i="3"/>
  <c r="L226" i="3" s="1"/>
  <c r="E194" i="3"/>
  <c r="I275" i="3"/>
  <c r="L275" i="3" s="1"/>
  <c r="G213" i="3"/>
  <c r="I150" i="3"/>
  <c r="L150" i="3" s="1"/>
  <c r="H194" i="3"/>
  <c r="H146" i="3"/>
  <c r="E198" i="3"/>
  <c r="H98" i="3"/>
  <c r="F264" i="3"/>
  <c r="H234" i="3"/>
  <c r="G107" i="3"/>
  <c r="F57" i="3"/>
  <c r="E104" i="3"/>
  <c r="F32" i="3"/>
  <c r="G147" i="3"/>
  <c r="H16" i="3"/>
  <c r="E32" i="3"/>
  <c r="F107" i="3"/>
  <c r="E52" i="3"/>
  <c r="F87" i="3"/>
  <c r="G47" i="3"/>
  <c r="H217" i="3"/>
  <c r="G229" i="3"/>
  <c r="E3" i="3"/>
  <c r="G100" i="3"/>
  <c r="I184" i="3"/>
  <c r="L184" i="3" s="1"/>
  <c r="I59" i="3"/>
  <c r="L59" i="3" s="1"/>
  <c r="E42" i="3"/>
  <c r="F275" i="3"/>
  <c r="I70" i="3"/>
  <c r="L70" i="3" s="1"/>
  <c r="F183" i="3"/>
  <c r="F147" i="3"/>
  <c r="G146" i="3"/>
  <c r="I42" i="3"/>
  <c r="L42" i="3" s="1"/>
  <c r="G234" i="3"/>
  <c r="H57" i="3"/>
  <c r="I138" i="3"/>
  <c r="L138" i="3" s="1"/>
  <c r="H225" i="3"/>
  <c r="I36" i="3"/>
  <c r="L36" i="3" s="1"/>
  <c r="I74" i="3"/>
  <c r="L74" i="3" s="1"/>
  <c r="F15" i="3"/>
  <c r="E185" i="3"/>
  <c r="F37" i="3"/>
  <c r="F47" i="3"/>
  <c r="E92" i="3"/>
  <c r="E49" i="3"/>
  <c r="I192" i="3"/>
  <c r="L192" i="3" s="1"/>
  <c r="I161" i="3"/>
  <c r="L161" i="3" s="1"/>
  <c r="F29" i="3"/>
  <c r="I19" i="3"/>
  <c r="L19" i="3" s="1"/>
  <c r="H47" i="3"/>
  <c r="H209" i="3"/>
  <c r="H67" i="3"/>
  <c r="I280" i="3"/>
  <c r="L280" i="3" s="1"/>
  <c r="I22" i="3"/>
  <c r="L22" i="3" s="1"/>
  <c r="H161" i="3"/>
  <c r="G46" i="3"/>
  <c r="H138" i="3"/>
  <c r="G183" i="3"/>
  <c r="I72" i="3"/>
  <c r="L72" i="3" s="1"/>
  <c r="I44" i="3"/>
  <c r="L44" i="3" s="1"/>
  <c r="E47" i="3"/>
  <c r="G80" i="3"/>
  <c r="I136" i="3"/>
  <c r="L135" i="3" s="1"/>
  <c r="H6" i="3"/>
  <c r="H172" i="3"/>
  <c r="F159" i="3"/>
  <c r="F64" i="3"/>
  <c r="E74" i="3"/>
  <c r="F114" i="3"/>
  <c r="F54" i="3"/>
  <c r="I73" i="3"/>
  <c r="L73" i="3" s="1"/>
  <c r="G79" i="3"/>
  <c r="G145" i="3"/>
  <c r="H184" i="3"/>
  <c r="F13" i="3"/>
  <c r="F155" i="3"/>
  <c r="E54" i="3"/>
  <c r="H3" i="3"/>
  <c r="E61" i="3"/>
  <c r="F19" i="3"/>
  <c r="H44" i="3"/>
  <c r="H118" i="3"/>
  <c r="H154" i="3"/>
  <c r="G264" i="3"/>
  <c r="I48" i="3"/>
  <c r="L48" i="3" s="1"/>
  <c r="E272" i="3"/>
  <c r="E127" i="3"/>
  <c r="H87" i="3"/>
  <c r="G94" i="3"/>
  <c r="I63" i="3"/>
  <c r="L63" i="3" s="1"/>
  <c r="G265" i="3"/>
  <c r="I164" i="3"/>
  <c r="L164" i="3" s="1"/>
  <c r="G270" i="3"/>
  <c r="H41" i="3"/>
  <c r="E133" i="3"/>
  <c r="F209" i="3"/>
  <c r="G155" i="3"/>
  <c r="G54" i="3"/>
  <c r="I162" i="3"/>
  <c r="L162" i="3" s="1"/>
  <c r="I98" i="3"/>
  <c r="L98" i="3" s="1"/>
  <c r="E64" i="3"/>
  <c r="F226" i="3"/>
  <c r="F144" i="3"/>
  <c r="F42" i="3"/>
  <c r="G245" i="3"/>
  <c r="F25" i="3"/>
  <c r="I158" i="3"/>
  <c r="H92" i="3"/>
  <c r="E259" i="3"/>
  <c r="H20" i="3"/>
  <c r="G163" i="3"/>
  <c r="I166" i="3"/>
  <c r="L165" i="3" s="1"/>
  <c r="H93" i="3"/>
  <c r="E226" i="3"/>
  <c r="E120" i="3"/>
  <c r="G266" i="3"/>
  <c r="F138" i="3"/>
  <c r="I146" i="3"/>
  <c r="L146" i="3" s="1"/>
  <c r="F225" i="3"/>
  <c r="I224" i="3"/>
  <c r="L224" i="3" s="1"/>
  <c r="F94" i="3"/>
  <c r="E273" i="3"/>
  <c r="H271" i="3"/>
  <c r="F134" i="3"/>
  <c r="F145" i="3"/>
  <c r="I100" i="3"/>
  <c r="L100" i="3" s="1"/>
  <c r="H38" i="3"/>
  <c r="F171" i="3"/>
  <c r="F164" i="3"/>
  <c r="I122" i="3"/>
  <c r="L122" i="3" s="1"/>
  <c r="F120" i="3"/>
  <c r="G252" i="3"/>
  <c r="F16" i="3"/>
  <c r="F93" i="3"/>
  <c r="H104" i="3"/>
  <c r="G280" i="3"/>
  <c r="G159" i="3"/>
  <c r="I104" i="3"/>
  <c r="L104" i="3" s="1"/>
  <c r="E19" i="3"/>
  <c r="G20" i="3"/>
  <c r="I16" i="3"/>
  <c r="L16" i="3" s="1"/>
  <c r="F154" i="3"/>
  <c r="E211" i="3"/>
  <c r="F172" i="3"/>
  <c r="E36" i="3"/>
  <c r="H280" i="3"/>
  <c r="G120" i="3"/>
  <c r="I153" i="3"/>
  <c r="L152" i="3" s="1"/>
  <c r="G7" i="3"/>
  <c r="E275" i="3"/>
  <c r="I268" i="3"/>
  <c r="L268" i="3" s="1"/>
  <c r="F22" i="3"/>
  <c r="E53" i="3"/>
  <c r="F53" i="3"/>
  <c r="I120" i="3"/>
  <c r="L120" i="3" s="1"/>
  <c r="H107" i="3"/>
  <c r="H63" i="3"/>
  <c r="F233" i="3"/>
  <c r="F234" i="3"/>
  <c r="G281" i="3"/>
  <c r="I35" i="3"/>
  <c r="L35" i="3" s="1"/>
  <c r="E234" i="3"/>
  <c r="I256" i="3"/>
  <c r="L256" i="3" s="1"/>
  <c r="F151" i="3"/>
  <c r="F44" i="3"/>
  <c r="F163" i="3"/>
  <c r="E15" i="3"/>
  <c r="F72" i="3"/>
  <c r="I259" i="3"/>
  <c r="L259" i="3" s="1"/>
  <c r="G32" i="3"/>
  <c r="I249" i="3"/>
  <c r="L249" i="3" s="1"/>
  <c r="G59" i="3"/>
  <c r="H29" i="3"/>
  <c r="F158" i="3"/>
  <c r="F122" i="3"/>
  <c r="F90" i="3"/>
  <c r="H228" i="3"/>
  <c r="G225" i="3"/>
  <c r="I229" i="3"/>
  <c r="L229" i="3" s="1"/>
  <c r="F274" i="3"/>
  <c r="I177" i="3"/>
  <c r="L177" i="3" s="1"/>
  <c r="E279" i="3"/>
  <c r="G70" i="3"/>
  <c r="G98" i="3"/>
  <c r="I216" i="3"/>
  <c r="L216" i="3" s="1"/>
  <c r="G82" i="3"/>
  <c r="E191" i="3"/>
  <c r="H153" i="3"/>
  <c r="H258" i="3"/>
  <c r="H50" i="3"/>
  <c r="I108" i="3"/>
  <c r="L108" i="3" s="1"/>
  <c r="I180" i="3"/>
  <c r="L179" i="3" s="1"/>
  <c r="G73" i="3"/>
  <c r="H103" i="3"/>
  <c r="H129" i="3"/>
  <c r="H201" i="3"/>
  <c r="I75" i="3"/>
  <c r="L75" i="3" s="1"/>
  <c r="E116" i="3"/>
  <c r="F175" i="3"/>
  <c r="I237" i="3"/>
  <c r="L236" i="3" s="1"/>
  <c r="F76" i="3"/>
  <c r="E216" i="3"/>
  <c r="I189" i="3"/>
  <c r="L189" i="3" s="1"/>
  <c r="E246" i="3"/>
  <c r="H251" i="3"/>
  <c r="H189" i="3"/>
  <c r="G75" i="3"/>
  <c r="G140" i="3"/>
  <c r="F142" i="3"/>
  <c r="G199" i="3"/>
  <c r="G206" i="3"/>
  <c r="E237" i="3"/>
  <c r="H256" i="3"/>
  <c r="F258" i="3"/>
  <c r="I261" i="3"/>
  <c r="L261" i="3" s="1"/>
  <c r="E228" i="3"/>
  <c r="G268" i="3"/>
  <c r="F124" i="3"/>
  <c r="F77" i="3"/>
  <c r="E40" i="3"/>
  <c r="E103" i="3"/>
  <c r="F108" i="3"/>
  <c r="I121" i="3"/>
  <c r="L121" i="3" s="1"/>
  <c r="H199" i="3"/>
  <c r="G237" i="3"/>
  <c r="E182" i="3"/>
  <c r="F188" i="3"/>
  <c r="F189" i="3"/>
  <c r="H192" i="3"/>
  <c r="F206" i="3"/>
  <c r="E251" i="3"/>
  <c r="E258" i="3"/>
  <c r="H261" i="3"/>
  <c r="H75" i="3"/>
  <c r="H108" i="3"/>
  <c r="F199" i="3"/>
  <c r="E175" i="3"/>
  <c r="G244" i="3"/>
  <c r="H124" i="3"/>
  <c r="E124" i="3"/>
  <c r="E77" i="3"/>
  <c r="G176" i="3"/>
  <c r="E189" i="3"/>
  <c r="F256" i="3"/>
  <c r="E268" i="3"/>
  <c r="H116" i="3"/>
  <c r="F43" i="3"/>
  <c r="E121" i="3"/>
  <c r="F176" i="3"/>
  <c r="F192" i="3"/>
  <c r="G235" i="3"/>
  <c r="F261" i="3"/>
  <c r="E224" i="3"/>
  <c r="H232" i="3"/>
  <c r="H270" i="3"/>
  <c r="G273" i="3"/>
  <c r="F125" i="3"/>
  <c r="G121" i="3"/>
  <c r="I76" i="3"/>
  <c r="L76" i="3" s="1"/>
  <c r="E43" i="3"/>
  <c r="G39" i="3"/>
  <c r="H34" i="3"/>
  <c r="G99" i="3"/>
  <c r="H105" i="3"/>
  <c r="F143" i="3"/>
  <c r="H208" i="3"/>
  <c r="F247" i="3"/>
  <c r="F156" i="3"/>
  <c r="I160" i="3"/>
  <c r="E176" i="3"/>
  <c r="E192" i="3"/>
  <c r="H197" i="3"/>
  <c r="F208" i="3"/>
  <c r="E201" i="3"/>
  <c r="E235" i="3"/>
  <c r="H241" i="3"/>
  <c r="I257" i="3"/>
  <c r="L257" i="3" s="1"/>
  <c r="E261" i="3"/>
  <c r="G232" i="3"/>
  <c r="F270" i="3"/>
  <c r="F273" i="3"/>
  <c r="F137" i="3"/>
  <c r="I201" i="3"/>
  <c r="L201" i="3" s="1"/>
  <c r="G182" i="3"/>
  <c r="E199" i="3"/>
  <c r="H237" i="3"/>
  <c r="G258" i="3"/>
  <c r="G77" i="3"/>
  <c r="F40" i="3"/>
  <c r="G108" i="3"/>
  <c r="G116" i="3"/>
  <c r="E75" i="3"/>
  <c r="I199" i="3"/>
  <c r="L199" i="3" s="1"/>
  <c r="E188" i="3"/>
  <c r="E206" i="3"/>
  <c r="H235" i="3"/>
  <c r="G261" i="3"/>
  <c r="F121" i="3"/>
  <c r="I34" i="3"/>
  <c r="L34" i="3" s="1"/>
  <c r="H99" i="3"/>
  <c r="G208" i="3"/>
  <c r="G156" i="3"/>
  <c r="E208" i="3"/>
  <c r="E256" i="3"/>
  <c r="G125" i="3"/>
  <c r="F129" i="3"/>
  <c r="H76" i="3"/>
  <c r="I69" i="3"/>
  <c r="L69" i="3" s="1"/>
  <c r="G56" i="3"/>
  <c r="F39" i="3"/>
  <c r="G34" i="3"/>
  <c r="E99" i="3"/>
  <c r="G105" i="3"/>
  <c r="G143" i="3"/>
  <c r="F153" i="3"/>
  <c r="I208" i="3"/>
  <c r="L207" i="3" s="1"/>
  <c r="G247" i="3"/>
  <c r="E156" i="3"/>
  <c r="H160" i="3"/>
  <c r="G177" i="3"/>
  <c r="G197" i="3"/>
  <c r="I210" i="3"/>
  <c r="L210" i="3" s="1"/>
  <c r="I212" i="3"/>
  <c r="L212" i="3" s="1"/>
  <c r="H220" i="3"/>
  <c r="G241" i="3"/>
  <c r="E247" i="3"/>
  <c r="H257" i="3"/>
  <c r="F232" i="3"/>
  <c r="H77" i="3"/>
  <c r="E58" i="3"/>
  <c r="F131" i="3"/>
  <c r="H140" i="3"/>
  <c r="H188" i="3"/>
  <c r="H206" i="3"/>
  <c r="G251" i="3"/>
  <c r="F103" i="3"/>
  <c r="E137" i="3"/>
  <c r="G43" i="3"/>
  <c r="E140" i="3"/>
  <c r="I235" i="3"/>
  <c r="L235" i="3" s="1"/>
  <c r="H156" i="3"/>
  <c r="H180" i="3"/>
  <c r="G192" i="3"/>
  <c r="E225" i="3"/>
  <c r="H273" i="3"/>
  <c r="I56" i="3"/>
  <c r="L56" i="3" s="1"/>
  <c r="I105" i="3"/>
  <c r="L105" i="3" s="1"/>
  <c r="H125" i="3"/>
  <c r="G129" i="3"/>
  <c r="H82" i="3"/>
  <c r="G76" i="3"/>
  <c r="H73" i="3"/>
  <c r="H69" i="3"/>
  <c r="F56" i="3"/>
  <c r="E39" i="3"/>
  <c r="F34" i="3"/>
  <c r="F99" i="3"/>
  <c r="I129" i="3"/>
  <c r="G136" i="3"/>
  <c r="H143" i="3"/>
  <c r="G153" i="3"/>
  <c r="H216" i="3"/>
  <c r="H247" i="3"/>
  <c r="E153" i="3"/>
  <c r="G160" i="3"/>
  <c r="F177" i="3"/>
  <c r="F197" i="3"/>
  <c r="H210" i="3"/>
  <c r="H212" i="3"/>
  <c r="G220" i="3"/>
  <c r="H239" i="3"/>
  <c r="F241" i="3"/>
  <c r="I246" i="3"/>
  <c r="I254" i="3"/>
  <c r="L254" i="3" s="1"/>
  <c r="G257" i="3"/>
  <c r="E232" i="3"/>
  <c r="F229" i="3"/>
  <c r="I247" i="3"/>
  <c r="F160" i="3"/>
  <c r="H166" i="3"/>
  <c r="E177" i="3"/>
  <c r="H191" i="3"/>
  <c r="E197" i="3"/>
  <c r="G210" i="3"/>
  <c r="G212" i="3"/>
  <c r="F220" i="3"/>
  <c r="G239" i="3"/>
  <c r="E241" i="3"/>
  <c r="H246" i="3"/>
  <c r="H254" i="3"/>
  <c r="F257" i="3"/>
  <c r="F123" i="3"/>
  <c r="G89" i="3"/>
  <c r="F82" i="3"/>
  <c r="E76" i="3"/>
  <c r="F73" i="3"/>
  <c r="F69" i="3"/>
  <c r="H58" i="3"/>
  <c r="G50" i="3"/>
  <c r="H131" i="3"/>
  <c r="E136" i="3"/>
  <c r="H177" i="3"/>
  <c r="F201" i="3"/>
  <c r="E160" i="3"/>
  <c r="G166" i="3"/>
  <c r="H175" i="3"/>
  <c r="I182" i="3"/>
  <c r="L182" i="3" s="1"/>
  <c r="G191" i="3"/>
  <c r="F210" i="3"/>
  <c r="F212" i="3"/>
  <c r="E220" i="3"/>
  <c r="E239" i="3"/>
  <c r="G246" i="3"/>
  <c r="G254" i="3"/>
  <c r="E257" i="3"/>
  <c r="G123" i="3"/>
  <c r="F89" i="3"/>
  <c r="E82" i="3"/>
  <c r="E73" i="3"/>
  <c r="E69" i="3"/>
  <c r="G58" i="3"/>
  <c r="F50" i="3"/>
  <c r="H8" i="3"/>
  <c r="I103" i="3"/>
  <c r="L103" i="3" s="1"/>
  <c r="E125" i="3"/>
  <c r="H137" i="3"/>
  <c r="I142" i="3"/>
  <c r="L142" i="3" s="1"/>
  <c r="G180" i="3"/>
  <c r="G201" i="3"/>
  <c r="F166" i="3"/>
  <c r="G175" i="3"/>
  <c r="F191" i="3"/>
  <c r="E210" i="3"/>
  <c r="E212" i="3"/>
  <c r="F216" i="3"/>
  <c r="F246" i="3"/>
  <c r="F254" i="3"/>
  <c r="I258" i="3"/>
  <c r="L258" i="3" s="1"/>
  <c r="H274" i="3"/>
  <c r="G274" i="3"/>
  <c r="I244" i="3"/>
  <c r="L243" i="3" s="1"/>
  <c r="I220" i="3"/>
  <c r="L219" i="3" s="1"/>
  <c r="I3" i="3"/>
  <c r="L3" i="3" s="1"/>
  <c r="I197" i="3"/>
  <c r="L190" i="3" s="1"/>
  <c r="I175" i="3"/>
  <c r="L174" i="3" s="1"/>
  <c r="I232" i="3"/>
  <c r="L231" i="3" s="1"/>
  <c r="L246" i="3" l="1"/>
  <c r="L158" i="3"/>
  <c r="H183" i="3"/>
  <c r="H114" i="3"/>
  <c r="I38" i="3"/>
  <c r="L38" i="3" s="1"/>
  <c r="H70" i="3"/>
  <c r="F48" i="3"/>
  <c r="F279" i="3"/>
  <c r="F252" i="3"/>
  <c r="I62" i="3"/>
  <c r="L62" i="3" s="1"/>
  <c r="I29" i="3"/>
  <c r="L29" i="3" s="1"/>
  <c r="F104" i="3"/>
  <c r="G127" i="3"/>
  <c r="F205" i="3"/>
  <c r="I265" i="3"/>
  <c r="L265" i="3" s="1"/>
  <c r="I114" i="3"/>
  <c r="L114" i="3" s="1"/>
  <c r="F100" i="3"/>
  <c r="F70" i="3"/>
  <c r="F184" i="3"/>
  <c r="E80" i="3"/>
  <c r="F204" i="3"/>
  <c r="H61" i="3"/>
  <c r="I252" i="3"/>
  <c r="L252" i="3" s="1"/>
  <c r="F63" i="3"/>
  <c r="H204" i="3"/>
  <c r="H7" i="3"/>
  <c r="I274" i="3"/>
  <c r="L274" i="3" s="1"/>
  <c r="G61" i="3"/>
  <c r="H144" i="3"/>
  <c r="G104" i="3"/>
  <c r="E33" i="3"/>
  <c r="H162" i="3"/>
  <c r="I8" i="3"/>
  <c r="L8" i="3" s="1"/>
  <c r="F127" i="3"/>
  <c r="G214" i="3"/>
  <c r="F61" i="3"/>
  <c r="G49" i="3"/>
  <c r="H133" i="3"/>
  <c r="I107" i="3"/>
  <c r="L107" i="3" s="1"/>
  <c r="H158" i="3"/>
  <c r="E162" i="3"/>
  <c r="G205" i="3"/>
  <c r="I213" i="3"/>
  <c r="L213" i="3" s="1"/>
  <c r="E252" i="3"/>
  <c r="G172" i="3"/>
  <c r="H32" i="3"/>
  <c r="E122" i="3"/>
  <c r="H59" i="3"/>
  <c r="E281" i="3"/>
  <c r="G233" i="3"/>
  <c r="I61" i="3"/>
  <c r="L61" i="3" s="1"/>
  <c r="I281" i="3"/>
  <c r="L281" i="3" s="1"/>
  <c r="H37" i="3"/>
  <c r="G131" i="3"/>
  <c r="H89" i="3"/>
  <c r="H40" i="3"/>
  <c r="G124" i="3"/>
  <c r="F237" i="3"/>
  <c r="I67" i="3"/>
  <c r="L66" i="3" s="1"/>
  <c r="E209" i="3"/>
  <c r="I10" i="3"/>
  <c r="L10" i="3" s="1"/>
  <c r="H214" i="3"/>
  <c r="H33" i="3"/>
  <c r="G151" i="3"/>
  <c r="I279" i="3"/>
  <c r="L279" i="3" s="1"/>
  <c r="G29" i="3"/>
  <c r="E196" i="3"/>
  <c r="H91" i="3"/>
  <c r="H122" i="3"/>
  <c r="G164" i="3"/>
  <c r="E70" i="3"/>
  <c r="F41" i="3"/>
  <c r="G249" i="3"/>
  <c r="E6" i="3"/>
  <c r="F96" i="3"/>
  <c r="F213" i="3"/>
  <c r="E183" i="3"/>
  <c r="F214" i="3"/>
  <c r="H46" i="3"/>
  <c r="G138" i="3"/>
  <c r="G204" i="3"/>
  <c r="I198" i="3"/>
  <c r="L198" i="3" s="1"/>
  <c r="E147" i="3"/>
  <c r="H213" i="3"/>
  <c r="I50" i="3"/>
  <c r="L50" i="3" s="1"/>
  <c r="E100" i="3"/>
  <c r="I37" i="3"/>
  <c r="L37" i="3" s="1"/>
  <c r="I172" i="3"/>
  <c r="L172" i="3" s="1"/>
  <c r="F79" i="3"/>
  <c r="G114" i="3"/>
  <c r="G87" i="3"/>
  <c r="H150" i="3"/>
  <c r="E4" i="3"/>
  <c r="E87" i="3"/>
  <c r="G33" i="3"/>
  <c r="I39" i="3"/>
  <c r="L39" i="3" s="1"/>
  <c r="G64" i="3"/>
  <c r="I6" i="3"/>
  <c r="L6" i="3" s="1"/>
  <c r="I234" i="3"/>
  <c r="L234" i="3" s="1"/>
  <c r="F14" i="3"/>
  <c r="G230" i="3"/>
  <c r="E205" i="3"/>
  <c r="F20" i="3"/>
  <c r="E250" i="3"/>
  <c r="F3" i="3"/>
  <c r="E229" i="3"/>
  <c r="I32" i="3"/>
  <c r="L32" i="3" s="1"/>
  <c r="F136" i="3"/>
  <c r="E105" i="3"/>
  <c r="I58" i="3"/>
  <c r="L58" i="3" s="1"/>
  <c r="G69" i="3"/>
  <c r="G40" i="3"/>
  <c r="I176" i="3"/>
  <c r="L176" i="3" s="1"/>
  <c r="F224" i="3"/>
  <c r="G14" i="3"/>
  <c r="G259" i="3"/>
  <c r="E204" i="3"/>
  <c r="E59" i="3"/>
  <c r="F118" i="3"/>
  <c r="H35" i="3"/>
  <c r="E44" i="3"/>
  <c r="G13" i="3"/>
  <c r="G93" i="3"/>
  <c r="H134" i="3"/>
  <c r="E48" i="3"/>
  <c r="H74" i="3"/>
  <c r="E213" i="3"/>
  <c r="I144" i="3"/>
  <c r="L144" i="3" s="1"/>
  <c r="H145" i="3"/>
  <c r="H14" i="3"/>
  <c r="H265" i="3"/>
  <c r="I14" i="3"/>
  <c r="L14" i="3" s="1"/>
  <c r="E266" i="3"/>
  <c r="H155" i="3"/>
  <c r="E29" i="3"/>
  <c r="I31" i="3"/>
  <c r="L31" i="3" s="1"/>
  <c r="I93" i="3"/>
  <c r="L93" i="3" s="1"/>
  <c r="I159" i="3"/>
  <c r="L159" i="3" s="1"/>
  <c r="H159" i="3"/>
  <c r="H223" i="3"/>
  <c r="G35" i="3"/>
  <c r="E13" i="3"/>
  <c r="H147" i="3"/>
  <c r="I118" i="3"/>
  <c r="L118" i="3" s="1"/>
  <c r="G57" i="3"/>
  <c r="I271" i="3"/>
  <c r="L271" i="3" s="1"/>
  <c r="F194" i="3"/>
  <c r="H266" i="3"/>
  <c r="F230" i="3"/>
  <c r="I272" i="3"/>
  <c r="L272" i="3" s="1"/>
  <c r="I194" i="3"/>
  <c r="L194" i="3" s="1"/>
  <c r="G211" i="3"/>
  <c r="G216" i="3"/>
  <c r="G133" i="3"/>
  <c r="I230" i="3"/>
  <c r="L230" i="3" s="1"/>
  <c r="E16" i="3"/>
  <c r="H211" i="3"/>
  <c r="F196" i="3"/>
  <c r="F80" i="3"/>
  <c r="I91" i="3"/>
  <c r="L91" i="3" s="1"/>
  <c r="H142" i="3"/>
  <c r="I188" i="3"/>
  <c r="L187" i="3" s="1"/>
  <c r="I206" i="3"/>
  <c r="L206" i="3" s="1"/>
  <c r="E166" i="3"/>
  <c r="G103" i="3"/>
  <c r="F182" i="3"/>
  <c r="H272" i="3"/>
  <c r="I137" i="3"/>
  <c r="L137" i="3" s="1"/>
  <c r="E244" i="3"/>
  <c r="E230" i="3"/>
  <c r="E62" i="3"/>
  <c r="H245" i="3"/>
  <c r="I196" i="3"/>
  <c r="L196" i="3" s="1"/>
  <c r="I223" i="3"/>
  <c r="L223" i="3" s="1"/>
  <c r="I13" i="3"/>
  <c r="L13" i="3" s="1"/>
  <c r="E138" i="3"/>
  <c r="I209" i="3"/>
  <c r="L209" i="3" s="1"/>
  <c r="I163" i="3"/>
  <c r="L163" i="3" s="1"/>
  <c r="E14" i="3"/>
  <c r="E114" i="3"/>
  <c r="H15" i="3"/>
  <c r="G41" i="3"/>
  <c r="H4" i="3"/>
  <c r="H127" i="3"/>
  <c r="G224" i="3"/>
  <c r="E67" i="3"/>
  <c r="I90" i="3"/>
  <c r="L90" i="3" s="1"/>
  <c r="G22" i="3"/>
  <c r="F38" i="3"/>
  <c r="E31" i="3"/>
  <c r="G228" i="3"/>
  <c r="F31" i="3"/>
  <c r="F265" i="3"/>
  <c r="I123" i="3"/>
  <c r="L123" i="3" s="1"/>
  <c r="G38" i="3"/>
  <c r="F35" i="3"/>
  <c r="F211" i="3"/>
  <c r="G25" i="3"/>
  <c r="I133" i="3"/>
  <c r="L133" i="3" s="1"/>
  <c r="I87" i="3"/>
  <c r="L87" i="3" s="1"/>
  <c r="G63" i="3"/>
  <c r="E25" i="3"/>
  <c r="E163" i="3"/>
  <c r="H13" i="3"/>
  <c r="G196" i="3"/>
  <c r="E172" i="3"/>
  <c r="F6" i="3"/>
  <c r="I94" i="3"/>
  <c r="L94" i="3" s="1"/>
  <c r="E151" i="3"/>
  <c r="F280" i="3"/>
  <c r="I147" i="3"/>
  <c r="L147" i="3" s="1"/>
  <c r="E35" i="3"/>
  <c r="F7" i="3"/>
  <c r="E46" i="3"/>
  <c r="H226" i="3"/>
  <c r="I191" i="3"/>
  <c r="L191" i="3" s="1"/>
  <c r="H148" i="3"/>
  <c r="G53" i="3"/>
  <c r="I47" i="3"/>
  <c r="L47" i="3" s="1"/>
  <c r="F228" i="3"/>
  <c r="E280" i="3"/>
  <c r="E107" i="3"/>
  <c r="I89" i="3"/>
  <c r="L88" i="3" s="1"/>
  <c r="E129" i="3"/>
  <c r="H123" i="3"/>
  <c r="F58" i="3"/>
  <c r="I143" i="3"/>
  <c r="L143" i="3" s="1"/>
  <c r="E123" i="3"/>
  <c r="G188" i="3"/>
  <c r="H275" i="3"/>
  <c r="F140" i="3"/>
  <c r="H94" i="3"/>
  <c r="F91" i="3"/>
  <c r="G118" i="3"/>
  <c r="E20" i="3"/>
  <c r="E38" i="3"/>
  <c r="E264" i="3"/>
  <c r="I241" i="3"/>
  <c r="L241" i="3" s="1"/>
  <c r="H205" i="3"/>
  <c r="G217" i="3"/>
  <c r="G144" i="3"/>
  <c r="G184" i="3"/>
  <c r="H49" i="3"/>
  <c r="H171" i="3"/>
  <c r="F217" i="3"/>
  <c r="I205" i="3"/>
  <c r="L205" i="3" s="1"/>
  <c r="F62" i="3"/>
  <c r="G150" i="3"/>
  <c r="F266" i="3"/>
  <c r="E217" i="3"/>
  <c r="G96" i="3"/>
  <c r="H10" i="3"/>
  <c r="E90" i="3"/>
  <c r="F98" i="3"/>
  <c r="I127" i="3"/>
  <c r="L127" i="3" s="1"/>
  <c r="H25" i="3"/>
  <c r="E150" i="3"/>
  <c r="G3" i="3"/>
  <c r="G37" i="3"/>
  <c r="I155" i="3"/>
  <c r="L155" i="3" s="1"/>
  <c r="G223" i="3"/>
  <c r="F36" i="3"/>
  <c r="F259" i="3"/>
  <c r="F67" i="3"/>
  <c r="I134" i="3"/>
  <c r="L134" i="3" s="1"/>
  <c r="G44" i="3"/>
  <c r="G10" i="3"/>
  <c r="G250" i="3"/>
  <c r="E270" i="3"/>
  <c r="I266" i="3"/>
  <c r="L266" i="3" s="1"/>
  <c r="E96" i="3"/>
  <c r="G90" i="3"/>
  <c r="G272" i="3"/>
  <c r="E161" i="3"/>
  <c r="I270" i="3"/>
  <c r="L270" i="3" s="1"/>
  <c r="H233" i="3"/>
  <c r="E265" i="3"/>
  <c r="E254" i="3"/>
  <c r="E34" i="3"/>
  <c r="G8" i="3"/>
  <c r="G137" i="3"/>
  <c r="G142" i="3"/>
  <c r="G189" i="3"/>
  <c r="F116" i="3"/>
  <c r="E142" i="3"/>
  <c r="G256" i="3"/>
  <c r="I43" i="3"/>
  <c r="L43" i="3" s="1"/>
  <c r="F239" i="3"/>
  <c r="H56" i="3"/>
  <c r="F180" i="3"/>
  <c r="F8" i="3"/>
  <c r="E108" i="3"/>
  <c r="E180" i="3"/>
  <c r="H136" i="3"/>
  <c r="I239" i="3"/>
  <c r="L239" i="3" s="1"/>
  <c r="H268" i="3"/>
  <c r="H39" i="3"/>
  <c r="F105" i="3"/>
  <c r="F92" i="3"/>
  <c r="H31" i="3"/>
  <c r="G52" i="3"/>
  <c r="H48" i="3"/>
  <c r="G194" i="3"/>
  <c r="I80" i="3"/>
  <c r="L80" i="3" s="1"/>
  <c r="F33" i="3"/>
  <c r="I245" i="3"/>
  <c r="L245" i="3" s="1"/>
  <c r="E98" i="3"/>
  <c r="I79" i="3"/>
  <c r="L79" i="3" s="1"/>
  <c r="I4" i="3"/>
  <c r="L4" i="3" s="1"/>
  <c r="F148" i="3"/>
  <c r="E41" i="3"/>
  <c r="H264" i="3"/>
  <c r="I233" i="3"/>
  <c r="L233" i="3" s="1"/>
  <c r="E134" i="3"/>
  <c r="H80" i="3"/>
  <c r="E148" i="3"/>
  <c r="I171" i="3"/>
  <c r="L171" i="3" s="1"/>
  <c r="G19" i="3"/>
  <c r="E171" i="3"/>
  <c r="F281" i="3"/>
  <c r="H198" i="3"/>
  <c r="G148" i="3"/>
  <c r="I145" i="3"/>
  <c r="L145" i="3" s="1"/>
  <c r="G62" i="3"/>
  <c r="H259" i="3"/>
  <c r="F271" i="3"/>
  <c r="I57" i="3"/>
  <c r="L57" i="3" s="1"/>
  <c r="G48" i="3"/>
  <c r="I185" i="3"/>
  <c r="L185" i="3" s="1"/>
  <c r="F59" i="3"/>
  <c r="H249" i="3"/>
  <c r="H164" i="3"/>
  <c r="I53" i="3"/>
  <c r="L53" i="3" s="1"/>
  <c r="G158" i="3"/>
  <c r="E94" i="3"/>
  <c r="H53" i="3"/>
  <c r="G226" i="3"/>
  <c r="G72" i="3"/>
  <c r="H90" i="3"/>
  <c r="G271" i="3"/>
  <c r="I204" i="3"/>
  <c r="L204" i="3" s="1"/>
  <c r="E159" i="3"/>
  <c r="H230" i="3"/>
  <c r="H19" i="3"/>
  <c r="F161" i="3"/>
  <c r="I250" i="3"/>
  <c r="L250" i="3" s="1"/>
  <c r="I15" i="3"/>
  <c r="L15" i="3" s="1"/>
  <c r="H120" i="3"/>
  <c r="F185" i="3"/>
  <c r="H196" i="3"/>
  <c r="H22" i="3"/>
  <c r="I99" i="3"/>
  <c r="L97" i="3" s="1"/>
  <c r="E249" i="3"/>
  <c r="G74" i="3"/>
  <c r="G134" i="3"/>
  <c r="G154" i="3"/>
  <c r="I54" i="3"/>
  <c r="L54" i="3" s="1"/>
  <c r="G185" i="3"/>
  <c r="F198" i="3"/>
  <c r="H224" i="3"/>
  <c r="G198" i="3"/>
  <c r="I273" i="3"/>
  <c r="L273" i="3" s="1"/>
  <c r="I96" i="3"/>
  <c r="L96" i="3" s="1"/>
  <c r="E63" i="3"/>
  <c r="G91" i="3"/>
  <c r="G6" i="3"/>
  <c r="I20" i="3"/>
  <c r="L20" i="3" s="1"/>
  <c r="H185" i="3"/>
  <c r="I7" i="3"/>
  <c r="L7" i="3" s="1"/>
  <c r="G92" i="3"/>
  <c r="G31" i="3"/>
  <c r="F272" i="3"/>
  <c r="H42" i="3"/>
  <c r="E155" i="3"/>
  <c r="I40" i="3"/>
  <c r="L40" i="3" s="1"/>
  <c r="E184" i="3"/>
  <c r="H52" i="3"/>
  <c r="I264" i="3"/>
  <c r="L264" i="3" s="1"/>
  <c r="I225" i="3"/>
  <c r="L225" i="3" s="1"/>
  <c r="E274" i="3"/>
  <c r="F250" i="3"/>
  <c r="G171" i="3"/>
  <c r="I183" i="3"/>
  <c r="L183" i="3" s="1"/>
  <c r="G122" i="3"/>
  <c r="H229" i="3"/>
  <c r="I131" i="3"/>
  <c r="L131" i="3" s="1"/>
  <c r="H163" i="3"/>
  <c r="E118" i="3"/>
  <c r="I125" i="3"/>
  <c r="H244" i="3"/>
  <c r="H182" i="3"/>
  <c r="E89" i="3"/>
  <c r="E8" i="3"/>
  <c r="F244" i="3"/>
  <c r="F75" i="3"/>
  <c r="I156" i="3"/>
  <c r="F268" i="3"/>
  <c r="H121" i="3"/>
  <c r="I217" i="3"/>
  <c r="L217" i="3" s="1"/>
  <c r="E72" i="3"/>
  <c r="G279" i="3"/>
  <c r="E37" i="3"/>
  <c r="G15" i="3"/>
  <c r="H252" i="3"/>
  <c r="E10" i="3"/>
  <c r="G67" i="3"/>
  <c r="G161" i="3"/>
  <c r="E22" i="3"/>
  <c r="I140" i="3"/>
  <c r="L140" i="3" s="1"/>
  <c r="F223" i="3"/>
  <c r="H64" i="3"/>
  <c r="I46" i="3"/>
  <c r="L46" i="3" s="1"/>
  <c r="I151" i="3"/>
  <c r="L151" i="3" s="1"/>
  <c r="F4" i="3"/>
  <c r="I214" i="3"/>
  <c r="L214" i="3" s="1"/>
  <c r="H72" i="3"/>
  <c r="F46" i="3"/>
  <c r="I49" i="3"/>
  <c r="L49" i="3" s="1"/>
  <c r="I116" i="3"/>
  <c r="L112" i="3" s="1"/>
  <c r="E214" i="3"/>
  <c r="H250" i="3"/>
  <c r="F150" i="3"/>
  <c r="F245" i="3"/>
  <c r="F49" i="3"/>
  <c r="E144" i="3"/>
  <c r="I148" i="3"/>
  <c r="L148" i="3" s="1"/>
  <c r="I52" i="3"/>
  <c r="L52" i="3" s="1"/>
  <c r="H62" i="3"/>
  <c r="I25" i="3"/>
  <c r="L25" i="3" s="1"/>
  <c r="G4" i="3"/>
  <c r="H54" i="3"/>
  <c r="F249" i="3"/>
  <c r="G42" i="3"/>
  <c r="F10" i="3"/>
  <c r="E271" i="3"/>
  <c r="E164" i="3"/>
  <c r="G36" i="3"/>
  <c r="I154" i="3"/>
  <c r="F162" i="3"/>
  <c r="I211" i="3"/>
  <c r="L211" i="3" s="1"/>
  <c r="E154" i="3"/>
  <c r="H281" i="3"/>
  <c r="H100" i="3"/>
  <c r="F52" i="3"/>
  <c r="I77" i="3"/>
  <c r="L77" i="3" s="1"/>
  <c r="E56" i="3"/>
  <c r="E50" i="3"/>
  <c r="I124" i="3"/>
  <c r="E131" i="3"/>
  <c r="F251" i="3"/>
  <c r="H43" i="3"/>
  <c r="H176" i="3"/>
  <c r="E233" i="3"/>
  <c r="E143" i="3"/>
  <c r="E57" i="3"/>
  <c r="E145" i="3"/>
  <c r="H79" i="3"/>
  <c r="G275" i="3"/>
  <c r="E7" i="3"/>
  <c r="F146" i="3"/>
  <c r="I228" i="3"/>
  <c r="L227" i="3" s="1"/>
  <c r="L124" i="3" l="1"/>
  <c r="V2" i="3"/>
  <c r="L154" i="3"/>
</calcChain>
</file>

<file path=xl/sharedStrings.xml><?xml version="1.0" encoding="utf-8"?>
<sst xmlns="http://schemas.openxmlformats.org/spreadsheetml/2006/main" count="2738" uniqueCount="1772">
  <si>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</si>
  <si>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</si>
  <si>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</si>
  <si>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</si>
  <si>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</si>
  <si>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</si>
  <si>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</si>
  <si>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</si>
  <si>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</si>
  <si>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</si>
  <si>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</si>
  <si>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</si>
  <si>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</si>
  <si>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</si>
  <si>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</si>
  <si>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</si>
  <si>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</si>
  <si>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</si>
  <si>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</si>
  <si>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</si>
  <si>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</si>
  <si>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</si>
  <si>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</si>
  <si>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</si>
  <si>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</si>
  <si>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</si>
  <si>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</si>
  <si>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</si>
  <si>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</si>
  <si>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</si>
  <si>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</si>
  <si>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</si>
  <si>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</si>
  <si>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</si>
  <si>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</si>
  <si>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</si>
  <si>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</si>
  <si>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</si>
  <si>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</si>
  <si>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</si>
  <si>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</si>
  <si>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</si>
  <si>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</si>
  <si>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</si>
  <si>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</si>
  <si>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</si>
  <si>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</si>
  <si>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</si>
  <si>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</si>
  <si>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</si>
  <si>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</si>
  <si>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</si>
  <si>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</si>
  <si>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</si>
  <si>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</si>
  <si>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</si>
  <si>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</si>
  <si>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</si>
  <si>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</si>
  <si>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</si>
  <si>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</si>
  <si>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</si>
  <si>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</si>
  <si>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</si>
  <si>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</si>
  <si>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</si>
  <si>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</si>
  <si>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</si>
  <si>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</si>
  <si>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</si>
  <si>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</si>
  <si>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</si>
  <si>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</si>
  <si>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</si>
  <si>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</si>
  <si>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</si>
  <si>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</si>
  <si>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</si>
  <si>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</si>
  <si>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</si>
  <si>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</si>
  <si>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</si>
  <si>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</si>
  <si>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</si>
  <si>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</si>
  <si>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</si>
  <si>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</si>
  <si>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</si>
  <si>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</si>
  <si>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</si>
  <si>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</si>
  <si>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</si>
  <si>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</si>
  <si>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</si>
  <si>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</si>
  <si>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</si>
  <si>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</si>
  <si>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</si>
  <si>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</si>
  <si>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</si>
  <si>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</si>
  <si>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</si>
  <si>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</si>
  <si>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</si>
  <si>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</si>
  <si>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</si>
  <si>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</si>
  <si>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</si>
  <si>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</si>
  <si>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</si>
  <si>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</si>
  <si>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</si>
  <si>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</si>
  <si>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</si>
  <si>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</si>
  <si>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</si>
  <si>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</si>
  <si>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</si>
  <si>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</si>
  <si>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</si>
  <si>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</si>
  <si>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</si>
  <si>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</si>
  <si>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</si>
  <si>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</si>
  <si>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</si>
  <si>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</si>
  <si>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</si>
  <si>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</si>
  <si>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</si>
  <si>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</si>
  <si>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</si>
  <si>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</si>
  <si>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</si>
  <si>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</si>
  <si>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</si>
  <si>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</si>
  <si>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</si>
  <si>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</si>
  <si>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</si>
  <si>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</si>
  <si>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</si>
  <si>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</si>
  <si>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</si>
  <si>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</si>
  <si>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</si>
  <si>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</si>
  <si>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</si>
  <si>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</si>
  <si>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</si>
  <si>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</si>
  <si>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</si>
  <si>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</si>
  <si>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</si>
  <si>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</si>
  <si>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</si>
  <si>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</si>
  <si>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</si>
  <si>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</si>
  <si>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</si>
  <si>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</si>
  <si>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</si>
  <si>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</si>
  <si>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</si>
  <si>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</si>
  <si>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</si>
  <si>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</si>
  <si>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</si>
  <si>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</si>
  <si>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</si>
  <si>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</si>
  <si>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</si>
  <si>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</si>
  <si>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</si>
  <si>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</si>
  <si>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</si>
  <si>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</si>
  <si>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</si>
  <si>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</si>
  <si>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</si>
  <si>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</si>
  <si>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</si>
  <si>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</si>
  <si>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</si>
  <si>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</si>
  <si>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</si>
  <si>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</si>
  <si>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</si>
  <si>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</si>
  <si>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</si>
  <si>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</si>
  <si>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</si>
  <si>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</si>
  <si>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</si>
  <si>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</si>
  <si>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</si>
  <si>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</si>
  <si>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</si>
  <si>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</si>
  <si>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</si>
  <si>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</si>
  <si>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</si>
  <si>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</si>
  <si>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</si>
  <si>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</si>
  <si>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</si>
  <si>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</si>
  <si>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</si>
  <si>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</si>
  <si>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</si>
  <si>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</si>
  <si>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</si>
  <si>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</si>
  <si>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</si>
  <si>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</si>
  <si>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</si>
  <si>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</si>
  <si>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</si>
  <si>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</si>
  <si>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</si>
  <si>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</si>
  <si>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</si>
  <si>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</si>
  <si>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</si>
  <si>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</si>
  <si>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</si>
  <si>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</si>
  <si>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</si>
  <si>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</si>
  <si>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</si>
  <si>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</si>
  <si>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</si>
  <si>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</si>
  <si>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</si>
  <si>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</si>
  <si>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</si>
  <si>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</si>
  <si>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</si>
  <si>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</si>
  <si>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</si>
  <si>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</si>
  <si>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</si>
  <si>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</si>
  <si>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</si>
  <si>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</si>
  <si>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</si>
  <si>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</si>
  <si>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</si>
  <si>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</si>
  <si>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</si>
  <si>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</si>
  <si>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</si>
  <si>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</si>
  <si>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</si>
  <si>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</si>
  <si>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</si>
  <si>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</si>
  <si>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</si>
  <si>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</si>
  <si>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</si>
  <si>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</si>
  <si>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</si>
  <si>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</si>
  <si>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</si>
  <si>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</si>
  <si>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</si>
  <si>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</si>
  <si>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</si>
  <si>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</si>
  <si>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</si>
  <si>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</si>
  <si>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</si>
  <si>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</si>
  <si>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</si>
  <si>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</si>
  <si>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</si>
  <si>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</si>
  <si>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</si>
  <si>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</si>
  <si>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</si>
  <si>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</si>
  <si>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</si>
  <si>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</si>
  <si>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</si>
  <si>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</si>
  <si>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</si>
  <si>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</si>
  <si>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</si>
  <si>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</si>
  <si>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</si>
  <si>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</si>
  <si>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</si>
  <si>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</si>
  <si>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</si>
  <si>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</si>
  <si>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</si>
  <si>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</si>
  <si>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</si>
  <si>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</si>
  <si>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</si>
  <si>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</si>
  <si>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</si>
  <si>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</si>
  <si>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</si>
  <si>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</si>
  <si>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</si>
  <si>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</si>
  <si>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</si>
  <si>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</si>
  <si>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</si>
  <si>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</si>
  <si>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</si>
  <si>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</si>
  <si>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</si>
  <si>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</si>
  <si>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</si>
  <si>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</si>
  <si>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</si>
  <si>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</si>
  <si>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</si>
  <si>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</si>
  <si>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</si>
  <si>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</si>
  <si>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</si>
  <si>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</si>
  <si>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</si>
  <si>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</si>
  <si>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</si>
  <si>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</si>
  <si>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</si>
  <si>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</si>
  <si>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</si>
  <si>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</si>
  <si>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</si>
  <si>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</si>
  <si>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</si>
  <si>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</si>
  <si>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</si>
  <si>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</si>
  <si>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</si>
  <si>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</si>
  <si>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</si>
  <si>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</si>
  <si>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</si>
  <si>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</si>
  <si>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</si>
  <si>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</si>
  <si>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</si>
  <si>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</si>
  <si>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</si>
  <si>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</si>
  <si>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</si>
  <si>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</si>
  <si>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</si>
  <si>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</si>
  <si>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</si>
  <si>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</si>
  <si>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</si>
  <si>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</si>
  <si>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</si>
  <si>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</si>
  <si>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</si>
  <si>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</si>
  <si>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</si>
  <si>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</si>
  <si>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</si>
  <si>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</si>
  <si>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</si>
  <si>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</si>
  <si>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</si>
  <si>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</si>
  <si>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</si>
  <si>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</si>
  <si>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</si>
  <si>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</si>
  <si>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</si>
  <si>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</si>
  <si>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</si>
  <si>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</si>
  <si>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</si>
  <si>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</si>
  <si>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</si>
  <si>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</si>
  <si>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</si>
  <si>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</si>
  <si>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</si>
  <si>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</si>
  <si>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</si>
  <si>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</si>
  <si>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</si>
  <si>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</si>
  <si>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</si>
  <si>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</si>
  <si>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</si>
  <si>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</si>
  <si>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</si>
  <si>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</si>
  <si>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</si>
  <si>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</si>
  <si>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</si>
  <si>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</si>
  <si>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</si>
  <si>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</si>
  <si>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</si>
  <si>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</si>
  <si>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</si>
  <si>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</si>
  <si>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</si>
  <si>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</si>
  <si>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</si>
  <si>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</si>
  <si>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</si>
  <si>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</si>
  <si>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</si>
  <si>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</si>
  <si>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</si>
  <si>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</si>
  <si>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</si>
  <si>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</si>
  <si>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</si>
  <si>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</si>
  <si>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</si>
  <si>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</si>
  <si>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</si>
  <si>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</si>
  <si>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</si>
  <si>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</si>
  <si>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</si>
  <si>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</si>
  <si>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</si>
  <si>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</si>
  <si>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</si>
  <si>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</si>
  <si>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</si>
  <si>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</si>
  <si>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</si>
  <si>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</si>
  <si>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</si>
  <si>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</si>
  <si>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</si>
  <si>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</si>
  <si>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</si>
  <si>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</si>
  <si>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</si>
  <si>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</si>
  <si>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</si>
  <si>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</si>
  <si>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</si>
  <si>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</si>
  <si>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</si>
  <si>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</si>
  <si>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</si>
  <si>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</si>
  <si>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</si>
  <si>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</si>
  <si>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</si>
  <si>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</si>
  <si>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</si>
  <si>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</si>
  <si>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</si>
  <si>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</si>
  <si>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</si>
  <si>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</si>
  <si>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</si>
  <si>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</si>
  <si>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</si>
  <si>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</si>
  <si>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</si>
  <si>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</si>
  <si>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</si>
  <si>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</si>
  <si>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</si>
  <si>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</si>
  <si>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</si>
  <si>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</si>
  <si>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</si>
  <si>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</si>
  <si>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</si>
  <si>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</si>
  <si>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</si>
  <si>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</si>
  <si>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</si>
  <si>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</si>
  <si>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</si>
  <si>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</si>
  <si>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</si>
  <si>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</si>
  <si>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</si>
  <si>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</si>
  <si>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</si>
  <si>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</si>
  <si>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</si>
  <si>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</si>
  <si>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</si>
  <si>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</si>
  <si>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</si>
  <si>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</si>
  <si>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</si>
  <si>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</si>
  <si>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</si>
  <si>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</si>
  <si>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</si>
  <si>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</si>
  <si>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</si>
  <si>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</si>
  <si>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</si>
  <si>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</si>
  <si>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</si>
  <si>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</si>
  <si>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</si>
  <si>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</si>
  <si>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</si>
  <si>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</si>
  <si>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</si>
  <si>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</si>
  <si>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</si>
  <si>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</si>
  <si>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</si>
  <si>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</si>
  <si>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</si>
  <si>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</si>
  <si>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</si>
  <si>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</si>
  <si>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</si>
  <si>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</si>
  <si>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</si>
  <si>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</si>
  <si>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</si>
  <si>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</si>
  <si>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</si>
  <si>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</si>
  <si>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</si>
  <si>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</si>
  <si>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</si>
  <si>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</si>
  <si>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</si>
  <si>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</si>
  <si>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</si>
  <si>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</si>
  <si>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</si>
  <si>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</si>
  <si>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</si>
  <si>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</si>
  <si>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</si>
  <si>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</si>
  <si>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</si>
  <si>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</si>
  <si>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</si>
  <si>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</si>
  <si>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</si>
  <si>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</si>
  <si>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</si>
  <si>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</si>
  <si>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</si>
  <si>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</si>
  <si>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</si>
  <si>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</si>
  <si>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</si>
  <si>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</si>
  <si>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</si>
  <si>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</si>
  <si>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</si>
  <si>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</si>
  <si>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</si>
  <si>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</si>
  <si>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</si>
  <si>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</si>
  <si>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</si>
  <si>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</si>
  <si>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</si>
  <si>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</si>
  <si>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</si>
  <si>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</si>
  <si>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</si>
  <si>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</si>
  <si>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</si>
  <si>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</si>
  <si>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</si>
  <si>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</si>
  <si>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</si>
  <si>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</si>
  <si>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</si>
  <si>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</si>
  <si>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</si>
  <si>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</si>
  <si>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</si>
  <si>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</si>
  <si>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</si>
  <si>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</si>
  <si>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</si>
  <si>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</si>
  <si>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</si>
  <si>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</si>
  <si>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</si>
  <si>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</si>
  <si>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</si>
  <si>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</si>
  <si>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</si>
  <si>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</si>
  <si>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</si>
  <si>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</si>
  <si>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</si>
  <si>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</si>
  <si>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</si>
  <si>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</si>
  <si>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</si>
  <si>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</si>
  <si>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</si>
  <si>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</si>
  <si>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</si>
  <si>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</si>
  <si>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</si>
  <si>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</si>
  <si>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</si>
  <si>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</si>
  <si>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</si>
  <si>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</si>
  <si>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</si>
  <si>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</si>
  <si>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</si>
  <si>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</si>
  <si>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</si>
  <si>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</si>
  <si>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</si>
  <si>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</si>
  <si>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</si>
  <si>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</si>
  <si>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</si>
  <si>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</si>
  <si>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</si>
  <si>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</si>
  <si>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</si>
  <si>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</si>
  <si>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</si>
  <si>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</si>
  <si>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</si>
  <si>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</si>
  <si>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</si>
  <si>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</si>
  <si>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</si>
  <si>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</si>
  <si>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</si>
  <si>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</si>
  <si>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</si>
  <si>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</si>
  <si>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</si>
  <si>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</si>
  <si>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</si>
  <si>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</si>
  <si>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</si>
  <si>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</si>
  <si>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</si>
  <si>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</si>
  <si>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</si>
  <si>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</si>
  <si>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</si>
  <si>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</si>
  <si>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</si>
  <si>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</si>
  <si>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</si>
  <si>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</si>
  <si>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</si>
  <si>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</si>
  <si>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</si>
  <si>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</si>
  <si>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</si>
  <si>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</si>
  <si>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</si>
  <si>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</si>
  <si>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</si>
  <si>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</si>
  <si>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</si>
  <si>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</si>
  <si>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</si>
  <si>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</si>
  <si>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</si>
  <si>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</si>
  <si>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</si>
  <si>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</si>
  <si>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</si>
  <si>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</si>
  <si>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</si>
  <si>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</si>
  <si>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</si>
  <si>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</si>
  <si>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</si>
  <si>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</si>
  <si>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</si>
  <si>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</si>
  <si>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</si>
  <si>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</si>
  <si>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</si>
  <si>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</si>
  <si>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</si>
  <si>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</si>
  <si>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</si>
  <si>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</si>
  <si>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</si>
  <si>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</si>
  <si>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</si>
  <si>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</si>
  <si>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</si>
  <si>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</si>
  <si>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</si>
  <si>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</si>
  <si>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</si>
  <si>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</si>
  <si>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</si>
  <si>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</si>
  <si>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</si>
  <si>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</si>
  <si>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</si>
  <si>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</si>
  <si>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</si>
  <si>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</si>
  <si>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</si>
  <si>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</si>
  <si>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</si>
  <si>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</si>
  <si>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</si>
  <si>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</si>
  <si>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</si>
  <si>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</si>
  <si>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</si>
  <si>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</si>
  <si>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</si>
  <si>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</si>
  <si>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</si>
  <si>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</si>
  <si>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</si>
  <si>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</si>
  <si>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</si>
  <si>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</si>
  <si>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</si>
  <si>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</si>
  <si>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</si>
  <si>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</si>
  <si>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</si>
  <si>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</si>
  <si>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</si>
  <si>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</si>
  <si>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</si>
  <si>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</si>
  <si>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</si>
  <si>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</si>
  <si>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</si>
  <si>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</si>
  <si>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</si>
  <si>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</si>
  <si>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</si>
  <si>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</si>
  <si>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</si>
  <si>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</si>
  <si>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</si>
  <si>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</si>
  <si>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</si>
  <si>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</si>
  <si>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</si>
  <si>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</si>
  <si>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</si>
  <si>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</si>
  <si>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</si>
  <si>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</si>
  <si>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</si>
  <si>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</si>
  <si>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</si>
  <si>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</si>
  <si>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</si>
  <si>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</si>
  <si>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</si>
  <si>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</si>
  <si>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</si>
  <si>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</si>
  <si>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</si>
  <si>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</si>
  <si>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</si>
  <si>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</si>
  <si>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</si>
  <si>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</si>
  <si>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</si>
  <si>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</si>
  <si>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</si>
  <si>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</si>
  <si>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</si>
  <si>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</si>
  <si>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</si>
  <si>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</si>
  <si>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</si>
  <si>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</si>
  <si>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</si>
  <si>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</si>
  <si>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</si>
  <si>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</si>
  <si>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</si>
  <si>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</si>
  <si>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</si>
  <si>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</si>
  <si>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</si>
  <si>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</si>
  <si>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</si>
  <si>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</si>
  <si>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</si>
  <si>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</si>
  <si>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</si>
  <si>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</si>
  <si>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</si>
  <si>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</si>
  <si>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</si>
  <si>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</si>
  <si>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</si>
  <si>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</si>
  <si>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</si>
  <si>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</si>
  <si>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</si>
  <si>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</si>
  <si>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</si>
  <si>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</si>
  <si>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</si>
  <si>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</si>
  <si>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</si>
  <si>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</si>
  <si>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</si>
  <si>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</si>
  <si>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</si>
  <si>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</si>
  <si>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</si>
  <si>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</si>
  <si>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</si>
  <si>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</si>
  <si>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</si>
  <si>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</si>
  <si>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</si>
  <si>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</si>
  <si>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</si>
  <si>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</si>
  <si>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</si>
  <si>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</si>
  <si>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</si>
  <si>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</si>
  <si>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</si>
  <si>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</si>
  <si>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</si>
  <si>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</si>
  <si>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</si>
  <si>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</si>
  <si>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</si>
  <si>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</si>
  <si>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</si>
  <si>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</si>
  <si>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</si>
  <si>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</si>
  <si>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</si>
  <si>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</si>
  <si>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</si>
  <si>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</si>
  <si>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</si>
  <si>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</si>
  <si>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</si>
  <si>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</si>
  <si>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</si>
  <si>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</si>
  <si>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</si>
  <si>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</si>
  <si>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</si>
  <si>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</si>
  <si>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</si>
  <si>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</si>
  <si>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</si>
  <si>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</si>
  <si>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</si>
  <si>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</si>
  <si>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</si>
  <si>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</si>
  <si>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</si>
  <si>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</si>
  <si>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</si>
  <si>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</si>
  <si>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</si>
  <si>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</si>
  <si>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</si>
  <si>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</si>
  <si>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</si>
  <si>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</si>
  <si>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</si>
  <si>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</si>
  <si>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</si>
  <si>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</si>
  <si>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</si>
  <si>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</si>
  <si>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</si>
  <si>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</si>
  <si>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</si>
  <si>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</si>
  <si>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</si>
  <si>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</si>
  <si>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</si>
  <si>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</si>
  <si>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</si>
  <si>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</si>
  <si>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</si>
  <si>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</si>
  <si>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</si>
  <si>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</si>
  <si>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</si>
  <si>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</si>
  <si>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</si>
  <si>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</si>
  <si>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</si>
  <si>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</si>
  <si>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</si>
  <si>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</si>
  <si>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</si>
  <si>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</si>
  <si>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</si>
  <si>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</si>
  <si>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</si>
  <si>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</si>
  <si>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</si>
  <si>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</si>
  <si>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</si>
  <si>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</si>
  <si>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</si>
  <si>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</si>
  <si>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</si>
  <si>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</si>
  <si>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</si>
  <si>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</si>
  <si>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</si>
  <si>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</si>
  <si>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</si>
  <si>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</si>
  <si>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</si>
  <si>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</si>
  <si>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</si>
  <si>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</si>
  <si>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</si>
  <si>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</si>
  <si>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</si>
  <si>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</si>
  <si>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</si>
  <si>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</si>
  <si>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</si>
  <si>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</si>
  <si>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</si>
  <si>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</si>
  <si>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</si>
  <si>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</si>
  <si>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</si>
  <si>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</si>
  <si>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</si>
  <si>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</si>
  <si>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</si>
  <si>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</si>
  <si>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</si>
  <si>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</si>
  <si>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</si>
  <si>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</si>
  <si>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</si>
  <si>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</si>
  <si>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</si>
  <si>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</si>
  <si>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</si>
  <si>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</si>
  <si>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</si>
  <si>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</si>
  <si>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</si>
  <si>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</si>
  <si>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</si>
  <si>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</si>
  <si>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</si>
  <si>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</si>
  <si>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</si>
  <si>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</si>
  <si>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</si>
  <si>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</si>
  <si>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</si>
  <si>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</si>
  <si>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</si>
  <si>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</si>
  <si>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</si>
  <si>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</si>
  <si>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</si>
  <si>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</si>
  <si>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</si>
  <si>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</si>
  <si>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</si>
  <si>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</si>
  <si>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</si>
  <si>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</si>
  <si>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</si>
  <si>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</si>
  <si>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</si>
  <si>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</si>
  <si>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</si>
  <si>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</si>
  <si>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</si>
  <si>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</si>
  <si>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</si>
  <si>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</si>
  <si>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</si>
  <si>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</si>
  <si>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</si>
  <si>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</si>
  <si>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</si>
  <si>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</si>
  <si>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</si>
  <si>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</si>
  <si>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</si>
  <si>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</si>
  <si>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</si>
  <si>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</si>
  <si>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</si>
  <si>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</si>
  <si>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</si>
  <si>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</si>
  <si>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</si>
  <si>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</si>
  <si>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</si>
  <si>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</si>
  <si>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</si>
  <si>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</si>
  <si>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</si>
  <si>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</si>
  <si>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</si>
  <si>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</si>
  <si>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</si>
  <si>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</si>
  <si>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</si>
  <si>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</si>
  <si>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</si>
  <si>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</si>
  <si>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</si>
  <si>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</si>
  <si>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</si>
  <si>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</si>
  <si>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</si>
  <si>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</si>
  <si>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</si>
  <si>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</si>
  <si>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</si>
  <si>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</si>
  <si>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</si>
  <si>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</si>
  <si>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</si>
  <si>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</si>
  <si>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</si>
  <si>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</si>
  <si>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</si>
  <si>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</si>
  <si>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</si>
  <si>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</si>
  <si>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</si>
  <si>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</si>
  <si>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</si>
  <si>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</si>
  <si>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</si>
  <si>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</si>
  <si>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</si>
  <si>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</si>
  <si>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</si>
  <si>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</si>
  <si>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</si>
  <si>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</si>
  <si>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</si>
  <si>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</si>
  <si>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</si>
  <si>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</si>
  <si>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</si>
  <si>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</si>
  <si>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</si>
  <si>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</si>
  <si>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</si>
  <si>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</si>
  <si>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</si>
  <si>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</si>
  <si>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</si>
  <si>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</si>
  <si>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</si>
  <si>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</si>
  <si>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</si>
  <si>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</si>
  <si>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</si>
  <si>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</si>
  <si>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</si>
  <si>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</si>
  <si>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</si>
  <si>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</si>
  <si>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</si>
  <si>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</si>
  <si>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</si>
  <si>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</si>
  <si>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</si>
  <si>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</si>
  <si>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</si>
  <si>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</si>
  <si>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</si>
  <si>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</si>
  <si>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</si>
  <si>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</si>
  <si>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</si>
  <si>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</si>
  <si>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</si>
  <si>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</si>
  <si>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</si>
  <si>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</si>
  <si>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</si>
  <si>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</si>
  <si>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</si>
  <si>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</si>
  <si>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</si>
  <si>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</si>
  <si>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</si>
  <si>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</si>
  <si>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</si>
  <si>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</si>
  <si>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</si>
  <si>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</si>
  <si>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</si>
  <si>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</si>
  <si>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</si>
  <si>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</si>
  <si>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</si>
  <si>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</si>
  <si>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</si>
  <si>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</si>
  <si>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</si>
  <si>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</si>
  <si>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</si>
  <si>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</si>
  <si>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</si>
  <si>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</si>
  <si>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</si>
  <si>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</si>
  <si>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</si>
  <si>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</si>
  <si>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</si>
  <si>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</si>
  <si>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</si>
  <si>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</si>
  <si>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</si>
  <si>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</si>
  <si>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</si>
  <si>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</si>
  <si>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</si>
  <si>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</si>
  <si>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</si>
  <si>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</si>
  <si>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</si>
  <si>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</si>
  <si>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</si>
  <si>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</si>
  <si>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TOTAL GOLD</t>
  </si>
  <si>
    <t>TOTAL SIVER</t>
  </si>
  <si>
    <t>GOLD &amp; SILVER</t>
  </si>
  <si>
    <t xml:space="preserve">GOLD </t>
  </si>
  <si>
    <t>SEP</t>
  </si>
  <si>
    <t>MONTH</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</si>
  <si>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</si>
  <si>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</si>
  <si>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</si>
  <si>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</si>
  <si>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</si>
  <si>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</si>
  <si>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</si>
  <si>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</si>
  <si>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</si>
  <si>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</si>
  <si>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</si>
  <si>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</si>
  <si>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</si>
  <si>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</si>
  <si>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</si>
  <si>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</si>
  <si>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</si>
  <si>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</si>
  <si>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</si>
  <si>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</si>
  <si>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</si>
  <si>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</si>
  <si>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</si>
  <si>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</si>
  <si>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</si>
  <si>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</si>
  <si>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</si>
  <si>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</si>
  <si>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</si>
  <si>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</si>
  <si>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</si>
  <si>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</si>
  <si>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</si>
  <si>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</si>
  <si>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</si>
  <si>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</si>
  <si>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</si>
  <si>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</si>
  <si>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</si>
  <si>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</si>
  <si>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</si>
  <si>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</si>
  <si>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</si>
  <si>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</si>
  <si>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</si>
  <si>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</si>
  <si>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</si>
  <si>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</si>
  <si>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</si>
  <si>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</si>
  <si>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</si>
  <si>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</si>
  <si>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</si>
  <si>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</si>
  <si>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</si>
  <si>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</si>
  <si>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</si>
  <si>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</si>
  <si>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</si>
  <si>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</si>
  <si>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</si>
  <si>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</si>
  <si>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</si>
  <si>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</si>
  <si>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</si>
  <si>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</si>
  <si>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</si>
  <si>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</si>
  <si>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</si>
  <si>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</si>
  <si>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</si>
  <si>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</si>
  <si>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</si>
  <si>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</si>
  <si>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</si>
  <si>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</si>
  <si>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</si>
  <si>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</si>
  <si>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</si>
  <si>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</si>
  <si>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</si>
  <si>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</si>
  <si>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</si>
  <si>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</si>
  <si>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</si>
  <si>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</si>
  <si>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</si>
  <si>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</si>
  <si>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</si>
  <si>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</si>
  <si>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</si>
  <si>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</si>
  <si>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</si>
  <si>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</si>
  <si>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</si>
  <si>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</si>
  <si>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</si>
  <si>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</si>
  <si>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</si>
  <si>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</si>
  <si>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</si>
  <si>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</si>
  <si>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</si>
  <si>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</si>
  <si>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</si>
  <si>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</si>
  <si>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</si>
  <si>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</si>
  <si>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</si>
  <si>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09-11-24</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</si>
  <si>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</si>
  <si>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</si>
  <si>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</si>
  <si>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</si>
  <si>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</si>
  <si>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</si>
  <si>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</si>
  <si>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</si>
  <si>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</si>
  <si>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</si>
  <si>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</si>
  <si>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</si>
  <si>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</si>
  <si>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</si>
  <si>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</si>
  <si>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</si>
  <si>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</si>
  <si>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</si>
  <si>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</si>
  <si>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</si>
  <si>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</si>
  <si>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</si>
  <si>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</si>
  <si>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</si>
  <si>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</si>
  <si>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</si>
  <si>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 xml:space="preserve"> 736.44 PURE </t>
  </si>
  <si>
    <t xml:space="preserve"> 1288.300 PURE </t>
  </si>
  <si>
    <t>12-11 IMBRAN</t>
  </si>
  <si>
    <t>16-11 CHITRA PP</t>
  </si>
  <si>
    <t>வாடிக்கையாளர்</t>
  </si>
  <si>
    <t>தொகை</t>
  </si>
  <si>
    <r>
      <t>அசல்</t>
    </r>
    <r>
      <rPr>
        <b/>
        <sz val="18"/>
        <color rgb="FF000000"/>
        <rFont val="Times New Roman"/>
        <family val="1"/>
      </rPr>
      <t xml:space="preserve"> </t>
    </r>
    <r>
      <rPr>
        <b/>
        <sz val="18"/>
        <color rgb="FF000000"/>
        <rFont val="Nirmala UI"/>
        <family val="2"/>
      </rPr>
      <t>லாபம்</t>
    </r>
  </si>
  <si>
    <t>இருப்பு வெள்ளி</t>
  </si>
  <si>
    <t>இருப்பு தங்கம்</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</si>
  <si>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</si>
  <si>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</si>
  <si>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</si>
  <si>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</si>
  <si>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</si>
  <si>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</si>
  <si>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</si>
  <si>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</si>
  <si>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</si>
  <si>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</si>
  <si>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</si>
  <si>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</si>
  <si>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</si>
  <si>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</si>
  <si>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</si>
  <si>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</si>
  <si>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</si>
  <si>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18-11 MATTAL</t>
  </si>
  <si>
    <t>18-11 THALI KASU</t>
  </si>
  <si>
    <t>150</t>
  </si>
  <si>
    <t xml:space="preserve">20-11 CHAIN+RING </t>
  </si>
  <si>
    <t>21-11 CHINNALAPATTI</t>
  </si>
  <si>
    <t>S-DOLLER-39</t>
  </si>
  <si>
    <t>S-DOLLER-40</t>
  </si>
  <si>
    <t>S-DOLLER-41</t>
  </si>
  <si>
    <t>S-DOLLER-42</t>
  </si>
  <si>
    <r>
      <t xml:space="preserve">         </t>
    </r>
    <r>
      <rPr>
        <b/>
        <sz val="22"/>
        <color rgb="FFFF0000"/>
        <rFont val="Aptos"/>
        <family val="2"/>
      </rPr>
      <t>OCT 15 - NOV 15</t>
    </r>
  </si>
  <si>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</si>
  <si>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</si>
  <si>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</si>
  <si>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</si>
  <si>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</si>
  <si>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</si>
  <si>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</si>
  <si>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</si>
  <si>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</si>
  <si>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</si>
  <si>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</si>
  <si>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</si>
  <si>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</si>
  <si>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</si>
  <si>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</si>
  <si>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</si>
  <si>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</si>
  <si>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</si>
  <si>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</si>
  <si>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</si>
  <si>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</si>
  <si>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</si>
  <si>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</si>
  <si>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S-BARACELET-G-92.532</t>
  </si>
  <si>
    <t>S-BARACELET-G-92.533</t>
  </si>
  <si>
    <t>S-BARACELET-G-92.534</t>
  </si>
  <si>
    <t>S-BARACELET-G-92.535</t>
  </si>
  <si>
    <t>S-BARACELET-G-92.536</t>
  </si>
  <si>
    <t>S-BARACELET-G-92.537</t>
  </si>
  <si>
    <t>S-BARACELET-G-92.538</t>
  </si>
  <si>
    <t>S-BARACELET-G-92.539</t>
  </si>
  <si>
    <t>S-BARACELET-G-92.540</t>
  </si>
  <si>
    <t>S-CHAIN-92.5-27-11</t>
  </si>
  <si>
    <t>S-CHAIN-N-73</t>
  </si>
  <si>
    <t>S-BRACELET-ORDER</t>
  </si>
  <si>
    <t>RAMESH-SIDE-STUD-22-11</t>
  </si>
  <si>
    <t>25-11 STUD</t>
  </si>
  <si>
    <t>59</t>
  </si>
  <si>
    <t>76</t>
  </si>
  <si>
    <t>MANGAVOO-30-11</t>
  </si>
  <si>
    <t>160</t>
  </si>
  <si>
    <t>S-METTI-30-11</t>
  </si>
  <si>
    <t>278</t>
  </si>
  <si>
    <t>02-12 KOLUSU</t>
  </si>
  <si>
    <t>99.9 PURE GOLD</t>
  </si>
  <si>
    <t>S-METTI-03-12</t>
  </si>
  <si>
    <t>S-KARUNGALI-KAMMBI-08-12</t>
  </si>
  <si>
    <t>OLD-GOLD-CHAIN-19-12</t>
  </si>
  <si>
    <t>09-12 CHAIN</t>
  </si>
  <si>
    <t>G-PESERI-33-1</t>
  </si>
  <si>
    <t>S-CHAIN-N-74</t>
  </si>
  <si>
    <t>S-CHAIN-N-75</t>
  </si>
  <si>
    <t>S-CHAIN-N-76</t>
  </si>
  <si>
    <t>S-CHAIN-N-77</t>
  </si>
  <si>
    <t>S-CHAIN-N-78</t>
  </si>
  <si>
    <t>S-CHAIN-N-79</t>
  </si>
  <si>
    <t>S-CHAIN-92.5-80</t>
  </si>
  <si>
    <t>S-CHAIN-92.5-81</t>
  </si>
  <si>
    <t>S-CHAIN-92.5-82</t>
  </si>
  <si>
    <t>S-CHAIN-92.5-83</t>
  </si>
  <si>
    <t>S-CHAIN-92.5-84</t>
  </si>
  <si>
    <t>351</t>
  </si>
  <si>
    <t>S-RING-295</t>
  </si>
  <si>
    <t>S-RING-296</t>
  </si>
  <si>
    <t>S-RING-297</t>
  </si>
  <si>
    <t>S-RING-298</t>
  </si>
  <si>
    <t>S-RING-299</t>
  </si>
  <si>
    <t>S-RING-300</t>
  </si>
  <si>
    <t>S-RING-301</t>
  </si>
  <si>
    <t>S-RING-302</t>
  </si>
  <si>
    <t>S-RING-303</t>
  </si>
  <si>
    <t>S-RING-304</t>
  </si>
  <si>
    <t>S-RING-305</t>
  </si>
  <si>
    <t>S-RING-306</t>
  </si>
  <si>
    <t>S-RING-307</t>
  </si>
  <si>
    <t>S-RING-308</t>
  </si>
  <si>
    <t>S-RING-309</t>
  </si>
  <si>
    <t>S-RING-310</t>
  </si>
  <si>
    <t>S-RING-311</t>
  </si>
  <si>
    <t>S-RING-312</t>
  </si>
  <si>
    <t>S-RING-313</t>
  </si>
  <si>
    <t>S-RING-314</t>
  </si>
  <si>
    <t>S-RING-315</t>
  </si>
  <si>
    <t>S-RING-316</t>
  </si>
  <si>
    <t>S-RING-317</t>
  </si>
  <si>
    <t>S-RING-318</t>
  </si>
  <si>
    <t>S-RING-319</t>
  </si>
  <si>
    <t>S-RING-320</t>
  </si>
  <si>
    <t>S-RING-321</t>
  </si>
  <si>
    <t>S-RING-322</t>
  </si>
  <si>
    <t>S-RING-323</t>
  </si>
  <si>
    <t>S-RING-324</t>
  </si>
  <si>
    <t>S-RING-325</t>
  </si>
  <si>
    <t>S-RING-326</t>
  </si>
  <si>
    <t>S-RING-327</t>
  </si>
  <si>
    <t>S-RING-328</t>
  </si>
  <si>
    <t>S-RING-329</t>
  </si>
  <si>
    <t>S-RING-330</t>
  </si>
  <si>
    <t>S-RING-331</t>
  </si>
  <si>
    <t>S-RING-332</t>
  </si>
  <si>
    <t>S-RING-333</t>
  </si>
  <si>
    <t>S-RING-334</t>
  </si>
  <si>
    <t>S-RING-335</t>
  </si>
  <si>
    <t>S-RING-336</t>
  </si>
  <si>
    <t>S-RING-337</t>
  </si>
  <si>
    <t>S-RING-338</t>
  </si>
  <si>
    <t>S-RING-339</t>
  </si>
  <si>
    <t>S-RING-340</t>
  </si>
  <si>
    <t>S-RING-341</t>
  </si>
  <si>
    <t>S-RING-342</t>
  </si>
  <si>
    <t>S-RING-343</t>
  </si>
  <si>
    <t>S-RING-344</t>
  </si>
  <si>
    <t>S-RING-345</t>
  </si>
  <si>
    <t>S-RING-346</t>
  </si>
  <si>
    <t>S-RING-347</t>
  </si>
  <si>
    <t>S-RING-348</t>
  </si>
  <si>
    <t>S-RING-349</t>
  </si>
  <si>
    <t>S-RING-350</t>
  </si>
  <si>
    <t>S-RING-351</t>
  </si>
  <si>
    <t>S-RING-352</t>
  </si>
  <si>
    <t>S-RING-353</t>
  </si>
  <si>
    <t>S-RING-354</t>
  </si>
  <si>
    <t>S-RING-355</t>
  </si>
  <si>
    <t>S-RING-356</t>
  </si>
  <si>
    <t>S-RING-357</t>
  </si>
  <si>
    <t>S-RING-358</t>
  </si>
  <si>
    <t>09-12 SKANDHA</t>
  </si>
  <si>
    <t>30</t>
  </si>
  <si>
    <t>26-11 SANJU RING</t>
  </si>
  <si>
    <t>27-11 RING</t>
  </si>
  <si>
    <t>28-11 AMBIGAI DGL</t>
  </si>
  <si>
    <t>26-11 CHAKRA</t>
  </si>
  <si>
    <t>26-11 MASS</t>
  </si>
  <si>
    <t>26-11 MURUGAN</t>
  </si>
  <si>
    <t>02-12 S-DOLLER</t>
  </si>
  <si>
    <t>04-12 COIN 91.6</t>
  </si>
  <si>
    <t>05-12 CHAIN</t>
  </si>
  <si>
    <t>13-12 RING 916</t>
  </si>
  <si>
    <t>228</t>
  </si>
  <si>
    <t>139</t>
  </si>
  <si>
    <t>153</t>
  </si>
  <si>
    <t>222</t>
  </si>
  <si>
    <t>334</t>
  </si>
  <si>
    <t xml:space="preserve">18-12 SILVER </t>
  </si>
  <si>
    <t>G-RING-</t>
  </si>
  <si>
    <t>309</t>
  </si>
  <si>
    <t>316</t>
  </si>
  <si>
    <t>21-12 NOSE PIN</t>
  </si>
  <si>
    <t>05-08 RAJESHWARI</t>
  </si>
  <si>
    <t>26-10 KRISHANAVENI</t>
  </si>
  <si>
    <t>14-11 CHELLAMMAL</t>
  </si>
  <si>
    <t>16-11 CHITRA</t>
  </si>
  <si>
    <t>30-11 BALAMURUGAN</t>
  </si>
  <si>
    <t>13-12 AARTHI</t>
  </si>
  <si>
    <t>18-12 SELTIL</t>
  </si>
  <si>
    <t>18-12 MADURA</t>
  </si>
  <si>
    <t>G-RING-69</t>
  </si>
  <si>
    <t>G-TLI-MNI-THAYTH-26</t>
  </si>
  <si>
    <t>G-TLI-MNI-THAYTH-28</t>
  </si>
  <si>
    <t>G-TLI-MNI-THAYTH-29</t>
  </si>
  <si>
    <t>G-TLI-MNI-THAYTH-30</t>
  </si>
  <si>
    <t>NOV16 - DEC15</t>
  </si>
  <si>
    <t>S-B-KOLUSU--89</t>
  </si>
  <si>
    <t>S-AARUNA-17</t>
  </si>
  <si>
    <t>S-S-KOLUSU-101</t>
  </si>
  <si>
    <t>S-S-KOLUSU-102</t>
  </si>
  <si>
    <t>212</t>
  </si>
  <si>
    <t>71</t>
  </si>
  <si>
    <t>92</t>
  </si>
  <si>
    <t>21</t>
  </si>
  <si>
    <t>42</t>
  </si>
  <si>
    <t>318</t>
  </si>
  <si>
    <t>S-METTI-28-12</t>
  </si>
  <si>
    <t>87</t>
  </si>
  <si>
    <t>65</t>
  </si>
  <si>
    <t>MADURA-METTI</t>
  </si>
  <si>
    <t>221</t>
  </si>
  <si>
    <t>S-METTI-31-12</t>
  </si>
  <si>
    <t>320</t>
  </si>
  <si>
    <t>28</t>
  </si>
  <si>
    <t>112</t>
  </si>
  <si>
    <t>237</t>
  </si>
  <si>
    <t>131</t>
  </si>
  <si>
    <t>232</t>
  </si>
  <si>
    <t>MADURA-G-STUD</t>
  </si>
  <si>
    <t>S-METTI-01-01</t>
  </si>
  <si>
    <t>173</t>
  </si>
  <si>
    <t>343</t>
  </si>
  <si>
    <t>NOSE PIN</t>
  </si>
  <si>
    <t>MADURA-SILVER</t>
  </si>
  <si>
    <t>S-METTI-07-01</t>
  </si>
  <si>
    <t>143</t>
  </si>
  <si>
    <t>G-THIRUKANI</t>
  </si>
  <si>
    <t>MADURA-KOLUSU</t>
  </si>
  <si>
    <t>102</t>
  </si>
  <si>
    <t>207</t>
  </si>
  <si>
    <t>346</t>
  </si>
  <si>
    <t>S-AARUNA-18</t>
  </si>
  <si>
    <t>S-AARUNA-ROLL-</t>
  </si>
  <si>
    <t>S-KAPPU-N-27</t>
  </si>
  <si>
    <t>S-KADA-13-01</t>
  </si>
  <si>
    <t>S-AARUNA13-01</t>
  </si>
  <si>
    <t>S-BANGLE-18</t>
  </si>
  <si>
    <t>S-BANGLE-19</t>
  </si>
  <si>
    <t>S-BANGLE-20</t>
  </si>
  <si>
    <t>S-BANGLE-21</t>
  </si>
  <si>
    <t>S-BANGLE-22</t>
  </si>
  <si>
    <t>S-BANGLE-23</t>
  </si>
  <si>
    <t>S-BANGLE-24</t>
  </si>
  <si>
    <t>S-BANGLE-25</t>
  </si>
  <si>
    <t>S-BANGLE-26</t>
  </si>
  <si>
    <t>S-BANGLE-27</t>
  </si>
  <si>
    <t>S-BANGLE-28</t>
  </si>
  <si>
    <t>S-BANGLE-13-01</t>
  </si>
  <si>
    <t>S-AARUNA-HOOK</t>
  </si>
  <si>
    <t>S-BARACELET-B-31</t>
  </si>
  <si>
    <t>S-BARACELET-B-32</t>
  </si>
  <si>
    <t>S-BARACELET-B-33</t>
  </si>
  <si>
    <t>S-BARACELET-B-34</t>
  </si>
  <si>
    <t>S-BARACELET-B-35</t>
  </si>
  <si>
    <t>S-BARACELET-B-36</t>
  </si>
  <si>
    <t>S-BARACELET-B-37</t>
  </si>
  <si>
    <t>S-BARACELET-B-38</t>
  </si>
  <si>
    <t>S-BARACELET-B-39</t>
  </si>
  <si>
    <t>S-BARACELET-B-40</t>
  </si>
  <si>
    <t>S-BARACELET-B-41</t>
  </si>
  <si>
    <t>S-BRACELET-13-01</t>
  </si>
  <si>
    <t>S-S-KOLUSU-103</t>
  </si>
  <si>
    <t>S-S-KOLUSU-104</t>
  </si>
  <si>
    <t>S-S-KOLUSU-105</t>
  </si>
  <si>
    <t>S-S-KOLUSU-106</t>
  </si>
  <si>
    <t>S-S-KOLUSU-107</t>
  </si>
  <si>
    <t>S-S-KOLUSU-108</t>
  </si>
  <si>
    <t>S-S-KOLUSU-109</t>
  </si>
  <si>
    <t>S-S-KOLUSU-110</t>
  </si>
  <si>
    <t>S-S-KOLUSU-111</t>
  </si>
  <si>
    <t>165</t>
  </si>
  <si>
    <t>S-METTI-13-1</t>
  </si>
  <si>
    <t>251</t>
  </si>
  <si>
    <t>85</t>
  </si>
  <si>
    <t>S-CHAIN-92.5-85</t>
  </si>
  <si>
    <t>OLD-SILVER-18-12</t>
  </si>
  <si>
    <t>137</t>
  </si>
  <si>
    <t>152</t>
  </si>
  <si>
    <t>97</t>
  </si>
  <si>
    <t>S-METTI-17-01</t>
  </si>
  <si>
    <t xml:space="preserve"> DEC16 - JAN15</t>
  </si>
  <si>
    <t>49</t>
  </si>
  <si>
    <t>S-METTI-19-01</t>
  </si>
  <si>
    <t>277</t>
  </si>
  <si>
    <t>S-METTI-20-01</t>
  </si>
  <si>
    <t>299</t>
  </si>
  <si>
    <t>29</t>
  </si>
  <si>
    <t>177</t>
  </si>
  <si>
    <t>94</t>
  </si>
  <si>
    <t>G-RING-70</t>
  </si>
  <si>
    <t>G-RING-71</t>
  </si>
  <si>
    <t>G-RING-72</t>
  </si>
  <si>
    <t>G-RING-73</t>
  </si>
  <si>
    <t>G-TLI-MNI-THAYTH-31</t>
  </si>
  <si>
    <t>G-TLI-MNI-THAYTH-32</t>
  </si>
  <si>
    <t>G-TLI-MNI-THAYTH-33</t>
  </si>
  <si>
    <t>G-CHAIN-11</t>
  </si>
  <si>
    <t>G-CHAIN-12</t>
  </si>
  <si>
    <t>G-CHAIN-13</t>
  </si>
  <si>
    <t>G-CHAIN-14</t>
  </si>
  <si>
    <t>G-CHAIN-15</t>
  </si>
  <si>
    <t>SILVER COIN 999</t>
  </si>
  <si>
    <t>S-KAPPU-N-28</t>
  </si>
  <si>
    <t>S-KAPPU-N-29</t>
  </si>
  <si>
    <t>S-KAPPU-N-30</t>
  </si>
  <si>
    <t>S-THANDA-K15</t>
  </si>
  <si>
    <t>S-THANDA-K16</t>
  </si>
  <si>
    <t>S-THANDA-K17</t>
  </si>
  <si>
    <t>S-THANDA-K18</t>
  </si>
  <si>
    <t>S-THANDA-K19</t>
  </si>
  <si>
    <t>S-KAMACHI-LAMP-1</t>
  </si>
  <si>
    <t>S-KAMACHI-LAMP-2</t>
  </si>
  <si>
    <t>S-KAMACHI-LAMP-3</t>
  </si>
  <si>
    <t>S-KAMACHI-LAMP-4</t>
  </si>
  <si>
    <t>S-CHAIN-N-86</t>
  </si>
  <si>
    <t>S-CHAIN-N-87</t>
  </si>
  <si>
    <t>S-CHAIN-N-88</t>
  </si>
  <si>
    <t>S-CHAIN-N-89</t>
  </si>
  <si>
    <t>S-CHAIN-N-90</t>
  </si>
  <si>
    <t>S-CHAIN-N-91</t>
  </si>
  <si>
    <t>S-CHAIN-N-92</t>
  </si>
  <si>
    <t>S-CHAIN-N-93</t>
  </si>
  <si>
    <t>S-CHAIN-N-94</t>
  </si>
  <si>
    <t>S-CHAIN-N-95</t>
  </si>
  <si>
    <t>S-CHAIN-N-96</t>
  </si>
  <si>
    <t>S-CHAIN-N-97</t>
  </si>
  <si>
    <t>S-CHAIN-N-98</t>
  </si>
  <si>
    <t>S-CHAIN-N-99</t>
  </si>
  <si>
    <t>S-CHAIN-N-100</t>
  </si>
  <si>
    <t>S-CHAIN-N-101</t>
  </si>
  <si>
    <t>S-CHAIN-N-102</t>
  </si>
  <si>
    <t>S-CHAIN-N-103</t>
  </si>
  <si>
    <t>S-CHAIN-N-104</t>
  </si>
  <si>
    <t>S-CHAIN-N-105</t>
  </si>
  <si>
    <t>S-CHAIN-N-106</t>
  </si>
  <si>
    <t>S-CHAIN-N-107</t>
  </si>
  <si>
    <t>S-CHAIN-N-108</t>
  </si>
  <si>
    <t>S-CHAIN-N-109</t>
  </si>
  <si>
    <t>S-CHAIN-N-110</t>
  </si>
  <si>
    <t>S-CHAIN-N-111</t>
  </si>
  <si>
    <t>S-CHAIN-N-112</t>
  </si>
  <si>
    <t>S-CHAIN-N-113</t>
  </si>
  <si>
    <t>S-CHAIN-N-114</t>
  </si>
  <si>
    <t>S-CHAIN-N-115</t>
  </si>
  <si>
    <t>S-KAPPU-N-31</t>
  </si>
  <si>
    <t>S-KAPPU-N-32</t>
  </si>
  <si>
    <t>S-KAPPU-N-33</t>
  </si>
  <si>
    <t>S-KAPPU-N-34</t>
  </si>
  <si>
    <t>S-KAPPU-N-35</t>
  </si>
  <si>
    <t>S-KAPPU-N-36</t>
  </si>
  <si>
    <t>S-KAPPU-N-37</t>
  </si>
  <si>
    <t>S-KAPPU-N-38</t>
  </si>
  <si>
    <t>S-KAPPU-N-39</t>
  </si>
  <si>
    <t>S-KAPPU-N-40</t>
  </si>
  <si>
    <t>S-KAPPU-N-41</t>
  </si>
  <si>
    <t>S-KAPPU-N-42</t>
  </si>
  <si>
    <t>341</t>
  </si>
  <si>
    <t>319</t>
  </si>
  <si>
    <t>350</t>
  </si>
  <si>
    <t>S-METTI-21-01</t>
  </si>
  <si>
    <t>297</t>
  </si>
  <si>
    <t>62</t>
  </si>
  <si>
    <t>69</t>
  </si>
  <si>
    <t>98</t>
  </si>
  <si>
    <t>RAMESH-KOLUSU</t>
  </si>
  <si>
    <t>254</t>
  </si>
  <si>
    <t>04-02 SKANDHA</t>
  </si>
  <si>
    <t>105</t>
  </si>
  <si>
    <t>342</t>
  </si>
  <si>
    <t>60</t>
  </si>
  <si>
    <t>S-METTI-06-02</t>
  </si>
  <si>
    <t>OLD-THAALI-POTTU</t>
  </si>
  <si>
    <t>THAALI-POTTU</t>
  </si>
  <si>
    <t>THODU-MATTAL</t>
  </si>
  <si>
    <t>S-METTI-07-02</t>
  </si>
  <si>
    <t>67</t>
  </si>
  <si>
    <t>93</t>
  </si>
  <si>
    <t>90</t>
  </si>
  <si>
    <t>345</t>
  </si>
  <si>
    <t>GOLD KATCHA</t>
  </si>
  <si>
    <t>S-METTI-10-2</t>
  </si>
  <si>
    <t>S-METTI-11-02</t>
  </si>
  <si>
    <t>226</t>
  </si>
  <si>
    <t>OLD GOLD14-02</t>
  </si>
  <si>
    <t>95</t>
  </si>
  <si>
    <t>100</t>
  </si>
  <si>
    <t>S-METTI-15.2</t>
  </si>
  <si>
    <t>S-METTI-15-02</t>
  </si>
  <si>
    <t>310</t>
  </si>
  <si>
    <t>G-PESERI-75-M-</t>
  </si>
  <si>
    <t>101</t>
  </si>
  <si>
    <t>88</t>
  </si>
  <si>
    <t>G-DOLLER-ORDER-22-02</t>
  </si>
  <si>
    <t>S-METTI-22-02</t>
  </si>
  <si>
    <t>G-PESERI-999</t>
  </si>
  <si>
    <t>146</t>
  </si>
  <si>
    <t>G-STUD-67</t>
  </si>
  <si>
    <t>S-METTI-03-03</t>
  </si>
  <si>
    <t>OLD SILVER BUY</t>
  </si>
  <si>
    <t>OLD GOLD BUY-04-03</t>
  </si>
  <si>
    <t>OLD GOLD BUY-12-03</t>
  </si>
  <si>
    <t>OLD GOLD BUY-15-03</t>
  </si>
  <si>
    <t>OLD GOLD SALES-14-03</t>
  </si>
  <si>
    <t>75</t>
  </si>
  <si>
    <t>S-METTI-15-3</t>
  </si>
  <si>
    <t>S-METTI-15-03</t>
  </si>
  <si>
    <t>S-B-KOLUSU--90</t>
  </si>
  <si>
    <t>S-B-KOLUSU--91</t>
  </si>
  <si>
    <t>S-B-KOLUSU--92</t>
  </si>
  <si>
    <t>S-B-KOLUSU--93</t>
  </si>
  <si>
    <t>83</t>
  </si>
  <si>
    <t>17-03-2025 Total</t>
  </si>
  <si>
    <t>S-METTI-19-03</t>
  </si>
  <si>
    <t>999 PURE GOLD</t>
  </si>
  <si>
    <t>19-03-2025 Total</t>
  </si>
  <si>
    <t>23-03-2025 Total</t>
  </si>
  <si>
    <t>G-TLI-MNI-THAYTH-27-1</t>
  </si>
  <si>
    <t>G-TLI-MNI-THAYTH-27-2</t>
  </si>
  <si>
    <t>S-STUD-DGL-1</t>
  </si>
  <si>
    <t>S-RING-359</t>
  </si>
  <si>
    <t>S-METTI-27-3</t>
  </si>
  <si>
    <t>S-METTI-27-03</t>
  </si>
  <si>
    <t>308</t>
  </si>
  <si>
    <t>282</t>
  </si>
  <si>
    <t>G-PESERI-28-1</t>
  </si>
  <si>
    <t>G-PESERI-28-2</t>
  </si>
  <si>
    <t>S-STUD-MDU-SETTU-1</t>
  </si>
  <si>
    <t>S-STUD-MDU-SETTU-2</t>
  </si>
  <si>
    <t>S-STUD-ORDER-29-3</t>
  </si>
  <si>
    <t>G-PESERI-60-M-</t>
  </si>
  <si>
    <t>G-PESERI-60-M-29-3</t>
  </si>
  <si>
    <t>S-AARUNA-ROLL-29-3</t>
  </si>
  <si>
    <t>110</t>
  </si>
  <si>
    <t>MMS-KULUSU-OPRDER-1-4</t>
  </si>
  <si>
    <t>S-METTI-1-4</t>
  </si>
  <si>
    <t>25-03-2025 Total</t>
  </si>
  <si>
    <t>26-03-2025 Total</t>
  </si>
  <si>
    <t>27-03-2025 Total</t>
  </si>
  <si>
    <t>28-03-2025 Total</t>
  </si>
  <si>
    <t>29-03-2025 Total</t>
  </si>
  <si>
    <t>31-03-2025 Total</t>
  </si>
  <si>
    <t>01-04-2025 Total</t>
  </si>
  <si>
    <t>02-04-2025 Total</t>
  </si>
  <si>
    <t>191</t>
  </si>
  <si>
    <t>37</t>
  </si>
  <si>
    <t>S-METTI-5-4</t>
  </si>
  <si>
    <t>S-BARACELET-B-43</t>
  </si>
  <si>
    <t>S-BARACELET-B-44</t>
  </si>
  <si>
    <t>S-BARACELET-B-45</t>
  </si>
  <si>
    <t>S-BARACELET-B-46</t>
  </si>
  <si>
    <t>S-BARACELET-B-47</t>
  </si>
  <si>
    <t>S-BARACELET-B-48</t>
  </si>
  <si>
    <t>S-BARACELET-B-49</t>
  </si>
  <si>
    <t>292</t>
  </si>
  <si>
    <t>MADURA-STUD-80</t>
  </si>
  <si>
    <t>GOLD 999*2/09-04</t>
  </si>
  <si>
    <t>231</t>
  </si>
  <si>
    <t>03-04-2025 Total</t>
  </si>
  <si>
    <t>05-04-2025 Total</t>
  </si>
  <si>
    <t>09-04-2025 Total</t>
  </si>
  <si>
    <t>10-04-2025 Total</t>
  </si>
  <si>
    <t>11-04-2025 Total</t>
  </si>
  <si>
    <t>G-RING-74</t>
  </si>
  <si>
    <t>G-CHAIN-16</t>
  </si>
  <si>
    <t>G-CHAIN-17</t>
  </si>
  <si>
    <t>79</t>
  </si>
  <si>
    <t>111</t>
  </si>
  <si>
    <t>155</t>
  </si>
  <si>
    <t>S-NAKASU-14-04</t>
  </si>
  <si>
    <t>12-04-2025 Total</t>
  </si>
  <si>
    <t>13-04-2025 Total</t>
  </si>
  <si>
    <t>14-04-2025 Total</t>
  </si>
  <si>
    <t>OLD GOLD</t>
  </si>
  <si>
    <t>15-04-2025 Total</t>
  </si>
  <si>
    <t>S-B-KOLUSU--94</t>
  </si>
  <si>
    <t>S-B-KOLUSU--95</t>
  </si>
  <si>
    <t>OLD GOLD-1-4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</si>
</sst>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 #,##0.00;&quot;₹&quot;\ \-#,##0.00"/>
    <numFmt numFmtId="8" formatCode="&quot;₹&quot;\ #,##0.00;[Red]&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32"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
      <sz val="22"/>
      <color theme="1"/>
      <name val="Aptos"/>
      <family val="2"/>
    </font>
    <font>
      <b/>
      <sz val="22"/>
      <color rgb="FFFF0000"/>
      <name val="Aptos"/>
      <family val="2"/>
    </font>
    <font>
      <b/>
      <sz val="18"/>
      <color rgb="FF000000"/>
      <name val="Nirmala UI"/>
      <family val="2"/>
    </font>
    <font>
      <b/>
      <sz val="18"/>
      <color rgb="FF000000"/>
      <name val="Aptos"/>
      <family val="2"/>
    </font>
    <font>
      <b/>
      <sz val="18"/>
      <name val="Aptos Narrow"/>
      <family val="2"/>
      <scheme val="minor"/>
    </font>
    <font>
      <b/>
      <sz val="18"/>
      <color rgb="FFFF0000"/>
      <name val="Aptos"/>
      <family val="2"/>
    </font>
    <font>
      <b/>
      <sz val="18"/>
      <color rgb="FFFF0000"/>
      <name val="Nirmala UI"/>
      <family val="2"/>
    </font>
    <font>
      <sz val="22"/>
      <color rgb="FFFF0000"/>
      <name val="Aptos"/>
      <family val="2"/>
    </font>
    <font>
      <b/>
      <sz val="20"/>
      <color theme="1"/>
      <name val="Aptos Narrow"/>
      <family val="2"/>
      <scheme val="minor"/>
    </font>
    <font>
      <b/>
      <sz val="20"/>
      <color rgb="FF000000"/>
      <name val="Times New Roman"/>
      <family val="1"/>
    </font>
  </fonts>
  <fills count="20">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
      <patternFill patternType="solid">
        <fgColor rgb="FFFFFF00"/>
        <bgColor rgb="FFC0E6F5"/>
      </patternFill>
    </fill>
    <fill>
      <patternFill patternType="solid">
        <fgColor rgb="FFFFC000"/>
        <bgColor theme="4" tint="0.79998168889431442"/>
      </patternFill>
    </fill>
    <fill>
      <patternFill patternType="solid">
        <fgColor rgb="FFFFC000"/>
        <bgColor indexed="64"/>
      </patternFill>
    </fill>
    <fill>
      <patternFill patternType="solid">
        <fgColor theme="7"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rgb="FF44B3E1"/>
      </top>
      <bottom style="thin">
        <color indexed="64"/>
      </bottom>
      <diagonal/>
    </border>
    <border>
      <left/>
      <right style="thin">
        <color theme="5" tint="0.39997558519241921"/>
      </right>
      <top style="thin">
        <color theme="4" tint="0.39997558519241921"/>
      </top>
      <bottom/>
      <diagonal/>
    </border>
    <border>
      <left/>
      <right style="thin">
        <color theme="5" tint="0.39997558519241921"/>
      </right>
      <top style="thin">
        <color rgb="FF44B3E1"/>
      </top>
      <bottom/>
      <diagonal/>
    </border>
    <border>
      <left/>
      <right style="thin">
        <color theme="5" tint="0.39997558519241921"/>
      </right>
      <top style="thin">
        <color indexed="64"/>
      </top>
      <bottom/>
      <diagonal/>
    </border>
    <border>
      <left/>
      <right style="thin">
        <color theme="5" tint="0.39997558519241921"/>
      </right>
      <top style="thin">
        <color theme="5" tint="0.39997558519241921"/>
      </top>
      <bottom/>
      <diagonal/>
    </border>
  </borders>
  <cellStyleXfs count="2">
    <xf numFmtId="0" fontId="0" fillId="0" borderId="0"/>
    <xf numFmtId="44" fontId="1" fillId="0" borderId="0" applyFont="0" applyFill="0" applyBorder="0" applyAlignment="0" applyProtection="0"/>
  </cellStyleXfs>
  <cellXfs count="325">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2" xfId="0" applyFont="1" applyFill="1" applyBorder="1"/>
    <xf numFmtId="49" fontId="6" fillId="6" borderId="12" xfId="0" applyNumberFormat="1" applyFont="1" applyFill="1" applyBorder="1"/>
    <xf numFmtId="166" fontId="6" fillId="6" borderId="12" xfId="0" applyNumberFormat="1" applyFont="1" applyFill="1" applyBorder="1"/>
    <xf numFmtId="165" fontId="6" fillId="6" borderId="12" xfId="0" applyNumberFormat="1" applyFont="1" applyFill="1" applyBorder="1"/>
    <xf numFmtId="168" fontId="6" fillId="6" borderId="12" xfId="1" applyNumberFormat="1" applyFont="1" applyFill="1" applyBorder="1"/>
    <xf numFmtId="0" fontId="6" fillId="6" borderId="12" xfId="1" applyNumberFormat="1" applyFont="1" applyFill="1" applyBorder="1"/>
    <xf numFmtId="44" fontId="5" fillId="3" borderId="12" xfId="1" applyFont="1" applyFill="1" applyBorder="1"/>
    <xf numFmtId="2" fontId="6" fillId="6" borderId="12"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3"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4"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5" xfId="0" applyNumberFormat="1" applyFont="1" applyFill="1" applyBorder="1"/>
    <xf numFmtId="0" fontId="2" fillId="10" borderId="15" xfId="0" applyFont="1" applyFill="1" applyBorder="1"/>
    <xf numFmtId="0" fontId="2" fillId="10" borderId="13"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16" xfId="0" applyFont="1" applyBorder="1"/>
    <xf numFmtId="0" fontId="2" fillId="0" borderId="15" xfId="0" applyFont="1" applyBorder="1"/>
    <xf numFmtId="0" fontId="2" fillId="7" borderId="16" xfId="0" applyFont="1" applyFill="1" applyBorder="1"/>
    <xf numFmtId="0" fontId="2" fillId="7" borderId="15" xfId="0" applyFont="1" applyFill="1" applyBorder="1"/>
    <xf numFmtId="169" fontId="3" fillId="3" borderId="17" xfId="1" applyNumberFormat="1" applyFont="1" applyFill="1" applyBorder="1"/>
    <xf numFmtId="16" fontId="2" fillId="0" borderId="15" xfId="0" applyNumberFormat="1" applyFont="1" applyBorder="1"/>
    <xf numFmtId="0" fontId="2" fillId="4" borderId="17"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16" xfId="0" applyFont="1" applyFill="1" applyBorder="1"/>
    <xf numFmtId="0" fontId="2" fillId="5" borderId="15" xfId="0" applyFont="1" applyFill="1" applyBorder="1"/>
    <xf numFmtId="164" fontId="2" fillId="7" borderId="13" xfId="0" applyNumberFormat="1" applyFont="1" applyFill="1" applyBorder="1"/>
    <xf numFmtId="169" fontId="8" fillId="7" borderId="13" xfId="1" applyNumberFormat="1" applyFont="1" applyFill="1" applyBorder="1"/>
    <xf numFmtId="0" fontId="2" fillId="7" borderId="13" xfId="0"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16" xfId="1" applyNumberFormat="1" applyFont="1" applyFill="1" applyBorder="1"/>
    <xf numFmtId="44" fontId="2" fillId="7" borderId="15"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16"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19"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0"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1" xfId="0" applyFont="1" applyFill="1" applyBorder="1"/>
    <xf numFmtId="44" fontId="2" fillId="7" borderId="19" xfId="1" applyNumberFormat="1" applyFont="1" applyFill="1" applyBorder="1" applyAlignment="1">
      <alignment horizontal="left"/>
    </xf>
    <xf numFmtId="0" fontId="2" fillId="7" borderId="22" xfId="0" applyFont="1" applyFill="1" applyBorder="1"/>
    <xf numFmtId="0" fontId="2" fillId="7" borderId="19" xfId="0" applyFont="1" applyFill="1" applyBorder="1"/>
    <xf numFmtId="0" fontId="2" fillId="7" borderId="23" xfId="0" applyFont="1" applyFill="1" applyBorder="1"/>
    <xf numFmtId="0" fontId="2" fillId="0" borderId="24" xfId="0" applyFont="1" applyBorder="1"/>
    <xf numFmtId="44" fontId="2" fillId="0" borderId="22" xfId="1" applyNumberFormat="1" applyFont="1" applyBorder="1" applyAlignment="1">
      <alignment horizontal="left"/>
    </xf>
    <xf numFmtId="0" fontId="2" fillId="0" borderId="22" xfId="0" applyFont="1" applyBorder="1"/>
    <xf numFmtId="0" fontId="2" fillId="0" borderId="25" xfId="0" applyFont="1" applyBorder="1"/>
    <xf numFmtId="169" fontId="2" fillId="7" borderId="24" xfId="1" applyNumberFormat="1" applyFont="1" applyFill="1" applyBorder="1"/>
    <xf numFmtId="44" fontId="2" fillId="7" borderId="22" xfId="1" applyNumberFormat="1" applyFont="1" applyFill="1" applyBorder="1" applyAlignment="1">
      <alignment horizontal="left"/>
    </xf>
    <xf numFmtId="0" fontId="2" fillId="7" borderId="25" xfId="0" applyFont="1" applyFill="1" applyBorder="1"/>
    <xf numFmtId="164" fontId="3" fillId="3" borderId="21" xfId="0" applyNumberFormat="1" applyFont="1" applyFill="1" applyBorder="1"/>
    <xf numFmtId="169" fontId="3" fillId="3" borderId="19" xfId="0" applyNumberFormat="1" applyFont="1" applyFill="1" applyBorder="1"/>
    <xf numFmtId="0" fontId="2" fillId="7" borderId="18"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26" xfId="0" applyFont="1" applyBorder="1"/>
    <xf numFmtId="0" fontId="10" fillId="7" borderId="22" xfId="0" applyFont="1" applyFill="1" applyBorder="1"/>
    <xf numFmtId="44" fontId="10" fillId="7" borderId="22" xfId="0" applyNumberFormat="1" applyFont="1" applyFill="1" applyBorder="1"/>
    <xf numFmtId="0" fontId="2" fillId="3" borderId="2" xfId="0" applyFont="1" applyFill="1" applyBorder="1"/>
    <xf numFmtId="164" fontId="2" fillId="3" borderId="1" xfId="0"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2" xfId="0" applyFont="1" applyFill="1" applyBorder="1"/>
    <xf numFmtId="0" fontId="20" fillId="0" borderId="12" xfId="0" applyFont="1" applyFill="1" applyBorder="1"/>
    <xf numFmtId="0" fontId="20" fillId="3" borderId="0" xfId="0" applyFont="1" applyFill="1"/>
    <xf numFmtId="164" fontId="2" fillId="7" borderId="27" xfId="0" applyNumberFormat="1" applyFont="1" applyFill="1" applyBorder="1"/>
    <xf numFmtId="169" fontId="8" fillId="7" borderId="27" xfId="1" applyNumberFormat="1" applyFont="1" applyFill="1" applyBorder="1"/>
    <xf numFmtId="44" fontId="2" fillId="7" borderId="15" xfId="1" applyFont="1" applyFill="1" applyBorder="1"/>
    <xf numFmtId="2" fontId="2" fillId="3" borderId="3" xfId="0" applyNumberFormat="1" applyFont="1" applyFill="1" applyBorder="1"/>
    <xf numFmtId="0" fontId="3" fillId="3" borderId="15" xfId="0" applyFont="1" applyFill="1" applyBorder="1"/>
    <xf numFmtId="167" fontId="3" fillId="3" borderId="15" xfId="0" applyNumberFormat="1" applyFont="1" applyFill="1" applyBorder="1"/>
    <xf numFmtId="164" fontId="10" fillId="0" borderId="0" xfId="0" applyNumberFormat="1" applyFont="1"/>
    <xf numFmtId="168" fontId="3" fillId="3" borderId="8" xfId="1" applyNumberFormat="1" applyFont="1" applyFill="1" applyBorder="1"/>
    <xf numFmtId="0" fontId="3" fillId="3" borderId="8" xfId="1" applyNumberFormat="1" applyFont="1" applyFill="1" applyBorder="1"/>
    <xf numFmtId="169" fontId="5" fillId="11" borderId="1" xfId="0" applyNumberFormat="1" applyFont="1" applyFill="1" applyBorder="1"/>
    <xf numFmtId="164" fontId="4" fillId="12" borderId="28" xfId="0" applyNumberFormat="1" applyFont="1" applyFill="1" applyBorder="1"/>
    <xf numFmtId="169" fontId="8" fillId="16" borderId="28" xfId="0" applyNumberFormat="1" applyFont="1" applyFill="1" applyBorder="1"/>
    <xf numFmtId="164" fontId="4" fillId="12" borderId="1" xfId="0" applyNumberFormat="1" applyFont="1" applyFill="1" applyBorder="1"/>
    <xf numFmtId="169" fontId="8" fillId="12" borderId="1" xfId="0" applyNumberFormat="1" applyFont="1" applyFill="1" applyBorder="1"/>
    <xf numFmtId="0" fontId="22" fillId="0" borderId="0" xfId="0" applyFont="1" applyAlignment="1">
      <alignment vertical="center"/>
    </xf>
    <xf numFmtId="169" fontId="11" fillId="8" borderId="0" xfId="1" applyNumberFormat="1" applyFont="1" applyFill="1" applyBorder="1" applyAlignment="1">
      <alignment horizontal="center" vertical="center"/>
    </xf>
    <xf numFmtId="169" fontId="8" fillId="7" borderId="0" xfId="1" applyNumberFormat="1" applyFont="1" applyFill="1" applyBorder="1"/>
    <xf numFmtId="44" fontId="2" fillId="0" borderId="0" xfId="0" applyNumberFormat="1" applyFont="1"/>
    <xf numFmtId="44" fontId="10" fillId="0" borderId="1" xfId="0" applyNumberFormat="1" applyFont="1" applyBorder="1"/>
    <xf numFmtId="8" fontId="15" fillId="0" borderId="1" xfId="0" applyNumberFormat="1" applyFont="1" applyBorder="1" applyAlignment="1">
      <alignment vertical="center"/>
    </xf>
    <xf numFmtId="0" fontId="24" fillId="0" borderId="1" xfId="0" applyFont="1" applyBorder="1" applyAlignment="1">
      <alignment vertical="center"/>
    </xf>
    <xf numFmtId="0" fontId="24" fillId="0" borderId="1" xfId="0" applyFont="1" applyBorder="1" applyAlignment="1">
      <alignment vertical="center" wrapText="1"/>
    </xf>
    <xf numFmtId="8" fontId="25" fillId="0" borderId="1" xfId="0" applyNumberFormat="1" applyFont="1" applyBorder="1" applyAlignment="1">
      <alignment horizontal="right" vertical="center"/>
    </xf>
    <xf numFmtId="169" fontId="15" fillId="0" borderId="1" xfId="0" applyNumberFormat="1" applyFont="1" applyBorder="1" applyAlignment="1">
      <alignment vertical="center"/>
    </xf>
    <xf numFmtId="16" fontId="20" fillId="0" borderId="0" xfId="0" applyNumberFormat="1" applyFont="1"/>
    <xf numFmtId="0" fontId="2" fillId="7" borderId="24" xfId="0" applyFont="1" applyFill="1" applyBorder="1"/>
    <xf numFmtId="0" fontId="4" fillId="11" borderId="0" xfId="0" applyFont="1" applyFill="1"/>
    <xf numFmtId="164" fontId="10" fillId="7" borderId="27" xfId="0" applyNumberFormat="1" applyFont="1" applyFill="1" applyBorder="1"/>
    <xf numFmtId="169" fontId="26" fillId="13" borderId="27" xfId="1" applyNumberFormat="1" applyFont="1" applyFill="1" applyBorder="1"/>
    <xf numFmtId="164" fontId="10" fillId="7" borderId="1" xfId="0" applyNumberFormat="1" applyFont="1" applyFill="1" applyBorder="1"/>
    <xf numFmtId="169" fontId="26" fillId="7" borderId="1" xfId="1" applyNumberFormat="1" applyFont="1" applyFill="1" applyBorder="1"/>
    <xf numFmtId="2" fontId="2" fillId="0" borderId="3" xfId="0" applyNumberFormat="1" applyFont="1" applyFill="1" applyBorder="1"/>
    <xf numFmtId="169" fontId="5" fillId="3" borderId="1" xfId="1" applyNumberFormat="1" applyFont="1" applyFill="1" applyBorder="1"/>
    <xf numFmtId="0" fontId="3" fillId="3" borderId="0" xfId="0" applyFont="1" applyFill="1"/>
    <xf numFmtId="44" fontId="3" fillId="3" borderId="0" xfId="0" applyNumberFormat="1" applyFont="1" applyFill="1"/>
    <xf numFmtId="0" fontId="24" fillId="0" borderId="8" xfId="0" applyFont="1" applyBorder="1" applyAlignment="1">
      <alignment vertical="center"/>
    </xf>
    <xf numFmtId="0" fontId="24" fillId="0" borderId="8" xfId="0" applyFont="1" applyBorder="1" applyAlignment="1">
      <alignment vertical="center" wrapText="1"/>
    </xf>
    <xf numFmtId="0" fontId="24" fillId="0" borderId="5" xfId="0" applyFont="1" applyBorder="1" applyAlignment="1">
      <alignment vertical="center" wrapText="1"/>
    </xf>
    <xf numFmtId="0" fontId="28" fillId="3" borderId="5" xfId="0" applyFont="1" applyFill="1" applyBorder="1" applyAlignment="1">
      <alignment vertical="center"/>
    </xf>
    <xf numFmtId="44" fontId="15" fillId="0" borderId="1" xfId="1" applyFont="1" applyBorder="1" applyAlignment="1">
      <alignment vertical="center"/>
    </xf>
    <xf numFmtId="44" fontId="27" fillId="3" borderId="1" xfId="1" applyFont="1" applyFill="1" applyBorder="1" applyAlignment="1">
      <alignment horizontal="right" vertical="center"/>
    </xf>
    <xf numFmtId="44" fontId="10" fillId="0" borderId="1" xfId="1" applyFont="1" applyBorder="1"/>
    <xf numFmtId="164" fontId="2" fillId="17" borderId="1" xfId="0" applyNumberFormat="1" applyFont="1" applyFill="1" applyBorder="1"/>
    <xf numFmtId="169" fontId="8" fillId="17" borderId="1" xfId="1" applyNumberFormat="1" applyFont="1" applyFill="1" applyBorder="1"/>
    <xf numFmtId="2" fontId="3" fillId="3" borderId="3" xfId="0" applyNumberFormat="1" applyFont="1" applyFill="1" applyBorder="1"/>
    <xf numFmtId="2" fontId="2" fillId="0" borderId="0" xfId="0" applyNumberFormat="1" applyFont="1" applyFill="1" applyBorder="1"/>
    <xf numFmtId="165" fontId="2" fillId="0" borderId="0" xfId="0" applyNumberFormat="1" applyFont="1" applyFill="1" applyBorder="1"/>
    <xf numFmtId="44" fontId="30" fillId="3" borderId="1" xfId="1" applyFont="1" applyFill="1" applyBorder="1"/>
    <xf numFmtId="44" fontId="31" fillId="0" borderId="1" xfId="1" applyFont="1" applyBorder="1" applyAlignment="1">
      <alignment vertical="center"/>
    </xf>
    <xf numFmtId="44" fontId="30" fillId="0" borderId="1" xfId="1" applyFont="1" applyBorder="1"/>
    <xf numFmtId="44" fontId="30" fillId="0" borderId="1" xfId="1" applyFont="1" applyFill="1" applyBorder="1"/>
    <xf numFmtId="0" fontId="2" fillId="11" borderId="8" xfId="0" applyFont="1" applyFill="1" applyBorder="1"/>
    <xf numFmtId="7" fontId="0" fillId="0" borderId="0" xfId="0" applyNumberFormat="1"/>
    <xf numFmtId="0" fontId="2" fillId="0" borderId="29" xfId="0" applyFont="1" applyFill="1" applyBorder="1"/>
    <xf numFmtId="0" fontId="4" fillId="7" borderId="30" xfId="0" applyFont="1" applyFill="1" applyBorder="1"/>
    <xf numFmtId="0" fontId="4" fillId="2" borderId="30" xfId="0" applyFont="1" applyFill="1" applyBorder="1"/>
    <xf numFmtId="0" fontId="2" fillId="7" borderId="29" xfId="0" applyFont="1" applyFill="1" applyBorder="1"/>
    <xf numFmtId="0" fontId="2" fillId="2" borderId="29" xfId="0" applyFont="1" applyFill="1" applyBorder="1"/>
    <xf numFmtId="0" fontId="2" fillId="7" borderId="7" xfId="0" applyFont="1" applyFill="1" applyBorder="1"/>
    <xf numFmtId="0" fontId="2" fillId="2" borderId="7" xfId="0" applyFont="1" applyFill="1" applyBorder="1"/>
    <xf numFmtId="0" fontId="2" fillId="7" borderId="31" xfId="0" applyFont="1" applyFill="1" applyBorder="1"/>
    <xf numFmtId="0" fontId="2" fillId="2" borderId="32" xfId="0" applyFont="1" applyFill="1" applyBorder="1"/>
    <xf numFmtId="0" fontId="2" fillId="7" borderId="32" xfId="0" applyFont="1" applyFill="1" applyBorder="1"/>
    <xf numFmtId="0" fontId="2" fillId="0" borderId="11" xfId="0" applyFont="1" applyFill="1" applyBorder="1"/>
    <xf numFmtId="164" fontId="2" fillId="0" borderId="12" xfId="0" applyNumberFormat="1" applyFont="1" applyFill="1" applyBorder="1"/>
    <xf numFmtId="2" fontId="2" fillId="0" borderId="12" xfId="0" applyNumberFormat="1" applyFont="1" applyFill="1" applyBorder="1"/>
    <xf numFmtId="165" fontId="2" fillId="0" borderId="12" xfId="0" applyNumberFormat="1" applyFont="1" applyFill="1" applyBorder="1"/>
    <xf numFmtId="7" fontId="2" fillId="0" borderId="10" xfId="0" applyNumberFormat="1" applyFont="1" applyFill="1" applyBorder="1"/>
    <xf numFmtId="7" fontId="2" fillId="3" borderId="1" xfId="1" applyNumberFormat="1" applyFont="1" applyFill="1" applyBorder="1"/>
    <xf numFmtId="7" fontId="4" fillId="0" borderId="1" xfId="1" applyNumberFormat="1" applyFont="1" applyFill="1" applyBorder="1"/>
    <xf numFmtId="0" fontId="0" fillId="0" borderId="1" xfId="0" applyBorder="1"/>
    <xf numFmtId="164" fontId="2" fillId="7" borderId="5" xfId="0" applyNumberFormat="1" applyFont="1" applyFill="1" applyBorder="1"/>
    <xf numFmtId="169" fontId="8" fillId="7" borderId="5" xfId="1" applyNumberFormat="1" applyFont="1" applyFill="1" applyBorder="1"/>
    <xf numFmtId="7" fontId="2" fillId="18" borderId="0" xfId="1" applyNumberFormat="1" applyFont="1" applyFill="1" applyBorder="1"/>
    <xf numFmtId="0" fontId="2" fillId="18" borderId="0" xfId="0" applyFont="1" applyFill="1" applyBorder="1"/>
    <xf numFmtId="164" fontId="2" fillId="18" borderId="0" xfId="0" applyNumberFormat="1" applyFont="1" applyFill="1" applyBorder="1"/>
    <xf numFmtId="2" fontId="2" fillId="18" borderId="0" xfId="0" applyNumberFormat="1" applyFont="1" applyFill="1" applyBorder="1"/>
    <xf numFmtId="165" fontId="2" fillId="18" borderId="0" xfId="0" applyNumberFormat="1" applyFont="1" applyFill="1" applyBorder="1"/>
    <xf numFmtId="0" fontId="2" fillId="18" borderId="0" xfId="0" applyFont="1" applyFill="1"/>
    <xf numFmtId="0" fontId="2" fillId="19" borderId="0" xfId="0" applyFont="1" applyFill="1" applyBorder="1"/>
    <xf numFmtId="0" fontId="2" fillId="19" borderId="1" xfId="0" applyFont="1" applyFill="1" applyBorder="1"/>
    <xf numFmtId="7" fontId="2" fillId="19" borderId="1" xfId="1" applyNumberFormat="1" applyFont="1" applyFill="1" applyBorder="1"/>
    <xf numFmtId="0" fontId="2" fillId="19" borderId="8" xfId="0" applyFont="1" applyFill="1" applyBorder="1"/>
    <xf numFmtId="7" fontId="2" fillId="19" borderId="0" xfId="1" applyNumberFormat="1" applyFont="1" applyFill="1" applyBorder="1"/>
    <xf numFmtId="0" fontId="2" fillId="18" borderId="8" xfId="0" applyFont="1" applyFill="1" applyBorder="1"/>
    <xf numFmtId="0" fontId="2" fillId="0" borderId="2" xfId="0" applyFont="1" applyBorder="1"/>
    <xf numFmtId="0" fontId="2" fillId="0" borderId="7" xfId="0" applyFont="1" applyBorder="1"/>
    <xf numFmtId="164" fontId="2" fillId="0" borderId="8" xfId="0" applyNumberFormat="1" applyFont="1" applyBorder="1"/>
    <xf numFmtId="8" fontId="15" fillId="0" borderId="1" xfId="0" applyNumberFormat="1" applyFont="1" applyBorder="1" applyAlignment="1">
      <alignment vertical="center"/>
    </xf>
    <xf numFmtId="44" fontId="15" fillId="0" borderId="2" xfId="1" applyFont="1" applyBorder="1" applyAlignment="1">
      <alignment vertical="center"/>
    </xf>
    <xf numFmtId="17" fontId="29" fillId="3" borderId="14" xfId="0" applyNumberFormat="1" applyFont="1" applyFill="1" applyBorder="1" applyAlignment="1">
      <alignment horizontal="center" vertical="center"/>
    </xf>
    <xf numFmtId="44" fontId="31" fillId="0" borderId="2" xfId="1" applyFont="1" applyBorder="1" applyAlignment="1">
      <alignment vertical="center"/>
    </xf>
    <xf numFmtId="2" fontId="2" fillId="0" borderId="0" xfId="0" applyNumberFormat="1" applyFont="1"/>
  </cellXfs>
  <cellStyles count="2">
    <cellStyle name="Currency" xfId="1" builtinId="4"/>
    <cellStyle name="Normal" xfId="0" builtinId="0"/>
  </cellStyles>
  <dxfs count="463">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bottom/>
      </border>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10</xdr:col>
      <xdr:colOff>502920</xdr:colOff>
      <xdr:row>11</xdr:row>
      <xdr:rowOff>68580</xdr:rowOff>
    </xdr:from>
    <xdr:to>
      <xdr:col>15</xdr:col>
      <xdr:colOff>457200</xdr:colOff>
      <xdr:row>15</xdr:row>
      <xdr:rowOff>7620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65280" y="2697480"/>
              <a:ext cx="3002280" cy="1082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980420" y="60960"/>
              <a:ext cx="1447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763.569896643516"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766.473964583332" createdVersion="8" refreshedVersion="8" minRefreshableVersion="3" recordCount="531" xr:uid="{139A95C6-017B-47C6-B11A-76CFF520780A}">
  <cacheSource type="worksheet">
    <worksheetSource name="Table8"/>
  </cacheSource>
  <cacheFields count="18">
    <cacheField name="DATE" numFmtId="14">
      <sharedItems containsSemiMixedTypes="0" containsNonDate="0" containsDate="1" containsString="0" minDate="1900-01-05T00:00:00" maxDate="2025-04-16T00:00:00" count="180">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d v="2024-11-30T00:00:00"/>
        <d v="2024-12-02T00:00:00"/>
        <d v="2024-12-03T00:00:00"/>
        <d v="2024-12-05T00:00:00"/>
        <d v="2024-12-06T00:00:00"/>
        <d v="2024-12-09T00:00:00"/>
        <d v="2024-12-10T00:00:00"/>
        <d v="2024-12-13T00:00:00"/>
        <d v="2024-12-14T00:00:00"/>
        <d v="2024-12-18T00:00:00"/>
        <d v="2024-12-20T00:00:00"/>
        <d v="2024-12-21T00:00:00"/>
        <d v="2024-12-25T00:00:00"/>
        <d v="2024-12-27T00:00:00"/>
        <d v="2024-12-28T00:00:00"/>
        <d v="2024-12-30T00:00:00"/>
        <d v="2024-12-31T00:00:00"/>
        <d v="2025-01-01T00:00:00"/>
        <d v="2025-01-02T00:00:00"/>
        <d v="2025-01-03T00:00:00"/>
        <d v="2025-01-04T00:00:00"/>
        <d v="2025-01-05T00:00:00"/>
        <d v="2025-01-06T00:00:00"/>
        <d v="2025-01-07T00:00:00"/>
        <d v="2025-01-08T00:00:00"/>
        <d v="2025-01-09T00:00:00"/>
        <d v="2025-01-11T00:00:00"/>
        <d v="2025-01-13T00:00:00"/>
        <d v="2025-01-15T00:00:00"/>
        <d v="2025-01-16T00:00:00"/>
        <d v="2025-01-17T00:00:00"/>
        <d v="2025-01-18T00:00:00"/>
        <d v="2025-01-19T00:00:00"/>
        <d v="2025-01-20T00:00:00"/>
        <d v="2025-01-22T00:00:00"/>
        <d v="2025-01-23T00:00:00"/>
        <d v="2025-01-24T00:00:00"/>
        <d v="2025-01-25T00:00:00"/>
        <d v="2025-01-26T00:00:00"/>
        <d v="2025-01-27T00:00:00"/>
        <d v="2025-01-29T00:00:00"/>
        <d v="2025-01-30T00:00:00"/>
        <d v="2025-01-31T00:00:00"/>
        <d v="2025-02-01T00:00:00"/>
        <d v="2025-02-02T00:00:00"/>
        <d v="2025-02-03T00:00:00"/>
        <d v="2025-02-04T00:00:00"/>
        <d v="2025-02-05T00:00:00"/>
        <d v="2025-02-06T00:00:00"/>
        <d v="2025-02-07T00:00:00"/>
        <d v="2025-02-08T00:00:00"/>
        <d v="2025-02-10T00:00:00"/>
        <d v="2025-02-11T00:00:00"/>
        <d v="2025-02-13T00:00:00"/>
        <d v="2025-02-14T00:00:00"/>
        <d v="2025-02-15T00:00:00"/>
        <d v="2025-02-17T00:00:00"/>
        <d v="2025-02-19T00:00:00"/>
        <d v="2025-02-20T00:00:00"/>
        <d v="2025-02-22T00:00:00"/>
        <d v="1900-01-05T00:00:00"/>
        <d v="2025-02-24T00:00:00"/>
        <d v="2025-02-25T00:00:00"/>
        <d v="2025-03-01T00:00:00"/>
        <d v="2025-03-03T00:00:00"/>
        <d v="2025-03-04T00:00:00"/>
        <d v="2025-03-05T00:00:00"/>
        <d v="2025-03-11T00:00:00"/>
        <d v="2025-03-12T00:00:00"/>
        <d v="2025-03-13T00:00:00"/>
        <d v="2025-03-14T00:00:00"/>
        <d v="2025-03-15T00:00:00"/>
        <d v="2025-03-17T00:00:00"/>
        <d v="2025-03-19T00:00:00"/>
        <d v="2025-03-23T00:00:00"/>
        <d v="2025-03-25T00:00:00"/>
        <d v="2025-03-26T00:00:00"/>
        <d v="2025-03-27T00:00:00"/>
        <d v="2025-03-28T00:00:00"/>
        <d v="2025-03-29T00:00:00"/>
        <d v="2025-03-31T00:00:00"/>
        <d v="2025-04-01T00:00:00"/>
        <d v="2025-04-02T00:00:00"/>
        <d v="2025-04-03T00:00:00"/>
        <d v="2025-04-05T00:00:00"/>
        <d v="2025-04-09T00:00:00"/>
        <d v="2025-04-10T00:00:00"/>
        <d v="2025-04-11T00:00:00"/>
        <d v="2025-04-12T00:00:00"/>
        <d v="2025-04-13T00:00:00"/>
        <d v="2025-04-14T00:00:00"/>
        <d v="2025-04-15T00:00:00"/>
        <d v="2025-02-23T00:00:00" u="1"/>
        <d v="2025-01-21T00:00:00" u="1"/>
        <d v="2024-12-08T00:00:00" u="1"/>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ntainsMixedTypes="1" containsNumber="1" containsInteger="1" minValue="0" maxValue="0" count="470">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RING-160"/>
        <s v="MANGAVOO-30-11"/>
        <s v="G-CHAIN-9"/>
        <s v="S-BARACELET-B-16"/>
        <s v="S-BARACELET-B-27"/>
        <s v="S-METTI-30-11"/>
        <s v="S-RING-278"/>
        <s v="S-S-KOLUSU-31"/>
        <s v="99.9 PURE GOLD"/>
        <s v="G-CHAIN-10"/>
        <s v="S-METTI-03-12"/>
        <s v="S-BANGLE-1"/>
        <s v="G-CHAIN-7"/>
        <s v="OLD-GOLD-CHAIN-19-12"/>
        <s v="S-B-KOLUSU--25"/>
        <s v="G-PESERI-33-1"/>
        <s v="S-CHAIN-92.5-80"/>
        <s v="S-BARACELET-B-2"/>
        <s v="S-RING-351"/>
        <s v="G-PESERI-30"/>
        <s v="S-KARUNGALI-KAMMBI-08-12"/>
        <s v="G-STUD-10"/>
        <s v="S-BARACELET-B-30"/>
        <s v="S-RING-228"/>
        <s v="S-RING-139"/>
        <s v="S-RING-153"/>
        <s v="S-RING-222"/>
        <s v="S-RING-334"/>
        <s v="OLD-SILVER-18-12"/>
        <s v="G-RING-63"/>
        <s v="G-STUD-51"/>
        <s v="S-RING-309"/>
        <s v="S-RING-316"/>
        <s v="S-RING-212"/>
        <s v="S-S-KOLUSU-71"/>
        <n v="0"/>
        <s v="S-S-KOLUSU-92"/>
        <s v="S-RING-21"/>
        <s v="S-B-KOLUSU--42"/>
        <s v="S-RING-318"/>
        <s v="S-METTI-28-12"/>
        <s v="S-B-KOLUSU--87"/>
        <s v="S-AARUNA-14"/>
        <s v="S-BANGLE-6"/>
        <s v="S-CHAIN-N-65"/>
        <s v="G-TLI-MNI-THAYTH-20"/>
        <s v="MADURA-METTI"/>
        <s v="S-RING-221"/>
        <s v="S-METTI-31-12"/>
        <s v="S-RING-3"/>
        <s v="S-RING-320"/>
        <s v="G-RING-G28"/>
        <s v="S-RING-112"/>
        <s v="S-RING-237"/>
        <s v="S-RING-131"/>
        <s v="S-RING-232"/>
        <s v="S-CHAIN-N-3"/>
        <s v="S-KAPPU-N-7"/>
        <s v="MADURA-G-STUD"/>
        <s v="S-METTI-01-01"/>
        <s v="S-RING-173"/>
        <s v="S-RING-343"/>
        <s v="NOSE PIN"/>
        <s v="S-CHAIN-N-72"/>
        <s v="S-BARACELET-B-25"/>
        <s v="MADURA-SILVER"/>
        <s v="S-METTI-07-01"/>
        <s v="S-RING-143"/>
        <s v="G-THIRUKANI"/>
        <s v="MADURA-KOLUSU"/>
        <s v="S-RING-102"/>
        <s v="S-RING-207"/>
        <s v="S-RING-346"/>
        <s v="S-RING-165"/>
        <s v="S-METTI-13-1"/>
        <s v="S-RING-251"/>
        <s v="S-AARUNA13-01"/>
        <s v="S-AARUNA-9"/>
        <s v="S-BANGLE-13-01"/>
        <s v="S-BRACELET-13-01"/>
        <s v="S-KADA-13-01"/>
        <s v="G-PESERI-14"/>
        <s v="S-CHAIN-92.5-85"/>
        <s v="S-RING-137"/>
        <s v="S-RING-152"/>
        <s v="S-S-KOLUSU-97"/>
        <s v="S-BARACELET-B-28"/>
        <s v="S-METTI-17-01"/>
        <s v="S-S-KOLUSU-2"/>
        <s v="S-BARACELET-G-92.5-18"/>
        <s v="G-TLI-MNI-THAYTH-4"/>
        <s v="S-CHAIN-N-49"/>
        <s v="S-METTI-19-01"/>
        <s v="S-S-KOLUSU-13"/>
        <s v="S-RING-277"/>
        <s v="S-METTI-20-01"/>
        <s v="S-BARACELET-B-32"/>
        <s v="S-RING-299"/>
        <s v="S-S-KOLUSU-43"/>
        <s v="S-DOLLER-21"/>
        <s v="S-DOLLER-22"/>
        <s v="G-TLI-MNI-THAYTH-23"/>
        <s v="G-RING-B15"/>
        <s v="G-PESERI-4"/>
        <s v="S-B-KOLUSU--29"/>
        <s v="S-RING-177"/>
        <s v="S-THANDA-K3"/>
        <s v="S-S-KOLUSU-44"/>
        <s v="S-S-KOLUSU-94"/>
        <s v="S-RING-341"/>
        <s v="S-RING-319"/>
        <s v="S-RING-76"/>
        <s v="S-RING-350"/>
        <s v="S-METTI-21-01"/>
        <s v="G-CHAIN-1"/>
        <s v="S-RING-297"/>
        <s v="S-RING-62"/>
        <s v="G-RING-69"/>
        <s v="S-S-KOLUSU-98"/>
        <s v="G-RING-B13"/>
        <s v="RAMESH-KOLUSU"/>
        <s v="G-RING-G1"/>
        <s v="S-BARACELET-B-38"/>
        <s v="G-RING-66"/>
        <s v="S-S-KOLUSU-47"/>
        <s v="S-RING-254"/>
        <s v="SILVER COIN 999"/>
        <s v="S-S-KOLUSU-105"/>
        <s v="S-CHAIN-92.5-82"/>
        <s v="S-RING-342"/>
        <s v="S-BANGLE-2"/>
        <s v="S-RING-57"/>
        <s v="S-RING-60"/>
        <s v="S-METTI-06-02"/>
        <s v="G-TLI-MNI-THAYTH-14"/>
        <s v="OLD-THAALI-POTTU"/>
        <s v="S-METTI-07-02"/>
        <s v="S-RING-67"/>
        <s v="S-RING-93"/>
        <s v="S-RING-97"/>
        <s v="S-RING-90"/>
        <s v="S-RING-345"/>
        <s v="GOLD KATCHA"/>
        <s v="S-METTI-10-2"/>
        <s v="G-CHAIN-6"/>
        <s v="S-METTI-11-02"/>
        <s v="S-BARACELET-B-26"/>
        <s v="S-RING-226"/>
        <s v="OLD GOLD14-02"/>
        <s v="S-RING-95"/>
        <s v="S-CHAIN-N-100"/>
        <s v="S-RING-98"/>
        <s v="G-TLI-MNI-THAYTH-30"/>
        <s v="S-METTI-15.2"/>
        <s v="S-METTI-15-02"/>
        <s v="S-RING-310"/>
        <s v="S-RING-101"/>
        <s v="S-RING-88"/>
        <s v="S-S-KOLUSU-38"/>
        <s v="S-THANDA-K17"/>
        <s v="S-BANGLE-15"/>
        <s v="G-DOLLER-ORDER-22-02"/>
        <s v="S-METTI-22-02"/>
        <s v="G-PESERI-999"/>
        <s v="S-RING-146"/>
        <s v="S-BARACELET-B-9"/>
        <s v="S-B-KOLUSU--46"/>
        <s v="OLD SILVER BUY"/>
        <s v="S-METTI-03-03"/>
        <s v="OLD GOLD BUY-04-03"/>
        <s v="S-CHAIN-N-88"/>
        <s v="S-DOLLER-27"/>
        <s v="G-STUD-25"/>
        <s v="S-S-KOLUSU-88"/>
        <s v="G-RING-71"/>
        <s v="S-S-KOLUSU-62"/>
        <s v="S-BANGLE-22"/>
        <s v="G-CHAIN-13"/>
        <s v="OLD GOLD BUY-12-03"/>
        <s v="G-RING-G35"/>
        <s v="G-RING-G21"/>
        <s v="S-RING-5"/>
        <s v="OLD GOLD SALES-14-03"/>
        <s v="OLD GOLD BUY-15-03"/>
        <s v="S-S-KOLUSU-75"/>
        <s v="S-METTI-15-3"/>
        <s v="S-B-KOLUSU--92"/>
        <s v="S-B-KOLUSU--78"/>
        <s v="S-METTI-15-03"/>
        <s v="S-B-KOLUSU--83"/>
        <s v="S-METTI-19-03"/>
        <s v="999 PURE GOLD"/>
        <s v="G-TLI-MNI-THAYTH-9"/>
        <s v="G-RING-B14"/>
        <s v="G-TLI-MNI-THAYTH-27-2"/>
        <s v="S-BARACELET-B-31"/>
        <s v="S-STUD-DGL-1"/>
        <s v="S-RING-81"/>
        <s v="S-CHAIN-N-92"/>
        <s v="S-METTI-27-03"/>
        <s v="S-METTI-27-3"/>
        <s v="S-RING-308"/>
        <s v="S-RING-282"/>
        <s v="G-PESERI-28-1"/>
        <s v="S-AARUNA-18"/>
        <s v="S-STUD-MDU-SETTU-1"/>
        <s v="S-STUD-ORDER-29-3"/>
        <s v="G-PESERI-60-M-29-3"/>
        <s v="S-THAYATH-SKANTHA-"/>
        <s v="S-CHAIN-N-9"/>
        <s v="S-CHAIN-NN-11"/>
        <s v="S-CHAIN-N-46"/>
        <s v="S-CHAIN-N-71"/>
        <s v="S-CHAIN-N-110"/>
        <s v="S-CHAIN-N-52"/>
        <s v="S-BARACELET-B-8"/>
        <s v="S-BARACELET-B-19"/>
        <s v="S-BARACELET-B-21"/>
        <s v="S-BARACELET-B-18"/>
        <s v="S-THANDA-K9"/>
        <s v="S-THANDA-K8"/>
        <s v="S-THANDA-K10"/>
        <s v="S-S-KOLUSU-22"/>
        <s v="MMS-KULUSU-OPRDER-1-4"/>
        <s v="S-METTI-1-4"/>
        <s v="S-CHAIN-92.5-L-1"/>
        <s v="OLD GOLD-1-4"/>
        <s v="S-S-KOLUSU-83"/>
        <s v="S-S-KOLUSU-101"/>
        <s v="S-RING-191"/>
        <s v="S-S-KOLUSU-37"/>
        <s v="S-METTI-5-4"/>
        <s v="S-BARACELET-B-46"/>
        <s v="S-S-KOLUSU-100"/>
        <s v="S-BARACELET-B-33"/>
        <s v="S-RING-292"/>
        <s v="MADURA-STUD-80"/>
        <s v="GOLD 999*2/09-04"/>
        <s v="S-RING-231"/>
        <s v="S-BARACELET-B-11"/>
        <s v="G-TLI-MNI-THAYTH-1"/>
        <s v="G-TLI-MNI-THAYTH-16"/>
        <s v="S-B-KOLUSU--79"/>
        <s v="G-STUD-2"/>
        <s v="S-CHAIN-N-111"/>
        <s v="S-RING-63"/>
        <s v="S-RING-155"/>
        <s v="S-S-KOLUSU-17"/>
        <s v="G-TLI-MNI-THAYTH-12"/>
        <s v="S-AARUNA-11"/>
        <s v="S-NAKASU-14-04"/>
        <s v="OLD GOLD"/>
        <s v="S-B-KOLUSU--95"/>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tring="0" containsBlank="1" containsNumber="1" minValue="0" maxValue="208.6"/>
    </cacheField>
    <cacheField name="MELTING" numFmtId="0">
      <sharedItems containsSemiMixedTypes="0" containsString="0" containsNumber="1" minValue="0" maxValue="1000"/>
    </cacheField>
    <cacheField name="WASTAGE" numFmtId="0">
      <sharedItems containsSemiMixedTypes="0" containsString="0" containsNumber="1" minValue="-71.5" maxValue="300"/>
    </cacheField>
    <cacheField name="P-RATE" numFmtId="165">
      <sharedItems containsSemiMixedTypes="0" containsString="0" containsNumber="1" minValue="0" maxValue="9250"/>
    </cacheField>
    <cacheField name="ORIGINAL PRICE" numFmtId="165">
      <sharedItems containsSemiMixedTypes="0" containsString="0" containsNumber="1" minValue="0" maxValue="354345"/>
    </cacheField>
    <cacheField name="CASH-CUST" numFmtId="0">
      <sharedItems containsString="0" containsBlank="1" containsNumber="1" containsInteger="1" minValue="0" maxValue="399760"/>
    </cacheField>
    <cacheField name="BALANCE" numFmtId="0">
      <sharedItems containsString="0" containsBlank="1" containsNumber="1" minValue="0" maxValue="20000"/>
    </cacheField>
    <cacheField name="PROFIT" numFmtId="0">
      <sharedItems containsString="0" containsBlank="1" containsNumber="1" minValue="-224.4" maxValue="45415"/>
    </cacheField>
    <cacheField name="OLD-WT" numFmtId="0">
      <sharedItems containsString="0" containsBlank="1" containsNumber="1" minValue="0.04" maxValue="227.9"/>
    </cacheField>
    <cacheField name="MELTING2" numFmtId="0">
      <sharedItems containsString="0" containsBlank="1" containsNumber="1" containsInteger="1" minValue="30" maxValue="916"/>
    </cacheField>
    <cacheField name="P-RATE3" numFmtId="0">
      <sharedItems containsString="0" containsBlank="1" containsNumber="1" containsInteger="1" minValue="78" maxValue="8900"/>
    </cacheField>
    <cacheField name="OLD-AMT" numFmtId="0">
      <sharedItems containsString="0" containsBlank="1" containsNumber="1" minValue="0" maxValue="19000"/>
    </cacheField>
    <cacheField name="CASH-FR-ITM" numFmtId="0">
      <sharedItems containsString="0" containsBlank="1" containsNumber="1" containsInteger="1" minValue="0" maxValue="19000"/>
    </cacheField>
    <cacheField name="PROFIT-LOSS" numFmtId="0">
      <sharedItems containsString="0" containsBlank="1" containsNumber="1" minValue="-3146.9188800000011" maxValue="13158.21671999999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n v="127.6"/>
    <n v="31800"/>
    <n v="926.21359223300965"/>
    <n v="50.81"/>
    <n v="4374.1299999999992"/>
  </r>
  <r>
    <x v="1"/>
    <s v="MDU"/>
    <x v="1"/>
    <x v="0"/>
    <n v="509"/>
    <n v="95"/>
    <n v="49810"/>
    <n v="1450.7766990291263"/>
    <m/>
    <m/>
  </r>
  <r>
    <x v="2"/>
    <s v="MDU"/>
    <x v="2"/>
    <x v="1"/>
    <n v="28.75"/>
    <n v="6756.94"/>
    <n v="200000"/>
    <n v="5825.2427184466014"/>
    <m/>
    <m/>
  </r>
  <r>
    <x v="3"/>
    <s v="MDU"/>
    <x v="2"/>
    <x v="1"/>
    <n v="4.0999999999999996"/>
    <n v="6748.76"/>
    <n v="28500"/>
    <n v="830.09708737864082"/>
    <m/>
    <m/>
  </r>
  <r>
    <x v="4"/>
    <s v="DGL"/>
    <x v="3"/>
    <x v="0"/>
    <n v="282.5"/>
    <n v="63.68"/>
    <n v="18530"/>
    <n v="539.70873786407765"/>
    <m/>
    <m/>
  </r>
  <r>
    <x v="5"/>
    <s v="MDU"/>
    <x v="1"/>
    <x v="0"/>
    <n v="279"/>
    <n v="95"/>
    <n v="27300"/>
    <n v="795.14563106796118"/>
    <m/>
    <m/>
  </r>
  <r>
    <x v="6"/>
    <s v="DGL"/>
    <x v="3"/>
    <x v="0"/>
    <n v="195.5"/>
    <n v="79.260000000000005"/>
    <n v="15960"/>
    <n v="464.85436893203877"/>
    <m/>
    <m/>
  </r>
  <r>
    <x v="7"/>
    <s v="MDU"/>
    <x v="4"/>
    <x v="0"/>
    <n v="1000"/>
    <n v="84.27"/>
    <n v="86800"/>
    <n v="2528.155339805825"/>
    <m/>
    <m/>
  </r>
  <r>
    <x v="8"/>
    <s v="MDU"/>
    <x v="5"/>
    <x v="1"/>
    <n v="17.96"/>
    <n v="6649.08"/>
    <n v="123000"/>
    <n v="3582.5242718446602"/>
    <m/>
    <m/>
  </r>
  <r>
    <x v="9"/>
    <s v="SALEM"/>
    <x v="6"/>
    <x v="0"/>
    <n v="1200"/>
    <n v="69.056299999999993"/>
    <n v="85350"/>
    <n v="2485.9223300970871"/>
    <m/>
    <m/>
  </r>
  <r>
    <x v="10"/>
    <s v="MDU"/>
    <x v="7"/>
    <x v="0"/>
    <n v="63.73"/>
    <n v="99"/>
    <n v="6500"/>
    <n v="189.32038834951459"/>
    <m/>
    <m/>
  </r>
  <r>
    <x v="11"/>
    <s v="MDU"/>
    <x v="0"/>
    <x v="0"/>
    <n v="24.83"/>
    <n v="148"/>
    <n v="3675"/>
    <n v="107.03883495145629"/>
    <m/>
    <m/>
  </r>
  <r>
    <x v="12"/>
    <s v="CHI"/>
    <x v="8"/>
    <x v="0"/>
    <n v="577.96"/>
    <n v="80.12"/>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93"/>
    <n v="1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40.700000000000003"/>
    <n v="79"/>
    <n v="-14"/>
    <n v="86.4"/>
    <n v="2778.0192000000002"/>
    <n v="5200"/>
    <m/>
    <n v="1257.2992000000004"/>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7900"/>
    <m/>
    <n v="27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37.35"/>
    <n v="80"/>
    <n v="10"/>
    <n v="95"/>
    <n v="2838.6"/>
    <n v="6600"/>
    <m/>
    <n v="3761.4"/>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900"/>
    <m/>
    <n v="493.73707999999982"/>
    <n v="6.85"/>
    <n v="81"/>
    <n v="90"/>
    <n v="395.49707999999993"/>
    <n v="400"/>
    <n v="-4.5029200000000742"/>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m/>
    <n v="1593.0372499999999"/>
    <m/>
    <m/>
    <m/>
    <m/>
    <m/>
    <m/>
  </r>
  <r>
    <x v="68"/>
    <x v="44"/>
    <m/>
    <m/>
    <n v="0"/>
    <n v="0"/>
    <n v="0"/>
    <n v="0"/>
    <n v="242"/>
    <n v="500"/>
    <m/>
    <n v="258"/>
    <m/>
    <m/>
    <m/>
    <n v="0"/>
    <m/>
    <n v="0"/>
  </r>
  <r>
    <x v="69"/>
    <x v="207"/>
    <s v="G-RING-G"/>
    <s v="22"/>
    <n v="1.48"/>
    <n v="96.75"/>
    <n v="-4.75"/>
    <n v="7218.2"/>
    <n v="10335.74058"/>
    <n v="12400"/>
    <m/>
    <n v="2014.2594200000003"/>
    <m/>
    <m/>
    <m/>
    <n v="0"/>
    <m/>
    <n v="0"/>
  </r>
  <r>
    <x v="69"/>
    <x v="205"/>
    <m/>
    <m/>
    <n v="0"/>
    <n v="0"/>
    <n v="0"/>
    <n v="0"/>
    <n v="50"/>
    <m/>
    <m/>
    <n v="0"/>
    <m/>
    <m/>
    <m/>
    <m/>
    <m/>
    <m/>
  </r>
  <r>
    <x v="69"/>
    <x v="208"/>
    <m/>
    <m/>
    <n v="8.6"/>
    <n v="80"/>
    <n v="-15"/>
    <n v="93"/>
    <n v="639.84"/>
    <n v="1300"/>
    <m/>
    <n v="487.52799999999991"/>
    <n v="10"/>
    <n v="81"/>
    <n v="90"/>
    <n v="577.36799999999994"/>
    <n v="750"/>
    <n v="-172.63200000000006"/>
  </r>
  <r>
    <x v="70"/>
    <x v="209"/>
    <s v="S-RING-"/>
    <s v="150"/>
    <n v="5.88"/>
    <n v="92.5"/>
    <n v="92.5"/>
    <n v="131.65"/>
    <n v="774.10199999999998"/>
    <n v="1100"/>
    <m/>
    <n v="325.89800000000002"/>
    <m/>
    <m/>
    <m/>
    <n v="0"/>
    <m/>
    <n v="0"/>
  </r>
  <r>
    <x v="71"/>
    <x v="210"/>
    <m/>
    <m/>
    <n v="0.27"/>
    <n v="79"/>
    <n v="0"/>
    <n v="8000"/>
    <n v="1850"/>
    <n v="2530"/>
    <m/>
    <n v="68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m/>
    <m/>
    <n v="923.41106999999647"/>
    <n v="227.9"/>
    <n v="81"/>
    <n v="90"/>
    <n v="13158.216719999999"/>
    <m/>
    <n v="13158.216719999999"/>
  </r>
  <r>
    <x v="72"/>
    <x v="161"/>
    <m/>
    <m/>
    <n v="0"/>
    <n v="0"/>
    <n v="0"/>
    <n v="0"/>
    <n v="500"/>
    <n v="800"/>
    <m/>
    <n v="300"/>
    <m/>
    <m/>
    <m/>
    <n v="0"/>
    <m/>
    <n v="0"/>
  </r>
  <r>
    <x v="73"/>
    <x v="213"/>
    <s v="S-S-KOLUSU-"/>
    <s v="59"/>
    <n v="92.3"/>
    <n v="76.5"/>
    <n v="-11.5"/>
    <n v="89.9"/>
    <n v="6347.7940500000004"/>
    <n v="9900"/>
    <m/>
    <n v="1988.2430700000004"/>
    <n v="118.4"/>
    <n v="81"/>
    <n v="90"/>
    <n v="6836.0371200000009"/>
    <n v="8400"/>
    <n v="-1563.9628799999991"/>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m/>
    <n v="1459.3428799999997"/>
    <n v="61.6"/>
    <n v="81"/>
    <n v="90"/>
    <n v="3556.5868799999998"/>
    <n v="4100"/>
    <n v="-543.41312000000016"/>
  </r>
  <r>
    <x v="74"/>
    <x v="141"/>
    <m/>
    <m/>
    <n v="5.5"/>
    <n v="82"/>
    <n v="0"/>
    <n v="90"/>
    <n v="405.9"/>
    <m/>
    <m/>
    <n v="0"/>
    <m/>
    <m/>
    <m/>
    <n v="0"/>
    <m/>
    <n v="0"/>
  </r>
  <r>
    <x v="75"/>
    <x v="217"/>
    <s v="S-RING-"/>
    <s v="160"/>
    <m/>
    <n v="92.5"/>
    <n v="92.5"/>
    <n v="131.65"/>
    <n v="157.97999999999999"/>
    <n v="300"/>
    <m/>
    <n v="142.02000000000001"/>
    <m/>
    <m/>
    <m/>
    <n v="0"/>
    <m/>
    <n v="0"/>
  </r>
  <r>
    <x v="75"/>
    <x v="218"/>
    <m/>
    <m/>
    <n v="3.96"/>
    <n v="89"/>
    <n v="0"/>
    <n v="6016"/>
    <n v="21280"/>
    <n v="29000"/>
    <m/>
    <n v="7490"/>
    <m/>
    <m/>
    <m/>
    <n v="0"/>
    <m/>
    <n v="0"/>
  </r>
  <r>
    <x v="75"/>
    <x v="119"/>
    <m/>
    <m/>
    <n v="0"/>
    <n v="0"/>
    <n v="0"/>
    <n v="0"/>
    <n v="230"/>
    <m/>
    <m/>
    <n v="0"/>
    <m/>
    <m/>
    <m/>
    <m/>
    <m/>
    <m/>
  </r>
  <r>
    <x v="75"/>
    <x v="219"/>
    <s v="G-CHAIN-"/>
    <s v="9"/>
    <n v="8.15"/>
    <n v="94.25"/>
    <n v="-2.25"/>
    <n v="6305"/>
    <n v="48431.069374999999"/>
    <n v="63000"/>
    <n v="20000"/>
    <n v="14568.930625000001"/>
    <m/>
    <m/>
    <m/>
    <n v="0"/>
    <m/>
    <n v="0"/>
  </r>
  <r>
    <x v="75"/>
    <x v="220"/>
    <s v="S-BARACELET-B-"/>
    <s v="16"/>
    <n v="5.27"/>
    <n v="86"/>
    <n v="-65"/>
    <n v="90"/>
    <n v="407.89799999999997"/>
    <n v="950"/>
    <m/>
    <n v="542.10200000000009"/>
    <m/>
    <m/>
    <m/>
    <n v="0"/>
    <m/>
    <n v="0"/>
  </r>
  <r>
    <x v="75"/>
    <x v="221"/>
    <s v="S-BARACELET-B-"/>
    <s v="27"/>
    <n v="9.3000000000000007"/>
    <n v="77"/>
    <n v="-12"/>
    <n v="91.5"/>
    <n v="655.2315000000001"/>
    <n v="1300"/>
    <m/>
    <n v="476.98645999999985"/>
    <n v="10.95"/>
    <n v="81"/>
    <n v="90"/>
    <n v="632.21795999999995"/>
    <n v="800"/>
    <n v="-167.78204000000005"/>
  </r>
  <r>
    <x v="75"/>
    <x v="222"/>
    <m/>
    <m/>
    <n v="6.3"/>
    <n v="80"/>
    <n v="-15"/>
    <n v="93"/>
    <n v="468.72"/>
    <n v="840"/>
    <m/>
    <n v="285.55327999999997"/>
    <n v="9.6"/>
    <n v="81"/>
    <n v="90"/>
    <n v="554.27328"/>
    <n v="640"/>
    <n v="-85.72672"/>
  </r>
  <r>
    <x v="75"/>
    <x v="223"/>
    <s v="S-RING-"/>
    <s v="278"/>
    <n v="4.18"/>
    <n v="92.5"/>
    <n v="92.5"/>
    <n v="123"/>
    <n v="514.14"/>
    <n v="1000"/>
    <m/>
    <n v="485.86"/>
    <m/>
    <m/>
    <m/>
    <n v="0"/>
    <m/>
    <n v="0"/>
  </r>
  <r>
    <x v="76"/>
    <x v="224"/>
    <s v="S-S-KOLUSU-"/>
    <s v="31"/>
    <n v="66.819999999999993"/>
    <n v="76.5"/>
    <n v="-11.5"/>
    <n v="89.9"/>
    <n v="4595.4452699999993"/>
    <n v="7000"/>
    <m/>
    <n v="2404.5547300000007"/>
    <m/>
    <m/>
    <m/>
    <n v="0"/>
    <m/>
    <n v="0"/>
  </r>
  <r>
    <x v="76"/>
    <x v="225"/>
    <m/>
    <m/>
    <n v="3.82"/>
    <n v="99.9"/>
    <n v="0"/>
    <n v="0"/>
    <n v="23000"/>
    <n v="30300"/>
    <m/>
    <n v="7300"/>
    <m/>
    <m/>
    <m/>
    <n v="0"/>
    <m/>
    <n v="0"/>
  </r>
  <r>
    <x v="76"/>
    <x v="226"/>
    <s v="G-CHAIN-"/>
    <s v="10"/>
    <n v="4.03"/>
    <n v="92"/>
    <n v="0"/>
    <n v="5600"/>
    <n v="23000"/>
    <n v="33100"/>
    <m/>
    <n v="10100"/>
    <m/>
    <m/>
    <m/>
    <n v="0"/>
    <m/>
    <n v="0"/>
  </r>
  <r>
    <x v="77"/>
    <x v="227"/>
    <m/>
    <m/>
    <n v="5.7"/>
    <n v="80"/>
    <n v="-15"/>
    <n v="93"/>
    <n v="424.08"/>
    <n v="930"/>
    <m/>
    <n v="200.86560000000003"/>
    <n v="42"/>
    <n v="81"/>
    <n v="90"/>
    <n v="2424.9456"/>
    <n v="2730"/>
    <n v="-305.05439999999999"/>
  </r>
  <r>
    <x v="77"/>
    <x v="17"/>
    <m/>
    <m/>
    <n v="0"/>
    <n v="0"/>
    <n v="0"/>
    <n v="0"/>
    <n v="135"/>
    <n v="450"/>
    <m/>
    <n v="315"/>
    <m/>
    <m/>
    <m/>
    <n v="0"/>
    <m/>
    <n v="0"/>
  </r>
  <r>
    <x v="77"/>
    <x v="17"/>
    <m/>
    <m/>
    <n v="0"/>
    <n v="0"/>
    <n v="0"/>
    <n v="0"/>
    <n v="135"/>
    <n v="450"/>
    <m/>
    <n v="315"/>
    <m/>
    <m/>
    <m/>
    <n v="0"/>
    <m/>
    <n v="0"/>
  </r>
  <r>
    <x v="78"/>
    <x v="228"/>
    <s v="S-BANGLE-"/>
    <s v="1"/>
    <n v="16.64"/>
    <n v="65"/>
    <n v="60.9"/>
    <n v="88.1"/>
    <n v="1119.2896000000001"/>
    <n v="2200"/>
    <m/>
    <n v="1080.7103999999999"/>
    <m/>
    <m/>
    <m/>
    <n v="0"/>
    <m/>
    <n v="0"/>
  </r>
  <r>
    <x v="79"/>
    <x v="229"/>
    <s v="G-CHAIN-"/>
    <s v="7"/>
    <n v="8.02"/>
    <n v="94"/>
    <n v="-2"/>
    <n v="7420"/>
    <n v="55937.896000000001"/>
    <n v="60500"/>
    <m/>
    <n v="4562.1039999999994"/>
    <m/>
    <m/>
    <m/>
    <n v="0"/>
    <m/>
    <n v="0"/>
  </r>
  <r>
    <x v="80"/>
    <x v="230"/>
    <m/>
    <m/>
    <n v="8.1"/>
    <n v="0"/>
    <n v="0"/>
    <n v="0"/>
    <n v="51500"/>
    <n v="57500"/>
    <m/>
    <n v="6000"/>
    <m/>
    <m/>
    <m/>
    <n v="0"/>
    <m/>
    <n v="0"/>
  </r>
  <r>
    <x v="80"/>
    <x v="231"/>
    <s v="S-B-KOLUSU--"/>
    <s v="25"/>
    <n v="54.15"/>
    <n v="65"/>
    <n v="-10"/>
    <n v="89"/>
    <n v="3132.5774999999999"/>
    <n v="5800"/>
    <m/>
    <n v="2230.4737"/>
    <n v="34"/>
    <n v="81"/>
    <n v="90"/>
    <n v="1963.0511999999997"/>
    <n v="2400"/>
    <n v="-436.94880000000035"/>
  </r>
  <r>
    <x v="80"/>
    <x v="232"/>
    <s v="G-PESERI-"/>
    <s v="33"/>
    <n v="0.09"/>
    <n v="80.39"/>
    <n v="-10"/>
    <n v="7219.2"/>
    <n v="522.31633920000002"/>
    <n v="1400"/>
    <m/>
    <n v="847.68366079999998"/>
    <n v="0.09"/>
    <n v="60"/>
    <n v="7500"/>
    <n v="270"/>
    <n v="300"/>
    <n v="-30"/>
  </r>
  <r>
    <x v="80"/>
    <x v="233"/>
    <s v="S-CHAIN-92.5-"/>
    <s v="80"/>
    <n v="7.6"/>
    <n v="92.5"/>
    <n v="92.5"/>
    <n v="106"/>
    <n v="745.18000000000006"/>
    <n v="1700"/>
    <m/>
    <n v="954.81999999999994"/>
    <m/>
    <m/>
    <m/>
    <n v="0"/>
    <m/>
    <n v="0"/>
  </r>
  <r>
    <x v="80"/>
    <x v="234"/>
    <s v="S-BARACELET-B-"/>
    <s v="2"/>
    <n v="25.91"/>
    <n v="86"/>
    <n v="-65"/>
    <n v="90"/>
    <n v="2005.4340000000002"/>
    <n v="2800"/>
    <m/>
    <n v="736.13855999999987"/>
    <n v="26.7"/>
    <n v="81"/>
    <n v="90"/>
    <n v="1541.5725600000001"/>
    <n v="1600"/>
    <n v="-58.427439999999933"/>
  </r>
  <r>
    <x v="80"/>
    <x v="235"/>
    <s v="S-RING-"/>
    <s v="351"/>
    <n v="3.7"/>
    <n v="92.5"/>
    <n v="92.5"/>
    <n v="132"/>
    <n v="488.40000000000003"/>
    <n v="850"/>
    <m/>
    <n v="361.59999999999997"/>
    <m/>
    <m/>
    <m/>
    <n v="0"/>
    <m/>
    <n v="0"/>
  </r>
  <r>
    <x v="81"/>
    <x v="236"/>
    <s v="G-PESERI-"/>
    <s v="30"/>
    <n v="0.125"/>
    <n v="80.39"/>
    <n v="-10"/>
    <n v="7218.2"/>
    <n v="725.33887249999998"/>
    <n v="1500"/>
    <m/>
    <n v="774.66112750000002"/>
    <m/>
    <m/>
    <m/>
    <n v="0"/>
    <m/>
    <n v="0"/>
  </r>
  <r>
    <x v="81"/>
    <x v="237"/>
    <m/>
    <m/>
    <n v="16"/>
    <n v="0"/>
    <n v="300"/>
    <n v="1100"/>
    <n v="1400"/>
    <n v="2600"/>
    <m/>
    <n v="1200"/>
    <m/>
    <m/>
    <m/>
    <n v="0"/>
    <m/>
    <n v="0"/>
  </r>
  <r>
    <x v="82"/>
    <x v="238"/>
    <s v="G-STUD-"/>
    <s v="10"/>
    <n v="1.17"/>
    <n v="97"/>
    <n v="-5"/>
    <n v="7218.2"/>
    <n v="8191.9351799999995"/>
    <n v="9900"/>
    <n v="7400"/>
    <n v="1708.0648200000005"/>
    <m/>
    <m/>
    <m/>
    <n v="0"/>
    <m/>
    <n v="0"/>
  </r>
  <r>
    <x v="83"/>
    <x v="239"/>
    <s v="S-BARACELET-B-"/>
    <s v="30"/>
    <n v="66.7"/>
    <n v="82"/>
    <n v="-17"/>
    <n v="95"/>
    <n v="5195.93"/>
    <n v="7100"/>
    <m/>
    <n v="928.20893599999999"/>
    <n v="62.77"/>
    <n v="81"/>
    <n v="90"/>
    <n v="3624.1389360000003"/>
    <n v="4600"/>
    <n v="-975.86106399999971"/>
  </r>
  <r>
    <x v="83"/>
    <x v="240"/>
    <s v="S-RING-"/>
    <s v="228"/>
    <n v="4.66"/>
    <n v="92.5"/>
    <n v="92.5"/>
    <n v="125.57"/>
    <n v="585.15620000000001"/>
    <n v="1000"/>
    <m/>
    <n v="414.84379999999999"/>
    <m/>
    <m/>
    <m/>
    <n v="0"/>
    <m/>
    <n v="0"/>
  </r>
  <r>
    <x v="83"/>
    <x v="241"/>
    <s v="S-RING-"/>
    <s v="139"/>
    <n v="2.14"/>
    <n v="92.5"/>
    <n v="92.5"/>
    <n v="131.65"/>
    <n v="281.73100000000005"/>
    <n v="400"/>
    <m/>
    <n v="118.26899999999995"/>
    <m/>
    <m/>
    <m/>
    <n v="0"/>
    <m/>
    <n v="0"/>
  </r>
  <r>
    <x v="83"/>
    <x v="242"/>
    <s v="S-RING-"/>
    <s v="153"/>
    <n v="3.5"/>
    <n v="92.5"/>
    <n v="92.5"/>
    <n v="131.65"/>
    <n v="460.77500000000003"/>
    <n v="800"/>
    <m/>
    <n v="409.4346000000001"/>
    <n v="22"/>
    <n v="81"/>
    <n v="90"/>
    <n v="1270.2096000000001"/>
    <n v="1200"/>
    <n v="70.209600000000137"/>
  </r>
  <r>
    <x v="83"/>
    <x v="243"/>
    <s v="S-RING-"/>
    <s v="222"/>
    <n v="1.93"/>
    <n v="92.5"/>
    <n v="92.5"/>
    <n v="125.57"/>
    <n v="242.35009999999997"/>
    <n v="400"/>
    <m/>
    <n v="157.64990000000003"/>
    <m/>
    <m/>
    <m/>
    <n v="0"/>
    <m/>
    <n v="0"/>
  </r>
  <r>
    <x v="83"/>
    <x v="244"/>
    <s v="S-RING-"/>
    <s v="334"/>
    <n v="1"/>
    <n v="92.5"/>
    <n v="92.5"/>
    <n v="132"/>
    <n v="132"/>
    <n v="250"/>
    <m/>
    <n v="92.134119999999939"/>
    <n v="2.15"/>
    <n v="81"/>
    <n v="90"/>
    <n v="124.13411999999995"/>
    <n v="150"/>
    <n v="-25.865880000000047"/>
  </r>
  <r>
    <x v="84"/>
    <x v="245"/>
    <m/>
    <m/>
    <n v="55.2"/>
    <n v="0"/>
    <n v="0"/>
    <n v="0"/>
    <n v="2600"/>
    <n v="3100"/>
    <m/>
    <n v="500"/>
    <m/>
    <m/>
    <m/>
    <m/>
    <m/>
    <m/>
  </r>
  <r>
    <x v="84"/>
    <x v="246"/>
    <s v="G-RING-"/>
    <s v="63"/>
    <n v="1.02"/>
    <n v="97.5"/>
    <n v="5.5"/>
    <n v="7087"/>
    <n v="7048.0215000000007"/>
    <n v="8400"/>
    <m/>
    <n v="1351.9784999999993"/>
    <m/>
    <m/>
    <m/>
    <n v="0"/>
    <m/>
    <n v="0"/>
  </r>
  <r>
    <x v="84"/>
    <x v="247"/>
    <s v="G-STUD-"/>
    <s v="51"/>
    <n v="4.05"/>
    <n v="97"/>
    <n v="-5"/>
    <n v="7420"/>
    <n v="29149.469999999998"/>
    <n v="31600"/>
    <n v="16200"/>
    <n v="2450.5300000000025"/>
    <m/>
    <m/>
    <m/>
    <n v="0"/>
    <m/>
    <n v="0"/>
  </r>
  <r>
    <x v="85"/>
    <x v="248"/>
    <s v="S-RING-"/>
    <s v="309"/>
    <n v="1.9"/>
    <n v="92.5"/>
    <n v="92.5"/>
    <n v="132"/>
    <n v="250.79999999999998"/>
    <n v="400"/>
    <m/>
    <n v="149.20000000000002"/>
    <m/>
    <m/>
    <m/>
    <n v="0"/>
    <m/>
    <n v="0"/>
  </r>
  <r>
    <x v="85"/>
    <x v="249"/>
    <s v="S-RING-"/>
    <s v="316"/>
    <n v="2"/>
    <n v="92.5"/>
    <n v="92.5"/>
    <n v="132"/>
    <n v="264"/>
    <n v="500"/>
    <m/>
    <n v="236"/>
    <m/>
    <m/>
    <m/>
    <n v="0"/>
    <m/>
    <n v="0"/>
  </r>
  <r>
    <x v="86"/>
    <x v="250"/>
    <s v="S-RING-"/>
    <s v="212"/>
    <n v="1.85"/>
    <n v="92.5"/>
    <n v="92.5"/>
    <n v="125.57"/>
    <n v="232.30449999999999"/>
    <n v="420"/>
    <m/>
    <n v="187.69550000000001"/>
    <m/>
    <m/>
    <m/>
    <n v="0"/>
    <m/>
    <n v="0"/>
  </r>
  <r>
    <x v="87"/>
    <x v="251"/>
    <s v="S-S-KOLUSU-"/>
    <s v="71"/>
    <n v="93.6"/>
    <n v="82"/>
    <n v="-17"/>
    <n v="90"/>
    <n v="6907.6799999999994"/>
    <n v="10200"/>
    <m/>
    <n v="2587.9379200000012"/>
    <n v="74.400000000000006"/>
    <n v="81"/>
    <n v="90"/>
    <n v="4295.6179200000006"/>
    <n v="5200"/>
    <n v="-904.38207999999941"/>
  </r>
  <r>
    <x v="87"/>
    <x v="252"/>
    <m/>
    <m/>
    <n v="0"/>
    <n v="0"/>
    <n v="0"/>
    <n v="0"/>
    <n v="0"/>
    <m/>
    <m/>
    <n v="0"/>
    <n v="0.76"/>
    <n v="60"/>
    <n v="7500"/>
    <n v="2700"/>
    <n v="2500"/>
    <n v="200"/>
  </r>
  <r>
    <x v="87"/>
    <x v="253"/>
    <s v="S-S-KOLUSU-"/>
    <s v="92"/>
    <n v="169.55"/>
    <n v="80"/>
    <n v="-15"/>
    <n v="86.4"/>
    <n v="11719.296"/>
    <n v="16700"/>
    <m/>
    <n v="2750.2319040000002"/>
    <n v="162.28"/>
    <n v="81"/>
    <n v="90"/>
    <n v="9369.5279040000005"/>
    <n v="11600"/>
    <n v="-2230.4720959999995"/>
  </r>
  <r>
    <x v="88"/>
    <x v="254"/>
    <s v="S-RING-"/>
    <s v="21"/>
    <n v="2.57"/>
    <n v="92.5"/>
    <n v="92.5"/>
    <n v="140"/>
    <n v="359.79999999999995"/>
    <n v="550"/>
    <m/>
    <n v="190.20000000000005"/>
    <m/>
    <m/>
    <m/>
    <n v="0"/>
    <m/>
    <n v="0"/>
  </r>
  <r>
    <x v="89"/>
    <x v="115"/>
    <m/>
    <m/>
    <n v="1"/>
    <n v="0"/>
    <n v="0"/>
    <n v="0"/>
    <n v="100"/>
    <n v="150"/>
    <m/>
    <n v="50"/>
    <m/>
    <m/>
    <m/>
    <n v="0"/>
    <m/>
    <n v="0"/>
  </r>
  <r>
    <x v="89"/>
    <x v="255"/>
    <s v="S-B-KOLUSU--"/>
    <s v="42"/>
    <n v="34"/>
    <n v="82"/>
    <n v="-17"/>
    <n v="90"/>
    <n v="2509.1999999999998"/>
    <n v="4400"/>
    <m/>
    <n v="688.03455999999949"/>
    <n v="54.2"/>
    <n v="81"/>
    <n v="90"/>
    <n v="3129.3345599999993"/>
    <n v="4000"/>
    <n v="-870.66544000000067"/>
  </r>
  <r>
    <x v="89"/>
    <x v="160"/>
    <m/>
    <m/>
    <n v="4.5"/>
    <n v="82"/>
    <n v="0"/>
    <n v="90"/>
    <n v="332.1"/>
    <m/>
    <m/>
    <n v="0"/>
    <m/>
    <m/>
    <m/>
    <n v="0"/>
    <m/>
    <n v="0"/>
  </r>
  <r>
    <x v="89"/>
    <x v="256"/>
    <s v="S-RING-"/>
    <s v="318"/>
    <n v="1.6"/>
    <n v="92.5"/>
    <n v="92.5"/>
    <n v="132"/>
    <n v="211.20000000000002"/>
    <n v="400"/>
    <m/>
    <n v="188.79999999999998"/>
    <m/>
    <m/>
    <m/>
    <n v="0"/>
    <m/>
    <n v="0"/>
  </r>
  <r>
    <x v="89"/>
    <x v="257"/>
    <m/>
    <m/>
    <n v="9.6"/>
    <n v="80"/>
    <n v="-15"/>
    <n v="93"/>
    <n v="714.24"/>
    <n v="1200"/>
    <m/>
    <n v="485.76"/>
    <m/>
    <m/>
    <m/>
    <n v="0"/>
    <m/>
    <n v="0"/>
  </r>
  <r>
    <x v="90"/>
    <x v="258"/>
    <s v="S-B-KOLUSU--"/>
    <s v="87"/>
    <n v="47.5"/>
    <n v="80.02"/>
    <n v="-15.019999999999996"/>
    <n v="95"/>
    <n v="3610.9024999999997"/>
    <n v="5600"/>
    <m/>
    <n v="1583.1975000000002"/>
    <m/>
    <m/>
    <m/>
    <n v="0"/>
    <m/>
    <n v="0"/>
  </r>
  <r>
    <x v="90"/>
    <x v="141"/>
    <m/>
    <m/>
    <n v="5.5"/>
    <n v="82"/>
    <n v="0"/>
    <n v="90"/>
    <n v="405.9"/>
    <m/>
    <m/>
    <n v="0"/>
    <m/>
    <m/>
    <m/>
    <n v="0"/>
    <m/>
    <n v="0"/>
  </r>
  <r>
    <x v="90"/>
    <x v="259"/>
    <s v="S-AARUNA-"/>
    <s v="14"/>
    <n v="49.2"/>
    <n v="82"/>
    <n v="-27"/>
    <n v="92"/>
    <n v="3711.6480000000001"/>
    <n v="5200"/>
    <m/>
    <n v="357.29599999999937"/>
    <n v="80"/>
    <n v="81"/>
    <n v="90"/>
    <n v="4618.9439999999995"/>
    <n v="5750"/>
    <n v="-1131.0560000000005"/>
  </r>
  <r>
    <x v="90"/>
    <x v="260"/>
    <s v="S-BANGLE-"/>
    <s v="6"/>
    <n v="35.700000000000003"/>
    <n v="65"/>
    <n v="60.9"/>
    <n v="88.1"/>
    <n v="2401.3605000000002"/>
    <n v="4200"/>
    <m/>
    <n v="667.58349999999928"/>
    <n v="80"/>
    <n v="81"/>
    <n v="90"/>
    <n v="4618.9439999999995"/>
    <n v="5750"/>
    <n v="-1131.0560000000005"/>
  </r>
  <r>
    <x v="90"/>
    <x v="261"/>
    <s v="S-CHAIN-N-"/>
    <s v="65"/>
    <n v="11.9"/>
    <n v="77"/>
    <n v="-12"/>
    <n v="91.5"/>
    <n v="838.41449999999998"/>
    <n v="1500"/>
    <m/>
    <n v="463.31898000000012"/>
    <n v="17.350000000000001"/>
    <n v="81"/>
    <n v="90"/>
    <n v="1001.7334800000001"/>
    <n v="1200"/>
    <n v="-198.2665199999999"/>
  </r>
  <r>
    <x v="91"/>
    <x v="262"/>
    <s v="G-TLI-MNI-THAYTH-"/>
    <s v="20"/>
    <n v="1.1100000000000001"/>
    <n v="85"/>
    <n v="-8"/>
    <n v="7290"/>
    <n v="6878.1150000000007"/>
    <n v="8650"/>
    <m/>
    <n v="2421.8849999999993"/>
    <n v="1.97"/>
    <n v="65"/>
    <n v="7500"/>
    <n v="8600"/>
    <n v="7950"/>
    <n v="650"/>
  </r>
  <r>
    <x v="91"/>
    <x v="17"/>
    <m/>
    <m/>
    <n v="0"/>
    <n v="0"/>
    <n v="0"/>
    <n v="0"/>
    <n v="135"/>
    <n v="350"/>
    <m/>
    <n v="421.93048000000044"/>
    <n v="26.1"/>
    <n v="81"/>
    <n v="90"/>
    <n v="1506.9304800000004"/>
    <n v="1300"/>
    <n v="206.93048000000044"/>
  </r>
  <r>
    <x v="91"/>
    <x v="263"/>
    <m/>
    <m/>
    <n v="23"/>
    <n v="0"/>
    <n v="0"/>
    <n v="0"/>
    <n v="1750"/>
    <n v="2450"/>
    <m/>
    <n v="716.51471999999967"/>
    <n v="25.4"/>
    <n v="81"/>
    <n v="90"/>
    <n v="1466.5147199999997"/>
    <n v="1450"/>
    <n v="16.51471999999967"/>
  </r>
  <r>
    <x v="91"/>
    <x v="264"/>
    <s v="S-RING-"/>
    <s v="221"/>
    <n v="2.12"/>
    <n v="92.5"/>
    <n v="92.5"/>
    <n v="125.57"/>
    <n v="266.20839999999998"/>
    <n v="500"/>
    <m/>
    <n v="233.79160000000002"/>
    <m/>
    <m/>
    <m/>
    <n v="0"/>
    <m/>
    <n v="0"/>
  </r>
  <r>
    <x v="91"/>
    <x v="265"/>
    <m/>
    <m/>
    <n v="7"/>
    <n v="80"/>
    <n v="-15"/>
    <n v="93"/>
    <n v="520.79999999999995"/>
    <n v="800"/>
    <m/>
    <n v="242.94184000000007"/>
    <n v="6.3"/>
    <n v="81"/>
    <n v="90"/>
    <n v="363.74184000000002"/>
    <n v="400"/>
    <n v="-36.258159999999975"/>
  </r>
  <r>
    <x v="91"/>
    <x v="266"/>
    <s v="S-RING-"/>
    <s v="3"/>
    <n v="4.6500000000000004"/>
    <n v="92.5"/>
    <n v="92.5"/>
    <n v="140"/>
    <n v="651"/>
    <n v="800"/>
    <m/>
    <n v="149"/>
    <m/>
    <m/>
    <m/>
    <n v="0"/>
    <m/>
    <n v="0"/>
  </r>
  <r>
    <x v="92"/>
    <x v="267"/>
    <s v="S-RING-"/>
    <s v="320"/>
    <n v="1.65"/>
    <n v="92.5"/>
    <n v="92.5"/>
    <n v="132"/>
    <n v="217.79999999999998"/>
    <n v="300"/>
    <m/>
    <n v="82.200000000000017"/>
    <m/>
    <m/>
    <m/>
    <n v="0"/>
    <m/>
    <n v="0"/>
  </r>
  <r>
    <x v="92"/>
    <x v="268"/>
    <s v="G-RING-G"/>
    <s v="28"/>
    <n v="1.07"/>
    <n v="96.75"/>
    <n v="-4.75"/>
    <n v="7218.2"/>
    <n v="7472.4610950000006"/>
    <n v="9000"/>
    <m/>
    <n v="1527.5389049999994"/>
    <m/>
    <m/>
    <m/>
    <n v="0"/>
    <m/>
    <n v="0"/>
  </r>
  <r>
    <x v="92"/>
    <x v="269"/>
    <s v="S-RING-"/>
    <s v="112"/>
    <n v="0.98"/>
    <n v="92.5"/>
    <n v="92.5"/>
    <n v="127"/>
    <n v="124.46"/>
    <n v="250"/>
    <m/>
    <n v="125.54"/>
    <m/>
    <m/>
    <m/>
    <n v="0"/>
    <m/>
    <n v="0"/>
  </r>
  <r>
    <x v="92"/>
    <x v="270"/>
    <s v="S-RING-"/>
    <s v="237"/>
    <n v="2.4500000000000002"/>
    <n v="92.5"/>
    <n v="92.5"/>
    <n v="135"/>
    <n v="330.75"/>
    <n v="625"/>
    <m/>
    <n v="294.25"/>
    <m/>
    <m/>
    <m/>
    <n v="0"/>
    <m/>
    <n v="0"/>
  </r>
  <r>
    <x v="92"/>
    <x v="271"/>
    <s v="S-RING-"/>
    <s v="131"/>
    <n v="1.1200000000000001"/>
    <n v="92.5"/>
    <n v="92.5"/>
    <n v="127"/>
    <n v="142.24"/>
    <n v="280"/>
    <m/>
    <n v="137.76"/>
    <m/>
    <m/>
    <m/>
    <n v="0"/>
    <m/>
    <n v="0"/>
  </r>
  <r>
    <x v="92"/>
    <x v="272"/>
    <s v="S-RING-"/>
    <s v="232"/>
    <n v="4.74"/>
    <n v="92.5"/>
    <n v="92.5"/>
    <n v="125.57"/>
    <n v="595.20180000000005"/>
    <n v="1190"/>
    <m/>
    <n v="173.52667999999994"/>
    <n v="31.933333333333334"/>
    <n v="81"/>
    <n v="90"/>
    <n v="1843.72848"/>
    <n v="2265"/>
    <n v="-421.27152000000001"/>
  </r>
  <r>
    <x v="92"/>
    <x v="273"/>
    <s v="S-CHAIN-N-"/>
    <s v="3"/>
    <n v="21.75"/>
    <n v="86"/>
    <n v="-21"/>
    <n v="90"/>
    <n v="1683.4499999999998"/>
    <n v="2450"/>
    <m/>
    <n v="345.27848000000017"/>
    <n v="31.933333333333334"/>
    <n v="81"/>
    <n v="90"/>
    <n v="1843.72848"/>
    <n v="2265"/>
    <n v="-421.27152000000001"/>
  </r>
  <r>
    <x v="92"/>
    <x v="274"/>
    <s v="S-KAPPU-N-"/>
    <s v="7"/>
    <n v="13.9"/>
    <n v="85"/>
    <n v="-64"/>
    <n v="89"/>
    <n v="1051.5349999999999"/>
    <n v="1700"/>
    <m/>
    <n v="227.19348000000014"/>
    <n v="31.933333333333334"/>
    <n v="81"/>
    <n v="90"/>
    <n v="1843.72848"/>
    <n v="2265"/>
    <n v="-421.27152000000001"/>
  </r>
  <r>
    <x v="92"/>
    <x v="275"/>
    <m/>
    <m/>
    <n v="2.08"/>
    <n v="0"/>
    <n v="0"/>
    <n v="0"/>
    <n v="15100"/>
    <n v="16500"/>
    <m/>
    <n v="1400"/>
    <m/>
    <m/>
    <m/>
    <n v="0"/>
    <n v="0"/>
    <n v="0"/>
  </r>
  <r>
    <x v="93"/>
    <x v="276"/>
    <m/>
    <m/>
    <n v="7.25"/>
    <n v="80"/>
    <n v="-15"/>
    <n v="93"/>
    <n v="539.4"/>
    <n v="1250"/>
    <m/>
    <n v="723.30244000000005"/>
    <n v="4.55"/>
    <n v="81"/>
    <n v="90"/>
    <n v="262.70244000000002"/>
    <n v="250"/>
    <n v="12.702440000000024"/>
  </r>
  <r>
    <x v="93"/>
    <x v="17"/>
    <m/>
    <m/>
    <n v="0"/>
    <n v="0"/>
    <n v="0"/>
    <n v="0"/>
    <n v="135"/>
    <n v="400"/>
    <m/>
    <n v="265"/>
    <m/>
    <m/>
    <m/>
    <n v="0"/>
    <m/>
    <n v="0"/>
  </r>
  <r>
    <x v="93"/>
    <x v="17"/>
    <m/>
    <m/>
    <n v="0"/>
    <n v="0"/>
    <n v="0"/>
    <n v="0"/>
    <n v="135"/>
    <n v="400"/>
    <m/>
    <n v="265"/>
    <m/>
    <m/>
    <m/>
    <n v="0"/>
    <m/>
    <n v="0"/>
  </r>
  <r>
    <x v="93"/>
    <x v="277"/>
    <s v="S-RING-"/>
    <s v="173"/>
    <n v="1.1499999999999999"/>
    <n v="92.5"/>
    <n v="92.5"/>
    <n v="131.65"/>
    <n v="151.39750000000001"/>
    <n v="250"/>
    <m/>
    <n v="98.602499999999992"/>
    <m/>
    <m/>
    <m/>
    <n v="0"/>
    <m/>
    <n v="0"/>
  </r>
  <r>
    <x v="94"/>
    <x v="278"/>
    <s v="S-RING-"/>
    <s v="343"/>
    <n v="4.5"/>
    <n v="92.5"/>
    <n v="92.5"/>
    <n v="132"/>
    <n v="594"/>
    <n v="950"/>
    <m/>
    <n v="356"/>
    <m/>
    <m/>
    <m/>
    <n v="0"/>
    <m/>
    <n v="0"/>
  </r>
  <r>
    <x v="94"/>
    <x v="279"/>
    <m/>
    <m/>
    <n v="0.74"/>
    <n v="0"/>
    <n v="0"/>
    <n v="0"/>
    <n v="5700"/>
    <n v="6700"/>
    <m/>
    <n v="1000"/>
    <m/>
    <m/>
    <m/>
    <n v="0"/>
    <m/>
    <n v="0"/>
  </r>
  <r>
    <x v="95"/>
    <x v="153"/>
    <s v="S-B-KOLUSU--"/>
    <s v="7"/>
    <n v="59.32"/>
    <n v="65"/>
    <n v="-10"/>
    <n v="89"/>
    <n v="3431.6619999999998"/>
    <n v="6600"/>
    <m/>
    <n v="2953.3271200000004"/>
    <n v="8.4"/>
    <n v="81"/>
    <n v="90"/>
    <n v="484.98911999999996"/>
    <n v="600"/>
    <n v="-115.01088000000004"/>
  </r>
  <r>
    <x v="95"/>
    <x v="115"/>
    <m/>
    <m/>
    <n v="1"/>
    <n v="0"/>
    <n v="0"/>
    <n v="0"/>
    <n v="100"/>
    <m/>
    <m/>
    <n v="0"/>
    <m/>
    <m/>
    <m/>
    <n v="0"/>
    <m/>
    <n v="0"/>
  </r>
  <r>
    <x v="96"/>
    <x v="280"/>
    <s v="S-CHAIN-N-"/>
    <s v="72"/>
    <n v="10.6"/>
    <n v="77"/>
    <n v="-12"/>
    <n v="91.5"/>
    <n v="746.82299999999987"/>
    <n v="1500"/>
    <m/>
    <n v="753.17700000000013"/>
    <m/>
    <m/>
    <m/>
    <n v="0"/>
    <m/>
    <n v="0"/>
  </r>
  <r>
    <x v="97"/>
    <x v="115"/>
    <m/>
    <m/>
    <n v="1"/>
    <n v="0"/>
    <n v="0"/>
    <n v="0"/>
    <n v="100"/>
    <n v="150"/>
    <m/>
    <n v="50"/>
    <m/>
    <m/>
    <m/>
    <n v="0"/>
    <m/>
    <n v="0"/>
  </r>
  <r>
    <x v="97"/>
    <x v="281"/>
    <s v="S-BARACELET-B-"/>
    <s v="25"/>
    <n v="8"/>
    <n v="77"/>
    <n v="-12"/>
    <n v="91.5"/>
    <n v="563.64"/>
    <n v="1400"/>
    <m/>
    <n v="836.36"/>
    <m/>
    <m/>
    <m/>
    <n v="0"/>
    <m/>
    <n v="0"/>
  </r>
  <r>
    <x v="97"/>
    <x v="282"/>
    <m/>
    <m/>
    <n v="42"/>
    <n v="0"/>
    <n v="0"/>
    <n v="0"/>
    <n v="3450"/>
    <n v="5900"/>
    <m/>
    <n v="2450"/>
    <m/>
    <m/>
    <m/>
    <n v="0"/>
    <m/>
    <n v="0"/>
  </r>
  <r>
    <x v="98"/>
    <x v="283"/>
    <m/>
    <m/>
    <n v="8.6999999999999993"/>
    <n v="80"/>
    <n v="-15"/>
    <n v="93"/>
    <n v="647.28"/>
    <n v="1050"/>
    <m/>
    <n v="340.59595999999988"/>
    <n v="8.4499999999999993"/>
    <n v="81"/>
    <n v="90"/>
    <n v="487.87595999999991"/>
    <n v="550"/>
    <n v="-62.124040000000093"/>
  </r>
  <r>
    <x v="99"/>
    <x v="284"/>
    <s v="S-RING-"/>
    <s v="143"/>
    <n v="3"/>
    <n v="92.5"/>
    <n v="92.5"/>
    <n v="131.65"/>
    <n v="394.95000000000005"/>
    <n v="700"/>
    <m/>
    <n v="292.00224000000003"/>
    <n v="9.3000000000000007"/>
    <n v="81"/>
    <n v="90"/>
    <n v="536.95224000000007"/>
    <n v="550"/>
    <n v="-13.047759999999926"/>
  </r>
  <r>
    <x v="99"/>
    <x v="285"/>
    <m/>
    <m/>
    <n v="0.21"/>
    <n v="0"/>
    <n v="0"/>
    <n v="0"/>
    <n v="0"/>
    <n v="1650"/>
    <m/>
    <n v="1650"/>
    <m/>
    <m/>
    <m/>
    <n v="0"/>
    <m/>
    <n v="0"/>
  </r>
  <r>
    <x v="100"/>
    <x v="286"/>
    <m/>
    <m/>
    <n v="69.5"/>
    <n v="0"/>
    <n v="0"/>
    <n v="0"/>
    <n v="5300"/>
    <n v="6900"/>
    <m/>
    <n v="944.57680000000073"/>
    <n v="51"/>
    <n v="81"/>
    <n v="90"/>
    <n v="2944.5768000000007"/>
    <n v="3600"/>
    <n v="-655.42319999999927"/>
  </r>
  <r>
    <x v="100"/>
    <x v="287"/>
    <s v="S-RING-"/>
    <s v="102"/>
    <n v="1.88"/>
    <n v="92.5"/>
    <n v="92.5"/>
    <n v="127"/>
    <n v="238.76"/>
    <n v="470"/>
    <m/>
    <n v="231.24"/>
    <m/>
    <m/>
    <m/>
    <n v="0"/>
    <m/>
    <n v="0"/>
  </r>
  <r>
    <x v="100"/>
    <x v="288"/>
    <s v="S-RING-"/>
    <s v="207"/>
    <n v="1.68"/>
    <n v="92.5"/>
    <n v="92.5"/>
    <n v="125.57"/>
    <n v="210.95759999999999"/>
    <n v="420"/>
    <m/>
    <n v="209.04240000000001"/>
    <m/>
    <m/>
    <m/>
    <n v="0"/>
    <m/>
    <n v="0"/>
  </r>
  <r>
    <x v="100"/>
    <x v="289"/>
    <s v="S-RING-"/>
    <s v="346"/>
    <n v="2"/>
    <n v="92.5"/>
    <n v="92.5"/>
    <n v="132"/>
    <n v="264"/>
    <n v="264"/>
    <m/>
    <n v="0"/>
    <m/>
    <m/>
    <m/>
    <n v="0"/>
    <m/>
    <n v="0"/>
  </r>
  <r>
    <x v="101"/>
    <x v="290"/>
    <s v="S-RING-"/>
    <s v="165"/>
    <n v="1.31"/>
    <n v="92.5"/>
    <n v="92.5"/>
    <n v="131.65"/>
    <n v="172.4615"/>
    <n v="300"/>
    <m/>
    <n v="127.5385"/>
    <m/>
    <m/>
    <m/>
    <n v="0"/>
    <m/>
    <n v="0"/>
  </r>
  <r>
    <x v="102"/>
    <x v="291"/>
    <m/>
    <m/>
    <n v="6.85"/>
    <n v="80"/>
    <n v="-15"/>
    <n v="93"/>
    <n v="509.64000000000004"/>
    <n v="810"/>
    <m/>
    <n v="300.35999999999996"/>
    <m/>
    <m/>
    <m/>
    <n v="0"/>
    <m/>
    <n v="0"/>
  </r>
  <r>
    <x v="102"/>
    <x v="292"/>
    <s v="S-RING-"/>
    <s v="251"/>
    <n v="3.45"/>
    <n v="92.5"/>
    <n v="92.5"/>
    <n v="123"/>
    <n v="424.35"/>
    <n v="650"/>
    <m/>
    <n v="203.5379999999999"/>
    <n v="5.75"/>
    <n v="80"/>
    <n v="90"/>
    <n v="327.88799999999992"/>
    <n v="350"/>
    <n v="-22.11200000000008"/>
  </r>
  <r>
    <x v="102"/>
    <x v="293"/>
    <m/>
    <m/>
    <n v="81"/>
    <n v="80.650000000000006"/>
    <n v="0"/>
    <n v="90"/>
    <n v="5879.3850000000011"/>
    <n v="8400"/>
    <m/>
    <n v="808.06139999999868"/>
    <n v="93.6"/>
    <n v="80"/>
    <n v="90"/>
    <n v="5337.4463999999998"/>
    <n v="7050"/>
    <n v="-1712.5536000000002"/>
  </r>
  <r>
    <x v="102"/>
    <x v="294"/>
    <s v="S-AARUNA-"/>
    <s v="9"/>
    <n v="40.200000000000003"/>
    <n v="76.5"/>
    <n v="-21.5"/>
    <n v="89.9"/>
    <n v="2764.6947"/>
    <n v="4350"/>
    <m/>
    <n v="1585.3053"/>
    <m/>
    <m/>
    <m/>
    <n v="0"/>
    <m/>
    <n v="0"/>
  </r>
  <r>
    <x v="102"/>
    <x v="295"/>
    <m/>
    <m/>
    <n v="60.45"/>
    <n v="80.650000000000006"/>
    <n v="-31.75"/>
    <n v="90"/>
    <n v="4992.2632500000009"/>
    <n v="6700"/>
    <m/>
    <n v="1557.7367499999991"/>
    <m/>
    <m/>
    <m/>
    <n v="0"/>
    <m/>
    <n v="0"/>
  </r>
  <r>
    <x v="102"/>
    <x v="115"/>
    <m/>
    <m/>
    <n v="1"/>
    <n v="0"/>
    <n v="0"/>
    <n v="0"/>
    <n v="100"/>
    <m/>
    <m/>
    <n v="0"/>
    <m/>
    <m/>
    <m/>
    <n v="0"/>
    <m/>
    <n v="0"/>
  </r>
  <r>
    <x v="102"/>
    <x v="205"/>
    <m/>
    <m/>
    <n v="0"/>
    <n v="0"/>
    <n v="0"/>
    <n v="0"/>
    <n v="50"/>
    <m/>
    <m/>
    <n v="0"/>
    <m/>
    <m/>
    <m/>
    <n v="0"/>
    <m/>
    <n v="0"/>
  </r>
  <r>
    <x v="102"/>
    <x v="296"/>
    <m/>
    <m/>
    <n v="9.85"/>
    <n v="80.650000000000006"/>
    <n v="0"/>
    <n v="90"/>
    <n v="714.96225000000004"/>
    <n v="1270"/>
    <m/>
    <n v="421.0633499999999"/>
    <n v="9.4"/>
    <n v="80"/>
    <n v="90"/>
    <n v="536.02559999999994"/>
    <n v="670"/>
    <n v="-133.97440000000006"/>
  </r>
  <r>
    <x v="102"/>
    <x v="297"/>
    <m/>
    <m/>
    <n v="46.38"/>
    <n v="80.650000000000006"/>
    <n v="35"/>
    <n v="90"/>
    <n v="4989.792300000001"/>
    <n v="6000"/>
    <m/>
    <n v="1010.207699999999"/>
    <m/>
    <m/>
    <m/>
    <n v="0"/>
    <m/>
    <n v="0"/>
  </r>
  <r>
    <x v="102"/>
    <x v="298"/>
    <m/>
    <m/>
    <n v="0.68"/>
    <n v="80.39"/>
    <n v="-10"/>
    <n v="7218.2"/>
    <n v="3945.8434664000001"/>
    <n v="5400"/>
    <m/>
    <n v="1529.1565335999999"/>
    <n v="0.25"/>
    <n v="65"/>
    <n v="7500"/>
    <n v="975"/>
    <n v="900"/>
    <n v="75"/>
  </r>
  <r>
    <x v="103"/>
    <x v="299"/>
    <s v="S-CHAIN-92.5-"/>
    <s v="85"/>
    <n v="19.600000000000001"/>
    <n v="92.5"/>
    <n v="92.5"/>
    <n v="105.6"/>
    <n v="2069.7600000000002"/>
    <n v="3500"/>
    <m/>
    <n v="1430.2399999999998"/>
    <m/>
    <m/>
    <m/>
    <n v="0"/>
    <m/>
    <n v="0"/>
  </r>
  <r>
    <x v="104"/>
    <x v="300"/>
    <s v="S-RING-"/>
    <s v="137"/>
    <n v="2.0499999999999998"/>
    <n v="92.5"/>
    <n v="92.5"/>
    <n v="131.65"/>
    <n v="269.88249999999999"/>
    <n v="450"/>
    <m/>
    <n v="180.11750000000001"/>
    <m/>
    <m/>
    <m/>
    <n v="0"/>
    <m/>
    <n v="0"/>
  </r>
  <r>
    <x v="104"/>
    <x v="301"/>
    <s v="S-RING-"/>
    <s v="152"/>
    <n v="3.4"/>
    <n v="92.5"/>
    <n v="92.5"/>
    <n v="131.65"/>
    <n v="447.61"/>
    <n v="750"/>
    <m/>
    <n v="302.39"/>
    <m/>
    <m/>
    <m/>
    <n v="0"/>
    <m/>
    <n v="0"/>
  </r>
  <r>
    <x v="105"/>
    <x v="302"/>
    <s v="S-S-KOLUSU-"/>
    <s v="97"/>
    <n v="118.5"/>
    <n v="80"/>
    <n v="-15"/>
    <n v="86.4"/>
    <n v="8190.72"/>
    <n v="12920"/>
    <m/>
    <n v="3288.7040000000006"/>
    <n v="101"/>
    <n v="80"/>
    <n v="90"/>
    <n v="5759.4240000000009"/>
    <n v="7200"/>
    <n v="-1440.5759999999991"/>
  </r>
  <r>
    <x v="105"/>
    <x v="303"/>
    <s v="S-BARACELET-B-"/>
    <s v="28"/>
    <n v="23.5"/>
    <n v="77"/>
    <n v="-12"/>
    <n v="91.5"/>
    <n v="1655.6924999999999"/>
    <n v="3180"/>
    <m/>
    <n v="1001.4838200000002"/>
    <n v="38.18"/>
    <n v="80"/>
    <n v="90"/>
    <n v="2177.17632"/>
    <n v="2700"/>
    <n v="-522.82367999999997"/>
  </r>
  <r>
    <x v="105"/>
    <x v="304"/>
    <m/>
    <m/>
    <n v="20.78"/>
    <n v="80"/>
    <n v="-15"/>
    <n v="93"/>
    <n v="1546.0320000000002"/>
    <n v="2300"/>
    <m/>
    <n v="753.96799999999985"/>
    <m/>
    <m/>
    <m/>
    <n v="0"/>
    <m/>
    <n v="0"/>
  </r>
  <r>
    <x v="105"/>
    <x v="161"/>
    <m/>
    <m/>
    <n v="0"/>
    <n v="0"/>
    <n v="0"/>
    <n v="0"/>
    <n v="500"/>
    <n v="900"/>
    <m/>
    <n v="400"/>
    <m/>
    <m/>
    <m/>
    <n v="0"/>
    <m/>
    <n v="0"/>
  </r>
  <r>
    <x v="106"/>
    <x v="305"/>
    <s v="S-S-KOLUSU-"/>
    <s v="2"/>
    <n v="118.4"/>
    <n v="76.5"/>
    <n v="-11.5"/>
    <n v="89.9"/>
    <n v="8142.782400000001"/>
    <n v="9700"/>
    <m/>
    <n v="1557.217599999999"/>
    <m/>
    <m/>
    <m/>
    <m/>
    <m/>
    <m/>
  </r>
  <r>
    <x v="106"/>
    <x v="306"/>
    <s v="S-BARACELET-G-92.5-"/>
    <s v="18"/>
    <n v="6.69"/>
    <n v="92.5"/>
    <n v="-71.5"/>
    <n v="127"/>
    <n v="849.63"/>
    <n v="1300"/>
    <m/>
    <n v="450.37"/>
    <m/>
    <m/>
    <m/>
    <n v="0"/>
    <m/>
    <n v="0"/>
  </r>
  <r>
    <x v="106"/>
    <x v="307"/>
    <s v="G-TLI-MNI-THAYTH-"/>
    <s v="4"/>
    <n v="1"/>
    <n v="84"/>
    <n v="-7"/>
    <n v="7218.2"/>
    <n v="6063.2879999999996"/>
    <n v="8200"/>
    <m/>
    <n v="2086.7120000000004"/>
    <m/>
    <m/>
    <m/>
    <n v="0"/>
    <m/>
    <n v="0"/>
  </r>
  <r>
    <x v="106"/>
    <x v="308"/>
    <s v="S-CHAIN-N-"/>
    <s v="49"/>
    <n v="13"/>
    <n v="86"/>
    <n v="-21"/>
    <n v="94.8"/>
    <n v="1059.864"/>
    <n v="1500"/>
    <m/>
    <n v="440.13599999999997"/>
    <m/>
    <m/>
    <m/>
    <n v="0"/>
    <m/>
    <n v="0"/>
  </r>
  <r>
    <x v="106"/>
    <x v="205"/>
    <m/>
    <m/>
    <n v="0"/>
    <n v="0"/>
    <n v="0"/>
    <n v="0"/>
    <n v="50"/>
    <m/>
    <m/>
    <n v="0"/>
    <m/>
    <m/>
    <m/>
    <n v="0"/>
    <m/>
    <n v="0"/>
  </r>
  <r>
    <x v="107"/>
    <x v="309"/>
    <m/>
    <m/>
    <n v="6.35"/>
    <n v="80"/>
    <n v="-15"/>
    <n v="93"/>
    <n v="472.44"/>
    <n v="750"/>
    <m/>
    <n v="272.76319999999993"/>
    <n v="4.3"/>
    <n v="80"/>
    <n v="90"/>
    <n v="245.20319999999995"/>
    <n v="250"/>
    <n v="-4.7968000000000472"/>
  </r>
  <r>
    <x v="107"/>
    <x v="310"/>
    <s v="S-S-KOLUSU-"/>
    <s v="13"/>
    <n v="69.12"/>
    <n v="76.5"/>
    <n v="-11.5"/>
    <n v="89.9"/>
    <n v="4753.6243200000008"/>
    <n v="7750"/>
    <m/>
    <n v="1901.6876799999991"/>
    <n v="75.5"/>
    <n v="80"/>
    <n v="90"/>
    <n v="4305.3119999999999"/>
    <n v="5350"/>
    <n v="-1044.6880000000001"/>
  </r>
  <r>
    <x v="107"/>
    <x v="311"/>
    <s v="S-RING-"/>
    <s v="277"/>
    <n v="4.18"/>
    <n v="92.5"/>
    <n v="92.5"/>
    <n v="123"/>
    <n v="514.14"/>
    <n v="800"/>
    <m/>
    <n v="285.86"/>
    <m/>
    <m/>
    <m/>
    <n v="0"/>
    <m/>
    <n v="0"/>
  </r>
  <r>
    <x v="107"/>
    <x v="205"/>
    <m/>
    <m/>
    <n v="0"/>
    <n v="0"/>
    <n v="0"/>
    <n v="0"/>
    <n v="50"/>
    <m/>
    <m/>
    <n v="0"/>
    <m/>
    <m/>
    <m/>
    <n v="0"/>
    <m/>
    <n v="0"/>
  </r>
  <r>
    <x v="108"/>
    <x v="312"/>
    <m/>
    <m/>
    <n v="16.3"/>
    <n v="80"/>
    <n v="-15"/>
    <n v="93"/>
    <n v="1212.72"/>
    <n v="2000"/>
    <m/>
    <n v="1166.5759999999998"/>
    <n v="54"/>
    <n v="80"/>
    <n v="90"/>
    <n v="3079.2959999999998"/>
    <n v="2700"/>
    <n v="379.29599999999982"/>
  </r>
  <r>
    <x v="108"/>
    <x v="313"/>
    <s v="S-BARACELET-B-"/>
    <s v="32"/>
    <n v="9.1999999999999993"/>
    <n v="80.650000000000006"/>
    <n v="-15.650000000000006"/>
    <n v="90"/>
    <n v="667.78200000000004"/>
    <n v="1470"/>
    <m/>
    <n v="620.26280000000008"/>
    <n v="16.45"/>
    <n v="80"/>
    <n v="90"/>
    <n v="938.04480000000001"/>
    <n v="1120"/>
    <n v="-181.95519999999999"/>
  </r>
  <r>
    <x v="108"/>
    <x v="314"/>
    <s v="S-RING-"/>
    <s v="299"/>
    <n v="3.1"/>
    <n v="92.5"/>
    <n v="92.5"/>
    <n v="132"/>
    <n v="409.2"/>
    <n v="650"/>
    <m/>
    <n v="240.8"/>
    <m/>
    <m/>
    <m/>
    <n v="0"/>
    <m/>
    <n v="0"/>
  </r>
  <r>
    <x v="109"/>
    <x v="315"/>
    <s v="S-S-KOLUSU-"/>
    <s v="43"/>
    <n v="151.59"/>
    <n v="76.5"/>
    <n v="-11.5"/>
    <n v="89.9"/>
    <n v="10425.374865000002"/>
    <n v="10425"/>
    <m/>
    <n v="-0.3748650000015914"/>
    <m/>
    <m/>
    <m/>
    <n v="0"/>
    <m/>
    <n v="0"/>
  </r>
  <r>
    <x v="109"/>
    <x v="316"/>
    <s v="S-DOLLER-"/>
    <s v="21"/>
    <n v="2.4500000000000002"/>
    <n v="92.5"/>
    <n v="92.5"/>
    <n v="145"/>
    <n v="355.25"/>
    <n v="355"/>
    <m/>
    <n v="-0.25"/>
    <m/>
    <m/>
    <m/>
    <n v="0"/>
    <m/>
    <n v="0"/>
  </r>
  <r>
    <x v="109"/>
    <x v="317"/>
    <s v="S-DOLLER-"/>
    <s v="22"/>
    <n v="2.6"/>
    <n v="92.5"/>
    <n v="92.5"/>
    <n v="145"/>
    <n v="377"/>
    <n v="377"/>
    <m/>
    <n v="0"/>
    <m/>
    <m/>
    <m/>
    <n v="0"/>
    <m/>
    <n v="0"/>
  </r>
  <r>
    <x v="109"/>
    <x v="318"/>
    <s v="G-TLI-MNI-THAYTH-"/>
    <s v="23"/>
    <n v="2.06"/>
    <n v="85"/>
    <n v="-8"/>
    <n v="7290"/>
    <n v="12764.789999999999"/>
    <n v="12764"/>
    <m/>
    <n v="-0.78999999999905413"/>
    <m/>
    <m/>
    <m/>
    <m/>
    <m/>
    <m/>
  </r>
  <r>
    <x v="110"/>
    <x v="319"/>
    <s v="G-RING-B"/>
    <s v="15"/>
    <n v="2"/>
    <n v="95.5"/>
    <n v="-3.5"/>
    <n v="7218.2"/>
    <n v="13786.761999999999"/>
    <n v="17350"/>
    <m/>
    <n v="3563.2380000000012"/>
    <n v="2.1"/>
    <n v="90"/>
    <n v="7900"/>
    <n v="13000"/>
    <n v="13000"/>
    <n v="0"/>
  </r>
  <r>
    <x v="110"/>
    <x v="320"/>
    <s v="G-PESERI-"/>
    <s v="4"/>
    <n v="0.5"/>
    <n v="80.39"/>
    <n v="-10"/>
    <n v="7218.2"/>
    <n v="2901.3554899999999"/>
    <n v="4100"/>
    <m/>
    <n v="1198.6445100000001"/>
    <n v="1.36"/>
    <n v="60"/>
    <n v="7900"/>
    <n v="5800"/>
    <n v="5800"/>
    <n v="0"/>
  </r>
  <r>
    <x v="110"/>
    <x v="321"/>
    <s v="S-B-KOLUSU--"/>
    <s v="29"/>
    <n v="71.08"/>
    <n v="82"/>
    <n v="-17"/>
    <n v="90"/>
    <n v="5245.7039999999997"/>
    <n v="7850"/>
    <m/>
    <n v="2374.2960000000003"/>
    <m/>
    <m/>
    <m/>
    <n v="0"/>
    <m/>
    <n v="0"/>
  </r>
  <r>
    <x v="110"/>
    <x v="119"/>
    <m/>
    <m/>
    <n v="0"/>
    <n v="0"/>
    <n v="0"/>
    <n v="0"/>
    <n v="230"/>
    <m/>
    <m/>
    <n v="0"/>
    <m/>
    <m/>
    <m/>
    <n v="0"/>
    <m/>
    <n v="0"/>
  </r>
  <r>
    <x v="111"/>
    <x v="322"/>
    <s v="S-RING-"/>
    <s v="177"/>
    <n v="1.2"/>
    <n v="92.5"/>
    <n v="92.5"/>
    <n v="131.65"/>
    <n v="157.97999999999999"/>
    <n v="300"/>
    <m/>
    <n v="142.02000000000001"/>
    <m/>
    <m/>
    <m/>
    <n v="0"/>
    <m/>
    <n v="0"/>
  </r>
  <r>
    <x v="112"/>
    <x v="323"/>
    <s v="S-THANDA-K"/>
    <s v="3"/>
    <n v="20.11"/>
    <n v="65"/>
    <n v="-10"/>
    <n v="89"/>
    <n v="1163.3634999999999"/>
    <n v="2750"/>
    <m/>
    <n v="1586.6365000000001"/>
    <m/>
    <m/>
    <m/>
    <n v="0"/>
    <m/>
    <n v="0"/>
  </r>
  <r>
    <x v="112"/>
    <x v="324"/>
    <s v="S-S-KOLUSU-"/>
    <s v="44"/>
    <n v="140.76"/>
    <n v="76.5"/>
    <n v="-11.5"/>
    <n v="89.9"/>
    <n v="9680.5578600000008"/>
    <n v="12950"/>
    <m/>
    <n v="3269.4421399999992"/>
    <m/>
    <m/>
    <m/>
    <n v="0"/>
    <m/>
    <n v="0"/>
  </r>
  <r>
    <x v="112"/>
    <x v="325"/>
    <s v="S-S-KOLUSU-"/>
    <s v="94"/>
    <n v="208.6"/>
    <n v="80"/>
    <n v="-15"/>
    <n v="86.4"/>
    <n v="14418.432000000001"/>
    <n v="19250"/>
    <m/>
    <n v="1983.5040000000008"/>
    <n v="164"/>
    <n v="80"/>
    <n v="90"/>
    <n v="9351.9360000000015"/>
    <n v="12200"/>
    <n v="-2848.0639999999985"/>
  </r>
  <r>
    <x v="113"/>
    <x v="326"/>
    <s v="S-RING-"/>
    <s v="341"/>
    <n v="1.7"/>
    <n v="92.5"/>
    <n v="92.5"/>
    <n v="132"/>
    <n v="224.4"/>
    <m/>
    <m/>
    <n v="-224.4"/>
    <m/>
    <m/>
    <m/>
    <n v="0"/>
    <m/>
    <n v="0"/>
  </r>
  <r>
    <x v="114"/>
    <x v="327"/>
    <s v="S-RING-"/>
    <s v="319"/>
    <n v="2.4"/>
    <n v="92.5"/>
    <n v="92.5"/>
    <n v="132"/>
    <n v="316.8"/>
    <n v="550"/>
    <m/>
    <n v="233.2"/>
    <m/>
    <m/>
    <m/>
    <n v="0"/>
    <m/>
    <n v="0"/>
  </r>
  <r>
    <x v="114"/>
    <x v="328"/>
    <s v="S-RING-"/>
    <s v="76"/>
    <n v="2.09"/>
    <n v="92.5"/>
    <n v="92.5"/>
    <n v="127"/>
    <n v="265.43"/>
    <n v="700"/>
    <m/>
    <n v="401.26119999999997"/>
    <n v="3.8"/>
    <n v="80"/>
    <n v="90"/>
    <n v="216.69119999999995"/>
    <n v="250"/>
    <n v="-33.308800000000048"/>
  </r>
  <r>
    <x v="114"/>
    <x v="329"/>
    <s v="S-RING-"/>
    <s v="350"/>
    <n v="2.7"/>
    <n v="92.5"/>
    <n v="92.5"/>
    <n v="132"/>
    <n v="356.40000000000003"/>
    <n v="600"/>
    <m/>
    <n v="243.59999999999997"/>
    <m/>
    <m/>
    <m/>
    <n v="0"/>
    <m/>
    <n v="0"/>
  </r>
  <r>
    <x v="114"/>
    <x v="330"/>
    <m/>
    <m/>
    <n v="7"/>
    <n v="80"/>
    <n v="-15"/>
    <n v="93"/>
    <n v="520.79999999999995"/>
    <n v="900"/>
    <m/>
    <n v="379.20000000000005"/>
    <m/>
    <m/>
    <m/>
    <n v="0"/>
    <m/>
    <n v="0"/>
  </r>
  <r>
    <x v="115"/>
    <x v="331"/>
    <s v="G-CHAIN-"/>
    <s v="1"/>
    <n v="7.96"/>
    <n v="94.25"/>
    <n v="-2.25"/>
    <n v="7218.2"/>
    <n v="54153.101859999995"/>
    <n v="66000"/>
    <m/>
    <n v="11846.898140000005"/>
    <m/>
    <m/>
    <m/>
    <n v="0"/>
    <m/>
    <n v="0"/>
  </r>
  <r>
    <x v="115"/>
    <x v="332"/>
    <s v="S-RING-"/>
    <s v="297"/>
    <n v="2"/>
    <n v="92.5"/>
    <n v="92.5"/>
    <n v="132"/>
    <n v="264"/>
    <n v="400"/>
    <m/>
    <n v="136"/>
    <m/>
    <m/>
    <m/>
    <n v="0"/>
    <m/>
    <n v="0"/>
  </r>
  <r>
    <x v="115"/>
    <x v="333"/>
    <s v="S-RING-"/>
    <s v="62"/>
    <n v="5.8"/>
    <n v="92.5"/>
    <n v="92.5"/>
    <n v="127"/>
    <n v="736.6"/>
    <n v="1400"/>
    <m/>
    <n v="663.4"/>
    <n v="0.5"/>
    <n v="60"/>
    <n v="8000"/>
    <n v="1400"/>
    <n v="1400"/>
    <n v="0"/>
  </r>
  <r>
    <x v="116"/>
    <x v="334"/>
    <s v="G-RING-"/>
    <s v="69"/>
    <n v="2.02"/>
    <n v="92"/>
    <n v="0"/>
    <n v="0"/>
    <n v="12000"/>
    <n v="17000"/>
    <m/>
    <n v="5000"/>
    <m/>
    <m/>
    <m/>
    <n v="0"/>
    <m/>
    <n v="0"/>
  </r>
  <r>
    <x v="116"/>
    <x v="335"/>
    <s v="S-S-KOLUSU-"/>
    <s v="98"/>
    <n v="104.25"/>
    <n v="80.02"/>
    <n v="-15.019999999999996"/>
    <n v="95"/>
    <n v="7924.9807499999988"/>
    <n v="11000"/>
    <m/>
    <n v="2038.1872500000009"/>
    <n v="69.5"/>
    <n v="80"/>
    <n v="90"/>
    <n v="3963.1680000000001"/>
    <n v="5000"/>
    <n v="-1036.8319999999999"/>
  </r>
  <r>
    <x v="116"/>
    <x v="336"/>
    <s v="G-RING-B"/>
    <s v="13"/>
    <n v="2"/>
    <n v="95.5"/>
    <n v="-3.5"/>
    <n v="7218.2"/>
    <n v="13786.761999999999"/>
    <n v="17100"/>
    <m/>
    <n v="3313.2380000000012"/>
    <n v="1.02"/>
    <n v="92"/>
    <n v="8200"/>
    <n v="7100"/>
    <n v="7100"/>
    <n v="0"/>
  </r>
  <r>
    <x v="117"/>
    <x v="337"/>
    <m/>
    <m/>
    <n v="139"/>
    <n v="0"/>
    <n v="0"/>
    <n v="0"/>
    <n v="11700"/>
    <n v="16000"/>
    <m/>
    <n v="2022.5919999999969"/>
    <n v="170.5"/>
    <n v="80"/>
    <n v="90"/>
    <n v="9722.5919999999969"/>
    <n v="12000"/>
    <n v="-2277.4080000000031"/>
  </r>
  <r>
    <x v="118"/>
    <x v="338"/>
    <s v="G-RING-G"/>
    <s v="1"/>
    <n v="2.0299999999999998"/>
    <n v="96.75"/>
    <n v="-4.75"/>
    <n v="7218.2"/>
    <n v="14176.725254999998"/>
    <n v="18000"/>
    <m/>
    <n v="3823.2747450000024"/>
    <m/>
    <m/>
    <m/>
    <n v="0"/>
    <m/>
    <n v="0"/>
  </r>
  <r>
    <x v="118"/>
    <x v="339"/>
    <s v="S-BARACELET-B-"/>
    <s v="38"/>
    <n v="6.55"/>
    <n v="80.650000000000006"/>
    <n v="-15.650000000000006"/>
    <n v="90"/>
    <n v="475.43175000000002"/>
    <n v="1200"/>
    <m/>
    <n v="724.56825000000003"/>
    <m/>
    <m/>
    <m/>
    <n v="0"/>
    <m/>
    <n v="0"/>
  </r>
  <r>
    <x v="118"/>
    <x v="340"/>
    <s v="G-RING-"/>
    <s v="66"/>
    <n v="1.46"/>
    <n v="96.5"/>
    <n v="-4.5"/>
    <n v="6305"/>
    <n v="8883.1144999999997"/>
    <n v="13800"/>
    <m/>
    <n v="2573.0896600000015"/>
    <n v="2.04"/>
    <n v="91"/>
    <n v="8200"/>
    <n v="12056.204160000001"/>
    <n v="14400"/>
    <n v="-2343.7958399999989"/>
  </r>
  <r>
    <x v="118"/>
    <x v="140"/>
    <s v="S-B-KOLUSU--"/>
    <s v="81"/>
    <n v="40.700000000000003"/>
    <n v="79"/>
    <n v="-14"/>
    <n v="86.4"/>
    <n v="2778.0192000000002"/>
    <n v="4800"/>
    <m/>
    <n v="2021.9807999999998"/>
    <m/>
    <m/>
    <m/>
    <n v="0"/>
    <m/>
    <n v="0"/>
  </r>
  <r>
    <x v="119"/>
    <x v="341"/>
    <s v="S-S-KOLUSU-"/>
    <s v="47"/>
    <n v="116.71"/>
    <n v="76.5"/>
    <n v="-11.5"/>
    <n v="89.9"/>
    <n v="8026.5551850000002"/>
    <n v="13000"/>
    <m/>
    <n v="4973.4448149999998"/>
    <m/>
    <m/>
    <m/>
    <n v="0"/>
    <m/>
    <n v="0"/>
  </r>
  <r>
    <x v="120"/>
    <x v="342"/>
    <s v="S-RING-"/>
    <s v="254"/>
    <n v="3.3"/>
    <n v="92.5"/>
    <n v="92.5"/>
    <n v="123"/>
    <n v="405.9"/>
    <n v="700"/>
    <m/>
    <n v="294.10000000000002"/>
    <m/>
    <m/>
    <m/>
    <n v="0"/>
    <m/>
    <n v="0"/>
  </r>
  <r>
    <x v="121"/>
    <x v="343"/>
    <m/>
    <m/>
    <n v="19.899999999999999"/>
    <n v="1000"/>
    <n v="0"/>
    <n v="94.7"/>
    <n v="1935"/>
    <n v="2500"/>
    <m/>
    <n v="565"/>
    <m/>
    <m/>
    <m/>
    <n v="0"/>
    <m/>
    <n v="0"/>
  </r>
  <r>
    <x v="122"/>
    <x v="344"/>
    <s v="S-S-KOLUSU-"/>
    <s v="105"/>
    <n v="77.3"/>
    <n v="80"/>
    <n v="-15"/>
    <n v="93.1"/>
    <n v="5757.3040000000001"/>
    <n v="9275"/>
    <m/>
    <n v="1212.6080000000002"/>
    <n v="163"/>
    <n v="80"/>
    <n v="90"/>
    <n v="9294.9120000000003"/>
    <n v="11600"/>
    <n v="-2305.0879999999997"/>
  </r>
  <r>
    <x v="122"/>
    <x v="345"/>
    <s v="S-CHAIN-92.5-"/>
    <s v="82"/>
    <n v="15.7"/>
    <n v="92.5"/>
    <n v="92.5"/>
    <n v="106"/>
    <n v="1539.385"/>
    <n v="3140"/>
    <m/>
    <n v="862.31099999999992"/>
    <n v="17"/>
    <n v="80"/>
    <n v="80"/>
    <n v="861.69599999999991"/>
    <n v="1600"/>
    <n v="-738.30400000000009"/>
  </r>
  <r>
    <x v="122"/>
    <x v="346"/>
    <s v="S-RING-"/>
    <s v="342"/>
    <n v="2.9"/>
    <n v="92.5"/>
    <n v="92.5"/>
    <n v="132"/>
    <n v="382.8"/>
    <n v="725"/>
    <m/>
    <n v="342.2"/>
    <m/>
    <m/>
    <m/>
    <n v="0"/>
    <m/>
    <n v="0"/>
  </r>
  <r>
    <x v="122"/>
    <x v="347"/>
    <s v="S-BANGLE-"/>
    <s v="2"/>
    <n v="18.899999999999999"/>
    <n v="65"/>
    <n v="82"/>
    <n v="88.1"/>
    <n v="1271.3084999999999"/>
    <n v="2730"/>
    <m/>
    <n v="1458.6915000000001"/>
    <m/>
    <m/>
    <m/>
    <n v="300"/>
    <n v="300"/>
    <n v="0"/>
  </r>
  <r>
    <x v="122"/>
    <x v="348"/>
    <s v="S-RING-"/>
    <s v="57"/>
    <n v="5.31"/>
    <n v="92.5"/>
    <n v="92.5"/>
    <n v="127"/>
    <n v="674.37"/>
    <n v="1030"/>
    <m/>
    <n v="355.63"/>
    <m/>
    <m/>
    <m/>
    <n v="0"/>
    <m/>
    <n v="0"/>
  </r>
  <r>
    <x v="122"/>
    <x v="44"/>
    <m/>
    <m/>
    <n v="0"/>
    <n v="0"/>
    <n v="0"/>
    <n v="0"/>
    <n v="242"/>
    <n v="600"/>
    <m/>
    <n v="358"/>
    <m/>
    <m/>
    <m/>
    <n v="0"/>
    <m/>
    <n v="0"/>
  </r>
  <r>
    <x v="123"/>
    <x v="349"/>
    <s v="S-RING-"/>
    <s v="60"/>
    <n v="5.58"/>
    <n v="92.5"/>
    <n v="92.5"/>
    <n v="127"/>
    <n v="708.66"/>
    <n v="1000"/>
    <m/>
    <n v="291.34000000000003"/>
    <m/>
    <m/>
    <m/>
    <n v="0"/>
    <m/>
    <n v="0"/>
  </r>
  <r>
    <x v="123"/>
    <x v="350"/>
    <m/>
    <m/>
    <n v="9.86"/>
    <n v="80"/>
    <n v="-15"/>
    <n v="93"/>
    <n v="733.58399999999995"/>
    <n v="1400"/>
    <m/>
    <n v="666.41600000000005"/>
    <m/>
    <m/>
    <m/>
    <n v="0"/>
    <m/>
    <n v="0"/>
  </r>
  <r>
    <x v="123"/>
    <x v="351"/>
    <s v="G-TLI-MNI-THAYTH-"/>
    <s v="14"/>
    <n v="2.0699999999999998"/>
    <n v="85"/>
    <n v="-8"/>
    <n v="7290"/>
    <n v="12826.754999999999"/>
    <n v="16700"/>
    <m/>
    <n v="3873.2450000000008"/>
    <m/>
    <m/>
    <m/>
    <m/>
    <m/>
    <m/>
  </r>
  <r>
    <x v="123"/>
    <x v="315"/>
    <s v="S-S-KOLUSU-"/>
    <s v="43"/>
    <n v="151.59"/>
    <n v="76.5"/>
    <n v="-11.5"/>
    <n v="89.9"/>
    <n v="10425.374865000002"/>
    <n v="12700"/>
    <m/>
    <n v="2274.6251349999984"/>
    <m/>
    <m/>
    <m/>
    <m/>
    <m/>
    <m/>
  </r>
  <r>
    <x v="123"/>
    <x v="316"/>
    <s v="S-DOLLER-"/>
    <s v="21"/>
    <n v="2.4500000000000002"/>
    <n v="92.5"/>
    <n v="92.5"/>
    <n v="145"/>
    <n v="355.25"/>
    <n v="525"/>
    <m/>
    <n v="169.75"/>
    <m/>
    <m/>
    <m/>
    <m/>
    <m/>
    <m/>
  </r>
  <r>
    <x v="123"/>
    <x v="317"/>
    <s v="S-DOLLER-"/>
    <s v="22"/>
    <n v="2.6"/>
    <n v="92.5"/>
    <n v="92.5"/>
    <n v="145"/>
    <n v="377"/>
    <n v="525"/>
    <m/>
    <n v="148"/>
    <m/>
    <m/>
    <m/>
    <m/>
    <m/>
    <m/>
  </r>
  <r>
    <x v="124"/>
    <x v="352"/>
    <m/>
    <m/>
    <n v="1.9"/>
    <n v="0"/>
    <n v="0"/>
    <n v="0"/>
    <n v="9700"/>
    <n v="11200"/>
    <m/>
    <n v="1500"/>
    <m/>
    <m/>
    <m/>
    <n v="0"/>
    <m/>
    <n v="0"/>
  </r>
  <r>
    <x v="124"/>
    <x v="353"/>
    <m/>
    <m/>
    <n v="12.5"/>
    <n v="80"/>
    <n v="-15"/>
    <n v="93"/>
    <n v="930"/>
    <n v="1200"/>
    <m/>
    <n v="269.58400000000006"/>
    <n v="3.5"/>
    <n v="80"/>
    <n v="90"/>
    <n v="199.584"/>
    <n v="200"/>
    <n v="-0.41599999999999682"/>
  </r>
  <r>
    <x v="124"/>
    <x v="354"/>
    <s v="S-RING-"/>
    <s v="67"/>
    <n v="5"/>
    <n v="92.5"/>
    <n v="92.5"/>
    <n v="127"/>
    <n v="635"/>
    <n v="1000"/>
    <m/>
    <n v="365"/>
    <m/>
    <m/>
    <m/>
    <n v="0"/>
    <m/>
    <n v="0"/>
  </r>
  <r>
    <x v="125"/>
    <x v="355"/>
    <s v="S-RING-"/>
    <s v="93"/>
    <n v="2.88"/>
    <n v="92.5"/>
    <n v="92.5"/>
    <n v="127"/>
    <n v="365.76"/>
    <n v="600"/>
    <m/>
    <n v="234.24"/>
    <m/>
    <m/>
    <m/>
    <n v="0"/>
    <m/>
    <n v="0"/>
  </r>
  <r>
    <x v="125"/>
    <x v="356"/>
    <s v="S-RING-"/>
    <s v="97"/>
    <n v="2.85"/>
    <n v="92.5"/>
    <n v="92.5"/>
    <n v="127"/>
    <n v="361.95"/>
    <n v="650"/>
    <m/>
    <n v="288.05"/>
    <m/>
    <m/>
    <m/>
    <n v="0"/>
    <m/>
    <n v="0"/>
  </r>
  <r>
    <x v="125"/>
    <x v="357"/>
    <s v="S-RING-"/>
    <s v="90"/>
    <n v="2.76"/>
    <n v="92.5"/>
    <n v="92.5"/>
    <n v="127"/>
    <n v="350.52"/>
    <n v="650"/>
    <m/>
    <n v="299.48"/>
    <m/>
    <m/>
    <m/>
    <n v="0"/>
    <m/>
    <n v="0"/>
  </r>
  <r>
    <x v="125"/>
    <x v="358"/>
    <s v="S-RING-"/>
    <s v="345"/>
    <n v="4"/>
    <n v="92.5"/>
    <n v="92.5"/>
    <n v="132"/>
    <n v="528"/>
    <n v="860"/>
    <m/>
    <n v="332"/>
    <m/>
    <m/>
    <m/>
    <n v="0"/>
    <m/>
    <n v="0"/>
  </r>
  <r>
    <x v="126"/>
    <x v="359"/>
    <m/>
    <m/>
    <n v="59.74"/>
    <n v="0"/>
    <n v="0"/>
    <n v="0"/>
    <n v="354345"/>
    <n v="399760"/>
    <m/>
    <n v="45415"/>
    <m/>
    <m/>
    <m/>
    <n v="0"/>
    <m/>
    <n v="0"/>
  </r>
  <r>
    <x v="126"/>
    <x v="360"/>
    <m/>
    <m/>
    <n v="6"/>
    <n v="80"/>
    <n v="-15"/>
    <n v="93"/>
    <n v="446.4"/>
    <n v="650"/>
    <m/>
    <n v="223.30080000000009"/>
    <n v="3.65"/>
    <n v="80"/>
    <n v="95"/>
    <n v="219.70080000000002"/>
    <n v="200"/>
    <n v="19.700800000000015"/>
  </r>
  <r>
    <x v="126"/>
    <x v="361"/>
    <s v="G-CHAIN-"/>
    <s v="6"/>
    <n v="16"/>
    <n v="94.25"/>
    <n v="-2.25"/>
    <n v="7218.2"/>
    <n v="108850.45599999999"/>
    <n v="115000"/>
    <m/>
    <n v="6149.544000000009"/>
    <m/>
    <m/>
    <m/>
    <m/>
    <m/>
    <m/>
  </r>
  <r>
    <x v="127"/>
    <x v="362"/>
    <m/>
    <m/>
    <n v="7.5"/>
    <n v="80"/>
    <n v="-15"/>
    <n v="93"/>
    <n v="558"/>
    <n v="1000"/>
    <m/>
    <n v="1515.6320000000005"/>
    <n v="71"/>
    <n v="80"/>
    <n v="95"/>
    <n v="4273.6320000000005"/>
    <n v="3200"/>
    <n v="1073.6320000000005"/>
  </r>
  <r>
    <x v="128"/>
    <x v="363"/>
    <s v="S-BARACELET-B-"/>
    <s v="26"/>
    <n v="12.7"/>
    <n v="77"/>
    <n v="-12"/>
    <n v="91.5"/>
    <n v="894.77850000000001"/>
    <n v="2000"/>
    <m/>
    <n v="1105.2215000000001"/>
    <m/>
    <m/>
    <m/>
    <n v="0"/>
    <m/>
    <n v="0"/>
  </r>
  <r>
    <x v="128"/>
    <x v="364"/>
    <s v="S-RING-"/>
    <s v="226"/>
    <n v="3.1"/>
    <n v="92.5"/>
    <n v="92.5"/>
    <n v="125.57"/>
    <n v="389.267"/>
    <n v="800"/>
    <m/>
    <n v="333.03700000000021"/>
    <n v="12"/>
    <n v="80"/>
    <n v="95"/>
    <n v="722.3040000000002"/>
    <n v="800"/>
    <n v="-77.695999999999799"/>
  </r>
  <r>
    <x v="129"/>
    <x v="365"/>
    <m/>
    <m/>
    <n v="1.1399999999999999"/>
    <n v="0"/>
    <n v="0"/>
    <n v="0"/>
    <n v="3200"/>
    <n v="4800"/>
    <m/>
    <n v="1600"/>
    <m/>
    <m/>
    <m/>
    <n v="0"/>
    <m/>
    <n v="0"/>
  </r>
  <r>
    <x v="129"/>
    <x v="366"/>
    <s v="S-RING-"/>
    <s v="95"/>
    <n v="3.03"/>
    <n v="92.5"/>
    <n v="92.5"/>
    <n v="127"/>
    <n v="384.81"/>
    <n v="700"/>
    <m/>
    <n v="355.27480000000008"/>
    <n v="5.65"/>
    <n v="80"/>
    <n v="95"/>
    <n v="340.08480000000003"/>
    <n v="300"/>
    <n v="40.08480000000003"/>
  </r>
  <r>
    <x v="129"/>
    <x v="367"/>
    <s v="S-CHAIN-N-"/>
    <s v="100"/>
    <n v="10.8"/>
    <n v="82"/>
    <n v="17"/>
    <n v="92.18"/>
    <n v="816.34608000000003"/>
    <n v="1900"/>
    <m/>
    <n v="1059.8715200000004"/>
    <n v="42.8"/>
    <n v="80"/>
    <n v="95"/>
    <n v="2576.2176000000004"/>
    <n v="2600"/>
    <n v="-23.782399999999598"/>
  </r>
  <r>
    <x v="129"/>
    <x v="368"/>
    <s v="S-RING-"/>
    <s v="98"/>
    <n v="2.73"/>
    <n v="92.5"/>
    <n v="92.5"/>
    <n v="127"/>
    <n v="346.71"/>
    <n v="700"/>
    <m/>
    <n v="353.29"/>
    <m/>
    <m/>
    <m/>
    <n v="0"/>
    <m/>
    <n v="0"/>
  </r>
  <r>
    <x v="130"/>
    <x v="369"/>
    <s v="G-TLI-MNI-THAYTH-"/>
    <s v="30"/>
    <n v="1.04"/>
    <n v="85"/>
    <n v="-8"/>
    <n v="7290"/>
    <n v="6444.36"/>
    <n v="9700"/>
    <m/>
    <n v="3255.6400000000003"/>
    <m/>
    <m/>
    <m/>
    <n v="0"/>
    <m/>
    <n v="0"/>
  </r>
  <r>
    <x v="130"/>
    <x v="370"/>
    <m/>
    <m/>
    <n v="11.5"/>
    <n v="80"/>
    <n v="-15"/>
    <n v="93"/>
    <n v="855.59999999999991"/>
    <n v="1450"/>
    <m/>
    <n v="594.40000000000009"/>
    <m/>
    <m/>
    <m/>
    <n v="0"/>
    <m/>
    <n v="0"/>
  </r>
  <r>
    <x v="130"/>
    <x v="371"/>
    <m/>
    <m/>
    <n v="10.9"/>
    <n v="80"/>
    <n v="-15"/>
    <n v="93"/>
    <n v="810.96"/>
    <n v="1400"/>
    <m/>
    <n v="568.2496000000001"/>
    <n v="6.3"/>
    <n v="80"/>
    <n v="95"/>
    <n v="379.20960000000002"/>
    <n v="400"/>
    <n v="-20.790399999999977"/>
  </r>
  <r>
    <x v="130"/>
    <x v="372"/>
    <s v="S-RING-"/>
    <s v="310"/>
    <n v="2.2000000000000002"/>
    <n v="92.5"/>
    <n v="92.5"/>
    <n v="132"/>
    <n v="290.40000000000003"/>
    <n v="550"/>
    <m/>
    <n v="259.59999999999997"/>
    <m/>
    <m/>
    <m/>
    <n v="0"/>
    <m/>
    <n v="0"/>
  </r>
  <r>
    <x v="131"/>
    <x v="373"/>
    <s v="S-RING-"/>
    <s v="101"/>
    <n v="3.06"/>
    <n v="92.5"/>
    <n v="92.5"/>
    <n v="127"/>
    <n v="388.62"/>
    <n v="750"/>
    <m/>
    <n v="361.17680000000007"/>
    <n v="4.1500000000000004"/>
    <n v="80"/>
    <n v="95"/>
    <n v="249.79680000000002"/>
    <n v="250"/>
    <n v="-0.20319999999998117"/>
  </r>
  <r>
    <x v="132"/>
    <x v="374"/>
    <s v="S-RING-"/>
    <s v="88"/>
    <n v="3.87"/>
    <n v="92.5"/>
    <n v="92.5"/>
    <n v="127"/>
    <n v="491.49"/>
    <n v="700"/>
    <m/>
    <n v="219.18200000000002"/>
    <n v="3.5"/>
    <n v="80"/>
    <n v="95"/>
    <n v="210.672"/>
    <n v="200"/>
    <n v="10.671999999999997"/>
  </r>
  <r>
    <x v="133"/>
    <x v="17"/>
    <m/>
    <m/>
    <n v="0"/>
    <n v="0"/>
    <n v="0"/>
    <n v="0"/>
    <n v="135"/>
    <n v="500"/>
    <m/>
    <n v="365"/>
    <m/>
    <m/>
    <m/>
    <n v="0"/>
    <m/>
    <n v="0"/>
  </r>
  <r>
    <x v="133"/>
    <x v="17"/>
    <m/>
    <m/>
    <n v="0"/>
    <n v="0"/>
    <n v="0"/>
    <n v="0"/>
    <n v="135"/>
    <n v="500"/>
    <m/>
    <n v="923.15999999999985"/>
    <n v="42.5"/>
    <n v="80"/>
    <n v="95"/>
    <n v="2558.16"/>
    <n v="2000"/>
    <n v="558.15999999999985"/>
  </r>
  <r>
    <x v="134"/>
    <x v="375"/>
    <s v="S-S-KOLUSU-"/>
    <s v="38"/>
    <n v="72.459999999999994"/>
    <n v="76.5"/>
    <n v="-11.5"/>
    <n v="89.9"/>
    <n v="4983.3278099999998"/>
    <n v="8400"/>
    <m/>
    <n v="2466.0801899999997"/>
    <n v="49"/>
    <n v="80"/>
    <n v="95"/>
    <n v="2949.4079999999999"/>
    <n v="3900"/>
    <n v="-950.5920000000001"/>
  </r>
  <r>
    <x v="134"/>
    <x v="376"/>
    <s v="S-THANDA-K"/>
    <s v="17"/>
    <n v="13.4"/>
    <n v="80"/>
    <n v="-25"/>
    <n v="90"/>
    <n v="964.80000000000007"/>
    <n v="1800"/>
    <m/>
    <n v="835.19999999999993"/>
    <m/>
    <m/>
    <m/>
    <n v="0"/>
    <m/>
    <n v="0"/>
  </r>
  <r>
    <x v="134"/>
    <x v="377"/>
    <s v="S-BANGLE-"/>
    <s v="15"/>
    <n v="14.2"/>
    <n v="76"/>
    <n v="-11"/>
    <n v="91.5"/>
    <n v="987.46799999999996"/>
    <n v="2050"/>
    <m/>
    <n v="838.12240000000008"/>
    <n v="18.7"/>
    <n v="80"/>
    <n v="95"/>
    <n v="1125.5904"/>
    <n v="1350"/>
    <n v="-224.40959999999995"/>
  </r>
  <r>
    <x v="134"/>
    <x v="378"/>
    <m/>
    <m/>
    <n v="4"/>
    <n v="92"/>
    <n v="0"/>
    <n v="8835"/>
    <n v="35280"/>
    <n v="37500"/>
    <m/>
    <n v="2220"/>
    <m/>
    <m/>
    <m/>
    <n v="0"/>
    <m/>
    <n v="0"/>
  </r>
  <r>
    <x v="134"/>
    <x v="379"/>
    <m/>
    <m/>
    <n v="13"/>
    <n v="80"/>
    <n v="-15"/>
    <n v="93"/>
    <n v="967.2"/>
    <n v="1500"/>
    <m/>
    <n v="532.79999999999995"/>
    <m/>
    <m/>
    <m/>
    <n v="0"/>
    <m/>
    <n v="0"/>
  </r>
  <r>
    <x v="135"/>
    <x v="380"/>
    <m/>
    <m/>
    <n v="3.7"/>
    <n v="60"/>
    <n v="0"/>
    <n v="6050"/>
    <n v="13431"/>
    <n v="13500"/>
    <m/>
    <n v="69"/>
    <m/>
    <m/>
    <m/>
    <n v="0"/>
    <m/>
    <n v="0"/>
  </r>
  <r>
    <x v="136"/>
    <x v="381"/>
    <s v="S-RING-"/>
    <s v="146"/>
    <n v="6.12"/>
    <n v="92.5"/>
    <n v="92.5"/>
    <n v="131.65"/>
    <n v="805.69800000000009"/>
    <n v="1200"/>
    <m/>
    <n v="394.30199999999991"/>
    <m/>
    <m/>
    <m/>
    <n v="0"/>
    <m/>
    <n v="0"/>
  </r>
  <r>
    <x v="137"/>
    <x v="382"/>
    <s v="S-BARACELET-B-"/>
    <s v="9"/>
    <n v="24.1"/>
    <n v="86"/>
    <n v="-65"/>
    <n v="90"/>
    <n v="1865.34"/>
    <n v="3100"/>
    <m/>
    <n v="1234.6600000000001"/>
    <m/>
    <m/>
    <m/>
    <n v="0"/>
    <m/>
    <n v="0"/>
  </r>
  <r>
    <x v="138"/>
    <x v="383"/>
    <s v="S-B-KOLUSU--"/>
    <s v="46"/>
    <n v="27.2"/>
    <n v="82"/>
    <n v="-17"/>
    <n v="92"/>
    <n v="2051.9699999999998"/>
    <n v="3300"/>
    <m/>
    <n v="1248.0300000000002"/>
    <m/>
    <m/>
    <m/>
    <n v="0"/>
    <m/>
    <n v="0"/>
  </r>
  <r>
    <x v="139"/>
    <x v="384"/>
    <m/>
    <m/>
    <n v="0"/>
    <n v="0"/>
    <n v="0"/>
    <n v="0"/>
    <n v="0"/>
    <m/>
    <m/>
    <n v="192.20799999999986"/>
    <n v="11.5"/>
    <n v="80"/>
    <n v="95"/>
    <n v="692.20799999999986"/>
    <n v="500"/>
    <n v="192.20799999999986"/>
  </r>
  <r>
    <x v="139"/>
    <x v="385"/>
    <m/>
    <m/>
    <n v="8.5"/>
    <n v="80"/>
    <n v="-15"/>
    <n v="93"/>
    <n v="632.4"/>
    <n v="850"/>
    <m/>
    <n v="172.17151999999999"/>
    <n v="4.4000000000000004"/>
    <n v="92"/>
    <n v="95"/>
    <n v="304.57152000000002"/>
    <n v="350"/>
    <n v="-45.428479999999979"/>
  </r>
  <r>
    <x v="140"/>
    <x v="386"/>
    <m/>
    <m/>
    <n v="2.165"/>
    <n v="92"/>
    <n v="0"/>
    <n v="8700"/>
    <n v="15000"/>
    <n v="16800"/>
    <m/>
    <n v="1800"/>
    <m/>
    <m/>
    <m/>
    <m/>
    <m/>
    <m/>
  </r>
  <r>
    <x v="141"/>
    <x v="387"/>
    <s v="S-CHAIN-N-"/>
    <s v="88"/>
    <n v="11.7"/>
    <n v="82"/>
    <n v="17"/>
    <n v="92.18"/>
    <n v="884.37491999999997"/>
    <n v="1750"/>
    <m/>
    <n v="778.69707999999991"/>
    <n v="16"/>
    <n v="80"/>
    <n v="95"/>
    <n v="963.07199999999989"/>
    <n v="1050"/>
    <n v="-86.928000000000111"/>
  </r>
  <r>
    <x v="141"/>
    <x v="388"/>
    <s v="S-DOLLER-"/>
    <s v="27"/>
    <n v="1.52"/>
    <n v="92.5"/>
    <n v="92.5"/>
    <n v="160"/>
    <n v="243.2"/>
    <n v="300"/>
    <m/>
    <n v="56.800000000000011"/>
    <m/>
    <m/>
    <m/>
    <n v="0"/>
    <m/>
    <n v="0"/>
  </r>
  <r>
    <x v="142"/>
    <x v="389"/>
    <s v="G-STUD-"/>
    <s v="25"/>
    <n v="1.07"/>
    <n v="97"/>
    <n v="-5"/>
    <n v="7218.2"/>
    <n v="7491.7697800000005"/>
    <n v="9900"/>
    <m/>
    <n v="2408.2302199999995"/>
    <m/>
    <m/>
    <m/>
    <n v="0"/>
    <m/>
    <n v="0"/>
  </r>
  <r>
    <x v="142"/>
    <x v="390"/>
    <s v="S-S-KOLUSU-"/>
    <s v="88"/>
    <n v="188.5"/>
    <n v="80"/>
    <n v="-15"/>
    <n v="92"/>
    <n v="13873.6"/>
    <n v="18450"/>
    <m/>
    <n v="4576.3999999999996"/>
    <m/>
    <m/>
    <m/>
    <n v="0"/>
    <m/>
    <n v="0"/>
  </r>
  <r>
    <x v="142"/>
    <x v="391"/>
    <s v="G-RING-"/>
    <s v="71"/>
    <n v="2.0499999999999998"/>
    <n v="82"/>
    <n v="-6"/>
    <n v="8200"/>
    <n v="13784.2"/>
    <n v="16700"/>
    <m/>
    <n v="2915.7999999999993"/>
    <m/>
    <m/>
    <m/>
    <n v="0"/>
    <m/>
    <n v="0"/>
  </r>
  <r>
    <x v="143"/>
    <x v="392"/>
    <s v="S-S-KOLUSU-"/>
    <s v="62"/>
    <n v="87.22"/>
    <n v="76.5"/>
    <n v="-11.5"/>
    <n v="89.9"/>
    <n v="5998.4246700000003"/>
    <n v="10500"/>
    <m/>
    <n v="3221.7353299999995"/>
    <n v="105"/>
    <n v="80"/>
    <n v="95"/>
    <n v="6320.1599999999989"/>
    <n v="7600"/>
    <n v="-1279.8400000000011"/>
  </r>
  <r>
    <x v="143"/>
    <x v="393"/>
    <s v="S-BANGLE-"/>
    <s v="22"/>
    <n v="29.6"/>
    <n v="80.650000000000006"/>
    <n v="-31.75"/>
    <n v="90"/>
    <n v="2444.5160000000005"/>
    <n v="3000"/>
    <m/>
    <n v="555.48399999999947"/>
    <m/>
    <m/>
    <m/>
    <n v="0"/>
    <m/>
    <n v="0"/>
  </r>
  <r>
    <x v="143"/>
    <x v="394"/>
    <s v="G-CHAIN-"/>
    <s v="13"/>
    <n v="8.06"/>
    <n v="95.75"/>
    <n v="3.75"/>
    <n v="8200"/>
    <n v="63338.090000000004"/>
    <n v="73000"/>
    <m/>
    <n v="9661.9099999999962"/>
    <m/>
    <m/>
    <m/>
    <n v="0"/>
    <m/>
    <n v="0"/>
  </r>
  <r>
    <x v="143"/>
    <x v="395"/>
    <m/>
    <m/>
    <n v="45.7"/>
    <n v="0"/>
    <n v="0"/>
    <n v="6418"/>
    <n v="270000"/>
    <n v="300000"/>
    <m/>
    <n v="30000"/>
    <m/>
    <m/>
    <m/>
    <m/>
    <m/>
    <m/>
  </r>
  <r>
    <x v="143"/>
    <x v="396"/>
    <s v="G-RING-G"/>
    <s v="35"/>
    <n v="0.61"/>
    <n v="96.75"/>
    <n v="-4.75"/>
    <n v="7218.2"/>
    <n v="4260.0011850000001"/>
    <n v="6800"/>
    <m/>
    <n v="2539.9988149999999"/>
    <m/>
    <m/>
    <m/>
    <n v="0"/>
    <m/>
    <n v="0"/>
  </r>
  <r>
    <x v="143"/>
    <x v="397"/>
    <s v="G-RING-G"/>
    <s v="21"/>
    <n v="1.46"/>
    <n v="96.75"/>
    <n v="-4.75"/>
    <n v="7218.2"/>
    <n v="10196.06841"/>
    <n v="14200"/>
    <m/>
    <n v="4270.8815900000009"/>
    <n v="1.57"/>
    <n v="91"/>
    <n v="8500"/>
    <n v="10596.95"/>
    <n v="10100"/>
    <n v="496.95000000000073"/>
  </r>
  <r>
    <x v="143"/>
    <x v="119"/>
    <m/>
    <s v="5"/>
    <n v="0"/>
    <n v="0"/>
    <n v="0"/>
    <n v="0"/>
    <n v="230"/>
    <m/>
    <m/>
    <n v="0"/>
    <m/>
    <m/>
    <m/>
    <n v="0"/>
    <m/>
    <n v="0"/>
  </r>
  <r>
    <x v="144"/>
    <x v="398"/>
    <s v="S-RING-"/>
    <s v="5"/>
    <n v="3.35"/>
    <n v="92.5"/>
    <n v="92.5"/>
    <n v="140"/>
    <n v="469"/>
    <n v="1000"/>
    <m/>
    <n v="569.44160000000011"/>
    <n v="2.2999999999999998"/>
    <n v="80"/>
    <n v="95"/>
    <n v="138.44159999999999"/>
    <n v="100"/>
    <n v="38.441599999999994"/>
  </r>
  <r>
    <x v="144"/>
    <x v="384"/>
    <m/>
    <m/>
    <n v="0"/>
    <n v="0"/>
    <n v="0"/>
    <n v="0"/>
    <n v="0"/>
    <m/>
    <m/>
    <n v="152.88000000000011"/>
    <n v="15"/>
    <n v="80"/>
    <n v="95"/>
    <n v="902.88000000000011"/>
    <n v="750"/>
    <n v="152.88000000000011"/>
  </r>
  <r>
    <x v="145"/>
    <x v="399"/>
    <m/>
    <m/>
    <n v="18.059999999999999"/>
    <n v="0"/>
    <n v="0"/>
    <n v="0"/>
    <n v="114260"/>
    <n v="121000"/>
    <m/>
    <n v="6740"/>
    <m/>
    <m/>
    <m/>
    <n v="0"/>
    <m/>
    <n v="0"/>
  </r>
  <r>
    <x v="146"/>
    <x v="400"/>
    <m/>
    <m/>
    <n v="16.05"/>
    <n v="0"/>
    <n v="0"/>
    <n v="0"/>
    <n v="118000"/>
    <n v="122000"/>
    <m/>
    <n v="4000"/>
    <m/>
    <m/>
    <m/>
    <n v="0"/>
    <m/>
    <n v="0"/>
  </r>
  <r>
    <x v="146"/>
    <x v="401"/>
    <s v="S-S-KOLUSU-"/>
    <s v="75"/>
    <n v="57.05"/>
    <n v="82"/>
    <n v="-17"/>
    <n v="92"/>
    <n v="4303.851999999999"/>
    <n v="7000"/>
    <m/>
    <n v="2696.148000000001"/>
    <m/>
    <m/>
    <m/>
    <n v="0"/>
    <m/>
    <n v="0"/>
  </r>
  <r>
    <x v="146"/>
    <x v="402"/>
    <m/>
    <m/>
    <n v="6.25"/>
    <n v="80"/>
    <n v="-15"/>
    <n v="93"/>
    <n v="465"/>
    <n v="1000"/>
    <m/>
    <n v="535"/>
    <m/>
    <m/>
    <m/>
    <n v="0"/>
    <m/>
    <n v="0"/>
  </r>
  <r>
    <x v="146"/>
    <x v="403"/>
    <s v="S-B-KOLUSU--"/>
    <s v="92"/>
    <n v="24.5"/>
    <n v="79.97"/>
    <n v="-14.969999999999999"/>
    <n v="90"/>
    <n v="1763.3384999999998"/>
    <n v="3250"/>
    <m/>
    <n v="941.05510000000004"/>
    <n v="33.299999999999997"/>
    <n v="80"/>
    <n v="95"/>
    <n v="2004.3935999999999"/>
    <n v="2550"/>
    <n v="-545.60640000000012"/>
  </r>
  <r>
    <x v="146"/>
    <x v="404"/>
    <s v="S-B-KOLUSU--"/>
    <s v="78"/>
    <n v="116.35"/>
    <n v="79"/>
    <n v="-14"/>
    <n v="86.4"/>
    <n v="7941.5856000000003"/>
    <n v="13400"/>
    <m/>
    <n v="3384.3343999999997"/>
    <n v="135"/>
    <n v="80"/>
    <n v="95"/>
    <n v="8125.92"/>
    <n v="10200"/>
    <n v="-2074.08"/>
  </r>
  <r>
    <x v="146"/>
    <x v="405"/>
    <m/>
    <m/>
    <n v="5.2"/>
    <n v="80"/>
    <n v="-15"/>
    <n v="93"/>
    <n v="386.88"/>
    <n v="800"/>
    <m/>
    <n v="413.12"/>
    <m/>
    <m/>
    <m/>
    <n v="0"/>
    <m/>
    <n v="0"/>
  </r>
  <r>
    <x v="147"/>
    <x v="406"/>
    <s v="S-B-KOLUSU--"/>
    <s v="83"/>
    <n v="19.3"/>
    <n v="80.02"/>
    <n v="-15.019999999999996"/>
    <n v="95"/>
    <n v="1467.1667"/>
    <n v="3250"/>
    <m/>
    <n v="1076.2956999999994"/>
    <n v="59.7"/>
    <n v="80"/>
    <n v="95"/>
    <n v="3593.4623999999994"/>
    <n v="4300"/>
    <n v="-706.53760000000057"/>
  </r>
  <r>
    <x v="147"/>
    <x v="141"/>
    <m/>
    <m/>
    <n v="5.5"/>
    <n v="82"/>
    <n v="0"/>
    <n v="90"/>
    <n v="405.9"/>
    <n v="650"/>
    <m/>
    <n v="244.10000000000002"/>
    <m/>
    <m/>
    <m/>
    <n v="0"/>
    <m/>
    <n v="0"/>
  </r>
  <r>
    <x v="147"/>
    <x v="384"/>
    <m/>
    <m/>
    <n v="0"/>
    <n v="0"/>
    <n v="0"/>
    <n v="0"/>
    <n v="0"/>
    <m/>
    <m/>
    <n v="367.8720000000003"/>
    <n v="41"/>
    <n v="80"/>
    <n v="95"/>
    <n v="2467.8720000000003"/>
    <n v="2100"/>
    <n v="367.8720000000003"/>
  </r>
  <r>
    <x v="148"/>
    <x v="407"/>
    <m/>
    <m/>
    <n v="10"/>
    <n v="80"/>
    <n v="-15"/>
    <n v="93"/>
    <n v="744"/>
    <n v="1100"/>
    <m/>
    <n v="356"/>
    <m/>
    <m/>
    <m/>
    <n v="0"/>
    <m/>
    <n v="0"/>
  </r>
  <r>
    <x v="148"/>
    <x v="408"/>
    <m/>
    <m/>
    <n v="2.2200000000000002"/>
    <n v="0"/>
    <n v="0"/>
    <n v="8356"/>
    <n v="18550.320000000003"/>
    <n v="20300"/>
    <m/>
    <n v="1749.6799999999967"/>
    <m/>
    <m/>
    <m/>
    <n v="0"/>
    <m/>
    <n v="0"/>
  </r>
  <r>
    <x v="149"/>
    <x v="409"/>
    <s v="G-TLI-MNI-THAYTH-"/>
    <s v="9"/>
    <n v="1.05"/>
    <n v="84"/>
    <n v="-7"/>
    <n v="7218.2"/>
    <n v="6366.4524000000001"/>
    <n v="9700"/>
    <m/>
    <n v="3333.5475999999999"/>
    <n v="0.98"/>
    <n v="65"/>
    <n v="8900"/>
    <n v="5000"/>
    <n v="5000"/>
    <n v="0"/>
  </r>
  <r>
    <x v="150"/>
    <x v="410"/>
    <s v="G-RING-B"/>
    <s v="14"/>
    <n v="2.06"/>
    <n v="95.5"/>
    <n v="-3.5"/>
    <n v="7218.2"/>
    <n v="14200.364860000001"/>
    <n v="18900"/>
    <m/>
    <n v="4699.6351399999985"/>
    <m/>
    <m/>
    <m/>
    <n v="0"/>
    <m/>
    <n v="0"/>
  </r>
  <r>
    <x v="150"/>
    <x v="411"/>
    <m/>
    <m/>
    <n v="1"/>
    <n v="85"/>
    <n v="-8"/>
    <n v="7290"/>
    <n v="6196.5"/>
    <n v="8800"/>
    <m/>
    <n v="2603.5"/>
    <m/>
    <m/>
    <m/>
    <n v="0"/>
    <m/>
    <n v="0"/>
  </r>
  <r>
    <x v="150"/>
    <x v="412"/>
    <s v="S-BARACELET-B-"/>
    <s v="31"/>
    <n v="24.6"/>
    <n v="82"/>
    <n v="-17"/>
    <n v="90.6"/>
    <n v="1827.5832"/>
    <n v="3400"/>
    <m/>
    <n v="775.99760000000015"/>
    <n v="49.9"/>
    <n v="80"/>
    <n v="95"/>
    <n v="3003.5808000000002"/>
    <n v="3800"/>
    <n v="-796.41919999999982"/>
  </r>
  <r>
    <x v="150"/>
    <x v="56"/>
    <m/>
    <m/>
    <n v="0"/>
    <n v="0"/>
    <n v="0"/>
    <n v="0"/>
    <n v="300"/>
    <n v="500"/>
    <m/>
    <n v="200"/>
    <m/>
    <m/>
    <m/>
    <n v="0"/>
    <m/>
    <n v="0"/>
  </r>
  <r>
    <x v="150"/>
    <x v="413"/>
    <m/>
    <m/>
    <n v="0"/>
    <n v="0"/>
    <n v="0"/>
    <n v="0"/>
    <n v="72.25"/>
    <n v="400"/>
    <m/>
    <n v="327.75"/>
    <m/>
    <m/>
    <m/>
    <n v="0"/>
    <m/>
    <n v="0"/>
  </r>
  <r>
    <x v="151"/>
    <x v="414"/>
    <s v="S-RING-"/>
    <s v="81"/>
    <n v="4.1399999999999997"/>
    <n v="92.5"/>
    <n v="92.5"/>
    <n v="127"/>
    <n v="525.78"/>
    <n v="800"/>
    <m/>
    <n v="274.22000000000003"/>
    <m/>
    <m/>
    <m/>
    <n v="0"/>
    <m/>
    <n v="0"/>
  </r>
  <r>
    <x v="152"/>
    <x v="415"/>
    <s v="S-CHAIN-N-"/>
    <s v="92"/>
    <n v="4.5999999999999996"/>
    <n v="82"/>
    <n v="17"/>
    <n v="92.18"/>
    <n v="347.70296000000002"/>
    <n v="790"/>
    <m/>
    <n v="442.29703999999998"/>
    <m/>
    <m/>
    <m/>
    <n v="0"/>
    <m/>
    <n v="0"/>
  </r>
  <r>
    <x v="152"/>
    <x v="416"/>
    <m/>
    <m/>
    <n v="11.5"/>
    <n v="80"/>
    <n v="-15"/>
    <n v="93"/>
    <n v="855.59999999999991"/>
    <n v="1590"/>
    <m/>
    <n v="696.51200000000017"/>
    <n v="11"/>
    <n v="80"/>
    <n v="95"/>
    <n v="662.11200000000008"/>
    <n v="700"/>
    <n v="-37.88799999999992"/>
  </r>
  <r>
    <x v="152"/>
    <x v="417"/>
    <m/>
    <m/>
    <n v="3.5"/>
    <n v="80"/>
    <n v="-15"/>
    <n v="93"/>
    <n v="260.39999999999998"/>
    <n v="600"/>
    <m/>
    <n v="248.18175999999994"/>
    <n v="9.2799999999999994"/>
    <n v="80"/>
    <n v="95"/>
    <n v="558.58175999999992"/>
    <n v="650"/>
    <n v="-91.418240000000083"/>
  </r>
  <r>
    <x v="152"/>
    <x v="418"/>
    <s v="S-RING-"/>
    <s v="308"/>
    <n v="2.2999999999999998"/>
    <n v="92.5"/>
    <n v="92.5"/>
    <n v="132"/>
    <n v="303.59999999999997"/>
    <n v="500"/>
    <m/>
    <n v="196.40000000000003"/>
    <m/>
    <m/>
    <m/>
    <n v="0"/>
    <m/>
    <n v="0"/>
  </r>
  <r>
    <x v="152"/>
    <x v="419"/>
    <s v="S-RING-"/>
    <s v="282"/>
    <n v="2.13"/>
    <n v="92.5"/>
    <n v="92.5"/>
    <n v="140"/>
    <n v="298.2"/>
    <n v="500"/>
    <m/>
    <n v="201.8"/>
    <m/>
    <m/>
    <m/>
    <n v="0"/>
    <m/>
    <n v="0"/>
  </r>
  <r>
    <x v="152"/>
    <x v="44"/>
    <m/>
    <m/>
    <n v="0"/>
    <n v="0"/>
    <n v="0"/>
    <n v="0"/>
    <n v="242"/>
    <n v="700"/>
    <m/>
    <n v="458"/>
    <m/>
    <m/>
    <m/>
    <n v="0"/>
    <m/>
    <n v="0"/>
  </r>
  <r>
    <x v="152"/>
    <x v="56"/>
    <m/>
    <m/>
    <n v="0"/>
    <n v="0"/>
    <n v="0"/>
    <n v="0"/>
    <n v="300"/>
    <n v="450"/>
    <m/>
    <n v="176.94911999999977"/>
    <n v="27.86"/>
    <n v="80"/>
    <n v="95"/>
    <n v="1676.9491199999998"/>
    <n v="1650"/>
    <n v="26.949119999999766"/>
  </r>
  <r>
    <x v="152"/>
    <x v="420"/>
    <m/>
    <m/>
    <n v="0.1"/>
    <n v="80.39"/>
    <n v="-10"/>
    <n v="7218.2"/>
    <n v="580.27109800000005"/>
    <n v="1240"/>
    <m/>
    <n v="659.72890199999995"/>
    <n v="0.04"/>
    <m/>
    <m/>
    <n v="100"/>
    <n v="100"/>
    <n v="0"/>
  </r>
  <r>
    <x v="152"/>
    <x v="49"/>
    <m/>
    <m/>
    <n v="0"/>
    <n v="0"/>
    <n v="0"/>
    <n v="0"/>
    <n v="110"/>
    <n v="400"/>
    <m/>
    <n v="310.38400000000001"/>
    <n v="2"/>
    <n v="80"/>
    <n v="95"/>
    <n v="120.38399999999999"/>
    <n v="100"/>
    <n v="20.383999999999986"/>
  </r>
  <r>
    <x v="153"/>
    <x v="421"/>
    <s v="S-AARUNA-"/>
    <s v="18"/>
    <n v="51.51"/>
    <n v="80.650000000000006"/>
    <n v="10"/>
    <n v="90"/>
    <n v="3738.8533499999999"/>
    <n v="6500"/>
    <m/>
    <n v="2761.1466500000001"/>
    <m/>
    <m/>
    <m/>
    <n v="0"/>
    <m/>
    <n v="0"/>
  </r>
  <r>
    <x v="154"/>
    <x v="422"/>
    <m/>
    <m/>
    <n v="0"/>
    <n v="0"/>
    <n v="0"/>
    <n v="0"/>
    <n v="450"/>
    <n v="700"/>
    <m/>
    <n v="250"/>
    <m/>
    <m/>
    <m/>
    <n v="0"/>
    <m/>
    <n v="0"/>
  </r>
  <r>
    <x v="154"/>
    <x v="423"/>
    <m/>
    <m/>
    <n v="0"/>
    <n v="0"/>
    <n v="0"/>
    <n v="0"/>
    <n v="515"/>
    <n v="800"/>
    <m/>
    <n v="285"/>
    <m/>
    <m/>
    <m/>
    <n v="0"/>
    <m/>
    <n v="0"/>
  </r>
  <r>
    <x v="154"/>
    <x v="424"/>
    <m/>
    <m/>
    <n v="0.4"/>
    <n v="66"/>
    <n v="8"/>
    <n v="8356"/>
    <n v="2205.9839999999999"/>
    <n v="3500"/>
    <m/>
    <n v="1294.0160000000001"/>
    <n v="0.32"/>
    <n v="40"/>
    <m/>
    <n v="1000"/>
    <n v="1000"/>
    <n v="0"/>
  </r>
  <r>
    <x v="154"/>
    <x v="425"/>
    <m/>
    <m/>
    <n v="4"/>
    <n v="82"/>
    <n v="0"/>
    <n v="86.4"/>
    <n v="283.392"/>
    <n v="500"/>
    <m/>
    <n v="216.608"/>
    <m/>
    <m/>
    <m/>
    <n v="0"/>
    <m/>
    <n v="0"/>
  </r>
  <r>
    <x v="155"/>
    <x v="426"/>
    <s v="S-CHAIN-N-"/>
    <s v="9"/>
    <n v="15.6"/>
    <n v="86"/>
    <n v="-21"/>
    <n v="90"/>
    <n v="1207.4399999999998"/>
    <n v="100"/>
    <n v="1.3839999999999999"/>
    <n v="192.12935680000032"/>
    <n v="21.590399999999999"/>
    <n v="80"/>
    <n v="95"/>
    <n v="1299.5693568000002"/>
    <m/>
    <n v="1299.5693568000002"/>
  </r>
  <r>
    <x v="155"/>
    <x v="427"/>
    <s v="S-CHAIN-92.5-"/>
    <s v="11"/>
    <n v="15.2"/>
    <n v="90"/>
    <n v="-25"/>
    <n v="91"/>
    <n v="1244.8799999999999"/>
    <n v="100"/>
    <n v="1.3839999999999999"/>
    <n v="121.36706559999993"/>
    <n v="21.036799999999996"/>
    <n v="80"/>
    <n v="95"/>
    <n v="1266.2470655999998"/>
    <m/>
    <n v="1266.2470655999998"/>
  </r>
  <r>
    <x v="155"/>
    <x v="428"/>
    <s v="S-CHAIN-N-"/>
    <s v="46"/>
    <n v="15"/>
    <n v="86"/>
    <n v="-21"/>
    <n v="94.8"/>
    <n v="1222.92"/>
    <n v="100"/>
    <n v="1.3839999999999999"/>
    <n v="126.66591999999991"/>
    <n v="20.759999999999998"/>
    <n v="80"/>
    <n v="95"/>
    <n v="1249.58592"/>
    <m/>
    <n v="1249.58592"/>
  </r>
  <r>
    <x v="155"/>
    <x v="429"/>
    <s v="S-CHAIN-N-"/>
    <s v="71"/>
    <n v="14.5"/>
    <n v="77"/>
    <n v="-12"/>
    <n v="91.5"/>
    <n v="1021.5975"/>
    <n v="100"/>
    <n v="1.3839999999999999"/>
    <n v="286.33555600000011"/>
    <n v="20.067999999999998"/>
    <n v="80"/>
    <n v="95"/>
    <n v="1207.9330560000001"/>
    <m/>
    <n v="1207.9330560000001"/>
  </r>
  <r>
    <x v="155"/>
    <x v="430"/>
    <s v="S-CHAIN-N-"/>
    <s v="110"/>
    <n v="20.2"/>
    <n v="82"/>
    <n v="17"/>
    <n v="92.18"/>
    <n v="1526.8695200000002"/>
    <n v="100"/>
    <n v="1.3839999999999999"/>
    <n v="255.90618559999962"/>
    <n v="27.956799999999998"/>
    <n v="80"/>
    <n v="95"/>
    <n v="1682.7757055999998"/>
    <m/>
    <n v="1682.7757055999998"/>
  </r>
  <r>
    <x v="155"/>
    <x v="431"/>
    <s v="S-CHAIN-N-"/>
    <s v="52"/>
    <n v="22"/>
    <n v="86"/>
    <n v="-21"/>
    <n v="94.8"/>
    <n v="1793.6160000000002"/>
    <n v="100"/>
    <n v="1.3839999999999999"/>
    <n v="139.11001599999963"/>
    <n v="30.447999999999997"/>
    <n v="80"/>
    <n v="95"/>
    <n v="1832.7260159999998"/>
    <m/>
    <n v="1832.7260159999998"/>
  </r>
  <r>
    <x v="155"/>
    <x v="432"/>
    <s v="S-BARACELET-B-"/>
    <s v="8"/>
    <n v="31.7"/>
    <n v="86"/>
    <n v="-65"/>
    <n v="90"/>
    <n v="2453.58"/>
    <n v="100"/>
    <n v="1.3839999999999999"/>
    <n v="287.21157760000051"/>
    <n v="43.872799999999998"/>
    <n v="80"/>
    <n v="95"/>
    <n v="2640.7915776000004"/>
    <m/>
    <n v="2640.7915776000004"/>
  </r>
  <r>
    <x v="155"/>
    <x v="433"/>
    <s v="S-BARACELET-B-"/>
    <s v="19"/>
    <n v="40.5"/>
    <n v="86"/>
    <n v="-65"/>
    <n v="90"/>
    <n v="3134.7"/>
    <n v="100"/>
    <n v="1.3839999999999999"/>
    <n v="339.18198399999983"/>
    <n v="56.051999999999992"/>
    <n v="80"/>
    <n v="95"/>
    <n v="3373.8819839999996"/>
    <m/>
    <n v="3373.8819839999996"/>
  </r>
  <r>
    <x v="155"/>
    <x v="434"/>
    <s v="S-BARACELET-B-"/>
    <s v="21"/>
    <n v="23.5"/>
    <n v="86"/>
    <n v="-65"/>
    <n v="90"/>
    <n v="1818.9"/>
    <n v="100"/>
    <n v="1.3839999999999999"/>
    <n v="238.78460799999948"/>
    <n v="32.524000000000001"/>
    <n v="80"/>
    <n v="95"/>
    <n v="1957.6846079999998"/>
    <m/>
    <n v="1957.6846079999998"/>
  </r>
  <r>
    <x v="155"/>
    <x v="435"/>
    <s v="S-BARACELET-B-"/>
    <s v="18"/>
    <n v="36"/>
    <n v="86"/>
    <n v="-65"/>
    <n v="90"/>
    <n v="2786.4"/>
    <n v="100"/>
    <n v="1.3839999999999999"/>
    <n v="312.60620800000015"/>
    <n v="49.823999999999998"/>
    <n v="80"/>
    <n v="95"/>
    <n v="2999.0062080000002"/>
    <m/>
    <n v="2999.0062080000002"/>
  </r>
  <r>
    <x v="155"/>
    <x v="436"/>
    <s v="S-THANDA-K"/>
    <s v="9"/>
    <n v="30.65"/>
    <n v="80.02"/>
    <n v="-25.019999999999996"/>
    <n v="95"/>
    <n v="2329.9823499999998"/>
    <m/>
    <n v="1.3839999999999999"/>
    <n v="223.33821320000061"/>
    <n v="42.419599999999996"/>
    <n v="80"/>
    <n v="95"/>
    <n v="2553.3205632000004"/>
    <m/>
    <n v="2553.3205632000004"/>
  </r>
  <r>
    <x v="155"/>
    <x v="437"/>
    <s v="S-THANDA-K"/>
    <s v="8"/>
    <n v="30.94"/>
    <n v="65"/>
    <n v="-10"/>
    <n v="89"/>
    <n v="1789.8790000000001"/>
    <m/>
    <n v="1.3839999999999999"/>
    <n v="787.60022431999937"/>
    <n v="42.820959999999999"/>
    <n v="80"/>
    <n v="95"/>
    <n v="2577.4792243199995"/>
    <m/>
    <n v="2577.4792243199995"/>
  </r>
  <r>
    <x v="155"/>
    <x v="438"/>
    <s v="S-THANDA-K"/>
    <s v="10"/>
    <n v="30.8"/>
    <n v="80.02"/>
    <n v="-25.019999999999996"/>
    <n v="95"/>
    <n v="2341.3851999999997"/>
    <m/>
    <n v="1.3839999999999999"/>
    <n v="224.43122240000002"/>
    <n v="42.627199999999995"/>
    <n v="80"/>
    <n v="95"/>
    <n v="2565.8164223999997"/>
    <m/>
    <n v="2565.8164223999997"/>
  </r>
  <r>
    <x v="155"/>
    <x v="439"/>
    <s v="S-S-KOLUSU-"/>
    <s v="22"/>
    <n v="91.13"/>
    <n v="76.5"/>
    <n v="-11.5"/>
    <n v="89.9"/>
    <n v="6267.3290550000002"/>
    <n v="8500"/>
    <m/>
    <n v="2232.6709449999998"/>
    <m/>
    <m/>
    <m/>
    <n v="0"/>
    <m/>
    <n v="0"/>
  </r>
  <r>
    <x v="156"/>
    <x v="440"/>
    <m/>
    <m/>
    <n v="57"/>
    <n v="0"/>
    <n v="0"/>
    <n v="0"/>
    <n v="4430"/>
    <n v="7100"/>
    <m/>
    <n v="1695.0439999999994"/>
    <n v="57"/>
    <n v="80"/>
    <n v="95"/>
    <n v="3430.944"/>
    <n v="4000"/>
    <n v="-569.05600000000004"/>
  </r>
  <r>
    <x v="156"/>
    <x v="141"/>
    <m/>
    <m/>
    <n v="5.5"/>
    <n v="82"/>
    <n v="0"/>
    <n v="90"/>
    <n v="405.9"/>
    <m/>
    <m/>
    <n v="0"/>
    <m/>
    <m/>
    <m/>
    <m/>
    <m/>
    <m/>
  </r>
  <r>
    <x v="156"/>
    <x v="441"/>
    <m/>
    <m/>
    <n v="6.31"/>
    <n v="80"/>
    <n v="-15"/>
    <n v="93"/>
    <n v="469.46399999999994"/>
    <n v="800"/>
    <m/>
    <n v="330.53600000000006"/>
    <m/>
    <m/>
    <m/>
    <n v="0"/>
    <m/>
    <n v="0"/>
  </r>
  <r>
    <x v="156"/>
    <x v="442"/>
    <s v="S-CHAIN-92.5-L-"/>
    <s v="1"/>
    <n v="12.05"/>
    <n v="92.5"/>
    <n v="-27.5"/>
    <n v="102.5"/>
    <n v="1142.4906249999999"/>
    <n v="2600"/>
    <m/>
    <n v="1447.6677750000003"/>
    <n v="16.45"/>
    <n v="80"/>
    <n v="95"/>
    <n v="990.15840000000003"/>
    <n v="1000"/>
    <n v="-9.8415999999999713"/>
  </r>
  <r>
    <x v="156"/>
    <x v="443"/>
    <m/>
    <m/>
    <n v="1.7"/>
    <n v="0"/>
    <n v="0"/>
    <n v="0"/>
    <n v="10300"/>
    <n v="12000"/>
    <m/>
    <n v="1700"/>
    <m/>
    <m/>
    <m/>
    <m/>
    <m/>
    <m/>
  </r>
  <r>
    <x v="157"/>
    <x v="444"/>
    <s v="S-S-KOLUSU-"/>
    <s v="83"/>
    <n v="88.5"/>
    <n v="79.53"/>
    <n v="16.53"/>
    <n v="84.5"/>
    <n v="5947.452225"/>
    <n v="250"/>
    <m/>
    <n v="1790.4325749999998"/>
    <n v="124.4"/>
    <n v="80"/>
    <n v="95"/>
    <n v="7487.8847999999998"/>
    <m/>
    <n v="7487.8847999999998"/>
  </r>
  <r>
    <x v="157"/>
    <x v="445"/>
    <s v="S-S-KOLUSU-"/>
    <s v="101"/>
    <n v="97.3"/>
    <n v="79.97"/>
    <n v="-14.969999999999999"/>
    <n v="90"/>
    <n v="7002.9728999999988"/>
    <n v="250"/>
    <m/>
    <n v="1478.2831000000006"/>
    <n v="136.75"/>
    <n v="80"/>
    <n v="95"/>
    <n v="8231.2559999999994"/>
    <m/>
    <n v="8231.2559999999994"/>
  </r>
  <r>
    <x v="158"/>
    <x v="446"/>
    <s v="S-RING-"/>
    <s v="191"/>
    <n v="1.1200000000000001"/>
    <n v="92.5"/>
    <n v="92.5"/>
    <n v="131.65"/>
    <n v="147.44800000000001"/>
    <n v="300"/>
    <m/>
    <n v="152.55199999999999"/>
    <m/>
    <m/>
    <m/>
    <n v="0"/>
    <m/>
    <n v="0"/>
  </r>
  <r>
    <x v="159"/>
    <x v="447"/>
    <s v="S-S-KOLUSU-"/>
    <s v="37"/>
    <n v="130.13"/>
    <n v="76.5"/>
    <n v="-11.5"/>
    <n v="89.9"/>
    <n v="8949.4955549999995"/>
    <n v="12000"/>
    <m/>
    <n v="2252.477245"/>
    <n v="119.65"/>
    <n v="80"/>
    <n v="95"/>
    <n v="7201.9728000000005"/>
    <n v="8000"/>
    <n v="-798.02719999999954"/>
  </r>
  <r>
    <x v="159"/>
    <x v="448"/>
    <m/>
    <m/>
    <n v="5.85"/>
    <n v="80"/>
    <n v="-15"/>
    <n v="93"/>
    <n v="435.23999999999995"/>
    <n v="700"/>
    <m/>
    <n v="264.76000000000005"/>
    <m/>
    <m/>
    <m/>
    <n v="0"/>
    <m/>
    <n v="0"/>
  </r>
  <r>
    <x v="159"/>
    <x v="449"/>
    <s v="S-BARACELET-B-"/>
    <s v="46"/>
    <n v="13.5"/>
    <n v="80"/>
    <n v="-31.75"/>
    <n v="95.8"/>
    <n v="1034.6400000000001"/>
    <n v="1750"/>
    <m/>
    <n v="699.7023999999999"/>
    <n v="12.2"/>
    <n v="80"/>
    <n v="95"/>
    <n v="734.3424"/>
    <n v="750"/>
    <n v="-15.657600000000002"/>
  </r>
  <r>
    <x v="159"/>
    <x v="450"/>
    <s v="S-S-KOLUSU-"/>
    <s v="100"/>
    <n v="94.3"/>
    <n v="80.02"/>
    <n v="-15.019999999999996"/>
    <n v="95"/>
    <n v="7168.5916999999999"/>
    <n v="10000"/>
    <m/>
    <n v="2831.4083000000001"/>
    <n v="136.4"/>
    <n v="80"/>
    <n v="95"/>
    <n v="8210.1887999999999"/>
    <n v="9600"/>
    <n v="-1389.8112000000001"/>
  </r>
  <r>
    <x v="159"/>
    <x v="451"/>
    <s v="S-BARACELET-B-"/>
    <s v="33"/>
    <n v="7.75"/>
    <n v="80.650000000000006"/>
    <n v="-15.650000000000006"/>
    <n v="90"/>
    <n v="562.53375000000005"/>
    <n v="1400"/>
    <m/>
    <n v="837.46624999999995"/>
    <m/>
    <m/>
    <m/>
    <n v="0"/>
    <m/>
    <n v="0"/>
  </r>
  <r>
    <x v="159"/>
    <x v="452"/>
    <s v="S-RING-"/>
    <s v="292"/>
    <n v="1.48"/>
    <n v="92.5"/>
    <n v="92.5"/>
    <n v="140"/>
    <n v="207.2"/>
    <n v="400"/>
    <m/>
    <n v="192.8"/>
    <m/>
    <m/>
    <m/>
    <n v="0"/>
    <m/>
    <n v="0"/>
  </r>
  <r>
    <x v="160"/>
    <x v="453"/>
    <m/>
    <m/>
    <n v="2.1"/>
    <n v="90"/>
    <n v="0"/>
    <n v="8990"/>
    <n v="17350"/>
    <n v="18500"/>
    <m/>
    <n v="1150"/>
    <m/>
    <m/>
    <m/>
    <n v="0"/>
    <m/>
    <n v="0"/>
  </r>
  <r>
    <x v="160"/>
    <x v="324"/>
    <s v="S-S-KOLUSU-"/>
    <s v="44"/>
    <n v="140.76"/>
    <n v="76.5"/>
    <n v="-11.5"/>
    <n v="89.9"/>
    <n v="9680.5578600000008"/>
    <n v="15700"/>
    <m/>
    <n v="6019.4421399999992"/>
    <m/>
    <m/>
    <m/>
    <n v="0"/>
    <m/>
    <n v="0"/>
  </r>
  <r>
    <x v="160"/>
    <x v="454"/>
    <m/>
    <m/>
    <n v="2"/>
    <n v="999"/>
    <n v="0"/>
    <n v="9250"/>
    <n v="18500"/>
    <n v="19400"/>
    <m/>
    <n v="900"/>
    <m/>
    <m/>
    <m/>
    <n v="0"/>
    <m/>
    <n v="0"/>
  </r>
  <r>
    <x v="161"/>
    <x v="455"/>
    <s v="S-RING-"/>
    <s v="231"/>
    <n v="4.32"/>
    <n v="92.5"/>
    <n v="92.5"/>
    <n v="125.57"/>
    <n v="542.4624"/>
    <n v="950"/>
    <m/>
    <n v="407.5376"/>
    <m/>
    <m/>
    <m/>
    <n v="0"/>
    <m/>
    <n v="0"/>
  </r>
  <r>
    <x v="162"/>
    <x v="456"/>
    <s v="S-BARACELET-B-"/>
    <s v="11"/>
    <n v="41.61"/>
    <n v="86"/>
    <n v="-65"/>
    <n v="90"/>
    <n v="3220.6139999999996"/>
    <n v="4850"/>
    <m/>
    <n v="1019.8387999999995"/>
    <n v="59.65"/>
    <n v="80"/>
    <n v="95"/>
    <n v="3590.4527999999996"/>
    <n v="4200"/>
    <n v="-609.54720000000043"/>
  </r>
  <r>
    <x v="163"/>
    <x v="457"/>
    <s v="G-TLI-MNI-THAYTH-"/>
    <s v="1"/>
    <n v="1.04"/>
    <n v="84"/>
    <n v="-7"/>
    <n v="7218.2"/>
    <n v="6305.81952"/>
    <n v="9370"/>
    <m/>
    <n v="3064.18048"/>
    <m/>
    <m/>
    <m/>
    <n v="0"/>
    <m/>
    <n v="0"/>
  </r>
  <r>
    <x v="163"/>
    <x v="458"/>
    <s v="G-TLI-MNI-THAYTH-"/>
    <s v="16"/>
    <n v="1.06"/>
    <n v="85"/>
    <n v="-8"/>
    <n v="7290"/>
    <n v="6568.2900000000009"/>
    <n v="9430"/>
    <m/>
    <n v="2861.7099999999991"/>
    <m/>
    <m/>
    <m/>
    <n v="0"/>
    <m/>
    <n v="0"/>
  </r>
  <r>
    <x v="163"/>
    <x v="459"/>
    <s v="S-B-KOLUSU--"/>
    <s v="79"/>
    <n v="190"/>
    <n v="79"/>
    <n v="-14"/>
    <n v="86.4"/>
    <n v="12968.640000000001"/>
    <n v="21450"/>
    <m/>
    <n v="6727.6639999999989"/>
    <n v="137"/>
    <n v="80"/>
    <n v="95"/>
    <n v="8246.3040000000001"/>
    <n v="10000"/>
    <n v="-1753.6959999999999"/>
  </r>
  <r>
    <x v="163"/>
    <x v="460"/>
    <s v="G-STUD-"/>
    <s v="2"/>
    <n v="3.03"/>
    <n v="97"/>
    <n v="-5"/>
    <n v="7218.2"/>
    <n v="21215.011619999997"/>
    <n v="30000"/>
    <m/>
    <n v="8784.9883800000025"/>
    <n v="3.2"/>
    <m/>
    <m/>
    <n v="19000"/>
    <n v="19000"/>
    <n v="0"/>
  </r>
  <r>
    <x v="164"/>
    <x v="461"/>
    <s v="S-CHAIN-N-"/>
    <s v="111"/>
    <n v="23.4"/>
    <n v="82"/>
    <n v="17"/>
    <n v="92.18"/>
    <n v="1768.7498399999999"/>
    <n v="2400"/>
    <m/>
    <n v="519.35896000000002"/>
    <n v="21.4"/>
    <n v="80"/>
    <n v="95"/>
    <n v="1288.1088000000002"/>
    <n v="1400"/>
    <n v="-111.8911999999998"/>
  </r>
  <r>
    <x v="165"/>
    <x v="462"/>
    <s v="S-RING-"/>
    <s v="63"/>
    <n v="5"/>
    <n v="92.5"/>
    <n v="92.5"/>
    <n v="127"/>
    <n v="635"/>
    <n v="1260"/>
    <m/>
    <n v="653.63359999999989"/>
    <n v="3.3"/>
    <n v="80"/>
    <n v="95"/>
    <n v="198.63359999999997"/>
    <n v="170"/>
    <n v="28.633599999999973"/>
  </r>
  <r>
    <x v="165"/>
    <x v="463"/>
    <s v="S-RING-"/>
    <s v="155"/>
    <n v="4.0999999999999996"/>
    <n v="92.5"/>
    <n v="92.5"/>
    <n v="131.65"/>
    <n v="539.76499999999999"/>
    <n v="1010"/>
    <m/>
    <n v="470.23500000000001"/>
    <m/>
    <m/>
    <m/>
    <n v="0"/>
    <m/>
    <n v="0"/>
  </r>
  <r>
    <x v="165"/>
    <x v="464"/>
    <s v="S-S-KOLUSU-"/>
    <s v="17"/>
    <n v="73.64"/>
    <n v="76.5"/>
    <n v="-11.5"/>
    <n v="89.9"/>
    <n v="5064.4805400000005"/>
    <n v="8000"/>
    <m/>
    <n v="2935.5194599999995"/>
    <m/>
    <m/>
    <m/>
    <m/>
    <m/>
    <m/>
  </r>
  <r>
    <x v="165"/>
    <x v="465"/>
    <s v="G-TLI-MNI-THAYTH-"/>
    <s v="12"/>
    <n v="0.99"/>
    <n v="84"/>
    <n v="8"/>
    <n v="7420"/>
    <n v="6170.4719999999998"/>
    <n v="9000"/>
    <m/>
    <n v="2829.5280000000002"/>
    <m/>
    <m/>
    <m/>
    <m/>
    <m/>
    <m/>
  </r>
  <r>
    <x v="165"/>
    <x v="466"/>
    <s v="S-AARUNA-"/>
    <s v="11"/>
    <n v="35"/>
    <n v="82"/>
    <n v="-27"/>
    <n v="92"/>
    <n v="2640.4"/>
    <n v="4000"/>
    <m/>
    <n v="1359.6"/>
    <m/>
    <m/>
    <m/>
    <m/>
    <m/>
    <m/>
  </r>
  <r>
    <x v="165"/>
    <x v="467"/>
    <m/>
    <m/>
    <n v="10.8"/>
    <n v="80"/>
    <n v="-25"/>
    <n v="95"/>
    <n v="820.80000000000007"/>
    <n v="1500"/>
    <m/>
    <n v="679.19999999999993"/>
    <m/>
    <m/>
    <m/>
    <m/>
    <m/>
    <m/>
  </r>
  <r>
    <x v="166"/>
    <x v="468"/>
    <m/>
    <m/>
    <n v="16.27"/>
    <n v="0"/>
    <n v="0"/>
    <n v="0"/>
    <n v="117000"/>
    <n v="123000"/>
    <m/>
    <n v="6000"/>
    <m/>
    <m/>
    <m/>
    <m/>
    <m/>
    <m/>
  </r>
  <r>
    <x v="166"/>
    <x v="469"/>
    <s v="S-B-KOLUSU--"/>
    <s v="95"/>
    <n v="32.299999999999997"/>
    <n v="80"/>
    <n v="-15"/>
    <n v="95.8"/>
    <n v="2475.4719999999998"/>
    <n v="2475"/>
    <m/>
    <n v="-0.4719999999997526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94" firstHeaderRow="0" firstDataRow="1" firstDataCol="2"/>
  <pivotFields count="18">
    <pivotField axis="axisRow" compact="0" numFmtId="14" outline="0" showAll="0">
      <items count="181">
        <item h="1" x="0"/>
        <item h="1" x="1"/>
        <item h="1" x="2"/>
        <item h="1" x="3"/>
        <item h="1" x="4"/>
        <item h="1" x="5"/>
        <item h="1" x="6"/>
        <item h="1" x="7"/>
        <item h="1" x="8"/>
        <item h="1" m="1" x="176"/>
        <item h="1" m="1" x="177"/>
        <item h="1" x="9"/>
        <item h="1" x="10"/>
        <item h="1" x="11"/>
        <item h="1" x="12"/>
        <item h="1" x="13"/>
        <item h="1" x="14"/>
        <item h="1" x="15"/>
        <item h="1" x="16"/>
        <item h="1" m="1" x="179"/>
        <item h="1" x="17"/>
        <item h="1" x="19"/>
        <item h="1" x="20"/>
        <item h="1" m="1" x="178"/>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174"/>
        <item h="1" m="1" x="175"/>
        <item h="1" m="1" x="173"/>
        <item h="1" x="45"/>
        <item h="1" x="46"/>
        <item h="1" x="47"/>
        <item h="1" m="1" x="172"/>
        <item h="1" m="1" x="171"/>
        <item h="1" x="48"/>
        <item h="1" x="49"/>
        <item h="1" x="50"/>
        <item h="1" x="51"/>
        <item h="1" x="52"/>
        <item h="1" x="53"/>
        <item h="1" x="54"/>
        <item h="1" x="55"/>
        <item h="1" x="56"/>
        <item h="1" m="1" x="170"/>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m="1" x="16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m="1" x="168"/>
        <item h="1" x="115"/>
        <item h="1" x="116"/>
        <item h="1" x="117"/>
        <item h="1" x="118"/>
        <item h="1" x="119"/>
        <item h="1" x="120"/>
        <item h="1" x="121"/>
        <item h="1" x="122"/>
        <item h="1" x="123"/>
        <item h="1" x="124"/>
        <item h="1" x="125"/>
        <item h="1" x="126"/>
        <item h="1" x="127"/>
        <item h="1" x="128"/>
        <item h="1" x="129"/>
        <item h="1" x="130"/>
        <item h="1" x="114"/>
        <item h="1" x="131"/>
        <item h="1" x="132"/>
        <item h="1" x="133"/>
        <item h="1" x="134"/>
        <item h="1" m="1" x="167"/>
        <item h="1" x="136"/>
        <item h="1" x="137"/>
        <item h="1" x="138"/>
        <item h="1" x="139"/>
        <item h="1" x="141"/>
        <item h="1" x="142"/>
        <item h="1" x="143"/>
        <item h="1" x="135"/>
        <item h="1" x="140"/>
        <item h="1" x="144"/>
        <item h="1" x="145"/>
        <item h="1" x="146"/>
        <item x="147"/>
        <item x="148"/>
        <item x="149"/>
        <item x="150"/>
        <item x="151"/>
        <item x="152"/>
        <item x="153"/>
        <item x="154"/>
        <item x="155"/>
        <item x="156"/>
        <item x="157"/>
        <item x="158"/>
        <item x="159"/>
        <item x="160"/>
        <item x="161"/>
        <item x="162"/>
        <item x="163"/>
        <item x="164"/>
        <item x="165"/>
        <item x="166"/>
        <item t="default"/>
      </items>
    </pivotField>
    <pivotField axis="axisRow" compact="0" outline="0" showAll="0">
      <items count="471">
        <item x="1"/>
        <item x="31"/>
        <item x="37"/>
        <item x="0"/>
        <item x="6"/>
        <item x="7"/>
        <item x="18"/>
        <item x="22"/>
        <item x="26"/>
        <item x="35"/>
        <item x="15"/>
        <item x="34"/>
        <item x="5"/>
        <item x="8"/>
        <item x="27"/>
        <item x="2"/>
        <item x="36"/>
        <item x="23"/>
        <item x="13"/>
        <item x="11"/>
        <item x="20"/>
        <item x="3"/>
        <item x="33"/>
        <item x="14"/>
        <item x="30"/>
        <item x="4"/>
        <item x="28"/>
        <item x="29"/>
        <item x="12"/>
        <item x="10"/>
        <item x="21"/>
        <item x="19"/>
        <item x="24"/>
        <item x="25"/>
        <item x="9"/>
        <item x="16"/>
        <item x="17"/>
        <item x="32"/>
        <item x="38"/>
        <item x="39"/>
        <item x="40"/>
        <item x="41"/>
        <item x="42"/>
        <item x="43"/>
        <item x="44"/>
        <item x="45"/>
        <item x="46"/>
        <item x="47"/>
        <item x="49"/>
        <item x="48"/>
        <item x="50"/>
        <item x="51"/>
        <item x="52"/>
        <item x="54"/>
        <item x="56"/>
        <item x="57"/>
        <item x="58"/>
        <item x="59"/>
        <item x="60"/>
        <item x="53"/>
        <item x="55"/>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06"/>
        <item x="125"/>
        <item x="126"/>
        <item x="127"/>
        <item x="128"/>
        <item x="129"/>
        <item x="130"/>
        <item x="131"/>
        <item x="132"/>
        <item x="133"/>
        <item x="134"/>
        <item x="135"/>
        <item x="136"/>
        <item x="139"/>
        <item x="140"/>
        <item x="141"/>
        <item x="142"/>
        <item x="143"/>
        <item x="144"/>
        <item x="145"/>
        <item x="146"/>
        <item x="151"/>
        <item x="152"/>
        <item x="153"/>
        <item x="154"/>
        <item x="155"/>
        <item x="156"/>
        <item x="157"/>
        <item x="158"/>
        <item x="159"/>
        <item x="160"/>
        <item x="161"/>
        <item x="162"/>
        <item x="163"/>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x="217"/>
        <item x="218"/>
        <item x="219"/>
        <item x="220"/>
        <item x="221"/>
        <item x="222"/>
        <item x="223"/>
        <item x="224"/>
        <item x="225"/>
        <item x="226"/>
        <item x="227"/>
        <item x="228"/>
        <item x="229"/>
        <item x="237"/>
        <item x="230"/>
        <item x="231"/>
        <item x="232"/>
        <item x="233"/>
        <item x="234"/>
        <item x="235"/>
        <item x="236"/>
        <item x="238"/>
        <item x="239"/>
        <item x="240"/>
        <item x="241"/>
        <item x="242"/>
        <item x="243"/>
        <item x="244"/>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245"/>
        <item x="262"/>
        <item x="300"/>
        <item x="301"/>
        <item x="302"/>
        <item x="303"/>
        <item x="304"/>
        <item x="306"/>
        <item x="305"/>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2"/>
        <item x="363"/>
        <item x="364"/>
        <item x="365"/>
        <item x="366"/>
        <item x="367"/>
        <item x="368"/>
        <item x="369"/>
        <item x="370"/>
        <item x="371"/>
        <item x="372"/>
        <item x="361"/>
        <item x="373"/>
        <item x="374"/>
        <item x="375"/>
        <item x="376"/>
        <item x="377"/>
        <item x="378"/>
        <item x="379"/>
        <item x="380"/>
        <item x="381"/>
        <item x="382"/>
        <item x="383"/>
        <item x="385"/>
        <item x="387"/>
        <item x="388"/>
        <item x="389"/>
        <item x="390"/>
        <item x="391"/>
        <item x="392"/>
        <item x="393"/>
        <item x="394"/>
        <item x="396"/>
        <item x="397"/>
        <item x="384"/>
        <item x="386"/>
        <item x="395"/>
        <item x="398"/>
        <item x="399"/>
        <item x="400"/>
        <item x="401"/>
        <item x="402"/>
        <item x="403"/>
        <item x="404"/>
        <item x="405"/>
        <item x="406"/>
        <item x="407"/>
        <item x="408"/>
        <item x="409"/>
        <item x="410"/>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4"/>
        <item x="445"/>
        <item x="411"/>
        <item x="446"/>
        <item x="447"/>
        <item x="448"/>
        <item x="449"/>
        <item x="450"/>
        <item x="451"/>
        <item x="452"/>
        <item x="453"/>
        <item x="454"/>
        <item x="455"/>
        <item x="456"/>
        <item x="457"/>
        <item x="458"/>
        <item x="459"/>
        <item x="460"/>
        <item x="461"/>
        <item x="462"/>
        <item x="463"/>
        <item x="464"/>
        <item x="465"/>
        <item x="466"/>
        <item x="467"/>
        <item x="468"/>
        <item x="443"/>
        <item x="469"/>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93">
    <i>
      <x v="160"/>
      <x v="139"/>
    </i>
    <i r="1">
      <x v="395"/>
    </i>
    <i r="1">
      <x v="406"/>
    </i>
    <i t="default">
      <x v="160"/>
    </i>
    <i>
      <x v="161"/>
      <x v="407"/>
    </i>
    <i r="1">
      <x v="408"/>
    </i>
    <i t="default">
      <x v="161"/>
    </i>
    <i>
      <x v="162"/>
      <x v="409"/>
    </i>
    <i t="default">
      <x v="162"/>
    </i>
    <i>
      <x v="163"/>
      <x v="54"/>
    </i>
    <i r="1">
      <x v="410"/>
    </i>
    <i r="1">
      <x v="411"/>
    </i>
    <i r="1">
      <x v="412"/>
    </i>
    <i r="1">
      <x v="444"/>
    </i>
    <i t="default">
      <x v="163"/>
    </i>
    <i>
      <x v="164"/>
      <x v="413"/>
    </i>
    <i t="default">
      <x v="164"/>
    </i>
    <i>
      <x v="165"/>
      <x v="44"/>
    </i>
    <i r="1">
      <x v="48"/>
    </i>
    <i r="1">
      <x v="54"/>
    </i>
    <i r="1">
      <x v="414"/>
    </i>
    <i r="1">
      <x v="415"/>
    </i>
    <i r="1">
      <x v="416"/>
    </i>
    <i r="1">
      <x v="417"/>
    </i>
    <i r="1">
      <x v="418"/>
    </i>
    <i r="1">
      <x v="419"/>
    </i>
    <i t="default">
      <x v="165"/>
    </i>
    <i>
      <x v="166"/>
      <x v="420"/>
    </i>
    <i t="default">
      <x v="166"/>
    </i>
    <i>
      <x v="167"/>
      <x v="421"/>
    </i>
    <i r="1">
      <x v="422"/>
    </i>
    <i r="1">
      <x v="423"/>
    </i>
    <i r="1">
      <x v="424"/>
    </i>
    <i t="default">
      <x v="167"/>
    </i>
    <i>
      <x v="168"/>
      <x v="425"/>
    </i>
    <i r="1">
      <x v="426"/>
    </i>
    <i r="1">
      <x v="427"/>
    </i>
    <i r="1">
      <x v="428"/>
    </i>
    <i r="1">
      <x v="429"/>
    </i>
    <i r="1">
      <x v="430"/>
    </i>
    <i r="1">
      <x v="431"/>
    </i>
    <i r="1">
      <x v="432"/>
    </i>
    <i r="1">
      <x v="433"/>
    </i>
    <i r="1">
      <x v="434"/>
    </i>
    <i r="1">
      <x v="435"/>
    </i>
    <i r="1">
      <x v="436"/>
    </i>
    <i r="1">
      <x v="437"/>
    </i>
    <i r="1">
      <x v="438"/>
    </i>
    <i t="default">
      <x v="168"/>
    </i>
    <i>
      <x v="169"/>
      <x v="139"/>
    </i>
    <i r="1">
      <x v="439"/>
    </i>
    <i r="1">
      <x v="440"/>
    </i>
    <i r="1">
      <x v="441"/>
    </i>
    <i r="1">
      <x v="468"/>
    </i>
    <i t="default">
      <x v="169"/>
    </i>
    <i>
      <x v="170"/>
      <x v="442"/>
    </i>
    <i r="1">
      <x v="443"/>
    </i>
    <i t="default">
      <x v="170"/>
    </i>
    <i>
      <x v="171"/>
      <x v="445"/>
    </i>
    <i t="default">
      <x v="171"/>
    </i>
    <i>
      <x v="172"/>
      <x v="446"/>
    </i>
    <i r="1">
      <x v="447"/>
    </i>
    <i r="1">
      <x v="448"/>
    </i>
    <i r="1">
      <x v="449"/>
    </i>
    <i r="1">
      <x v="450"/>
    </i>
    <i r="1">
      <x v="451"/>
    </i>
    <i t="default">
      <x v="172"/>
    </i>
    <i>
      <x v="173"/>
      <x v="324"/>
    </i>
    <i r="1">
      <x v="452"/>
    </i>
    <i r="1">
      <x v="453"/>
    </i>
    <i t="default">
      <x v="173"/>
    </i>
    <i>
      <x v="174"/>
      <x v="454"/>
    </i>
    <i t="default">
      <x v="174"/>
    </i>
    <i>
      <x v="175"/>
      <x v="455"/>
    </i>
    <i t="default">
      <x v="175"/>
    </i>
    <i>
      <x v="176"/>
      <x v="456"/>
    </i>
    <i r="1">
      <x v="457"/>
    </i>
    <i r="1">
      <x v="458"/>
    </i>
    <i r="1">
      <x v="459"/>
    </i>
    <i t="default">
      <x v="176"/>
    </i>
    <i>
      <x v="177"/>
      <x v="460"/>
    </i>
    <i t="default">
      <x v="177"/>
    </i>
    <i>
      <x v="178"/>
      <x v="461"/>
    </i>
    <i r="1">
      <x v="462"/>
    </i>
    <i r="1">
      <x v="463"/>
    </i>
    <i r="1">
      <x v="464"/>
    </i>
    <i r="1">
      <x v="465"/>
    </i>
    <i r="1">
      <x v="466"/>
    </i>
    <i t="default">
      <x v="178"/>
    </i>
    <i>
      <x v="179"/>
      <x v="467"/>
    </i>
    <i r="1">
      <x v="469"/>
    </i>
    <i t="default">
      <x v="179"/>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0">
    <format dxfId="415">
      <pivotArea type="all" dataOnly="0" outline="0" fieldPosition="0"/>
    </format>
    <format dxfId="414">
      <pivotArea outline="0" collapsedLevelsAreSubtotals="1" fieldPosition="0"/>
    </format>
    <format dxfId="413">
      <pivotArea field="0" type="button" dataOnly="0" labelOnly="1" outline="0" axis="axisRow" fieldPosition="0"/>
    </format>
    <format dxfId="412">
      <pivotArea field="1" type="button" dataOnly="0" labelOnly="1" outline="0" axis="axisRow" fieldPosition="1"/>
    </format>
    <format dxfId="411">
      <pivotArea dataOnly="0" labelOnly="1" outline="0" fieldPosition="0">
        <references count="1">
          <reference field="0" count="0"/>
        </references>
      </pivotArea>
    </format>
    <format dxfId="410">
      <pivotArea dataOnly="0" labelOnly="1" outline="0" fieldPosition="0">
        <references count="1">
          <reference field="0" count="0" defaultSubtotal="1"/>
        </references>
      </pivotArea>
    </format>
    <format dxfId="409">
      <pivotArea dataOnly="0" labelOnly="1" grandRow="1" outline="0" fieldPosition="0"/>
    </format>
    <format dxfId="408">
      <pivotArea dataOnly="0" labelOnly="1" outline="0" fieldPosition="0">
        <references count="2">
          <reference field="0" count="1" selected="0">
            <x v="0"/>
          </reference>
          <reference field="1" count="2">
            <x v="0"/>
            <x v="3"/>
          </reference>
        </references>
      </pivotArea>
    </format>
    <format dxfId="407">
      <pivotArea dataOnly="0" labelOnly="1" outline="0" fieldPosition="0">
        <references count="2">
          <reference field="0" count="1" selected="0">
            <x v="1"/>
          </reference>
          <reference field="1" count="5">
            <x v="4"/>
            <x v="12"/>
            <x v="15"/>
            <x v="21"/>
            <x v="25"/>
          </reference>
        </references>
      </pivotArea>
    </format>
    <format dxfId="406">
      <pivotArea dataOnly="0" labelOnly="1" outline="0" fieldPosition="0">
        <references count="2">
          <reference field="0" count="1" selected="0">
            <x v="2"/>
          </reference>
          <reference field="1" count="5">
            <x v="5"/>
            <x v="13"/>
            <x v="19"/>
            <x v="29"/>
            <x v="34"/>
          </reference>
        </references>
      </pivotArea>
    </format>
    <format dxfId="405">
      <pivotArea dataOnly="0" labelOnly="1" outline="0" fieldPosition="0">
        <references count="2">
          <reference field="0" count="1" selected="0">
            <x v="3"/>
          </reference>
          <reference field="1" count="5">
            <x v="10"/>
            <x v="18"/>
            <x v="23"/>
            <x v="28"/>
            <x v="35"/>
          </reference>
        </references>
      </pivotArea>
    </format>
    <format dxfId="404">
      <pivotArea dataOnly="0" labelOnly="1" outline="0" fieldPosition="0">
        <references count="2">
          <reference field="0" count="1" selected="0">
            <x v="4"/>
          </reference>
          <reference field="1" count="1">
            <x v="36"/>
          </reference>
        </references>
      </pivotArea>
    </format>
    <format dxfId="403">
      <pivotArea dataOnly="0" labelOnly="1" outline="0" fieldPosition="0">
        <references count="2">
          <reference field="0" count="1" selected="0">
            <x v="5"/>
          </reference>
          <reference field="1" count="2">
            <x v="6"/>
            <x v="31"/>
          </reference>
        </references>
      </pivotArea>
    </format>
    <format dxfId="402">
      <pivotArea dataOnly="0" labelOnly="1" outline="0" fieldPosition="0">
        <references count="2">
          <reference field="0" count="1" selected="0">
            <x v="6"/>
          </reference>
          <reference field="1" count="2">
            <x v="20"/>
            <x v="30"/>
          </reference>
        </references>
      </pivotArea>
    </format>
    <format dxfId="401">
      <pivotArea dataOnly="0" labelOnly="1" outline="0" fieldPosition="0">
        <references count="2">
          <reference field="0" count="1" selected="0">
            <x v="7"/>
          </reference>
          <reference field="1" count="2">
            <x v="7"/>
            <x v="17"/>
          </reference>
        </references>
      </pivotArea>
    </format>
    <format dxfId="400">
      <pivotArea dataOnly="0" labelOnly="1" outline="0" fieldPosition="0">
        <references count="2">
          <reference field="0" count="1" selected="0">
            <x v="8"/>
          </reference>
          <reference field="1" count="7">
            <x v="8"/>
            <x v="14"/>
            <x v="24"/>
            <x v="26"/>
            <x v="27"/>
            <x v="32"/>
            <x v="33"/>
          </reference>
        </references>
      </pivotArea>
    </format>
    <format dxfId="399">
      <pivotArea dataOnly="0" labelOnly="1" outline="0" fieldPosition="0">
        <references count="2">
          <reference field="0" count="1" selected="0">
            <x v="11"/>
          </reference>
          <reference field="1" count="1">
            <x v="1"/>
          </reference>
        </references>
      </pivotArea>
    </format>
    <format dxfId="398">
      <pivotArea dataOnly="0" labelOnly="1" outline="0" fieldPosition="0">
        <references count="2">
          <reference field="0" count="1" selected="0">
            <x v="12"/>
          </reference>
          <reference field="1" count="1">
            <x v="22"/>
          </reference>
        </references>
      </pivotArea>
    </format>
    <format dxfId="397">
      <pivotArea dataOnly="0" labelOnly="1" outline="0" fieldPosition="0">
        <references count="2">
          <reference field="0" count="1" selected="0">
            <x v="13"/>
          </reference>
          <reference field="1" count="2">
            <x v="9"/>
            <x v="11"/>
          </reference>
        </references>
      </pivotArea>
    </format>
    <format dxfId="396">
      <pivotArea dataOnly="0" labelOnly="1" outline="0" fieldPosition="0">
        <references count="2">
          <reference field="0" count="1" selected="0">
            <x v="14"/>
          </reference>
          <reference field="1" count="2">
            <x v="2"/>
            <x v="16"/>
          </reference>
        </references>
      </pivotArea>
    </format>
    <format dxfId="395">
      <pivotArea dataOnly="0" labelOnly="1" outline="0" fieldPosition="0">
        <references count="1">
          <reference field="4294967294" count="8">
            <x v="0"/>
            <x v="1"/>
            <x v="2"/>
            <x v="3"/>
            <x v="4"/>
            <x v="5"/>
            <x v="6"/>
            <x v="7"/>
          </reference>
        </references>
      </pivotArea>
    </format>
    <format dxfId="394">
      <pivotArea outline="0" fieldPosition="0">
        <references count="1">
          <reference field="4294967294" count="3" selected="0">
            <x v="1"/>
            <x v="2"/>
            <x v="3"/>
          </reference>
        </references>
      </pivotArea>
    </format>
    <format dxfId="393">
      <pivotArea dataOnly="0" labelOnly="1" outline="0" fieldPosition="0">
        <references count="1">
          <reference field="4294967294" count="3">
            <x v="1"/>
            <x v="2"/>
            <x v="3"/>
          </reference>
        </references>
      </pivotArea>
    </format>
    <format dxfId="392">
      <pivotArea outline="0" fieldPosition="0">
        <references count="1">
          <reference field="4294967294" count="1" selected="0">
            <x v="6"/>
          </reference>
        </references>
      </pivotArea>
    </format>
    <format dxfId="391">
      <pivotArea dataOnly="0" labelOnly="1" outline="0" fieldPosition="0">
        <references count="1">
          <reference field="4294967294" count="1">
            <x v="6"/>
          </reference>
        </references>
      </pivotArea>
    </format>
    <format dxfId="390">
      <pivotArea outline="0" fieldPosition="0">
        <references count="1">
          <reference field="4294967294" count="1" selected="0">
            <x v="7"/>
          </reference>
        </references>
      </pivotArea>
    </format>
    <format dxfId="389">
      <pivotArea dataOnly="0" labelOnly="1" outline="0" fieldPosition="0">
        <references count="1">
          <reference field="4294967294" count="1">
            <x v="7"/>
          </reference>
        </references>
      </pivotArea>
    </format>
    <format dxfId="388">
      <pivotArea type="all" dataOnly="0" outline="0" fieldPosition="0"/>
    </format>
    <format dxfId="387">
      <pivotArea outline="0" collapsedLevelsAreSubtotals="1" fieldPosition="0"/>
    </format>
    <format dxfId="386">
      <pivotArea field="0" type="button" dataOnly="0" labelOnly="1" outline="0" axis="axisRow" fieldPosition="0"/>
    </format>
    <format dxfId="385">
      <pivotArea field="1" type="button" dataOnly="0" labelOnly="1" outline="0" axis="axisRow" fieldPosition="1"/>
    </format>
    <format dxfId="384">
      <pivotArea dataOnly="0" labelOnly="1" outline="0" fieldPosition="0">
        <references count="1">
          <reference field="0" count="0"/>
        </references>
      </pivotArea>
    </format>
    <format dxfId="383">
      <pivotArea dataOnly="0" labelOnly="1" outline="0" fieldPosition="0">
        <references count="1">
          <reference field="0" count="0" defaultSubtotal="1"/>
        </references>
      </pivotArea>
    </format>
    <format dxfId="382">
      <pivotArea dataOnly="0" labelOnly="1" grandRow="1" outline="0" fieldPosition="0"/>
    </format>
    <format dxfId="381">
      <pivotArea dataOnly="0" labelOnly="1" outline="0" fieldPosition="0">
        <references count="2">
          <reference field="0" count="1" selected="0">
            <x v="0"/>
          </reference>
          <reference field="1" count="2">
            <x v="0"/>
            <x v="3"/>
          </reference>
        </references>
      </pivotArea>
    </format>
    <format dxfId="380">
      <pivotArea dataOnly="0" labelOnly="1" outline="0" fieldPosition="0">
        <references count="2">
          <reference field="0" count="1" selected="0">
            <x v="1"/>
          </reference>
          <reference field="1" count="5">
            <x v="4"/>
            <x v="12"/>
            <x v="15"/>
            <x v="21"/>
            <x v="25"/>
          </reference>
        </references>
      </pivotArea>
    </format>
    <format dxfId="379">
      <pivotArea dataOnly="0" labelOnly="1" outline="0" fieldPosition="0">
        <references count="2">
          <reference field="0" count="1" selected="0">
            <x v="2"/>
          </reference>
          <reference field="1" count="5">
            <x v="5"/>
            <x v="13"/>
            <x v="19"/>
            <x v="29"/>
            <x v="34"/>
          </reference>
        </references>
      </pivotArea>
    </format>
    <format dxfId="378">
      <pivotArea dataOnly="0" labelOnly="1" outline="0" fieldPosition="0">
        <references count="2">
          <reference field="0" count="1" selected="0">
            <x v="3"/>
          </reference>
          <reference field="1" count="5">
            <x v="10"/>
            <x v="18"/>
            <x v="23"/>
            <x v="28"/>
            <x v="35"/>
          </reference>
        </references>
      </pivotArea>
    </format>
    <format dxfId="377">
      <pivotArea dataOnly="0" labelOnly="1" outline="0" fieldPosition="0">
        <references count="2">
          <reference field="0" count="1" selected="0">
            <x v="4"/>
          </reference>
          <reference field="1" count="1">
            <x v="36"/>
          </reference>
        </references>
      </pivotArea>
    </format>
    <format dxfId="376">
      <pivotArea dataOnly="0" labelOnly="1" outline="0" fieldPosition="0">
        <references count="2">
          <reference field="0" count="1" selected="0">
            <x v="5"/>
          </reference>
          <reference field="1" count="2">
            <x v="6"/>
            <x v="31"/>
          </reference>
        </references>
      </pivotArea>
    </format>
    <format dxfId="375">
      <pivotArea dataOnly="0" labelOnly="1" outline="0" fieldPosition="0">
        <references count="2">
          <reference field="0" count="1" selected="0">
            <x v="6"/>
          </reference>
          <reference field="1" count="2">
            <x v="20"/>
            <x v="30"/>
          </reference>
        </references>
      </pivotArea>
    </format>
    <format dxfId="374">
      <pivotArea dataOnly="0" labelOnly="1" outline="0" fieldPosition="0">
        <references count="2">
          <reference field="0" count="1" selected="0">
            <x v="7"/>
          </reference>
          <reference field="1" count="2">
            <x v="7"/>
            <x v="17"/>
          </reference>
        </references>
      </pivotArea>
    </format>
    <format dxfId="373">
      <pivotArea dataOnly="0" labelOnly="1" outline="0" fieldPosition="0">
        <references count="2">
          <reference field="0" count="1" selected="0">
            <x v="8"/>
          </reference>
          <reference field="1" count="7">
            <x v="8"/>
            <x v="14"/>
            <x v="24"/>
            <x v="26"/>
            <x v="27"/>
            <x v="32"/>
            <x v="33"/>
          </reference>
        </references>
      </pivotArea>
    </format>
    <format dxfId="372">
      <pivotArea dataOnly="0" labelOnly="1" outline="0" fieldPosition="0">
        <references count="2">
          <reference field="0" count="1" selected="0">
            <x v="11"/>
          </reference>
          <reference field="1" count="1">
            <x v="1"/>
          </reference>
        </references>
      </pivotArea>
    </format>
    <format dxfId="371">
      <pivotArea dataOnly="0" labelOnly="1" outline="0" fieldPosition="0">
        <references count="2">
          <reference field="0" count="1" selected="0">
            <x v="12"/>
          </reference>
          <reference field="1" count="1">
            <x v="22"/>
          </reference>
        </references>
      </pivotArea>
    </format>
    <format dxfId="370">
      <pivotArea dataOnly="0" labelOnly="1" outline="0" fieldPosition="0">
        <references count="2">
          <reference field="0" count="1" selected="0">
            <x v="13"/>
          </reference>
          <reference field="1" count="2">
            <x v="9"/>
            <x v="11"/>
          </reference>
        </references>
      </pivotArea>
    </format>
    <format dxfId="369">
      <pivotArea dataOnly="0" labelOnly="1" outline="0" fieldPosition="0">
        <references count="2">
          <reference field="0" count="1" selected="0">
            <x v="14"/>
          </reference>
          <reference field="1" count="2">
            <x v="2"/>
            <x v="16"/>
          </reference>
        </references>
      </pivotArea>
    </format>
    <format dxfId="368">
      <pivotArea dataOnly="0" labelOnly="1" outline="0" fieldPosition="0">
        <references count="1">
          <reference field="4294967294" count="8">
            <x v="0"/>
            <x v="1"/>
            <x v="2"/>
            <x v="3"/>
            <x v="4"/>
            <x v="5"/>
            <x v="6"/>
            <x v="7"/>
          </reference>
        </references>
      </pivotArea>
    </format>
    <format dxfId="367">
      <pivotArea outline="0" fieldPosition="0">
        <references count="1">
          <reference field="4294967294" count="1" selected="0">
            <x v="3"/>
          </reference>
        </references>
      </pivotArea>
    </format>
    <format dxfId="366">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340">
      <pivotArea field="-2" type="button" dataOnly="0" labelOnly="1" outline="0" axis="axisCol" fieldPosition="1"/>
    </format>
    <format dxfId="339">
      <pivotArea type="all" dataOnly="0" outline="0" fieldPosition="0"/>
    </format>
    <format dxfId="338">
      <pivotArea outline="0" collapsedLevelsAreSubtotals="1" fieldPosition="0"/>
    </format>
    <format dxfId="337">
      <pivotArea type="origin" dataOnly="0" labelOnly="1" outline="0" fieldPosition="0"/>
    </format>
    <format dxfId="336">
      <pivotArea field="-2" type="button" dataOnly="0" labelOnly="1" outline="0" axis="axisCol" fieldPosition="1"/>
    </format>
    <format dxfId="335">
      <pivotArea field="3" type="button" dataOnly="0" labelOnly="1" outline="0" axis="axisCol" fieldPosition="0"/>
    </format>
    <format dxfId="334">
      <pivotArea type="topRight" dataOnly="0" labelOnly="1" outline="0" fieldPosition="0"/>
    </format>
    <format dxfId="333">
      <pivotArea field="2" type="button" dataOnly="0" labelOnly="1" outline="0" axis="axisRow" fieldPosition="1"/>
    </format>
    <format dxfId="332">
      <pivotArea dataOnly="0" labelOnly="1" grandRow="1" outline="0" fieldPosition="0"/>
    </format>
    <format dxfId="331">
      <pivotArea type="all" dataOnly="0" outline="0" fieldPosition="0"/>
    </format>
    <format dxfId="330">
      <pivotArea outline="0" collapsedLevelsAreSubtotals="1" fieldPosition="0"/>
    </format>
    <format dxfId="329">
      <pivotArea type="origin" dataOnly="0" labelOnly="1" outline="0" fieldPosition="0"/>
    </format>
    <format dxfId="328">
      <pivotArea field="-2" type="button" dataOnly="0" labelOnly="1" outline="0" axis="axisCol" fieldPosition="1"/>
    </format>
    <format dxfId="327">
      <pivotArea field="3" type="button" dataOnly="0" labelOnly="1" outline="0" axis="axisCol" fieldPosition="0"/>
    </format>
    <format dxfId="326">
      <pivotArea type="topRight" dataOnly="0" labelOnly="1" outline="0" fieldPosition="0"/>
    </format>
    <format dxfId="325">
      <pivotArea field="2" type="button" dataOnly="0" labelOnly="1" outline="0" axis="axisRow" fieldPosition="1"/>
    </format>
    <format dxfId="324">
      <pivotArea dataOnly="0" labelOnly="1" grandRow="1" outline="0" fieldPosition="0"/>
    </format>
    <format dxfId="323">
      <pivotArea field="3" grandRow="1" outline="0" collapsedLevelsAreSubtotals="1" axis="axisCol" fieldPosition="0">
        <references count="2">
          <reference field="4294967294" count="2" selected="0">
            <x v="0"/>
            <x v="1"/>
          </reference>
          <reference field="3" count="1" selected="0">
            <x v="1"/>
          </reference>
        </references>
      </pivotArea>
    </format>
    <format dxfId="322">
      <pivotArea field="3" grandRow="1" outline="0" collapsedLevelsAreSubtotals="1" axis="axisCol" fieldPosition="0">
        <references count="2">
          <reference field="4294967294" count="1" selected="0">
            <x v="1"/>
          </reference>
          <reference field="3" count="1" selected="0">
            <x v="0"/>
          </reference>
        </references>
      </pivotArea>
    </format>
    <format dxfId="321">
      <pivotArea field="3" grandRow="1" outline="0" collapsedLevelsAreSubtotals="1" axis="axisCol" fieldPosition="0">
        <references count="2">
          <reference field="4294967294" count="1" selected="0">
            <x v="1"/>
          </reference>
          <reference field="3" count="1" selected="0">
            <x v="0"/>
          </reference>
        </references>
      </pivotArea>
    </format>
    <format dxfId="320">
      <pivotArea field="3" grandRow="1" outline="0" collapsedLevelsAreSubtotals="1" axis="axisCol" fieldPosition="0">
        <references count="2">
          <reference field="4294967294" count="1" selected="0">
            <x v="0"/>
          </reference>
          <reference field="3" count="1" selected="0">
            <x v="1"/>
          </reference>
        </references>
      </pivotArea>
    </format>
    <format dxfId="319">
      <pivotArea grandRow="1" grandCol="1" outline="0" collapsedLevelsAreSubtotals="1" fieldPosition="0">
        <references count="1">
          <reference field="4294967294" count="1" selected="0">
            <x v="1"/>
          </reference>
        </references>
      </pivotArea>
    </format>
    <format dxfId="318">
      <pivotArea field="3" grandRow="1" outline="0" collapsedLevelsAreSubtotals="1" axis="axisCol" fieldPosition="0">
        <references count="2">
          <reference field="4294967294" count="1" selected="0">
            <x v="0"/>
          </reference>
          <reference field="3" count="1" selected="0">
            <x v="0"/>
          </reference>
        </references>
      </pivotArea>
    </format>
    <format dxfId="317">
      <pivotArea field="3" grandRow="1" outline="0" collapsedLevelsAreSubtotals="1" axis="axisCol" fieldPosition="0">
        <references count="2">
          <reference field="4294967294" count="1" selected="0">
            <x v="0"/>
          </reference>
          <reference field="3" count="1" selected="0">
            <x v="0"/>
          </reference>
        </references>
      </pivotArea>
    </format>
    <format dxfId="316">
      <pivotArea field="3" grandRow="1" outline="0" collapsedLevelsAreSubtotals="1" axis="axisCol" fieldPosition="0">
        <references count="2">
          <reference field="4294967294" count="1" selected="0">
            <x v="0"/>
          </reference>
          <reference field="3" count="1" selected="0">
            <x v="1"/>
          </reference>
        </references>
      </pivotArea>
    </format>
    <format dxfId="315">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180">
        <i x="135"/>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6"/>
        <i x="137"/>
        <i x="138"/>
        <i x="139"/>
        <i x="140"/>
        <i x="141"/>
        <i x="142"/>
        <i x="143"/>
        <i x="144"/>
        <i x="145"/>
        <i x="146"/>
        <i x="147" s="1"/>
        <i x="148" s="1"/>
        <i x="149" s="1"/>
        <i x="150" s="1"/>
        <i x="151" s="1"/>
        <i x="152" s="1"/>
        <i x="153" s="1"/>
        <i x="154" s="1"/>
        <i x="155" s="1"/>
        <i x="156" s="1"/>
        <i x="157" s="1"/>
        <i x="158" s="1"/>
        <i x="159" s="1"/>
        <i x="160" s="1"/>
        <i x="161" s="1"/>
        <i x="162" s="1"/>
        <i x="163" s="1"/>
        <i x="164" s="1"/>
        <i x="165" s="1"/>
        <i x="166" s="1"/>
        <i x="173" nd="1"/>
        <i x="175" nd="1"/>
        <i x="178" nd="1"/>
        <i x="176" nd="1"/>
        <i x="177" nd="1"/>
        <i x="179" nd="1"/>
        <i x="174" nd="1"/>
        <i x="171" nd="1"/>
        <i x="172" nd="1"/>
        <i x="170" nd="1"/>
        <i x="169" nd="1"/>
        <i x="168" nd="1"/>
        <i x="16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470">
        <i x="408" s="1"/>
        <i x="454" s="1"/>
        <i x="420" s="1"/>
        <i x="424" s="1"/>
        <i x="410" s="1"/>
        <i x="460" s="1"/>
        <i x="457" s="1"/>
        <i x="465" s="1"/>
        <i x="458" s="1"/>
        <i x="411" s="1"/>
        <i x="409" s="1"/>
        <i x="453" s="1"/>
        <i x="440" s="1"/>
        <i x="468" s="1"/>
        <i x="443" s="1"/>
        <i x="384" s="1"/>
        <i x="141" s="1"/>
        <i x="466" s="1"/>
        <i x="421" s="1"/>
        <i x="456" s="1"/>
        <i x="435" s="1"/>
        <i x="433" s="1"/>
        <i x="434" s="1"/>
        <i x="412" s="1"/>
        <i x="451" s="1"/>
        <i x="449" s="1"/>
        <i x="432" s="1"/>
        <i x="459" s="1"/>
        <i x="406" s="1"/>
        <i x="469" s="1"/>
        <i x="442" s="1"/>
        <i x="430" s="1"/>
        <i x="461" s="1"/>
        <i x="428" s="1"/>
        <i x="431" s="1"/>
        <i x="429" s="1"/>
        <i x="426" s="1"/>
        <i x="415" s="1"/>
        <i x="427" s="1"/>
        <i x="441" s="1"/>
        <i x="407" s="1"/>
        <i x="416" s="1"/>
        <i x="417" s="1"/>
        <i x="448" s="1"/>
        <i x="467" s="1"/>
        <i x="463" s="1"/>
        <i x="446" s="1"/>
        <i x="455" s="1"/>
        <i x="419" s="1"/>
        <i x="452" s="1"/>
        <i x="418" s="1"/>
        <i x="462" s="1"/>
        <i x="414" s="1"/>
        <i x="450" s="1"/>
        <i x="445" s="1"/>
        <i x="464" s="1"/>
        <i x="439" s="1"/>
        <i x="447" s="1"/>
        <i x="324" s="1"/>
        <i x="444" s="1"/>
        <i x="413" s="1"/>
        <i x="49" s="1"/>
        <i x="56" s="1"/>
        <i x="422" s="1"/>
        <i x="423" s="1"/>
        <i x="44" s="1"/>
        <i x="438" s="1"/>
        <i x="437" s="1"/>
        <i x="436" s="1"/>
        <i x="425" s="1"/>
        <i x="252" s="1" nd="1"/>
        <i x="163" s="1" nd="1"/>
        <i x="66" s="1" nd="1"/>
        <i x="225" s="1" nd="1"/>
        <i x="205" s="1" nd="1"/>
        <i x="72" s="1" nd="1"/>
        <i x="119" s="1" nd="1"/>
        <i x="331" s="1" nd="1"/>
        <i x="226" s="1" nd="1"/>
        <i x="394" s="1" nd="1"/>
        <i x="96" s="1" nd="1"/>
        <i x="361" s="1" nd="1"/>
        <i x="229" s="1" nd="1"/>
        <i x="198" s="1" nd="1"/>
        <i x="219" s="1" nd="1"/>
        <i x="1" s="1" nd="1"/>
        <i x="31" s="1" nd="1"/>
        <i x="378" s="1" nd="1"/>
        <i x="114" s="1" nd="1"/>
        <i x="359" s="1" nd="1"/>
        <i x="126" s="1" nd="1"/>
        <i x="298" s="1" nd="1"/>
        <i x="236" s="1" nd="1"/>
        <i x="108" s="1" nd="1"/>
        <i x="232" s="1" nd="1"/>
        <i x="181" s="1" nd="1"/>
        <i x="320" s="1" nd="1"/>
        <i x="197" s="1" nd="1"/>
        <i x="183" s="1" nd="1"/>
        <i x="380" s="1" nd="1"/>
        <i x="37" s="1" nd="1"/>
        <i x="191" s="1" nd="1"/>
        <i x="75" s="1" nd="1"/>
        <i x="246" s="1" nd="1"/>
        <i x="340" s="1" nd="1"/>
        <i x="334" s="1" nd="1"/>
        <i x="391" s="1" nd="1"/>
        <i x="199" s="1" nd="1"/>
        <i x="336" s="1" nd="1"/>
        <i x="319" s="1" nd="1"/>
        <i x="144" s="1" nd="1"/>
        <i x="104" s="1" nd="1"/>
        <i x="0" s="1" nd="1"/>
        <i x="338" s="1" nd="1"/>
        <i x="177" s="1" nd="1"/>
        <i x="397" s="1" nd="1"/>
        <i x="207" s="1" nd="1"/>
        <i x="268" s="1" nd="1"/>
        <i x="396" s="1" nd="1"/>
        <i x="187" s="1" nd="1"/>
        <i x="6" s="1" nd="1"/>
        <i x="43" s="1" nd="1"/>
        <i x="238" s="1" nd="1"/>
        <i x="211" s="1" nd="1"/>
        <i x="7" s="1" nd="1"/>
        <i x="116" s="1" nd="1"/>
        <i x="389" s="1" nd="1"/>
        <i x="18" s="1" nd="1"/>
        <i x="137" s="1" nd="1"/>
        <i x="105" s="1" nd="1"/>
        <i x="155" s="1" nd="1"/>
        <i x="247" s="1" nd="1"/>
        <i x="204" s="1" nd="1"/>
        <i x="82" s="1" nd="1"/>
        <i x="285" s="1" nd="1"/>
        <i x="351" s="1" nd="1"/>
        <i x="52" s="1" nd="1"/>
        <i x="262" s="1" nd="1"/>
        <i x="318" s="1" nd="1"/>
        <i x="100" s="1" nd="1"/>
        <i x="369" s="1" nd="1"/>
        <i x="307" s="1" nd="1"/>
        <i x="78" s="1" nd="1"/>
        <i x="74" s="1" nd="1"/>
        <i x="73" s="1" nd="1"/>
        <i x="131" s="1" nd="1"/>
        <i x="97" s="1" nd="1"/>
        <i x="275" s="1" nd="1"/>
        <i x="286" s="1" nd="1"/>
        <i x="263" s="1" nd="1"/>
        <i x="99" s="1" nd="1"/>
        <i x="282" s="1" nd="1"/>
        <i x="218" s="1" nd="1"/>
        <i x="113" s="1" nd="1"/>
        <i x="279" s="1" nd="1"/>
        <i x="386" s="1" nd="1"/>
        <i x="395" s="1" nd="1"/>
        <i x="400" s="1" nd="1"/>
        <i x="32" s="1" nd="1"/>
        <i x="399" s="1" nd="1"/>
        <i x="365" s="1" nd="1"/>
        <i x="70" s="1" nd="1"/>
        <i x="230" s="1" nd="1"/>
        <i x="245" s="1" nd="1"/>
        <i x="352" s="1" nd="1"/>
        <i x="130" s="1" nd="1"/>
        <i x="101" s="1" nd="1"/>
        <i x="111" s="1" nd="1"/>
        <i x="337" s="1" nd="1"/>
        <i x="182" s="1" nd="1"/>
        <i x="210" s="1" nd="1"/>
        <i x="160" s="1" nd="1"/>
        <i x="22" s="1" nd="1"/>
        <i x="175" s="1" nd="1"/>
        <i x="293" s="1" nd="1"/>
        <i x="259" s="1" nd="1"/>
        <i x="194" s="1" nd="1"/>
        <i x="26" s="1" nd="1"/>
        <i x="127" s="1" nd="1"/>
        <i x="294" s="1" nd="1"/>
        <i x="228" s="1" nd="1"/>
        <i x="295" s="1" nd="1"/>
        <i x="179" s="1" nd="1"/>
        <i x="377" s="1" nd="1"/>
        <i x="347" s="1" nd="1"/>
        <i x="393" s="1" nd="1"/>
        <i x="206" s="1" nd="1"/>
        <i x="84" s="1" nd="1"/>
        <i x="260" s="1" nd="1"/>
        <i x="142" s="1" nd="1"/>
        <i x="220" s="1" nd="1"/>
        <i x="98" s="1" nd="1"/>
        <i x="234" s="1" nd="1"/>
        <i x="45" s="1" nd="1"/>
        <i x="281" s="1" nd="1"/>
        <i x="363" s="1" nd="1"/>
        <i x="221" s="1" nd="1"/>
        <i x="303" s="1" nd="1"/>
        <i x="239" s="1" nd="1"/>
        <i x="313" s="1" nd="1"/>
        <i x="339" s="1" nd="1"/>
        <i x="382" s="1" nd="1"/>
        <i x="193" s="1" nd="1"/>
        <i x="135" s="1" nd="1"/>
        <i x="35" s="1" nd="1"/>
        <i x="306" s="1" nd="1"/>
        <i x="192" s="1" nd="1"/>
        <i x="88" s="1" nd="1"/>
        <i x="143" s="1" nd="1"/>
        <i x="83" s="1" nd="1"/>
        <i x="63" s="1" nd="1"/>
        <i x="68" s="1" nd="1"/>
        <i x="231" s="1" nd="1"/>
        <i x="85" s="1" nd="1"/>
        <i x="321" s="1" nd="1"/>
        <i x="15" s="1" nd="1"/>
        <i x="152" s="1" nd="1"/>
        <i x="65" s="1" nd="1"/>
        <i x="255" s="1" nd="1"/>
        <i x="383" s="1" nd="1"/>
        <i x="151" s="1" nd="1"/>
        <i x="125" s="1" nd="1"/>
        <i x="92" s="1" nd="1"/>
        <i x="165" s="1" nd="1"/>
        <i x="153" s="1" nd="1"/>
        <i x="159" s="1" nd="1"/>
        <i x="216" s="1" nd="1"/>
        <i x="404" s="1" nd="1"/>
        <i x="140" s="1" nd="1"/>
        <i x="258" s="1" nd="1"/>
        <i x="403" s="1" nd="1"/>
        <i x="296" s="1" nd="1"/>
        <i x="214" s="1" nd="1"/>
        <i x="233" s="1" nd="1"/>
        <i x="345" s="1" nd="1"/>
        <i x="299" s="1" nd="1"/>
        <i x="117" s="1" nd="1"/>
        <i x="178" s="1" nd="1"/>
        <i x="90" s="1" nd="1"/>
        <i x="367" s="1" nd="1"/>
        <i x="190" s="1" nd="1"/>
        <i x="145" s="1" nd="1"/>
        <i x="273" s="1" nd="1"/>
        <i x="138" s="1" nd="1"/>
        <i x="110" s="1" nd="1"/>
        <i x="136" s="1" nd="1"/>
        <i x="34" s="1" nd="1"/>
        <i x="146" s="1" nd="1"/>
        <i x="308" s="1" nd="1"/>
        <i x="5" s="1" nd="1"/>
        <i x="167" s="1" nd="1"/>
        <i x="8" s="1" nd="1"/>
        <i x="71" s="1" nd="1"/>
        <i x="123" s="1" nd="1"/>
        <i x="261" s="1" nd="1"/>
        <i x="280" s="1" nd="1"/>
        <i x="387" s="1" nd="1"/>
        <i x="186" s="1" nd="1"/>
        <i x="118" s="1" nd="1"/>
        <i x="122" s="1" nd="1"/>
        <i x="316" s="1" nd="1"/>
        <i x="317" s="1" nd="1"/>
        <i x="62" s="1" nd="1"/>
        <i x="388" s="1" nd="1"/>
        <i x="215" s="1" nd="1"/>
        <i x="102" s="1" nd="1"/>
        <i x="103" s="1" nd="1"/>
        <i x="91" s="1" nd="1"/>
        <i x="115" s="1" nd="1"/>
        <i x="53" s="1" nd="1"/>
        <i x="55" s="1" nd="1"/>
        <i x="343" s="1" nd="1"/>
        <i x="297" s="1" nd="1"/>
        <i x="47" s="1" nd="1"/>
        <i x="195" s="1" nd="1"/>
        <i x="176" s="1" nd="1"/>
        <i x="27" s="1" nd="1"/>
        <i x="157" s="1" nd="1"/>
        <i x="87" s="1" nd="1"/>
        <i x="86" s="1" nd="1"/>
        <i x="124" s="1" nd="1"/>
        <i x="2" s="1" nd="1"/>
        <i x="274" s="1" nd="1"/>
        <i x="237" s="1" nd="1"/>
        <i x="189" s="1" nd="1"/>
        <i x="41" s="1" nd="1"/>
        <i x="276" s="1" nd="1"/>
        <i x="385" s="1" nd="1"/>
        <i x="174" s="1" nd="1"/>
        <i x="227" s="1" nd="1"/>
        <i x="180" s="1" nd="1"/>
        <i x="350" s="1" nd="1"/>
        <i x="283" s="1" nd="1"/>
        <i x="353" s="1" nd="1"/>
        <i x="61" s="1" nd="1"/>
        <i x="67" s="1" nd="1"/>
        <i x="121" s="1" nd="1"/>
        <i x="360" s="1" nd="1"/>
        <i x="362" s="1" nd="1"/>
        <i x="166" s="1" nd="1"/>
        <i x="291" s="1" nd="1"/>
        <i x="370" s="1" nd="1"/>
        <i x="371" s="1" nd="1"/>
        <i x="405" s="1" nd="1"/>
        <i x="128" s="1" nd="1"/>
        <i x="402" s="1" nd="1"/>
        <i x="79" s="1" nd="1"/>
        <i x="201" s="1" nd="1"/>
        <i x="202" s="1" nd="1"/>
        <i x="304" s="1" nd="1"/>
        <i x="208" s="1" nd="1"/>
        <i x="309" s="1" nd="1"/>
        <i x="312" s="1" nd="1"/>
        <i x="330" s="1" nd="1"/>
        <i x="36" s="1" nd="1"/>
        <i x="379" s="1" nd="1"/>
        <i x="89" s="1" nd="1"/>
        <i x="46" s="1" nd="1"/>
        <i x="93" s="1" nd="1"/>
        <i x="257" s="1" nd="1"/>
        <i x="222" s="1" nd="1"/>
        <i x="162" s="1" nd="1"/>
        <i x="265" s="1" nd="1"/>
        <i x="64" s="1" nd="1"/>
        <i x="23" s="1" nd="1"/>
        <i x="38" s="1" nd="1"/>
        <i x="373" s="1" nd="1"/>
        <i x="287" s="1" nd="1"/>
        <i x="203" s="1" nd="1"/>
        <i x="50" s="1" nd="1"/>
        <i x="269" s="1" nd="1"/>
        <i x="13" s="1" nd="1"/>
        <i x="11" s="1" nd="1"/>
        <i x="107" s="1" nd="1"/>
        <i x="76" s="1" nd="1"/>
        <i x="139" s="1" nd="1"/>
        <i x="271" s="1" nd="1"/>
        <i x="40" s="1" nd="1"/>
        <i x="20" s="1" nd="1"/>
        <i x="300" s="1" nd="1"/>
        <i x="148" s="1" nd="1"/>
        <i x="241" s="1" nd="1"/>
        <i x="149" s="1" nd="1"/>
        <i x="134" s="1" nd="1"/>
        <i x="150" s="1" nd="1"/>
        <i x="284" s="1" nd="1"/>
        <i x="381" s="1" nd="1"/>
        <i x="168" s="1" nd="1"/>
        <i x="3" s="1" nd="1"/>
        <i x="209" s="1" nd="1"/>
        <i x="33" s="1" nd="1"/>
        <i x="301" s="1" nd="1"/>
        <i x="242" s="1" nd="1"/>
        <i x="147" s="1" nd="1"/>
        <i x="200" s="1" nd="1"/>
        <i x="217" s="1" nd="1"/>
        <i x="69" s="1" nd="1"/>
        <i x="290" s="1" nd="1"/>
        <i x="188" s="1" nd="1"/>
        <i x="184" s="1" nd="1"/>
        <i x="14" s="1" nd="1"/>
        <i x="277" s="1" nd="1"/>
        <i x="322" s="1" nd="1"/>
        <i x="106" s="1" nd="1"/>
        <i x="30" s="1" nd="1"/>
        <i x="58" s="1" nd="1"/>
        <i x="196" s="1" nd="1"/>
        <i x="51" s="1" nd="1"/>
        <i x="60" s="1" nd="1"/>
        <i x="59" s="1" nd="1"/>
        <i x="54" s="1" nd="1"/>
        <i x="4" s="1" nd="1"/>
        <i x="288" s="1" nd="1"/>
        <i x="254" s="1" nd="1"/>
        <i x="185" s="1" nd="1"/>
        <i x="250" s="1" nd="1"/>
        <i x="94" s="1" nd="1"/>
        <i x="264" s="1" nd="1"/>
        <i x="243" s="1" nd="1"/>
        <i x="112" s="1" nd="1"/>
        <i x="364" s="1" nd="1"/>
        <i x="240" s="1" nd="1"/>
        <i x="42" s="1" nd="1"/>
        <i x="132" s="1" nd="1"/>
        <i x="272" s="1" nd="1"/>
        <i x="270" s="1" nd="1"/>
        <i x="77" s="1" nd="1"/>
        <i x="169" s="1" nd="1"/>
        <i x="292" s="1" nd="1"/>
        <i x="342" s="1" nd="1"/>
        <i x="133" s="1" nd="1"/>
        <i x="80" s="1" nd="1"/>
        <i x="311" s="1" nd="1"/>
        <i x="223" s="1" nd="1"/>
        <i x="332" s="1" nd="1"/>
        <i x="314" s="1" nd="1"/>
        <i x="266" s="1" nd="1"/>
        <i x="248" s="1" nd="1"/>
        <i x="372" s="1" nd="1"/>
        <i x="249" s="1" nd="1"/>
        <i x="256" s="1" nd="1"/>
        <i x="327" s="1" nd="1"/>
        <i x="267" s="1" nd="1"/>
        <i x="244" s="1" nd="1"/>
        <i x="326" s="1" nd="1"/>
        <i x="346" s="1" nd="1"/>
        <i x="278" s="1" nd="1"/>
        <i x="358" s="1" nd="1"/>
        <i x="289" s="1" nd="1"/>
        <i x="329" s="1" nd="1"/>
        <i x="235" s="1" nd="1"/>
        <i x="81" s="1" nd="1"/>
        <i x="28" s="1" nd="1"/>
        <i x="398" s="1" nd="1"/>
        <i x="158" s="1" nd="1"/>
        <i x="48" s="1" nd="1"/>
        <i x="348" s="1" nd="1"/>
        <i x="349" s="1" nd="1"/>
        <i x="333" s="1" nd="1"/>
        <i x="354" s="1" nd="1"/>
        <i x="328" s="1" nd="1"/>
        <i x="29" s="1" nd="1"/>
        <i x="156" s="1" nd="1"/>
        <i x="12" s="1" nd="1"/>
        <i x="374" s="1" nd="1"/>
        <i x="39" s="1" nd="1"/>
        <i x="357" s="1" nd="1"/>
        <i x="355" s="1" nd="1"/>
        <i x="366" s="1" nd="1"/>
        <i x="356" s="1" nd="1"/>
        <i x="368" s="1" nd="1"/>
        <i x="344" s="1" nd="1"/>
        <i x="10" s="1" nd="1"/>
        <i x="310" s="1" nd="1"/>
        <i x="154" s="1" nd="1"/>
        <i x="305" s="1" nd="1"/>
        <i x="224" s="1" nd="1"/>
        <i x="170" s="1" nd="1"/>
        <i x="375" s="1" nd="1"/>
        <i x="129" s="1" nd="1"/>
        <i x="315" s="1" nd="1"/>
        <i x="341" s="1" nd="1"/>
        <i x="21" s="1" nd="1"/>
        <i x="19" s="1" nd="1"/>
        <i x="120" s="1" nd="1"/>
        <i x="24" s="1" nd="1"/>
        <i x="213" s="1" nd="1"/>
        <i x="392" s="1" nd="1"/>
        <i x="25" s="1" nd="1"/>
        <i x="251" s="1" nd="1"/>
        <i x="9" s="1" nd="1"/>
        <i x="401" s="1" nd="1"/>
        <i x="172" s="1" nd="1"/>
        <i x="164" s="1" nd="1"/>
        <i x="109" s="1" nd="1"/>
        <i x="16" s="1" nd="1"/>
        <i x="390" s="1" nd="1"/>
        <i x="171" s="1" nd="1"/>
        <i x="212" s="1" nd="1"/>
        <i x="253" s="1" nd="1"/>
        <i x="325" s="1" nd="1"/>
        <i x="302" s="1" nd="1"/>
        <i x="335" s="1" nd="1"/>
        <i x="17" s="1" nd="1"/>
        <i x="161" s="1" nd="1"/>
        <i x="376" s="1" nd="1"/>
        <i x="323" s="1" nd="1"/>
        <i x="57" s="1" nd="1"/>
        <i x="95" s="1" nd="1"/>
        <i x="17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174"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1180" totalsRowCount="1" dataDxfId="461" headerRowBorderDxfId="462" tableBorderDxfId="460" totalsRowBorderDxfId="459">
  <autoFilter ref="A1:G1179" xr:uid="{CE11E26F-5DA0-4560-8DD2-2C1FAA82A54A}"/>
  <tableColumns count="7">
    <tableColumn id="1" xr3:uid="{69F286A0-EEF2-4676-8F20-12B7E0114C0B}" name="CODE" dataDxfId="458" totalsRowDxfId="313"/>
    <tableColumn id="2" xr3:uid="{CCCFC7D4-D584-443E-8449-49C32F8BDE15}" name="WEIGHT" dataDxfId="457" totalsRowDxfId="312"/>
    <tableColumn id="3" xr3:uid="{EFE7AA1F-9577-4ED9-93AD-64C72773C1C6}" name="MELTING" dataDxfId="456" totalsRowDxfId="311"/>
    <tableColumn id="4" xr3:uid="{406E336F-0286-4285-9C70-0A0E89FE868F}" name="WASTAGE" dataDxfId="455" totalsRowDxfId="310"/>
    <tableColumn id="5" xr3:uid="{4BCA5996-B935-4BCB-AAA0-EAC723B62A04}" name="PURE-RATE" dataDxfId="454" totalsRowDxfId="309"/>
    <tableColumn id="6" xr3:uid="{695F522B-E05A-4580-8577-EB69E48F5B0A}" name="AMOUNT" dataDxfId="453" totalsRowDxfId="308" dataCellStyle="Currency">
      <calculatedColumnFormula>(((B2*C2)/100)*E2)</calculatedColumnFormula>
    </tableColumn>
    <tableColumn id="7" xr3:uid="{0071A262-5C3F-4267-8743-D8E61DCA8064}" name="Column1" dataDxfId="452" totalsRowDxfId="30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7" totalsRowShown="0" headerRowDxfId="451" dataDxfId="450" tableBorderDxfId="449">
  <autoFilter ref="H1:H37" xr:uid="{3074AD1D-8428-4A28-BCDF-4260CD40CAA7}"/>
  <tableColumns count="1">
    <tableColumn id="1" xr3:uid="{CC44D809-7298-4098-A777-CA9963717A6C}" name="LIST-ITEMS" dataDxfId="4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532" totalsRowShown="0" headerRowDxfId="447" dataDxfId="445" headerRowBorderDxfId="446" tableBorderDxfId="444">
  <autoFilter ref="A1:R532" xr:uid="{D559748F-BFD9-4011-9A94-FB7F0B3DE502}"/>
  <tableColumns count="18">
    <tableColumn id="1" xr3:uid="{BCC0640F-B301-4962-A13E-693EA27E9384}" name="DATE" dataDxfId="443"/>
    <tableColumn id="2" xr3:uid="{632979B4-A65A-4336-8FED-1F622C593FA9}" name="ITEMS-CODE" dataDxfId="442">
      <calculatedColumnFormula>C2&amp;D2</calculatedColumnFormula>
    </tableColumn>
    <tableColumn id="3" xr3:uid="{DE23FE06-3786-4B3B-A1A1-5FA0EBDA676B}" name="Column2" dataDxfId="441"/>
    <tableColumn id="4" xr3:uid="{C7280CA8-C335-4396-B3D2-949B8674C180}" name="Column1" dataDxfId="440"/>
    <tableColumn id="5" xr3:uid="{981994EE-7D07-4162-B032-AB7D9B542234}" name="WEIGHT" dataDxfId="439">
      <calculatedColumnFormula>VLOOKUP(B2,'ALL-DATA'!A:F,2,FALSE)</calculatedColumnFormula>
    </tableColumn>
    <tableColumn id="6" xr3:uid="{ACB8CAB0-2E89-42C4-925A-8EFE8B4DE8E6}" name="MELTING" dataDxfId="438">
      <calculatedColumnFormula>VLOOKUP(B2,'ALL-DATA'!A:F,3,FALSE)</calculatedColumnFormula>
    </tableColumn>
    <tableColumn id="7" xr3:uid="{BB50ADA8-A2B7-458B-899E-C354623EF7B8}" name="WASTAGE" dataDxfId="437">
      <calculatedColumnFormula>VLOOKUP(B2,'ALL-DATA'!A:F,4,FALSE)</calculatedColumnFormula>
    </tableColumn>
    <tableColumn id="8" xr3:uid="{FE48D218-20C2-4455-9C2E-082462AE9E11}" name="P-RATE" dataDxfId="436">
      <calculatedColumnFormula>VLOOKUP(B2,'ALL-DATA'!A:F,5,FALSE)</calculatedColumnFormula>
    </tableColumn>
    <tableColumn id="9" xr3:uid="{A26E7132-F59B-4EAB-A29C-D0BF38C06394}" name="ORIGINAL PRICE" dataDxfId="435">
      <calculatedColumnFormula>VLOOKUP(B2,'ALL-DATA'!A:F,6,FALSE)</calculatedColumnFormula>
    </tableColumn>
    <tableColumn id="10" xr3:uid="{6704F10D-D0AA-497A-8656-8C91AFCB0FCA}" name="CASH-CUST" dataDxfId="434" dataCellStyle="Currency"/>
    <tableColumn id="11" xr3:uid="{23B448B1-EDA9-4A66-8D46-152CEF6F2C40}" name="BALANCE" dataDxfId="433" dataCellStyle="Currency"/>
    <tableColumn id="12" xr3:uid="{FF50997D-D1EF-4D37-BB45-28EFB61CE735}" name="PROFIT" dataDxfId="432">
      <calculatedColumnFormula>((J2+R2)-I2)</calculatedColumnFormula>
    </tableColumn>
    <tableColumn id="13" xr3:uid="{093792D9-FB37-4A46-9695-0689BD4B93B7}" name="OLD-WT" dataDxfId="431"/>
    <tableColumn id="14" xr3:uid="{99D0D025-7B26-472D-94EC-CA3C1DB55C39}" name="MELTING2" dataDxfId="430"/>
    <tableColumn id="15" xr3:uid="{736C2555-369D-46C2-AB26-99F7655B5BF4}" name="P-RATE3" dataDxfId="429"/>
    <tableColumn id="16" xr3:uid="{C433728E-F663-40C1-8958-8A09264A93A7}" name="OLD-AMT" dataDxfId="428"/>
    <tableColumn id="17" xr3:uid="{DA3EDDED-698A-432E-B1BA-B0BC3CA82E4E}" name="CASH-FR-ITM" dataDxfId="427"/>
    <tableColumn id="18" xr3:uid="{08F98A96-C576-4F72-BB6C-F763760CE147}" name="PROFIT-LOSS" dataDxfId="4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31" totalsRowShown="0" headerRowDxfId="425" headerRowBorderDxfId="424" tableBorderDxfId="423" headerRowCellStyle="Currency">
  <autoFilter ref="T1:Z31" xr:uid="{8D28C98E-9B61-4EDE-B19D-FF4A1568BF5B}"/>
  <tableColumns count="7">
    <tableColumn id="1" xr3:uid="{37A466B7-6B1A-4EED-B6C6-194ACB682C59}" name="ORIGINAL COST" dataDxfId="422"/>
    <tableColumn id="2" xr3:uid="{32551AD3-13A2-4059-B441-AB5B3F31999E}" name="CUST TO GIVE" dataDxfId="421"/>
    <tableColumn id="3" xr3:uid="{A4A96C0E-21AF-4E11-9CFF-E048A5452E45}" name="TOTAL PROFIT" dataDxfId="420"/>
    <tableColumn id="4" xr3:uid="{3D746714-42EC-4548-973F-4671683EAD65}" name="SELAVU " dataDxfId="419"/>
    <tableColumn id="5" xr3:uid="{AF1857ED-1B8D-48DA-B6F2-5B65426EC259}" name="ORIGINAL PRF" dataDxfId="418"/>
    <tableColumn id="6" xr3:uid="{C5D4ACC7-4F64-42BA-B5CE-7302ECD10037}" name="NAME AND DATE" dataDxfId="417"/>
    <tableColumn id="7" xr3:uid="{B16B99D1-42F7-44C0-A2DA-1B692D76B79B}" name="INVENSMENT" dataDxfId="416"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365">
  <autoFilter ref="P1:R3" xr:uid="{EF1183E3-53D3-44C9-8455-1F3B49743AED}"/>
  <tableColumns count="3">
    <tableColumn id="1" xr3:uid="{48950C7C-D1A7-4EC9-BDEC-2B6A0D60060C}" name="DATE" dataDxfId="364"/>
    <tableColumn id="2" xr3:uid="{163489B0-3607-425F-9622-886133A1FEFC}" name="TOT GOLD " dataDxfId="363"/>
    <tableColumn id="3" xr3:uid="{75A462AE-D6D7-4274-87CA-0242A511DC82}" name="TOT SILVER" dataDxfId="36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361">
  <autoFilter ref="A1:J14" xr:uid="{102DB102-99E4-4D92-895B-AF387335B24A}"/>
  <tableColumns count="10">
    <tableColumn id="1" xr3:uid="{E30E2E0D-C8D4-4206-8C7E-ADBD88830618}" name="DATE " totalsRowLabel="09-11-24" dataDxfId="360" totalsRowDxfId="359"/>
    <tableColumn id="2" xr3:uid="{99ED489A-AC2C-4B18-963A-82026FAC2132}" name="PLACE" totalsRowLabel="DGL" dataDxfId="358" totalsRowDxfId="357"/>
    <tableColumn id="3" xr3:uid="{BA9032EF-A37C-44B5-9FD6-64F571B8C5E1}" name="NAME" totalsRowLabel="SKANDHA SILVERS" dataDxfId="356" totalsRowDxfId="355"/>
    <tableColumn id="4" xr3:uid="{9FE1E9B9-9FB8-42DA-9D95-404EBB5042DF}" name="ITEMS" totalsRowLabel="SILVER" dataDxfId="354" totalsRowDxfId="353"/>
    <tableColumn id="5" xr3:uid="{8449BE7C-ACD3-4708-A7FA-6AB7CB4ED579}" name="WEIGHT" dataDxfId="352" totalsRowDxfId="351"/>
    <tableColumn id="6" xr3:uid="{08537663-66CD-486F-A61C-77574A76A020}" name="RATE" dataDxfId="350" totalsRowDxfId="349"/>
    <tableColumn id="7" xr3:uid="{086EDE55-5F41-4CFE-812E-B1DEC0F48D2A}" name="AMOUNT" dataDxfId="348" totalsRowDxfId="347" dataCellStyle="Currency" totalsRowCellStyle="Currency"/>
    <tableColumn id="8" xr3:uid="{87452D23-DFFA-4C41-9E1C-D74971B483A8}" name="GST" dataDxfId="346" totalsRowDxfId="345">
      <calculatedColumnFormula>((((100/103)*G2)*1.5)/100)*2</calculatedColumnFormula>
    </tableColumn>
    <tableColumn id="9" xr3:uid="{9EF7EDA0-5E22-46A7-827F-D3D9916B6ED1}" name="TOTAL GOLD" dataDxfId="344" totalsRowDxfId="343"/>
    <tableColumn id="10" xr3:uid="{A9174459-7F82-46B0-AB09-31496B2E80E3}" name="TOTAL SIVER" dataDxfId="342" totalsRowDxfId="34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314">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9-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sheetPr codeName="Sheet1"/>
  <dimension ref="A1:H1342"/>
  <sheetViews>
    <sheetView zoomScaleNormal="100" workbookViewId="0">
      <pane ySplit="1" topLeftCell="A1338" activePane="bottomLeft" state="frozen"/>
      <selection activeCell="M131" sqref="M131:O131"/>
      <selection pane="bottomLeft" activeCell="A1342" sqref="A1342"/>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25" customWidth="1"/>
    <col min="7" max="7" width="8.5546875" style="1"/>
    <col min="8" max="8" width="33.88671875" style="1" bestFit="1" customWidth="1"/>
    <col min="9" max="16384" width="8.5546875" style="1"/>
  </cols>
  <sheetData>
    <row r="1" spans="1:8" x14ac:dyDescent="0.45">
      <c r="A1" s="112" t="s">
        <v>0</v>
      </c>
      <c r="B1" s="113" t="s">
        <v>1</v>
      </c>
      <c r="C1" s="114" t="s">
        <v>2</v>
      </c>
      <c r="D1" s="114" t="s">
        <v>3</v>
      </c>
      <c r="E1" s="115" t="s">
        <v>4</v>
      </c>
      <c r="F1" s="116" t="s">
        <v>5</v>
      </c>
      <c r="G1" s="97" t="s">
        <v>698</v>
      </c>
      <c r="H1" s="1" t="s">
        <v>750</v>
      </c>
    </row>
    <row r="2" spans="1:8" x14ac:dyDescent="0.45">
      <c r="A2" s="8" t="s">
        <v>6</v>
      </c>
      <c r="B2" s="4">
        <v>2.72</v>
      </c>
      <c r="C2" s="5">
        <v>98</v>
      </c>
      <c r="D2" s="5">
        <f>92-C2</f>
        <v>-6</v>
      </c>
      <c r="E2" s="6">
        <v>7218.2</v>
      </c>
      <c r="F2" s="69">
        <f>(((B2*C2)/100)*E2)</f>
        <v>19240.833920000001</v>
      </c>
      <c r="G2" s="8"/>
      <c r="H2" s="285" t="s">
        <v>717</v>
      </c>
    </row>
    <row r="3" spans="1:8" x14ac:dyDescent="0.45">
      <c r="A3" s="8" t="s">
        <v>7</v>
      </c>
      <c r="B3" s="4">
        <v>2.0299999999999998</v>
      </c>
      <c r="C3" s="5">
        <v>96.75</v>
      </c>
      <c r="D3" s="5">
        <f t="shared" ref="D3:D38" si="0">92-C3</f>
        <v>-4.75</v>
      </c>
      <c r="E3" s="6">
        <v>7218.2</v>
      </c>
      <c r="F3" s="69">
        <f t="shared" ref="F3:F38" si="1">(((B3*C3)/100)*E3)</f>
        <v>14176.725254999998</v>
      </c>
      <c r="G3" s="8"/>
      <c r="H3" s="286" t="s">
        <v>718</v>
      </c>
    </row>
    <row r="4" spans="1:8" x14ac:dyDescent="0.45">
      <c r="A4" s="8" t="s">
        <v>8</v>
      </c>
      <c r="B4" s="4">
        <v>2.2200000000000002</v>
      </c>
      <c r="C4" s="5">
        <v>96.75</v>
      </c>
      <c r="D4" s="5">
        <f t="shared" si="0"/>
        <v>-4.75</v>
      </c>
      <c r="E4" s="6">
        <v>7218.2</v>
      </c>
      <c r="F4" s="69">
        <f t="shared" si="1"/>
        <v>15503.61087</v>
      </c>
      <c r="G4" s="8"/>
      <c r="H4" s="287" t="s">
        <v>719</v>
      </c>
    </row>
    <row r="5" spans="1:8" x14ac:dyDescent="0.45">
      <c r="A5" s="8" t="s">
        <v>9</v>
      </c>
      <c r="B5" s="4">
        <v>2.1</v>
      </c>
      <c r="C5" s="5">
        <v>96.75</v>
      </c>
      <c r="D5" s="5">
        <f t="shared" si="0"/>
        <v>-4.75</v>
      </c>
      <c r="E5" s="6">
        <v>7218.2</v>
      </c>
      <c r="F5" s="69">
        <f t="shared" si="1"/>
        <v>14665.577850000001</v>
      </c>
      <c r="G5" s="8"/>
      <c r="H5" s="288" t="s">
        <v>720</v>
      </c>
    </row>
    <row r="6" spans="1:8" x14ac:dyDescent="0.45">
      <c r="A6" s="8" t="s">
        <v>10</v>
      </c>
      <c r="B6" s="4">
        <v>1.98</v>
      </c>
      <c r="C6" s="5">
        <v>96.75</v>
      </c>
      <c r="D6" s="5">
        <f t="shared" si="0"/>
        <v>-4.75</v>
      </c>
      <c r="E6" s="6">
        <v>7218.2</v>
      </c>
      <c r="F6" s="69">
        <f t="shared" si="1"/>
        <v>13827.544830000001</v>
      </c>
      <c r="G6" s="8"/>
      <c r="H6" s="289" t="s">
        <v>721</v>
      </c>
    </row>
    <row r="7" spans="1:8" x14ac:dyDescent="0.45">
      <c r="A7" s="8" t="s">
        <v>11</v>
      </c>
      <c r="B7" s="4">
        <v>2.12</v>
      </c>
      <c r="C7" s="5">
        <v>96.75</v>
      </c>
      <c r="D7" s="5">
        <f t="shared" si="0"/>
        <v>-4.75</v>
      </c>
      <c r="E7" s="6">
        <v>7218.2</v>
      </c>
      <c r="F7" s="69">
        <f t="shared" si="1"/>
        <v>14805.250019999999</v>
      </c>
      <c r="G7" s="8"/>
      <c r="H7" s="286" t="s">
        <v>722</v>
      </c>
    </row>
    <row r="8" spans="1:8" x14ac:dyDescent="0.45">
      <c r="A8" s="8" t="s">
        <v>12</v>
      </c>
      <c r="B8" s="4">
        <v>2.13</v>
      </c>
      <c r="C8" s="5">
        <v>96.75</v>
      </c>
      <c r="D8" s="5">
        <f t="shared" si="0"/>
        <v>-4.75</v>
      </c>
      <c r="E8" s="6">
        <v>7218.2</v>
      </c>
      <c r="F8" s="69">
        <f t="shared" si="1"/>
        <v>14875.086105</v>
      </c>
      <c r="G8" s="8"/>
      <c r="H8" s="289" t="s">
        <v>723</v>
      </c>
    </row>
    <row r="9" spans="1:8" x14ac:dyDescent="0.45">
      <c r="A9" s="8" t="s">
        <v>13</v>
      </c>
      <c r="B9" s="4">
        <v>2.06</v>
      </c>
      <c r="C9" s="5">
        <v>96.75</v>
      </c>
      <c r="D9" s="5">
        <f t="shared" si="0"/>
        <v>-4.75</v>
      </c>
      <c r="E9" s="6">
        <v>7218.2</v>
      </c>
      <c r="F9" s="69">
        <f t="shared" si="1"/>
        <v>14386.23351</v>
      </c>
      <c r="G9" s="8"/>
      <c r="H9" s="288" t="s">
        <v>724</v>
      </c>
    </row>
    <row r="10" spans="1:8" x14ac:dyDescent="0.45">
      <c r="A10" s="8" t="s">
        <v>14</v>
      </c>
      <c r="B10" s="4">
        <v>2.0499999999999998</v>
      </c>
      <c r="C10" s="5">
        <v>96.75</v>
      </c>
      <c r="D10" s="5">
        <f t="shared" si="0"/>
        <v>-4.75</v>
      </c>
      <c r="E10" s="6">
        <v>7218.2</v>
      </c>
      <c r="F10" s="69">
        <f t="shared" si="1"/>
        <v>14316.397424999997</v>
      </c>
      <c r="G10" s="8"/>
      <c r="H10" s="289" t="s">
        <v>725</v>
      </c>
    </row>
    <row r="11" spans="1:8" x14ac:dyDescent="0.45">
      <c r="A11" s="8" t="s">
        <v>15</v>
      </c>
      <c r="B11" s="4">
        <v>2.11</v>
      </c>
      <c r="C11" s="5">
        <v>96.75</v>
      </c>
      <c r="D11" s="5">
        <f t="shared" si="0"/>
        <v>-4.75</v>
      </c>
      <c r="E11" s="6">
        <v>7218.2</v>
      </c>
      <c r="F11" s="69">
        <f t="shared" si="1"/>
        <v>14735.413934999999</v>
      </c>
      <c r="G11" s="8"/>
      <c r="H11" s="290" t="s">
        <v>726</v>
      </c>
    </row>
    <row r="12" spans="1:8" x14ac:dyDescent="0.45">
      <c r="A12" s="8" t="s">
        <v>16</v>
      </c>
      <c r="B12" s="4">
        <v>2.0499999999999998</v>
      </c>
      <c r="C12" s="5">
        <v>96.75</v>
      </c>
      <c r="D12" s="5">
        <f t="shared" si="0"/>
        <v>-4.75</v>
      </c>
      <c r="E12" s="6">
        <v>7218.2</v>
      </c>
      <c r="F12" s="69">
        <f t="shared" si="1"/>
        <v>14316.397424999997</v>
      </c>
      <c r="G12" s="8"/>
      <c r="H12" s="291" t="s">
        <v>727</v>
      </c>
    </row>
    <row r="13" spans="1:8" x14ac:dyDescent="0.45">
      <c r="A13" s="8" t="s">
        <v>17</v>
      </c>
      <c r="B13" s="4">
        <v>2.97</v>
      </c>
      <c r="C13" s="5">
        <v>96.75</v>
      </c>
      <c r="D13" s="5">
        <f t="shared" si="0"/>
        <v>-4.75</v>
      </c>
      <c r="E13" s="6">
        <v>7218.2</v>
      </c>
      <c r="F13" s="69">
        <f t="shared" si="1"/>
        <v>20741.317245000002</v>
      </c>
      <c r="G13" s="8"/>
      <c r="H13" s="292" t="s">
        <v>728</v>
      </c>
    </row>
    <row r="14" spans="1:8" x14ac:dyDescent="0.45">
      <c r="A14" s="8" t="s">
        <v>18</v>
      </c>
      <c r="B14" s="4">
        <v>0.92</v>
      </c>
      <c r="C14" s="5">
        <v>96.75</v>
      </c>
      <c r="D14" s="5">
        <f t="shared" si="0"/>
        <v>-4.75</v>
      </c>
      <c r="E14" s="6">
        <v>7218.2</v>
      </c>
      <c r="F14" s="69">
        <f t="shared" si="1"/>
        <v>6424.9198200000001</v>
      </c>
      <c r="G14" s="8"/>
      <c r="H14" s="289" t="s">
        <v>729</v>
      </c>
    </row>
    <row r="15" spans="1:8" x14ac:dyDescent="0.45">
      <c r="A15" s="8" t="s">
        <v>19</v>
      </c>
      <c r="B15" s="4">
        <v>1.48</v>
      </c>
      <c r="C15" s="5">
        <v>96.75</v>
      </c>
      <c r="D15" s="5">
        <f t="shared" si="0"/>
        <v>-4.75</v>
      </c>
      <c r="E15" s="6">
        <v>7218.2</v>
      </c>
      <c r="F15" s="69">
        <f t="shared" si="1"/>
        <v>10335.74058</v>
      </c>
      <c r="G15" s="8"/>
      <c r="H15" s="288" t="s">
        <v>730</v>
      </c>
    </row>
    <row r="16" spans="1:8" x14ac:dyDescent="0.45">
      <c r="A16" s="8" t="s">
        <v>20</v>
      </c>
      <c r="B16" s="4">
        <v>1.1299999999999999</v>
      </c>
      <c r="C16" s="5">
        <v>96.75</v>
      </c>
      <c r="D16" s="5">
        <f t="shared" si="0"/>
        <v>-4.75</v>
      </c>
      <c r="E16" s="6">
        <v>7218.2</v>
      </c>
      <c r="F16" s="69">
        <f t="shared" si="1"/>
        <v>7891.4776049999982</v>
      </c>
      <c r="G16" s="8"/>
      <c r="H16" s="289" t="s">
        <v>731</v>
      </c>
    </row>
    <row r="17" spans="1:8" x14ac:dyDescent="0.45">
      <c r="A17" s="8" t="s">
        <v>21</v>
      </c>
      <c r="B17" s="4">
        <v>0.97</v>
      </c>
      <c r="C17" s="5">
        <v>96.75</v>
      </c>
      <c r="D17" s="5">
        <f t="shared" si="0"/>
        <v>-4.75</v>
      </c>
      <c r="E17" s="6">
        <v>7218.2</v>
      </c>
      <c r="F17" s="69">
        <f t="shared" si="1"/>
        <v>6774.1002449999996</v>
      </c>
      <c r="G17" s="8"/>
      <c r="H17" s="288" t="s">
        <v>732</v>
      </c>
    </row>
    <row r="18" spans="1:8" x14ac:dyDescent="0.45">
      <c r="A18" s="8" t="s">
        <v>22</v>
      </c>
      <c r="B18" s="4">
        <v>1.05</v>
      </c>
      <c r="C18" s="5">
        <v>96.75</v>
      </c>
      <c r="D18" s="5">
        <f t="shared" si="0"/>
        <v>-4.75</v>
      </c>
      <c r="E18" s="6">
        <v>7218.2</v>
      </c>
      <c r="F18" s="69">
        <f t="shared" si="1"/>
        <v>7332.7889250000007</v>
      </c>
      <c r="G18" s="8"/>
      <c r="H18" s="289" t="s">
        <v>733</v>
      </c>
    </row>
    <row r="19" spans="1:8" x14ac:dyDescent="0.45">
      <c r="A19" s="8" t="s">
        <v>23</v>
      </c>
      <c r="B19" s="4">
        <v>0.93</v>
      </c>
      <c r="C19" s="5">
        <v>96.75</v>
      </c>
      <c r="D19" s="5">
        <f t="shared" si="0"/>
        <v>-4.75</v>
      </c>
      <c r="E19" s="6">
        <v>7218.2</v>
      </c>
      <c r="F19" s="69">
        <f t="shared" si="1"/>
        <v>6494.7559050000009</v>
      </c>
      <c r="G19" s="8"/>
      <c r="H19" s="288" t="s">
        <v>734</v>
      </c>
    </row>
    <row r="20" spans="1:8" x14ac:dyDescent="0.45">
      <c r="A20" s="8" t="s">
        <v>24</v>
      </c>
      <c r="B20" s="4">
        <v>1.02</v>
      </c>
      <c r="C20" s="5">
        <v>96.75</v>
      </c>
      <c r="D20" s="5">
        <f t="shared" si="0"/>
        <v>-4.75</v>
      </c>
      <c r="E20" s="6">
        <v>7218.2</v>
      </c>
      <c r="F20" s="69">
        <f t="shared" si="1"/>
        <v>7123.2806700000001</v>
      </c>
      <c r="G20" s="8"/>
      <c r="H20" s="287" t="s">
        <v>735</v>
      </c>
    </row>
    <row r="21" spans="1:8" x14ac:dyDescent="0.45">
      <c r="A21" s="8" t="s">
        <v>25</v>
      </c>
      <c r="B21" s="4">
        <v>0.96</v>
      </c>
      <c r="C21" s="5">
        <v>96.75</v>
      </c>
      <c r="D21" s="5">
        <f t="shared" si="0"/>
        <v>-4.75</v>
      </c>
      <c r="E21" s="6">
        <v>7218.2</v>
      </c>
      <c r="F21" s="69">
        <f t="shared" si="1"/>
        <v>6704.2641599999997</v>
      </c>
      <c r="G21" s="8"/>
      <c r="H21" s="286" t="s">
        <v>736</v>
      </c>
    </row>
    <row r="22" spans="1:8" x14ac:dyDescent="0.45">
      <c r="A22" s="8" t="s">
        <v>26</v>
      </c>
      <c r="B22" s="4">
        <v>1</v>
      </c>
      <c r="C22" s="5">
        <v>96.75</v>
      </c>
      <c r="D22" s="5">
        <f t="shared" si="0"/>
        <v>-4.75</v>
      </c>
      <c r="E22" s="6">
        <v>7218.2</v>
      </c>
      <c r="F22" s="69">
        <f t="shared" si="1"/>
        <v>6983.6085000000003</v>
      </c>
      <c r="G22" s="8"/>
      <c r="H22" s="287" t="s">
        <v>737</v>
      </c>
    </row>
    <row r="23" spans="1:8" x14ac:dyDescent="0.45">
      <c r="A23" s="8" t="s">
        <v>27</v>
      </c>
      <c r="B23" s="4">
        <v>1.46</v>
      </c>
      <c r="C23" s="5">
        <v>96.75</v>
      </c>
      <c r="D23" s="5">
        <f t="shared" si="0"/>
        <v>-4.75</v>
      </c>
      <c r="E23" s="6">
        <v>7218.2</v>
      </c>
      <c r="F23" s="69">
        <f t="shared" si="1"/>
        <v>10196.06841</v>
      </c>
      <c r="G23" s="8"/>
      <c r="H23" s="286" t="s">
        <v>738</v>
      </c>
    </row>
    <row r="24" spans="1:8" x14ac:dyDescent="0.45">
      <c r="A24" s="8" t="s">
        <v>28</v>
      </c>
      <c r="B24" s="4">
        <v>1.48</v>
      </c>
      <c r="C24" s="5">
        <v>96.75</v>
      </c>
      <c r="D24" s="5">
        <f t="shared" si="0"/>
        <v>-4.75</v>
      </c>
      <c r="E24" s="6">
        <v>7218.2</v>
      </c>
      <c r="F24" s="69">
        <f>(((B24*C24)/100)*E24)</f>
        <v>10335.74058</v>
      </c>
      <c r="G24" s="8"/>
      <c r="H24" s="289" t="s">
        <v>739</v>
      </c>
    </row>
    <row r="25" spans="1:8" x14ac:dyDescent="0.45">
      <c r="A25" s="8" t="s">
        <v>29</v>
      </c>
      <c r="B25" s="4">
        <v>1.54</v>
      </c>
      <c r="C25" s="5">
        <v>96.75</v>
      </c>
      <c r="D25" s="5">
        <f t="shared" si="0"/>
        <v>-4.75</v>
      </c>
      <c r="E25" s="6">
        <v>7218.2</v>
      </c>
      <c r="F25" s="69">
        <f t="shared" si="1"/>
        <v>10754.757090000001</v>
      </c>
      <c r="G25" s="8"/>
      <c r="H25" s="286" t="s">
        <v>673</v>
      </c>
    </row>
    <row r="26" spans="1:8" x14ac:dyDescent="0.45">
      <c r="A26" s="8" t="s">
        <v>30</v>
      </c>
      <c r="B26" s="4">
        <v>1.02</v>
      </c>
      <c r="C26" s="5">
        <v>96.75</v>
      </c>
      <c r="D26" s="5">
        <f t="shared" si="0"/>
        <v>-4.75</v>
      </c>
      <c r="E26" s="6">
        <v>7218.2</v>
      </c>
      <c r="F26" s="69">
        <f t="shared" si="1"/>
        <v>7123.2806700000001</v>
      </c>
      <c r="G26" s="8"/>
      <c r="H26" s="289" t="s">
        <v>740</v>
      </c>
    </row>
    <row r="27" spans="1:8" x14ac:dyDescent="0.45">
      <c r="A27" s="8" t="s">
        <v>31</v>
      </c>
      <c r="B27" s="4">
        <v>1.2</v>
      </c>
      <c r="C27" s="5">
        <v>96.75</v>
      </c>
      <c r="D27" s="5">
        <f t="shared" si="0"/>
        <v>-4.75</v>
      </c>
      <c r="E27" s="6">
        <v>7218.2</v>
      </c>
      <c r="F27" s="69">
        <f t="shared" si="1"/>
        <v>8380.3302000000003</v>
      </c>
      <c r="G27" s="8"/>
      <c r="H27" s="288" t="s">
        <v>741</v>
      </c>
    </row>
    <row r="28" spans="1:8" x14ac:dyDescent="0.45">
      <c r="A28" s="8" t="s">
        <v>32</v>
      </c>
      <c r="B28" s="4">
        <v>1.47</v>
      </c>
      <c r="C28" s="5">
        <v>96.75</v>
      </c>
      <c r="D28" s="5">
        <f t="shared" si="0"/>
        <v>-4.75</v>
      </c>
      <c r="E28" s="6">
        <v>7218.2</v>
      </c>
      <c r="F28" s="69">
        <f t="shared" si="1"/>
        <v>10265.904495000001</v>
      </c>
      <c r="G28" s="8"/>
      <c r="H28" s="293" t="s">
        <v>742</v>
      </c>
    </row>
    <row r="29" spans="1:8" x14ac:dyDescent="0.45">
      <c r="A29" s="8" t="s">
        <v>33</v>
      </c>
      <c r="B29" s="4">
        <v>1.08</v>
      </c>
      <c r="C29" s="5">
        <v>96.75</v>
      </c>
      <c r="D29" s="5">
        <f t="shared" si="0"/>
        <v>-4.75</v>
      </c>
      <c r="E29" s="6">
        <v>7218.2</v>
      </c>
      <c r="F29" s="69">
        <f t="shared" si="1"/>
        <v>7542.2971800000014</v>
      </c>
      <c r="G29" s="8"/>
      <c r="H29" s="294" t="s">
        <v>743</v>
      </c>
    </row>
    <row r="30" spans="1:8" x14ac:dyDescent="0.45">
      <c r="A30" s="8" t="s">
        <v>34</v>
      </c>
      <c r="B30" s="4">
        <v>1.07</v>
      </c>
      <c r="C30" s="5">
        <v>96.75</v>
      </c>
      <c r="D30" s="5">
        <f t="shared" si="0"/>
        <v>-4.75</v>
      </c>
      <c r="E30" s="6">
        <v>7218.2</v>
      </c>
      <c r="F30" s="69">
        <f t="shared" si="1"/>
        <v>7472.4610950000006</v>
      </c>
      <c r="G30" s="8"/>
      <c r="H30" s="293" t="s">
        <v>744</v>
      </c>
    </row>
    <row r="31" spans="1:8" x14ac:dyDescent="0.45">
      <c r="A31" s="8" t="s">
        <v>35</v>
      </c>
      <c r="B31" s="4">
        <v>1.02</v>
      </c>
      <c r="C31" s="5">
        <v>96.75</v>
      </c>
      <c r="D31" s="5">
        <f t="shared" si="0"/>
        <v>-4.75</v>
      </c>
      <c r="E31" s="6">
        <v>7218.2</v>
      </c>
      <c r="F31" s="69">
        <f t="shared" si="1"/>
        <v>7123.2806700000001</v>
      </c>
      <c r="G31" s="8"/>
      <c r="H31" s="294" t="s">
        <v>745</v>
      </c>
    </row>
    <row r="32" spans="1:8" x14ac:dyDescent="0.45">
      <c r="A32" s="8" t="s">
        <v>36</v>
      </c>
      <c r="B32" s="4">
        <v>1</v>
      </c>
      <c r="C32" s="5">
        <v>96.75</v>
      </c>
      <c r="D32" s="5">
        <f t="shared" si="0"/>
        <v>-4.75</v>
      </c>
      <c r="E32" s="6">
        <v>7218.2</v>
      </c>
      <c r="F32" s="69">
        <f t="shared" si="1"/>
        <v>6983.6085000000003</v>
      </c>
      <c r="G32" s="8"/>
      <c r="H32" s="293" t="s">
        <v>746</v>
      </c>
    </row>
    <row r="33" spans="1:8" x14ac:dyDescent="0.45">
      <c r="A33" s="8" t="s">
        <v>37</v>
      </c>
      <c r="B33" s="4">
        <v>0.52</v>
      </c>
      <c r="C33" s="5">
        <v>96.75</v>
      </c>
      <c r="D33" s="5">
        <f t="shared" si="0"/>
        <v>-4.75</v>
      </c>
      <c r="E33" s="6">
        <v>7218.2</v>
      </c>
      <c r="F33" s="69">
        <f t="shared" si="1"/>
        <v>3631.47642</v>
      </c>
      <c r="G33" s="8"/>
      <c r="H33" s="294" t="s">
        <v>747</v>
      </c>
    </row>
    <row r="34" spans="1:8" x14ac:dyDescent="0.45">
      <c r="A34" s="8" t="s">
        <v>38</v>
      </c>
      <c r="B34" s="4">
        <v>0.51</v>
      </c>
      <c r="C34" s="5">
        <v>96.75</v>
      </c>
      <c r="D34" s="5">
        <f t="shared" si="0"/>
        <v>-4.75</v>
      </c>
      <c r="E34" s="6">
        <v>7218.2</v>
      </c>
      <c r="F34" s="69">
        <f t="shared" si="1"/>
        <v>3561.6403350000001</v>
      </c>
      <c r="G34" s="8"/>
      <c r="H34" s="293" t="s">
        <v>748</v>
      </c>
    </row>
    <row r="35" spans="1:8" x14ac:dyDescent="0.45">
      <c r="A35" s="8" t="s">
        <v>39</v>
      </c>
      <c r="B35" s="4">
        <v>0.48</v>
      </c>
      <c r="C35" s="5">
        <v>96.75</v>
      </c>
      <c r="D35" s="5">
        <f t="shared" si="0"/>
        <v>-4.75</v>
      </c>
      <c r="E35" s="6">
        <v>7218.2</v>
      </c>
      <c r="F35" s="69">
        <f t="shared" si="1"/>
        <v>3352.1320799999999</v>
      </c>
      <c r="G35" s="8"/>
      <c r="H35" s="294" t="s">
        <v>749</v>
      </c>
    </row>
    <row r="36" spans="1:8" x14ac:dyDescent="0.45">
      <c r="A36" s="8" t="s">
        <v>40</v>
      </c>
      <c r="B36" s="4">
        <v>0.98</v>
      </c>
      <c r="C36" s="5">
        <v>96.75</v>
      </c>
      <c r="D36" s="5">
        <f t="shared" si="0"/>
        <v>-4.75</v>
      </c>
      <c r="E36" s="6">
        <v>7218.2</v>
      </c>
      <c r="F36" s="69">
        <f t="shared" si="1"/>
        <v>6843.9363299999995</v>
      </c>
      <c r="G36" s="8"/>
      <c r="H36" s="294" t="s">
        <v>988</v>
      </c>
    </row>
    <row r="37" spans="1:8" x14ac:dyDescent="0.45">
      <c r="A37" s="8" t="s">
        <v>41</v>
      </c>
      <c r="B37" s="4">
        <v>0.61</v>
      </c>
      <c r="C37" s="5">
        <v>96.75</v>
      </c>
      <c r="D37" s="5">
        <f t="shared" si="0"/>
        <v>-4.75</v>
      </c>
      <c r="E37" s="6">
        <v>7218.2</v>
      </c>
      <c r="F37" s="69">
        <f t="shared" si="1"/>
        <v>4260.0011850000001</v>
      </c>
      <c r="G37" s="8"/>
      <c r="H37" s="294" t="s">
        <v>1473</v>
      </c>
    </row>
    <row r="38" spans="1:8" x14ac:dyDescent="0.45">
      <c r="A38" s="8" t="s">
        <v>42</v>
      </c>
      <c r="B38" s="4">
        <v>1</v>
      </c>
      <c r="C38" s="5">
        <v>96.75</v>
      </c>
      <c r="D38" s="5">
        <f t="shared" si="0"/>
        <v>-4.75</v>
      </c>
      <c r="E38" s="6">
        <v>7218.2</v>
      </c>
      <c r="F38" s="69">
        <f t="shared" si="1"/>
        <v>6983.6085000000003</v>
      </c>
      <c r="G38" s="8"/>
    </row>
    <row r="39" spans="1:8" x14ac:dyDescent="0.45">
      <c r="A39" s="8" t="s">
        <v>751</v>
      </c>
      <c r="B39" s="4">
        <v>4.0199999999999996</v>
      </c>
      <c r="C39" s="7">
        <v>95.5</v>
      </c>
      <c r="D39" s="7">
        <f>92-C39</f>
        <v>-3.5</v>
      </c>
      <c r="E39" s="6">
        <v>7218.2</v>
      </c>
      <c r="F39" s="69">
        <f>(((B39*C39)/100)*E39)</f>
        <v>27711.391619999999</v>
      </c>
      <c r="G39" s="8"/>
    </row>
    <row r="40" spans="1:8" x14ac:dyDescent="0.45">
      <c r="A40" s="8" t="s">
        <v>752</v>
      </c>
      <c r="B40" s="4">
        <v>4.01</v>
      </c>
      <c r="C40" s="7">
        <v>95.5</v>
      </c>
      <c r="D40" s="7">
        <f t="shared" ref="D40:D58" si="2">92-C40</f>
        <v>-3.5</v>
      </c>
      <c r="E40" s="6">
        <v>7218.2</v>
      </c>
      <c r="F40" s="69">
        <f t="shared" ref="F40:F58" si="3">(((B40*C40)/100)*E40)</f>
        <v>27642.457809999996</v>
      </c>
      <c r="G40" s="8"/>
    </row>
    <row r="41" spans="1:8" x14ac:dyDescent="0.45">
      <c r="A41" s="8" t="s">
        <v>753</v>
      </c>
      <c r="B41" s="4">
        <v>4.03</v>
      </c>
      <c r="C41" s="7">
        <v>95.5</v>
      </c>
      <c r="D41" s="7">
        <f t="shared" si="2"/>
        <v>-3.5</v>
      </c>
      <c r="E41" s="6">
        <v>7218.2</v>
      </c>
      <c r="F41" s="69">
        <f t="shared" si="3"/>
        <v>27780.325430000001</v>
      </c>
      <c r="G41" s="8"/>
    </row>
    <row r="42" spans="1:8" x14ac:dyDescent="0.45">
      <c r="A42" s="8" t="s">
        <v>754</v>
      </c>
      <c r="B42" s="4">
        <v>4.0199999999999996</v>
      </c>
      <c r="C42" s="7">
        <v>95.5</v>
      </c>
      <c r="D42" s="7">
        <f t="shared" si="2"/>
        <v>-3.5</v>
      </c>
      <c r="E42" s="6">
        <v>7218.2</v>
      </c>
      <c r="F42" s="69">
        <f t="shared" si="3"/>
        <v>27711.391619999999</v>
      </c>
      <c r="G42" s="8"/>
    </row>
    <row r="43" spans="1:8" x14ac:dyDescent="0.45">
      <c r="A43" s="8" t="s">
        <v>755</v>
      </c>
      <c r="B43" s="4">
        <v>3.99</v>
      </c>
      <c r="C43" s="7">
        <v>95.5</v>
      </c>
      <c r="D43" s="7">
        <f t="shared" si="2"/>
        <v>-3.5</v>
      </c>
      <c r="E43" s="6">
        <v>7218.2</v>
      </c>
      <c r="F43" s="69">
        <f t="shared" si="3"/>
        <v>27504.590190000003</v>
      </c>
      <c r="G43" s="8"/>
    </row>
    <row r="44" spans="1:8" x14ac:dyDescent="0.45">
      <c r="A44" s="8" t="s">
        <v>756</v>
      </c>
      <c r="B44" s="4">
        <v>4</v>
      </c>
      <c r="C44" s="7">
        <v>95.5</v>
      </c>
      <c r="D44" s="7">
        <f t="shared" si="2"/>
        <v>-3.5</v>
      </c>
      <c r="E44" s="6">
        <v>7218.2</v>
      </c>
      <c r="F44" s="69">
        <f t="shared" si="3"/>
        <v>27573.523999999998</v>
      </c>
      <c r="G44" s="8"/>
    </row>
    <row r="45" spans="1:8" x14ac:dyDescent="0.45">
      <c r="A45" s="8" t="s">
        <v>757</v>
      </c>
      <c r="B45" s="4">
        <v>4.03</v>
      </c>
      <c r="C45" s="7">
        <v>95.5</v>
      </c>
      <c r="D45" s="7">
        <f t="shared" si="2"/>
        <v>-3.5</v>
      </c>
      <c r="E45" s="6">
        <v>7218.2</v>
      </c>
      <c r="F45" s="69">
        <f t="shared" si="3"/>
        <v>27780.325430000001</v>
      </c>
      <c r="G45" s="8"/>
    </row>
    <row r="46" spans="1:8" x14ac:dyDescent="0.45">
      <c r="A46" s="8" t="s">
        <v>758</v>
      </c>
      <c r="B46" s="4">
        <v>4</v>
      </c>
      <c r="C46" s="7">
        <v>95.5</v>
      </c>
      <c r="D46" s="7">
        <f t="shared" si="2"/>
        <v>-3.5</v>
      </c>
      <c r="E46" s="6">
        <v>7218.2</v>
      </c>
      <c r="F46" s="69">
        <f t="shared" si="3"/>
        <v>27573.523999999998</v>
      </c>
      <c r="G46" s="8"/>
    </row>
    <row r="47" spans="1:8" x14ac:dyDescent="0.45">
      <c r="A47" s="8" t="s">
        <v>759</v>
      </c>
      <c r="B47" s="4">
        <v>4.0199999999999996</v>
      </c>
      <c r="C47" s="7">
        <v>95.5</v>
      </c>
      <c r="D47" s="7">
        <f t="shared" si="2"/>
        <v>-3.5</v>
      </c>
      <c r="E47" s="6">
        <v>7218.2</v>
      </c>
      <c r="F47" s="69">
        <f t="shared" si="3"/>
        <v>27711.391619999999</v>
      </c>
      <c r="G47" s="8"/>
    </row>
    <row r="48" spans="1:8" x14ac:dyDescent="0.45">
      <c r="A48" s="8" t="s">
        <v>760</v>
      </c>
      <c r="B48" s="4">
        <v>4.0199999999999996</v>
      </c>
      <c r="C48" s="7">
        <v>95.5</v>
      </c>
      <c r="D48" s="7">
        <f t="shared" si="2"/>
        <v>-3.5</v>
      </c>
      <c r="E48" s="6">
        <v>7218.2</v>
      </c>
      <c r="F48" s="69">
        <f t="shared" si="3"/>
        <v>27711.391619999999</v>
      </c>
      <c r="G48" s="8"/>
    </row>
    <row r="49" spans="1:7" x14ac:dyDescent="0.45">
      <c r="A49" s="8" t="s">
        <v>761</v>
      </c>
      <c r="B49" s="4">
        <v>2.0099999999999998</v>
      </c>
      <c r="C49" s="7">
        <v>95.5</v>
      </c>
      <c r="D49" s="7">
        <f t="shared" si="2"/>
        <v>-3.5</v>
      </c>
      <c r="E49" s="6">
        <v>7218.2</v>
      </c>
      <c r="F49" s="69">
        <f t="shared" si="3"/>
        <v>13855.695809999999</v>
      </c>
      <c r="G49" s="8"/>
    </row>
    <row r="50" spans="1:7" x14ac:dyDescent="0.45">
      <c r="A50" s="8" t="s">
        <v>762</v>
      </c>
      <c r="B50" s="4">
        <v>2.0299999999999998</v>
      </c>
      <c r="C50" s="7">
        <v>95.5</v>
      </c>
      <c r="D50" s="7">
        <f t="shared" si="2"/>
        <v>-3.5</v>
      </c>
      <c r="E50" s="6">
        <v>7218.2</v>
      </c>
      <c r="F50" s="69">
        <f t="shared" si="3"/>
        <v>13993.563429999998</v>
      </c>
      <c r="G50" s="8"/>
    </row>
    <row r="51" spans="1:7" x14ac:dyDescent="0.45">
      <c r="A51" s="8" t="s">
        <v>763</v>
      </c>
      <c r="B51" s="4">
        <v>2</v>
      </c>
      <c r="C51" s="7">
        <v>95.5</v>
      </c>
      <c r="D51" s="7">
        <f t="shared" si="2"/>
        <v>-3.5</v>
      </c>
      <c r="E51" s="6">
        <v>7218.2</v>
      </c>
      <c r="F51" s="69">
        <f t="shared" si="3"/>
        <v>13786.761999999999</v>
      </c>
      <c r="G51" s="8"/>
    </row>
    <row r="52" spans="1:7" x14ac:dyDescent="0.45">
      <c r="A52" s="8" t="s">
        <v>764</v>
      </c>
      <c r="B52" s="4">
        <v>2.06</v>
      </c>
      <c r="C52" s="7">
        <v>95.5</v>
      </c>
      <c r="D52" s="7">
        <f t="shared" si="2"/>
        <v>-3.5</v>
      </c>
      <c r="E52" s="6">
        <v>7218.2</v>
      </c>
      <c r="F52" s="69">
        <f t="shared" si="3"/>
        <v>14200.364860000001</v>
      </c>
      <c r="G52" s="8"/>
    </row>
    <row r="53" spans="1:7" x14ac:dyDescent="0.45">
      <c r="A53" s="8" t="s">
        <v>765</v>
      </c>
      <c r="B53" s="4">
        <v>2</v>
      </c>
      <c r="C53" s="7">
        <v>95.5</v>
      </c>
      <c r="D53" s="7">
        <f t="shared" si="2"/>
        <v>-3.5</v>
      </c>
      <c r="E53" s="6">
        <v>7218.2</v>
      </c>
      <c r="F53" s="69">
        <f t="shared" si="3"/>
        <v>13786.761999999999</v>
      </c>
      <c r="G53" s="8"/>
    </row>
    <row r="54" spans="1:7" x14ac:dyDescent="0.45">
      <c r="A54" s="8" t="s">
        <v>766</v>
      </c>
      <c r="B54" s="4">
        <v>2.04</v>
      </c>
      <c r="C54" s="7">
        <v>95.5</v>
      </c>
      <c r="D54" s="7">
        <f t="shared" si="2"/>
        <v>-3.5</v>
      </c>
      <c r="E54" s="6">
        <v>7218.2</v>
      </c>
      <c r="F54" s="69">
        <f t="shared" si="3"/>
        <v>14062.497239999999</v>
      </c>
      <c r="G54" s="8"/>
    </row>
    <row r="55" spans="1:7" x14ac:dyDescent="0.45">
      <c r="A55" s="8" t="s">
        <v>767</v>
      </c>
      <c r="B55" s="4">
        <v>2.0299999999999998</v>
      </c>
      <c r="C55" s="7">
        <v>95.5</v>
      </c>
      <c r="D55" s="7">
        <f t="shared" si="2"/>
        <v>-3.5</v>
      </c>
      <c r="E55" s="6">
        <v>7218.2</v>
      </c>
      <c r="F55" s="69">
        <f t="shared" si="3"/>
        <v>13993.563429999998</v>
      </c>
      <c r="G55" s="8"/>
    </row>
    <row r="56" spans="1:7" x14ac:dyDescent="0.45">
      <c r="A56" s="8" t="s">
        <v>768</v>
      </c>
      <c r="B56" s="4">
        <v>2.0299999999999998</v>
      </c>
      <c r="C56" s="7">
        <v>95.5</v>
      </c>
      <c r="D56" s="7">
        <f t="shared" si="2"/>
        <v>-3.5</v>
      </c>
      <c r="E56" s="6">
        <v>7218.2</v>
      </c>
      <c r="F56" s="69">
        <f t="shared" si="3"/>
        <v>13993.563429999998</v>
      </c>
      <c r="G56" s="8"/>
    </row>
    <row r="57" spans="1:7" x14ac:dyDescent="0.45">
      <c r="A57" s="8" t="s">
        <v>769</v>
      </c>
      <c r="B57" s="4">
        <v>2.0499999999999998</v>
      </c>
      <c r="C57" s="7">
        <v>95.5</v>
      </c>
      <c r="D57" s="7">
        <f t="shared" si="2"/>
        <v>-3.5</v>
      </c>
      <c r="E57" s="6">
        <v>7218.2</v>
      </c>
      <c r="F57" s="69">
        <f t="shared" si="3"/>
        <v>14131.431049999999</v>
      </c>
      <c r="G57" s="8"/>
    </row>
    <row r="58" spans="1:7" x14ac:dyDescent="0.45">
      <c r="A58" s="8" t="s">
        <v>770</v>
      </c>
      <c r="B58" s="4">
        <v>2.02</v>
      </c>
      <c r="C58" s="7">
        <v>95.5</v>
      </c>
      <c r="D58" s="7">
        <f t="shared" si="2"/>
        <v>-3.5</v>
      </c>
      <c r="E58" s="6">
        <v>7218.2</v>
      </c>
      <c r="F58" s="69">
        <f t="shared" si="3"/>
        <v>13924.62962</v>
      </c>
      <c r="G58" s="8"/>
    </row>
    <row r="59" spans="1:7" x14ac:dyDescent="0.45">
      <c r="A59" s="8" t="s">
        <v>43</v>
      </c>
      <c r="B59" s="4">
        <v>1.05</v>
      </c>
      <c r="C59" s="5">
        <v>92</v>
      </c>
      <c r="D59" s="5">
        <v>0</v>
      </c>
      <c r="E59" s="6">
        <v>7100</v>
      </c>
      <c r="F59" s="69">
        <f>(((B59*C59)/100)*E59)</f>
        <v>6858.6</v>
      </c>
      <c r="G59" s="8"/>
    </row>
    <row r="60" spans="1:7" x14ac:dyDescent="0.45">
      <c r="A60" s="8" t="s">
        <v>946</v>
      </c>
      <c r="B60" s="4">
        <v>0.54</v>
      </c>
      <c r="C60" s="5">
        <v>90</v>
      </c>
      <c r="D60" s="5">
        <v>0</v>
      </c>
      <c r="E60" s="6">
        <v>7000</v>
      </c>
      <c r="F60" s="69">
        <f>(((B60*C60)/100)*E60)</f>
        <v>3402</v>
      </c>
      <c r="G60" s="8"/>
    </row>
    <row r="61" spans="1:7" x14ac:dyDescent="0.45">
      <c r="A61" s="8" t="s">
        <v>945</v>
      </c>
      <c r="B61" s="4">
        <v>1.03</v>
      </c>
      <c r="C61" s="5">
        <v>92</v>
      </c>
      <c r="D61" s="5">
        <v>0</v>
      </c>
      <c r="E61" s="6"/>
      <c r="F61" s="69">
        <v>5800</v>
      </c>
      <c r="G61" s="8"/>
    </row>
    <row r="62" spans="1:7" ht="22.95" customHeight="1" x14ac:dyDescent="0.45">
      <c r="A62" s="8" t="s">
        <v>1063</v>
      </c>
      <c r="B62" s="4">
        <v>0.56999999999999995</v>
      </c>
      <c r="C62" s="5">
        <v>97</v>
      </c>
      <c r="D62" s="5">
        <v>5</v>
      </c>
      <c r="E62" s="6">
        <v>7420</v>
      </c>
      <c r="F62" s="69">
        <f t="shared" ref="F62:F77" si="4">(((B62*C62)/100)*E62)</f>
        <v>4102.518</v>
      </c>
      <c r="G62" s="8"/>
    </row>
    <row r="63" spans="1:7" x14ac:dyDescent="0.45">
      <c r="A63" s="8" t="s">
        <v>1222</v>
      </c>
      <c r="B63" s="4">
        <v>0.49</v>
      </c>
      <c r="C63" s="5">
        <v>97.5</v>
      </c>
      <c r="D63" s="5">
        <v>5.5</v>
      </c>
      <c r="E63" s="6">
        <v>7087</v>
      </c>
      <c r="F63" s="69">
        <f t="shared" si="4"/>
        <v>3385.8142499999999</v>
      </c>
      <c r="G63" s="8"/>
    </row>
    <row r="64" spans="1:7" x14ac:dyDescent="0.45">
      <c r="A64" s="8" t="s">
        <v>1223</v>
      </c>
      <c r="B64" s="4">
        <v>0.54</v>
      </c>
      <c r="C64" s="5">
        <v>97.5</v>
      </c>
      <c r="D64" s="5">
        <v>5.5</v>
      </c>
      <c r="E64" s="6">
        <v>7087</v>
      </c>
      <c r="F64" s="69">
        <f t="shared" si="4"/>
        <v>3731.3055000000004</v>
      </c>
      <c r="G64" s="8"/>
    </row>
    <row r="65" spans="1:7" x14ac:dyDescent="0.45">
      <c r="A65" s="8" t="s">
        <v>1224</v>
      </c>
      <c r="B65" s="4">
        <v>1.02</v>
      </c>
      <c r="C65" s="5">
        <v>97.5</v>
      </c>
      <c r="D65" s="5">
        <v>5.5</v>
      </c>
      <c r="E65" s="6">
        <v>7087</v>
      </c>
      <c r="F65" s="69">
        <f t="shared" si="4"/>
        <v>7048.0215000000007</v>
      </c>
      <c r="G65" s="8"/>
    </row>
    <row r="66" spans="1:7" x14ac:dyDescent="0.45">
      <c r="A66" s="8" t="s">
        <v>1225</v>
      </c>
      <c r="B66" s="4">
        <v>1.04</v>
      </c>
      <c r="C66" s="5">
        <v>97.5</v>
      </c>
      <c r="D66" s="5">
        <v>5.5</v>
      </c>
      <c r="E66" s="6">
        <v>7087</v>
      </c>
      <c r="F66" s="69">
        <f t="shared" si="4"/>
        <v>7186.2179999999998</v>
      </c>
      <c r="G66" s="8"/>
    </row>
    <row r="67" spans="1:7" x14ac:dyDescent="0.45">
      <c r="A67" s="8" t="s">
        <v>1329</v>
      </c>
      <c r="B67" s="4">
        <v>1.56</v>
      </c>
      <c r="C67" s="5">
        <v>96.5</v>
      </c>
      <c r="D67" s="5">
        <f>92-Table1[[#This Row],[MELTING]]</f>
        <v>-4.5</v>
      </c>
      <c r="E67" s="6">
        <v>6305</v>
      </c>
      <c r="F67" s="69">
        <f>(((B67*C67)/100)*E67)</f>
        <v>9491.5469999999987</v>
      </c>
      <c r="G67" s="8"/>
    </row>
    <row r="68" spans="1:7" x14ac:dyDescent="0.45">
      <c r="A68" s="8" t="s">
        <v>1330</v>
      </c>
      <c r="B68" s="4">
        <v>1.46</v>
      </c>
      <c r="C68" s="5">
        <v>96.5</v>
      </c>
      <c r="D68" s="5">
        <f>92-Table1[[#This Row],[MELTING]]</f>
        <v>-4.5</v>
      </c>
      <c r="E68" s="6">
        <v>6305</v>
      </c>
      <c r="F68" s="69">
        <f>(((B68*C68)/100)*E68)</f>
        <v>8883.1144999999997</v>
      </c>
      <c r="G68" s="8"/>
    </row>
    <row r="69" spans="1:7" x14ac:dyDescent="0.45">
      <c r="A69" s="8" t="s">
        <v>1331</v>
      </c>
      <c r="B69" s="4">
        <v>2.27</v>
      </c>
      <c r="C69" s="5">
        <v>96.5</v>
      </c>
      <c r="D69" s="5">
        <f>92-Table1[[#This Row],[MELTING]]</f>
        <v>-4.5</v>
      </c>
      <c r="E69" s="6">
        <v>6305</v>
      </c>
      <c r="F69" s="69">
        <f>(((B69*C69)/100)*E69)</f>
        <v>13811.417750000001</v>
      </c>
      <c r="G69" s="8"/>
    </row>
    <row r="70" spans="1:7" x14ac:dyDescent="0.45">
      <c r="A70" s="8" t="s">
        <v>1332</v>
      </c>
      <c r="B70" s="4">
        <v>1.46</v>
      </c>
      <c r="C70" s="5">
        <v>96.5</v>
      </c>
      <c r="D70" s="5">
        <f>92-Table1[[#This Row],[MELTING]]</f>
        <v>-4.5</v>
      </c>
      <c r="E70" s="6">
        <v>6305</v>
      </c>
      <c r="F70" s="69">
        <f>(((B70*C70)/100)*E70)</f>
        <v>8883.1144999999997</v>
      </c>
      <c r="G70" s="8"/>
    </row>
    <row r="71" spans="1:7" x14ac:dyDescent="0.45">
      <c r="A71" s="8" t="s">
        <v>1485</v>
      </c>
      <c r="B71" s="4">
        <v>2.02</v>
      </c>
      <c r="C71" s="5">
        <v>92</v>
      </c>
      <c r="D71" s="5"/>
      <c r="E71" s="6"/>
      <c r="F71" s="69">
        <v>12000</v>
      </c>
      <c r="G71" s="8"/>
    </row>
    <row r="72" spans="1:7" x14ac:dyDescent="0.45">
      <c r="A72" s="8" t="s">
        <v>1584</v>
      </c>
      <c r="B72" s="4">
        <v>2.09</v>
      </c>
      <c r="C72" s="5">
        <v>82</v>
      </c>
      <c r="D72" s="5">
        <f>76-Table1[[#This Row],[MELTING]]</f>
        <v>-6</v>
      </c>
      <c r="E72" s="6">
        <v>8200</v>
      </c>
      <c r="F72" s="69">
        <f>(((B72*C72)/100)*E72)</f>
        <v>14053.16</v>
      </c>
      <c r="G72" s="8"/>
    </row>
    <row r="73" spans="1:7" x14ac:dyDescent="0.45">
      <c r="A73" s="8" t="s">
        <v>1585</v>
      </c>
      <c r="B73" s="4">
        <v>2.0499999999999998</v>
      </c>
      <c r="C73" s="5">
        <v>82</v>
      </c>
      <c r="D73" s="5">
        <f>76-Table1[[#This Row],[MELTING]]</f>
        <v>-6</v>
      </c>
      <c r="E73" s="6">
        <v>8200</v>
      </c>
      <c r="F73" s="69">
        <f>(((B73*C73)/100)*E73)</f>
        <v>13784.2</v>
      </c>
      <c r="G73" s="8"/>
    </row>
    <row r="74" spans="1:7" x14ac:dyDescent="0.45">
      <c r="A74" s="8" t="s">
        <v>1586</v>
      </c>
      <c r="B74" s="4">
        <v>2.0499999999999998</v>
      </c>
      <c r="C74" s="5">
        <v>85</v>
      </c>
      <c r="D74" s="5">
        <v>4</v>
      </c>
      <c r="E74" s="6">
        <v>8200</v>
      </c>
      <c r="F74" s="69">
        <f>(((B74*C74)/100)*E74)</f>
        <v>14288.499999999998</v>
      </c>
      <c r="G74" s="8"/>
    </row>
    <row r="75" spans="1:7" x14ac:dyDescent="0.45">
      <c r="A75" s="8" t="s">
        <v>1587</v>
      </c>
      <c r="B75" s="4">
        <v>2.04</v>
      </c>
      <c r="C75" s="5">
        <v>85</v>
      </c>
      <c r="D75" s="5">
        <v>4</v>
      </c>
      <c r="E75" s="6">
        <v>8200</v>
      </c>
      <c r="F75" s="69">
        <f>(((B75*C75)/100)*E75)</f>
        <v>14218.8</v>
      </c>
      <c r="G75" s="8"/>
    </row>
    <row r="76" spans="1:7" x14ac:dyDescent="0.45">
      <c r="A76" s="8" t="s">
        <v>1757</v>
      </c>
      <c r="B76" s="4">
        <v>2.04</v>
      </c>
      <c r="C76" s="5"/>
      <c r="D76" s="5"/>
      <c r="E76" s="6"/>
      <c r="F76" s="69">
        <v>11200</v>
      </c>
      <c r="G76" s="8"/>
    </row>
    <row r="77" spans="1:7" x14ac:dyDescent="0.45">
      <c r="A77" s="8" t="s">
        <v>44</v>
      </c>
      <c r="B77" s="4">
        <v>2.11</v>
      </c>
      <c r="C77" s="7">
        <v>97</v>
      </c>
      <c r="D77" s="7">
        <f>92-C77</f>
        <v>-5</v>
      </c>
      <c r="E77" s="6">
        <v>7218.2</v>
      </c>
      <c r="F77" s="69">
        <f t="shared" si="4"/>
        <v>14773.489939999999</v>
      </c>
      <c r="G77" s="8"/>
    </row>
    <row r="78" spans="1:7" x14ac:dyDescent="0.45">
      <c r="A78" s="8" t="s">
        <v>45</v>
      </c>
      <c r="B78" s="4">
        <v>3.03</v>
      </c>
      <c r="C78" s="7">
        <v>97</v>
      </c>
      <c r="D78" s="7">
        <f t="shared" ref="D78:D114" si="5">92-C78</f>
        <v>-5</v>
      </c>
      <c r="E78" s="6">
        <v>7218.2</v>
      </c>
      <c r="F78" s="69">
        <f t="shared" ref="F78:F115" si="6">(((B78*C78)/100)*E78)</f>
        <v>21215.011619999997</v>
      </c>
      <c r="G78" s="8"/>
    </row>
    <row r="79" spans="1:7" x14ac:dyDescent="0.45">
      <c r="A79" s="8" t="s">
        <v>46</v>
      </c>
      <c r="B79" s="4">
        <v>2.0499999999999998</v>
      </c>
      <c r="C79" s="7">
        <v>97</v>
      </c>
      <c r="D79" s="7">
        <f t="shared" si="5"/>
        <v>-5</v>
      </c>
      <c r="E79" s="6">
        <v>7218.2</v>
      </c>
      <c r="F79" s="69">
        <f t="shared" si="6"/>
        <v>14353.3907</v>
      </c>
      <c r="G79" s="8"/>
    </row>
    <row r="80" spans="1:7" x14ac:dyDescent="0.45">
      <c r="A80" s="8" t="s">
        <v>47</v>
      </c>
      <c r="B80" s="4">
        <v>3.18</v>
      </c>
      <c r="C80" s="7">
        <v>97</v>
      </c>
      <c r="D80" s="7">
        <f t="shared" si="5"/>
        <v>-5</v>
      </c>
      <c r="E80" s="6">
        <v>7218.2</v>
      </c>
      <c r="F80" s="69">
        <f t="shared" si="6"/>
        <v>22265.259720000002</v>
      </c>
      <c r="G80" s="8"/>
    </row>
    <row r="81" spans="1:7" x14ac:dyDescent="0.45">
      <c r="A81" s="8" t="s">
        <v>48</v>
      </c>
      <c r="B81" s="4">
        <v>2.08</v>
      </c>
      <c r="C81" s="7">
        <v>97</v>
      </c>
      <c r="D81" s="7">
        <f t="shared" si="5"/>
        <v>-5</v>
      </c>
      <c r="E81" s="6">
        <v>7218.2</v>
      </c>
      <c r="F81" s="69">
        <f t="shared" si="6"/>
        <v>14563.440320000002</v>
      </c>
      <c r="G81" s="8"/>
    </row>
    <row r="82" spans="1:7" x14ac:dyDescent="0.45">
      <c r="A82" s="8" t="s">
        <v>49</v>
      </c>
      <c r="B82" s="4">
        <v>1.23</v>
      </c>
      <c r="C82" s="7">
        <v>97</v>
      </c>
      <c r="D82" s="7">
        <f t="shared" si="5"/>
        <v>-5</v>
      </c>
      <c r="E82" s="6">
        <v>7218.2</v>
      </c>
      <c r="F82" s="69">
        <f t="shared" si="6"/>
        <v>8612.03442</v>
      </c>
      <c r="G82" s="8"/>
    </row>
    <row r="83" spans="1:7" x14ac:dyDescent="0.45">
      <c r="A83" s="8" t="s">
        <v>50</v>
      </c>
      <c r="B83" s="4">
        <v>1.64</v>
      </c>
      <c r="C83" s="7">
        <v>97</v>
      </c>
      <c r="D83" s="7">
        <f t="shared" si="5"/>
        <v>-5</v>
      </c>
      <c r="E83" s="6">
        <v>7218.2</v>
      </c>
      <c r="F83" s="69">
        <f t="shared" si="6"/>
        <v>11482.712559999998</v>
      </c>
      <c r="G83" s="8"/>
    </row>
    <row r="84" spans="1:7" x14ac:dyDescent="0.45">
      <c r="A84" s="8" t="s">
        <v>51</v>
      </c>
      <c r="B84" s="4">
        <v>1.95</v>
      </c>
      <c r="C84" s="7">
        <v>97</v>
      </c>
      <c r="D84" s="7">
        <f t="shared" si="5"/>
        <v>-5</v>
      </c>
      <c r="E84" s="6">
        <v>7218.2</v>
      </c>
      <c r="F84" s="69">
        <f t="shared" si="6"/>
        <v>13653.2253</v>
      </c>
      <c r="G84" s="8"/>
    </row>
    <row r="85" spans="1:7" x14ac:dyDescent="0.45">
      <c r="A85" s="8" t="s">
        <v>52</v>
      </c>
      <c r="B85" s="4">
        <v>1.86</v>
      </c>
      <c r="C85" s="7">
        <v>97</v>
      </c>
      <c r="D85" s="7">
        <f t="shared" si="5"/>
        <v>-5</v>
      </c>
      <c r="E85" s="6">
        <v>7218.2</v>
      </c>
      <c r="F85" s="69">
        <f t="shared" si="6"/>
        <v>13023.076440000001</v>
      </c>
      <c r="G85" s="8"/>
    </row>
    <row r="86" spans="1:7" x14ac:dyDescent="0.45">
      <c r="A86" s="8" t="s">
        <v>53</v>
      </c>
      <c r="B86" s="4">
        <v>1.17</v>
      </c>
      <c r="C86" s="7">
        <v>97</v>
      </c>
      <c r="D86" s="7">
        <f t="shared" si="5"/>
        <v>-5</v>
      </c>
      <c r="E86" s="6">
        <v>7218.2</v>
      </c>
      <c r="F86" s="69">
        <f t="shared" si="6"/>
        <v>8191.9351799999995</v>
      </c>
      <c r="G86" s="8"/>
    </row>
    <row r="87" spans="1:7" x14ac:dyDescent="0.45">
      <c r="A87" s="8" t="s">
        <v>54</v>
      </c>
      <c r="B87" s="4">
        <v>1.57</v>
      </c>
      <c r="C87" s="7">
        <v>97</v>
      </c>
      <c r="D87" s="7">
        <f t="shared" si="5"/>
        <v>-5</v>
      </c>
      <c r="E87" s="6">
        <v>7218.2</v>
      </c>
      <c r="F87" s="69">
        <f t="shared" si="6"/>
        <v>10992.59678</v>
      </c>
      <c r="G87" s="8"/>
    </row>
    <row r="88" spans="1:7" x14ac:dyDescent="0.45">
      <c r="A88" s="8" t="s">
        <v>55</v>
      </c>
      <c r="B88" s="4">
        <v>2.17</v>
      </c>
      <c r="C88" s="7">
        <v>97</v>
      </c>
      <c r="D88" s="7">
        <f t="shared" si="5"/>
        <v>-5</v>
      </c>
      <c r="E88" s="6">
        <v>7218.2</v>
      </c>
      <c r="F88" s="69">
        <f t="shared" si="6"/>
        <v>15193.589179999997</v>
      </c>
      <c r="G88" s="8"/>
    </row>
    <row r="89" spans="1:7" x14ac:dyDescent="0.45">
      <c r="A89" s="8" t="s">
        <v>56</v>
      </c>
      <c r="B89" s="4">
        <v>1.5</v>
      </c>
      <c r="C89" s="7">
        <v>97</v>
      </c>
      <c r="D89" s="7">
        <f t="shared" si="5"/>
        <v>-5</v>
      </c>
      <c r="E89" s="6">
        <v>7218.2</v>
      </c>
      <c r="F89" s="69">
        <f t="shared" si="6"/>
        <v>10502.481</v>
      </c>
      <c r="G89" s="8"/>
    </row>
    <row r="90" spans="1:7" x14ac:dyDescent="0.45">
      <c r="A90" s="8" t="s">
        <v>57</v>
      </c>
      <c r="B90" s="4">
        <v>2</v>
      </c>
      <c r="C90" s="7">
        <v>97</v>
      </c>
      <c r="D90" s="7">
        <f t="shared" si="5"/>
        <v>-5</v>
      </c>
      <c r="E90" s="6">
        <v>7218.2</v>
      </c>
      <c r="F90" s="69">
        <f t="shared" si="6"/>
        <v>14003.307999999999</v>
      </c>
      <c r="G90" s="8"/>
    </row>
    <row r="91" spans="1:7" x14ac:dyDescent="0.45">
      <c r="A91" s="8" t="s">
        <v>58</v>
      </c>
      <c r="B91" s="4">
        <v>2.0099999999999998</v>
      </c>
      <c r="C91" s="7">
        <v>97</v>
      </c>
      <c r="D91" s="7">
        <f t="shared" si="5"/>
        <v>-5</v>
      </c>
      <c r="E91" s="6">
        <v>7218.2</v>
      </c>
      <c r="F91" s="69">
        <f t="shared" si="6"/>
        <v>14073.324539999998</v>
      </c>
      <c r="G91" s="8"/>
    </row>
    <row r="92" spans="1:7" x14ac:dyDescent="0.45">
      <c r="A92" s="8" t="s">
        <v>59</v>
      </c>
      <c r="B92" s="4">
        <v>1.98</v>
      </c>
      <c r="C92" s="7">
        <v>97</v>
      </c>
      <c r="D92" s="7">
        <f t="shared" si="5"/>
        <v>-5</v>
      </c>
      <c r="E92" s="6">
        <v>7218.2</v>
      </c>
      <c r="F92" s="69">
        <f t="shared" si="6"/>
        <v>13863.27492</v>
      </c>
      <c r="G92" s="8"/>
    </row>
    <row r="93" spans="1:7" x14ac:dyDescent="0.45">
      <c r="A93" s="8" t="s">
        <v>60</v>
      </c>
      <c r="B93" s="4">
        <v>3.4</v>
      </c>
      <c r="C93" s="7">
        <v>97</v>
      </c>
      <c r="D93" s="7">
        <f t="shared" si="5"/>
        <v>-5</v>
      </c>
      <c r="E93" s="6">
        <v>7218.2</v>
      </c>
      <c r="F93" s="69">
        <f t="shared" si="6"/>
        <v>23805.623599999999</v>
      </c>
      <c r="G93" s="8"/>
    </row>
    <row r="94" spans="1:7" x14ac:dyDescent="0.45">
      <c r="A94" s="8" t="s">
        <v>61</v>
      </c>
      <c r="B94" s="4">
        <v>2.11</v>
      </c>
      <c r="C94" s="7">
        <v>97</v>
      </c>
      <c r="D94" s="7">
        <f t="shared" si="5"/>
        <v>-5</v>
      </c>
      <c r="E94" s="6">
        <v>7218.2</v>
      </c>
      <c r="F94" s="69">
        <f t="shared" si="6"/>
        <v>14773.489939999999</v>
      </c>
      <c r="G94" s="8"/>
    </row>
    <row r="95" spans="1:7" x14ac:dyDescent="0.45">
      <c r="A95" s="8" t="s">
        <v>62</v>
      </c>
      <c r="B95" s="4">
        <v>2</v>
      </c>
      <c r="C95" s="7">
        <v>97</v>
      </c>
      <c r="D95" s="7">
        <f t="shared" si="5"/>
        <v>-5</v>
      </c>
      <c r="E95" s="6">
        <v>7218.2</v>
      </c>
      <c r="F95" s="69">
        <f t="shared" si="6"/>
        <v>14003.307999999999</v>
      </c>
      <c r="G95" s="8"/>
    </row>
    <row r="96" spans="1:7" x14ac:dyDescent="0.45">
      <c r="A96" s="8" t="s">
        <v>63</v>
      </c>
      <c r="B96" s="4">
        <v>2.11</v>
      </c>
      <c r="C96" s="7">
        <v>97</v>
      </c>
      <c r="D96" s="7">
        <f t="shared" si="5"/>
        <v>-5</v>
      </c>
      <c r="E96" s="6">
        <v>7218.2</v>
      </c>
      <c r="F96" s="69">
        <f t="shared" si="6"/>
        <v>14773.489939999999</v>
      </c>
      <c r="G96" s="8"/>
    </row>
    <row r="97" spans="1:7" x14ac:dyDescent="0.45">
      <c r="A97" s="8" t="s">
        <v>64</v>
      </c>
      <c r="B97" s="4">
        <v>2.0099999999999998</v>
      </c>
      <c r="C97" s="7">
        <v>97</v>
      </c>
      <c r="D97" s="7">
        <f t="shared" si="5"/>
        <v>-5</v>
      </c>
      <c r="E97" s="6">
        <v>7218.2</v>
      </c>
      <c r="F97" s="69">
        <f t="shared" si="6"/>
        <v>14073.324539999998</v>
      </c>
      <c r="G97" s="8"/>
    </row>
    <row r="98" spans="1:7" x14ac:dyDescent="0.45">
      <c r="A98" s="8" t="s">
        <v>65</v>
      </c>
      <c r="B98" s="4">
        <v>3.05</v>
      </c>
      <c r="C98" s="7">
        <v>97</v>
      </c>
      <c r="D98" s="7">
        <f t="shared" si="5"/>
        <v>-5</v>
      </c>
      <c r="E98" s="6">
        <v>7218.2</v>
      </c>
      <c r="F98" s="69">
        <f t="shared" si="6"/>
        <v>21355.044699999995</v>
      </c>
      <c r="G98" s="8"/>
    </row>
    <row r="99" spans="1:7" x14ac:dyDescent="0.45">
      <c r="A99" s="8" t="s">
        <v>66</v>
      </c>
      <c r="B99" s="4">
        <v>3.19</v>
      </c>
      <c r="C99" s="7">
        <v>97</v>
      </c>
      <c r="D99" s="7">
        <f t="shared" si="5"/>
        <v>-5</v>
      </c>
      <c r="E99" s="6">
        <v>7218.2</v>
      </c>
      <c r="F99" s="69">
        <f t="shared" si="6"/>
        <v>22335.276259999999</v>
      </c>
      <c r="G99" s="8"/>
    </row>
    <row r="100" spans="1:7" x14ac:dyDescent="0.45">
      <c r="A100" s="8" t="s">
        <v>67</v>
      </c>
      <c r="B100" s="4">
        <v>2.0699999999999998</v>
      </c>
      <c r="C100" s="7">
        <v>97</v>
      </c>
      <c r="D100" s="7">
        <f t="shared" si="5"/>
        <v>-5</v>
      </c>
      <c r="E100" s="6">
        <v>7218.2</v>
      </c>
      <c r="F100" s="69">
        <f t="shared" si="6"/>
        <v>14493.423779999997</v>
      </c>
      <c r="G100" s="8"/>
    </row>
    <row r="101" spans="1:7" x14ac:dyDescent="0.45">
      <c r="A101" s="8" t="s">
        <v>68</v>
      </c>
      <c r="B101" s="4">
        <v>1.07</v>
      </c>
      <c r="C101" s="7">
        <v>97</v>
      </c>
      <c r="D101" s="7">
        <f t="shared" si="5"/>
        <v>-5</v>
      </c>
      <c r="E101" s="6">
        <v>7218.2</v>
      </c>
      <c r="F101" s="69">
        <f t="shared" si="6"/>
        <v>7491.7697800000005</v>
      </c>
      <c r="G101" s="8"/>
    </row>
    <row r="102" spans="1:7" x14ac:dyDescent="0.45">
      <c r="A102" s="8" t="s">
        <v>69</v>
      </c>
      <c r="B102" s="4">
        <v>3.23</v>
      </c>
      <c r="C102" s="7">
        <v>97</v>
      </c>
      <c r="D102" s="7">
        <f t="shared" si="5"/>
        <v>-5</v>
      </c>
      <c r="E102" s="6">
        <v>7218.2</v>
      </c>
      <c r="F102" s="69">
        <f t="shared" si="6"/>
        <v>22615.342420000001</v>
      </c>
      <c r="G102" s="8"/>
    </row>
    <row r="103" spans="1:7" x14ac:dyDescent="0.45">
      <c r="A103" s="8" t="s">
        <v>70</v>
      </c>
      <c r="B103" s="4">
        <v>4.12</v>
      </c>
      <c r="C103" s="7">
        <v>97</v>
      </c>
      <c r="D103" s="7">
        <f t="shared" si="5"/>
        <v>-5</v>
      </c>
      <c r="E103" s="6">
        <v>7218.2</v>
      </c>
      <c r="F103" s="69">
        <f t="shared" si="6"/>
        <v>28846.814479999997</v>
      </c>
      <c r="G103" s="8"/>
    </row>
    <row r="104" spans="1:7" x14ac:dyDescent="0.45">
      <c r="A104" s="8" t="s">
        <v>71</v>
      </c>
      <c r="B104" s="4">
        <v>3.02</v>
      </c>
      <c r="C104" s="7">
        <v>98</v>
      </c>
      <c r="D104" s="7">
        <f t="shared" si="5"/>
        <v>-6</v>
      </c>
      <c r="E104" s="6">
        <v>7218.2</v>
      </c>
      <c r="F104" s="69">
        <f t="shared" si="6"/>
        <v>21362.98472</v>
      </c>
      <c r="G104" s="8"/>
    </row>
    <row r="105" spans="1:7" x14ac:dyDescent="0.45">
      <c r="A105" s="8" t="s">
        <v>72</v>
      </c>
      <c r="B105" s="4">
        <v>1.91</v>
      </c>
      <c r="C105" s="7">
        <v>98</v>
      </c>
      <c r="D105" s="7">
        <f t="shared" si="5"/>
        <v>-6</v>
      </c>
      <c r="E105" s="6">
        <v>7218.2</v>
      </c>
      <c r="F105" s="69">
        <f t="shared" si="6"/>
        <v>13511.026759999997</v>
      </c>
      <c r="G105" s="8"/>
    </row>
    <row r="106" spans="1:7" x14ac:dyDescent="0.45">
      <c r="A106" s="8" t="s">
        <v>73</v>
      </c>
      <c r="B106" s="4">
        <v>2.16</v>
      </c>
      <c r="C106" s="7">
        <v>98</v>
      </c>
      <c r="D106" s="7">
        <f t="shared" si="5"/>
        <v>-6</v>
      </c>
      <c r="E106" s="6">
        <v>7218.2</v>
      </c>
      <c r="F106" s="69">
        <f t="shared" si="6"/>
        <v>15279.48576</v>
      </c>
      <c r="G106" s="8"/>
    </row>
    <row r="107" spans="1:7" x14ac:dyDescent="0.45">
      <c r="A107" s="8" t="s">
        <v>74</v>
      </c>
      <c r="B107" s="4">
        <v>4.0599999999999996</v>
      </c>
      <c r="C107" s="7">
        <v>97</v>
      </c>
      <c r="D107" s="7">
        <f t="shared" si="5"/>
        <v>-5</v>
      </c>
      <c r="E107" s="6">
        <v>7218.2</v>
      </c>
      <c r="F107" s="69">
        <f t="shared" si="6"/>
        <v>28426.715239999994</v>
      </c>
      <c r="G107" s="8"/>
    </row>
    <row r="108" spans="1:7" x14ac:dyDescent="0.45">
      <c r="A108" s="8" t="s">
        <v>75</v>
      </c>
      <c r="B108" s="4">
        <v>4.03</v>
      </c>
      <c r="C108" s="7">
        <v>97</v>
      </c>
      <c r="D108" s="7">
        <f t="shared" si="5"/>
        <v>-5</v>
      </c>
      <c r="E108" s="6">
        <v>7218.2</v>
      </c>
      <c r="F108" s="69">
        <f t="shared" si="6"/>
        <v>28216.665620000003</v>
      </c>
      <c r="G108" s="8"/>
    </row>
    <row r="109" spans="1:7" x14ac:dyDescent="0.45">
      <c r="A109" s="8" t="s">
        <v>76</v>
      </c>
      <c r="B109" s="4">
        <v>6.07</v>
      </c>
      <c r="C109" s="7">
        <v>97</v>
      </c>
      <c r="D109" s="7">
        <f t="shared" si="5"/>
        <v>-5</v>
      </c>
      <c r="E109" s="6">
        <v>7218.2</v>
      </c>
      <c r="F109" s="69">
        <f t="shared" si="6"/>
        <v>42500.039780000006</v>
      </c>
      <c r="G109" s="8"/>
    </row>
    <row r="110" spans="1:7" x14ac:dyDescent="0.45">
      <c r="A110" s="8" t="s">
        <v>77</v>
      </c>
      <c r="B110" s="4">
        <v>4.07</v>
      </c>
      <c r="C110" s="7">
        <v>97</v>
      </c>
      <c r="D110" s="7">
        <f t="shared" si="5"/>
        <v>-5</v>
      </c>
      <c r="E110" s="6">
        <v>7218.2</v>
      </c>
      <c r="F110" s="69">
        <f t="shared" si="6"/>
        <v>28496.731780000002</v>
      </c>
      <c r="G110" s="8"/>
    </row>
    <row r="111" spans="1:7" x14ac:dyDescent="0.45">
      <c r="A111" s="8" t="s">
        <v>78</v>
      </c>
      <c r="B111" s="4">
        <v>4.1500000000000004</v>
      </c>
      <c r="C111" s="7">
        <v>97</v>
      </c>
      <c r="D111" s="7">
        <f t="shared" si="5"/>
        <v>-5</v>
      </c>
      <c r="E111" s="6">
        <v>7218.2</v>
      </c>
      <c r="F111" s="69">
        <f t="shared" si="6"/>
        <v>29056.864099999999</v>
      </c>
      <c r="G111" s="8"/>
    </row>
    <row r="112" spans="1:7" x14ac:dyDescent="0.45">
      <c r="A112" s="8" t="s">
        <v>79</v>
      </c>
      <c r="B112" s="4">
        <v>3</v>
      </c>
      <c r="C112" s="7">
        <v>97</v>
      </c>
      <c r="D112" s="7">
        <f t="shared" si="5"/>
        <v>-5</v>
      </c>
      <c r="E112" s="6">
        <v>7218.2</v>
      </c>
      <c r="F112" s="69">
        <f t="shared" si="6"/>
        <v>21004.962</v>
      </c>
      <c r="G112" s="8"/>
    </row>
    <row r="113" spans="1:7" x14ac:dyDescent="0.45">
      <c r="A113" s="8" t="s">
        <v>80</v>
      </c>
      <c r="B113" s="4">
        <v>4.07</v>
      </c>
      <c r="C113" s="7">
        <v>97</v>
      </c>
      <c r="D113" s="7">
        <f t="shared" si="5"/>
        <v>-5</v>
      </c>
      <c r="E113" s="6">
        <v>7218.2</v>
      </c>
      <c r="F113" s="69">
        <f t="shared" si="6"/>
        <v>28496.731780000002</v>
      </c>
      <c r="G113" s="8"/>
    </row>
    <row r="114" spans="1:7" x14ac:dyDescent="0.45">
      <c r="A114" s="8" t="s">
        <v>81</v>
      </c>
      <c r="B114" s="4">
        <v>4.13</v>
      </c>
      <c r="C114" s="7">
        <v>97</v>
      </c>
      <c r="D114" s="7">
        <f t="shared" si="5"/>
        <v>-5</v>
      </c>
      <c r="E114" s="6">
        <v>7218.2</v>
      </c>
      <c r="F114" s="69">
        <f t="shared" si="6"/>
        <v>28916.831019999998</v>
      </c>
      <c r="G114" s="8"/>
    </row>
    <row r="115" spans="1:7" x14ac:dyDescent="0.45">
      <c r="A115" s="8" t="s">
        <v>82</v>
      </c>
      <c r="B115" s="4">
        <v>4.42</v>
      </c>
      <c r="C115" s="7">
        <v>85</v>
      </c>
      <c r="D115" s="7">
        <v>10</v>
      </c>
      <c r="E115" s="6">
        <v>7218.2</v>
      </c>
      <c r="F115" s="69">
        <f t="shared" si="6"/>
        <v>27118.777399999995</v>
      </c>
      <c r="G115" s="8"/>
    </row>
    <row r="116" spans="1:7" x14ac:dyDescent="0.45">
      <c r="A116" s="8" t="s">
        <v>83</v>
      </c>
      <c r="B116" s="4">
        <v>4.13</v>
      </c>
      <c r="C116" s="7">
        <v>97</v>
      </c>
      <c r="D116" s="7">
        <v>5</v>
      </c>
      <c r="E116" s="6">
        <v>7170</v>
      </c>
      <c r="F116" s="69">
        <f>(((B116*C116)/100)*E116)</f>
        <v>28723.737000000001</v>
      </c>
      <c r="G116" s="8"/>
    </row>
    <row r="117" spans="1:7" x14ac:dyDescent="0.45">
      <c r="A117" s="8" t="s">
        <v>925</v>
      </c>
      <c r="B117" s="4">
        <v>2.21</v>
      </c>
      <c r="C117" s="7">
        <v>85</v>
      </c>
      <c r="D117" s="7"/>
      <c r="E117" s="6"/>
      <c r="F117" s="69">
        <v>7800</v>
      </c>
      <c r="G117" s="8"/>
    </row>
    <row r="118" spans="1:7" x14ac:dyDescent="0.45">
      <c r="A118" s="8" t="s">
        <v>1064</v>
      </c>
      <c r="B118" s="4">
        <v>4.1399999999999997</v>
      </c>
      <c r="C118" s="7">
        <v>98.5</v>
      </c>
      <c r="D118" s="7">
        <f>92-Table1[[#This Row],[MELTING]]</f>
        <v>-6.5</v>
      </c>
      <c r="E118" s="6">
        <v>7420</v>
      </c>
      <c r="F118" s="69">
        <f t="shared" ref="F118:F144" si="7">(((B118*C118)/100)*E118)</f>
        <v>30258.017999999996</v>
      </c>
      <c r="G118" s="8"/>
    </row>
    <row r="119" spans="1:7" x14ac:dyDescent="0.45">
      <c r="A119" s="8" t="s">
        <v>1065</v>
      </c>
      <c r="B119" s="4">
        <v>1.08</v>
      </c>
      <c r="C119" s="7">
        <v>97</v>
      </c>
      <c r="D119" s="7">
        <f>92-Table1[[#This Row],[MELTING]]</f>
        <v>-5</v>
      </c>
      <c r="E119" s="6">
        <v>7420</v>
      </c>
      <c r="F119" s="69">
        <f t="shared" si="7"/>
        <v>7773.1920000000009</v>
      </c>
      <c r="G119" s="8"/>
    </row>
    <row r="120" spans="1:7" x14ac:dyDescent="0.45">
      <c r="A120" s="8" t="s">
        <v>1066</v>
      </c>
      <c r="B120" s="4">
        <v>2.0499999999999998</v>
      </c>
      <c r="C120" s="7">
        <v>97</v>
      </c>
      <c r="D120" s="7">
        <f>92-Table1[[#This Row],[MELTING]]</f>
        <v>-5</v>
      </c>
      <c r="E120" s="6">
        <v>7420</v>
      </c>
      <c r="F120" s="69">
        <f t="shared" si="7"/>
        <v>14754.67</v>
      </c>
      <c r="G120" s="8"/>
    </row>
    <row r="121" spans="1:7" x14ac:dyDescent="0.45">
      <c r="A121" s="8" t="s">
        <v>1067</v>
      </c>
      <c r="B121" s="4">
        <v>2.1</v>
      </c>
      <c r="C121" s="7">
        <v>97</v>
      </c>
      <c r="D121" s="7">
        <f>92-Table1[[#This Row],[MELTING]]</f>
        <v>-5</v>
      </c>
      <c r="E121" s="6">
        <v>7420</v>
      </c>
      <c r="F121" s="69">
        <f t="shared" si="7"/>
        <v>15114.540000000003</v>
      </c>
      <c r="G121" s="8"/>
    </row>
    <row r="122" spans="1:7" x14ac:dyDescent="0.45">
      <c r="A122" s="8" t="s">
        <v>1068</v>
      </c>
      <c r="B122" s="4">
        <v>2.08</v>
      </c>
      <c r="C122" s="7">
        <v>97</v>
      </c>
      <c r="D122" s="7">
        <f>92-Table1[[#This Row],[MELTING]]</f>
        <v>-5</v>
      </c>
      <c r="E122" s="6">
        <v>7420</v>
      </c>
      <c r="F122" s="69">
        <f t="shared" si="7"/>
        <v>14970.592000000002</v>
      </c>
      <c r="G122" s="8"/>
    </row>
    <row r="123" spans="1:7" x14ac:dyDescent="0.45">
      <c r="A123" s="8" t="s">
        <v>1069</v>
      </c>
      <c r="B123" s="4">
        <v>3.04</v>
      </c>
      <c r="C123" s="7">
        <v>97</v>
      </c>
      <c r="D123" s="7">
        <f>92-Table1[[#This Row],[MELTING]]</f>
        <v>-5</v>
      </c>
      <c r="E123" s="6">
        <v>7420</v>
      </c>
      <c r="F123" s="69">
        <f t="shared" si="7"/>
        <v>21880.095999999998</v>
      </c>
      <c r="G123" s="8"/>
    </row>
    <row r="124" spans="1:7" x14ac:dyDescent="0.45">
      <c r="A124" s="8" t="s">
        <v>1070</v>
      </c>
      <c r="B124" s="4">
        <v>3.03</v>
      </c>
      <c r="C124" s="7">
        <v>97</v>
      </c>
      <c r="D124" s="7">
        <f>92-Table1[[#This Row],[MELTING]]</f>
        <v>-5</v>
      </c>
      <c r="E124" s="6">
        <v>7420</v>
      </c>
      <c r="F124" s="69">
        <f t="shared" si="7"/>
        <v>21808.121999999999</v>
      </c>
      <c r="G124" s="8"/>
    </row>
    <row r="125" spans="1:7" x14ac:dyDescent="0.45">
      <c r="A125" s="8" t="s">
        <v>1071</v>
      </c>
      <c r="B125" s="4">
        <v>3.4</v>
      </c>
      <c r="C125" s="7">
        <v>97</v>
      </c>
      <c r="D125" s="7">
        <f>92-Table1[[#This Row],[MELTING]]</f>
        <v>-5</v>
      </c>
      <c r="E125" s="6">
        <v>7420</v>
      </c>
      <c r="F125" s="69">
        <f t="shared" si="7"/>
        <v>24471.16</v>
      </c>
      <c r="G125" s="8"/>
    </row>
    <row r="126" spans="1:7" x14ac:dyDescent="0.45">
      <c r="A126" s="8" t="s">
        <v>1072</v>
      </c>
      <c r="B126" s="4">
        <v>4.09</v>
      </c>
      <c r="C126" s="7">
        <v>97</v>
      </c>
      <c r="D126" s="7">
        <f>92-Table1[[#This Row],[MELTING]]</f>
        <v>-5</v>
      </c>
      <c r="E126" s="6">
        <v>7420</v>
      </c>
      <c r="F126" s="69">
        <f t="shared" si="7"/>
        <v>29437.365999999998</v>
      </c>
      <c r="G126" s="8"/>
    </row>
    <row r="127" spans="1:7" x14ac:dyDescent="0.45">
      <c r="A127" s="8" t="s">
        <v>1073</v>
      </c>
      <c r="B127" s="4">
        <v>4.05</v>
      </c>
      <c r="C127" s="7">
        <v>97</v>
      </c>
      <c r="D127" s="7">
        <f>92-Table1[[#This Row],[MELTING]]</f>
        <v>-5</v>
      </c>
      <c r="E127" s="6">
        <v>7420</v>
      </c>
      <c r="F127" s="69">
        <f t="shared" si="7"/>
        <v>29149.469999999998</v>
      </c>
      <c r="G127" s="8"/>
    </row>
    <row r="128" spans="1:7" x14ac:dyDescent="0.45">
      <c r="A128" s="8" t="s">
        <v>1226</v>
      </c>
      <c r="B128" s="4">
        <v>2.2200000000000002</v>
      </c>
      <c r="C128" s="7">
        <v>96</v>
      </c>
      <c r="D128" s="7">
        <f>92-Table1[[#This Row],[MELTING]]</f>
        <v>-4</v>
      </c>
      <c r="E128" s="6">
        <v>7087</v>
      </c>
      <c r="F128" s="69">
        <f t="shared" ref="F128:F138" si="8">(((B128*C128)/100)*E128)</f>
        <v>15103.814400000001</v>
      </c>
      <c r="G128" s="8"/>
    </row>
    <row r="129" spans="1:7" x14ac:dyDescent="0.45">
      <c r="A129" s="8" t="s">
        <v>1227</v>
      </c>
      <c r="B129" s="4">
        <v>2.16</v>
      </c>
      <c r="C129" s="7">
        <v>96</v>
      </c>
      <c r="D129" s="7">
        <f>92-Table1[[#This Row],[MELTING]]</f>
        <v>-4</v>
      </c>
      <c r="E129" s="6">
        <v>7087</v>
      </c>
      <c r="F129" s="69">
        <f t="shared" si="8"/>
        <v>14695.603200000003</v>
      </c>
      <c r="G129" s="8"/>
    </row>
    <row r="130" spans="1:7" x14ac:dyDescent="0.45">
      <c r="A130" s="8" t="s">
        <v>1228</v>
      </c>
      <c r="B130" s="4">
        <v>2.0699999999999998</v>
      </c>
      <c r="C130" s="7">
        <v>96</v>
      </c>
      <c r="D130" s="7">
        <f>92-Table1[[#This Row],[MELTING]]</f>
        <v>-4</v>
      </c>
      <c r="E130" s="6">
        <v>7087</v>
      </c>
      <c r="F130" s="69">
        <f t="shared" si="8"/>
        <v>14083.286399999997</v>
      </c>
      <c r="G130" s="8"/>
    </row>
    <row r="131" spans="1:7" x14ac:dyDescent="0.45">
      <c r="A131" s="8" t="s">
        <v>1229</v>
      </c>
      <c r="B131" s="4">
        <v>2.13</v>
      </c>
      <c r="C131" s="7">
        <v>97.5</v>
      </c>
      <c r="D131" s="7">
        <f>92-Table1[[#This Row],[MELTING]]</f>
        <v>-5.5</v>
      </c>
      <c r="E131" s="6">
        <v>7087</v>
      </c>
      <c r="F131" s="69">
        <f t="shared" si="8"/>
        <v>14717.927249999997</v>
      </c>
      <c r="G131" s="8"/>
    </row>
    <row r="132" spans="1:7" x14ac:dyDescent="0.45">
      <c r="A132" s="8" t="s">
        <v>1230</v>
      </c>
      <c r="B132" s="4">
        <v>2.15</v>
      </c>
      <c r="C132" s="7">
        <v>96</v>
      </c>
      <c r="D132" s="7">
        <f>92-Table1[[#This Row],[MELTING]]</f>
        <v>-4</v>
      </c>
      <c r="E132" s="6">
        <v>7087</v>
      </c>
      <c r="F132" s="69">
        <f t="shared" si="8"/>
        <v>14627.567999999997</v>
      </c>
      <c r="G132" s="8"/>
    </row>
    <row r="133" spans="1:7" x14ac:dyDescent="0.45">
      <c r="A133" s="8" t="s">
        <v>1231</v>
      </c>
      <c r="B133" s="4">
        <v>1.83</v>
      </c>
      <c r="C133" s="7">
        <v>96</v>
      </c>
      <c r="D133" s="7">
        <f>92-Table1[[#This Row],[MELTING]]</f>
        <v>-4</v>
      </c>
      <c r="E133" s="6">
        <v>7087</v>
      </c>
      <c r="F133" s="69">
        <f t="shared" si="8"/>
        <v>12450.4416</v>
      </c>
      <c r="G133" s="8"/>
    </row>
    <row r="134" spans="1:7" x14ac:dyDescent="0.45">
      <c r="A134" s="8" t="s">
        <v>1232</v>
      </c>
      <c r="B134" s="4">
        <v>2.1</v>
      </c>
      <c r="C134" s="7">
        <v>96</v>
      </c>
      <c r="D134" s="7">
        <f>92-Table1[[#This Row],[MELTING]]</f>
        <v>-4</v>
      </c>
      <c r="E134" s="6">
        <v>7087</v>
      </c>
      <c r="F134" s="69">
        <f t="shared" si="8"/>
        <v>14287.392</v>
      </c>
      <c r="G134" s="8"/>
    </row>
    <row r="135" spans="1:7" x14ac:dyDescent="0.45">
      <c r="A135" s="8" t="s">
        <v>1233</v>
      </c>
      <c r="B135" s="4">
        <v>2.2200000000000002</v>
      </c>
      <c r="C135" s="7">
        <v>96</v>
      </c>
      <c r="D135" s="7">
        <f>92-Table1[[#This Row],[MELTING]]</f>
        <v>-4</v>
      </c>
      <c r="E135" s="6">
        <v>7087</v>
      </c>
      <c r="F135" s="69">
        <f t="shared" si="8"/>
        <v>15103.814400000001</v>
      </c>
      <c r="G135" s="8"/>
    </row>
    <row r="136" spans="1:7" x14ac:dyDescent="0.45">
      <c r="A136" s="8" t="s">
        <v>1234</v>
      </c>
      <c r="B136" s="4">
        <v>2.41</v>
      </c>
      <c r="C136" s="7">
        <v>96</v>
      </c>
      <c r="D136" s="7">
        <f>92-Table1[[#This Row],[MELTING]]</f>
        <v>-4</v>
      </c>
      <c r="E136" s="6">
        <v>7087</v>
      </c>
      <c r="F136" s="69">
        <f t="shared" si="8"/>
        <v>16396.483200000002</v>
      </c>
      <c r="G136" s="8"/>
    </row>
    <row r="137" spans="1:7" x14ac:dyDescent="0.45">
      <c r="A137" s="8" t="s">
        <v>1235</v>
      </c>
      <c r="B137" s="4">
        <v>2.2200000000000002</v>
      </c>
      <c r="C137" s="7">
        <v>96</v>
      </c>
      <c r="D137" s="7">
        <f>92-Table1[[#This Row],[MELTING]]</f>
        <v>-4</v>
      </c>
      <c r="E137" s="6">
        <v>7087</v>
      </c>
      <c r="F137" s="69">
        <f t="shared" si="8"/>
        <v>15103.814400000001</v>
      </c>
      <c r="G137" s="8"/>
    </row>
    <row r="138" spans="1:7" x14ac:dyDescent="0.45">
      <c r="A138" s="8" t="s">
        <v>1236</v>
      </c>
      <c r="B138" s="4">
        <v>2.1800000000000002</v>
      </c>
      <c r="C138" s="7">
        <v>96</v>
      </c>
      <c r="D138" s="7">
        <f>92-Table1[[#This Row],[MELTING]]</f>
        <v>-4</v>
      </c>
      <c r="E138" s="6">
        <v>7087</v>
      </c>
      <c r="F138" s="69">
        <f t="shared" si="8"/>
        <v>14831.673600000004</v>
      </c>
      <c r="G138" s="8"/>
    </row>
    <row r="139" spans="1:7" x14ac:dyDescent="0.45">
      <c r="A139" s="8" t="s">
        <v>1333</v>
      </c>
      <c r="B139" s="4">
        <v>2.2200000000000002</v>
      </c>
      <c r="C139" s="7">
        <v>96</v>
      </c>
      <c r="D139" s="7">
        <f>92-Table1[[#This Row],[MELTING]]</f>
        <v>-4</v>
      </c>
      <c r="E139" s="6">
        <v>6305</v>
      </c>
      <c r="F139" s="69">
        <f>(((B139*C139)/100)*E139)</f>
        <v>13437.216000000002</v>
      </c>
      <c r="G139" s="8"/>
    </row>
    <row r="140" spans="1:7" x14ac:dyDescent="0.45">
      <c r="A140" s="8" t="s">
        <v>1334</v>
      </c>
      <c r="B140" s="4">
        <v>2.0699999999999998</v>
      </c>
      <c r="C140" s="7">
        <v>96</v>
      </c>
      <c r="D140" s="7">
        <f>92-Table1[[#This Row],[MELTING]]</f>
        <v>-4</v>
      </c>
      <c r="E140" s="6">
        <v>6305</v>
      </c>
      <c r="F140" s="69">
        <f>(((B140*C140)/100)*E140)</f>
        <v>12529.295999999998</v>
      </c>
      <c r="G140" s="8"/>
    </row>
    <row r="141" spans="1:7" x14ac:dyDescent="0.45">
      <c r="A141" s="8" t="s">
        <v>1335</v>
      </c>
      <c r="B141" s="4">
        <v>4.01</v>
      </c>
      <c r="C141" s="7">
        <v>96</v>
      </c>
      <c r="D141" s="7">
        <f>92-Table1[[#This Row],[MELTING]]</f>
        <v>-4</v>
      </c>
      <c r="E141" s="6">
        <v>6305</v>
      </c>
      <c r="F141" s="69">
        <f>(((B141*C141)/100)*E141)</f>
        <v>24271.727999999999</v>
      </c>
      <c r="G141" s="8"/>
    </row>
    <row r="142" spans="1:7" x14ac:dyDescent="0.45">
      <c r="A142" s="8" t="s">
        <v>1336</v>
      </c>
      <c r="B142" s="4">
        <v>3.97</v>
      </c>
      <c r="C142" s="7">
        <v>96</v>
      </c>
      <c r="D142" s="7">
        <f>92-Table1[[#This Row],[MELTING]]</f>
        <v>-4</v>
      </c>
      <c r="E142" s="6">
        <v>6305</v>
      </c>
      <c r="F142" s="69">
        <f>(((B142*C142)/100)*E142)</f>
        <v>24029.615999999998</v>
      </c>
      <c r="G142" s="8"/>
    </row>
    <row r="143" spans="1:7" x14ac:dyDescent="0.45">
      <c r="A143" s="8" t="s">
        <v>1691</v>
      </c>
      <c r="B143" s="4">
        <v>2.16</v>
      </c>
      <c r="C143" s="7">
        <v>91.51</v>
      </c>
      <c r="D143" s="7"/>
      <c r="E143" s="6">
        <v>8500</v>
      </c>
      <c r="F143" s="69">
        <f>(((B143*C143)/100)*E143)</f>
        <v>16801.236000000001</v>
      </c>
      <c r="G143" s="8"/>
    </row>
    <row r="144" spans="1:7" x14ac:dyDescent="0.45">
      <c r="A144" s="8" t="s">
        <v>84</v>
      </c>
      <c r="B144" s="4">
        <v>2.0499999999999998</v>
      </c>
      <c r="C144" s="7">
        <v>84.5</v>
      </c>
      <c r="D144" s="7">
        <f>77-C144</f>
        <v>-7.5</v>
      </c>
      <c r="E144" s="6">
        <v>7218.2</v>
      </c>
      <c r="F144" s="69">
        <f t="shared" si="7"/>
        <v>12503.726949999998</v>
      </c>
      <c r="G144" s="8"/>
    </row>
    <row r="145" spans="1:7" x14ac:dyDescent="0.45">
      <c r="A145" s="8" t="s">
        <v>85</v>
      </c>
      <c r="B145" s="4">
        <v>3.92</v>
      </c>
      <c r="C145" s="7">
        <v>84</v>
      </c>
      <c r="D145" s="7">
        <f>77-C145</f>
        <v>-7</v>
      </c>
      <c r="E145" s="6">
        <v>7218.2</v>
      </c>
      <c r="F145" s="69">
        <f t="shared" ref="F145:F156" si="9">(((B145*C145)/100)*E145)</f>
        <v>23768.088959999997</v>
      </c>
      <c r="G145" s="8"/>
    </row>
    <row r="146" spans="1:7" x14ac:dyDescent="0.45">
      <c r="A146" s="8" t="s">
        <v>926</v>
      </c>
      <c r="B146" s="4">
        <v>3.34</v>
      </c>
      <c r="C146" s="7"/>
      <c r="D146" s="7"/>
      <c r="E146" s="6"/>
      <c r="F146" s="69">
        <v>17300</v>
      </c>
      <c r="G146" s="8"/>
    </row>
    <row r="147" spans="1:7" x14ac:dyDescent="0.45">
      <c r="A147" s="8" t="s">
        <v>86</v>
      </c>
      <c r="B147" s="4">
        <v>1.04</v>
      </c>
      <c r="C147" s="7">
        <v>84</v>
      </c>
      <c r="D147" s="7">
        <f t="shared" ref="D147:D156" si="10">77-C147</f>
        <v>-7</v>
      </c>
      <c r="E147" s="6">
        <v>7218.2</v>
      </c>
      <c r="F147" s="69">
        <f t="shared" si="9"/>
        <v>6305.81952</v>
      </c>
      <c r="G147" s="8"/>
    </row>
    <row r="148" spans="1:7" x14ac:dyDescent="0.45">
      <c r="A148" s="8" t="s">
        <v>87</v>
      </c>
      <c r="B148" s="4">
        <v>1.08</v>
      </c>
      <c r="C148" s="7">
        <v>84</v>
      </c>
      <c r="D148" s="7">
        <f t="shared" si="10"/>
        <v>-7</v>
      </c>
      <c r="E148" s="6">
        <v>7218.2</v>
      </c>
      <c r="F148" s="69">
        <f t="shared" si="9"/>
        <v>6548.3510399999996</v>
      </c>
      <c r="G148" s="8"/>
    </row>
    <row r="149" spans="1:7" x14ac:dyDescent="0.45">
      <c r="A149" s="8" t="s">
        <v>88</v>
      </c>
      <c r="B149" s="4">
        <v>1.05</v>
      </c>
      <c r="C149" s="7">
        <v>84</v>
      </c>
      <c r="D149" s="7">
        <f t="shared" si="10"/>
        <v>-7</v>
      </c>
      <c r="E149" s="6">
        <v>7218.2</v>
      </c>
      <c r="F149" s="69">
        <f t="shared" si="9"/>
        <v>6366.4524000000001</v>
      </c>
      <c r="G149" s="8"/>
    </row>
    <row r="150" spans="1:7" x14ac:dyDescent="0.45">
      <c r="A150" s="8" t="s">
        <v>89</v>
      </c>
      <c r="B150" s="4">
        <v>1</v>
      </c>
      <c r="C150" s="7">
        <v>84</v>
      </c>
      <c r="D150" s="7">
        <f t="shared" si="10"/>
        <v>-7</v>
      </c>
      <c r="E150" s="6">
        <v>7218.2</v>
      </c>
      <c r="F150" s="69">
        <f t="shared" si="9"/>
        <v>6063.2879999999996</v>
      </c>
      <c r="G150" s="8"/>
    </row>
    <row r="151" spans="1:7" x14ac:dyDescent="0.45">
      <c r="A151" s="8" t="s">
        <v>90</v>
      </c>
      <c r="B151" s="4">
        <v>1.05</v>
      </c>
      <c r="C151" s="7">
        <v>84</v>
      </c>
      <c r="D151" s="7">
        <f t="shared" si="10"/>
        <v>-7</v>
      </c>
      <c r="E151" s="6">
        <v>7218.2</v>
      </c>
      <c r="F151" s="69">
        <f t="shared" si="9"/>
        <v>6366.4524000000001</v>
      </c>
      <c r="G151" s="8"/>
    </row>
    <row r="152" spans="1:7" x14ac:dyDescent="0.45">
      <c r="A152" s="8" t="s">
        <v>91</v>
      </c>
      <c r="B152" s="4">
        <v>1.05</v>
      </c>
      <c r="C152" s="7">
        <v>84</v>
      </c>
      <c r="D152" s="7">
        <f t="shared" si="10"/>
        <v>-7</v>
      </c>
      <c r="E152" s="6">
        <v>7218.2</v>
      </c>
      <c r="F152" s="69">
        <f t="shared" si="9"/>
        <v>6366.4524000000001</v>
      </c>
      <c r="G152" s="8"/>
    </row>
    <row r="153" spans="1:7" x14ac:dyDescent="0.45">
      <c r="A153" s="8" t="s">
        <v>92</v>
      </c>
      <c r="B153" s="4">
        <v>1</v>
      </c>
      <c r="C153" s="7">
        <v>84</v>
      </c>
      <c r="D153" s="7">
        <f t="shared" si="10"/>
        <v>-7</v>
      </c>
      <c r="E153" s="6">
        <v>7218.2</v>
      </c>
      <c r="F153" s="69">
        <f t="shared" si="9"/>
        <v>6063.2879999999996</v>
      </c>
      <c r="G153" s="8"/>
    </row>
    <row r="154" spans="1:7" x14ac:dyDescent="0.45">
      <c r="A154" s="8" t="s">
        <v>93</v>
      </c>
      <c r="B154" s="4">
        <v>1.1000000000000001</v>
      </c>
      <c r="C154" s="7">
        <v>84</v>
      </c>
      <c r="D154" s="7">
        <f t="shared" si="10"/>
        <v>-7</v>
      </c>
      <c r="E154" s="6">
        <v>7218.2</v>
      </c>
      <c r="F154" s="69">
        <f t="shared" si="9"/>
        <v>6669.6167999999998</v>
      </c>
      <c r="G154" s="8"/>
    </row>
    <row r="155" spans="1:7" x14ac:dyDescent="0.45">
      <c r="A155" s="8" t="s">
        <v>94</v>
      </c>
      <c r="B155" s="4">
        <v>1.05</v>
      </c>
      <c r="C155" s="7">
        <v>84</v>
      </c>
      <c r="D155" s="7">
        <f t="shared" si="10"/>
        <v>-7</v>
      </c>
      <c r="E155" s="6">
        <v>7218.2</v>
      </c>
      <c r="F155" s="69">
        <f t="shared" si="9"/>
        <v>6366.4524000000001</v>
      </c>
      <c r="G155" s="8"/>
    </row>
    <row r="156" spans="1:7" x14ac:dyDescent="0.45">
      <c r="A156" s="8" t="s">
        <v>95</v>
      </c>
      <c r="B156" s="4">
        <v>1.06</v>
      </c>
      <c r="C156" s="7">
        <v>84</v>
      </c>
      <c r="D156" s="7">
        <f t="shared" si="10"/>
        <v>-7</v>
      </c>
      <c r="E156" s="6">
        <v>7218.2</v>
      </c>
      <c r="F156" s="69">
        <f t="shared" si="9"/>
        <v>6427.0852800000002</v>
      </c>
      <c r="G156" s="8"/>
    </row>
    <row r="157" spans="1:7" x14ac:dyDescent="0.45">
      <c r="A157" s="8" t="s">
        <v>1074</v>
      </c>
      <c r="B157" s="4">
        <v>1.01</v>
      </c>
      <c r="C157" s="7">
        <v>84</v>
      </c>
      <c r="D157" s="7">
        <v>8</v>
      </c>
      <c r="E157" s="6">
        <v>7420</v>
      </c>
      <c r="F157" s="69">
        <f t="shared" ref="F157:F181" si="11">(((B157*C157)/100)*E157)</f>
        <v>6295.1280000000006</v>
      </c>
      <c r="G157" s="8"/>
    </row>
    <row r="158" spans="1:7" x14ac:dyDescent="0.45">
      <c r="A158" s="8" t="s">
        <v>1075</v>
      </c>
      <c r="B158" s="4">
        <v>0.99</v>
      </c>
      <c r="C158" s="7">
        <v>84</v>
      </c>
      <c r="D158" s="7">
        <v>8</v>
      </c>
      <c r="E158" s="6">
        <v>7420</v>
      </c>
      <c r="F158" s="69">
        <f t="shared" si="11"/>
        <v>6170.4719999999998</v>
      </c>
      <c r="G158" s="8"/>
    </row>
    <row r="159" spans="1:7" x14ac:dyDescent="0.45">
      <c r="A159" s="8" t="s">
        <v>1337</v>
      </c>
      <c r="B159" s="4">
        <v>2.08</v>
      </c>
      <c r="C159" s="7">
        <v>85</v>
      </c>
      <c r="D159" s="7">
        <f>77-Table1[[#This Row],[MELTING]]</f>
        <v>-8</v>
      </c>
      <c r="E159" s="6">
        <v>7290</v>
      </c>
      <c r="F159" s="69">
        <f t="shared" si="11"/>
        <v>12888.72</v>
      </c>
      <c r="G159" s="8"/>
    </row>
    <row r="160" spans="1:7" x14ac:dyDescent="0.45">
      <c r="A160" s="8" t="s">
        <v>1338</v>
      </c>
      <c r="B160" s="4">
        <v>2.0699999999999998</v>
      </c>
      <c r="C160" s="7">
        <v>85</v>
      </c>
      <c r="D160" s="7">
        <f>77-Table1[[#This Row],[MELTING]]</f>
        <v>-8</v>
      </c>
      <c r="E160" s="6">
        <v>7290</v>
      </c>
      <c r="F160" s="69">
        <f t="shared" si="11"/>
        <v>12826.754999999999</v>
      </c>
      <c r="G160" s="8"/>
    </row>
    <row r="161" spans="1:7" x14ac:dyDescent="0.45">
      <c r="A161" s="8" t="s">
        <v>1339</v>
      </c>
      <c r="B161" s="4">
        <v>1.07</v>
      </c>
      <c r="C161" s="7">
        <v>85</v>
      </c>
      <c r="D161" s="7">
        <f>77-Table1[[#This Row],[MELTING]]</f>
        <v>-8</v>
      </c>
      <c r="E161" s="6">
        <v>7290</v>
      </c>
      <c r="F161" s="69">
        <f t="shared" si="11"/>
        <v>6630.2550000000001</v>
      </c>
      <c r="G161" s="8"/>
    </row>
    <row r="162" spans="1:7" x14ac:dyDescent="0.45">
      <c r="A162" s="8" t="s">
        <v>1340</v>
      </c>
      <c r="B162" s="4">
        <v>1.06</v>
      </c>
      <c r="C162" s="7">
        <v>85</v>
      </c>
      <c r="D162" s="7">
        <f>77-Table1[[#This Row],[MELTING]]</f>
        <v>-8</v>
      </c>
      <c r="E162" s="6">
        <v>7290</v>
      </c>
      <c r="F162" s="69">
        <f t="shared" si="11"/>
        <v>6568.2900000000009</v>
      </c>
      <c r="G162" s="8"/>
    </row>
    <row r="163" spans="1:7" x14ac:dyDescent="0.45">
      <c r="A163" s="8" t="s">
        <v>1341</v>
      </c>
      <c r="B163" s="4">
        <v>1.23</v>
      </c>
      <c r="C163" s="7">
        <v>85</v>
      </c>
      <c r="D163" s="7">
        <f>77-Table1[[#This Row],[MELTING]]</f>
        <v>-8</v>
      </c>
      <c r="E163" s="6">
        <v>7290</v>
      </c>
      <c r="F163" s="69">
        <f t="shared" si="11"/>
        <v>7621.6949999999988</v>
      </c>
      <c r="G163" s="8"/>
    </row>
    <row r="164" spans="1:7" x14ac:dyDescent="0.45">
      <c r="A164" s="8" t="s">
        <v>1342</v>
      </c>
      <c r="B164" s="4">
        <v>1.24</v>
      </c>
      <c r="C164" s="7">
        <v>85</v>
      </c>
      <c r="D164" s="7">
        <f>77-Table1[[#This Row],[MELTING]]</f>
        <v>-8</v>
      </c>
      <c r="E164" s="6">
        <v>7290</v>
      </c>
      <c r="F164" s="69">
        <f t="shared" si="11"/>
        <v>7683.6600000000008</v>
      </c>
      <c r="G164" s="8"/>
    </row>
    <row r="165" spans="1:7" x14ac:dyDescent="0.45">
      <c r="A165" s="8" t="s">
        <v>1343</v>
      </c>
      <c r="B165" s="4">
        <v>1.0900000000000001</v>
      </c>
      <c r="C165" s="7">
        <v>85</v>
      </c>
      <c r="D165" s="7">
        <f>77-Table1[[#This Row],[MELTING]]</f>
        <v>-8</v>
      </c>
      <c r="E165" s="6">
        <v>7290</v>
      </c>
      <c r="F165" s="69">
        <f t="shared" si="11"/>
        <v>6754.1850000000004</v>
      </c>
      <c r="G165" s="8"/>
    </row>
    <row r="166" spans="1:7" x14ac:dyDescent="0.45">
      <c r="A166" s="8" t="s">
        <v>1344</v>
      </c>
      <c r="B166" s="4">
        <v>1.1100000000000001</v>
      </c>
      <c r="C166" s="7">
        <v>85</v>
      </c>
      <c r="D166" s="7">
        <f>77-Table1[[#This Row],[MELTING]]</f>
        <v>-8</v>
      </c>
      <c r="E166" s="6">
        <v>7290</v>
      </c>
      <c r="F166" s="69">
        <f t="shared" si="11"/>
        <v>6878.1150000000007</v>
      </c>
      <c r="G166" s="8"/>
    </row>
    <row r="167" spans="1:7" x14ac:dyDescent="0.45">
      <c r="A167" s="8" t="s">
        <v>1345</v>
      </c>
      <c r="B167" s="4">
        <v>2.06</v>
      </c>
      <c r="C167" s="7">
        <v>85</v>
      </c>
      <c r="D167" s="7">
        <f>77-Table1[[#This Row],[MELTING]]</f>
        <v>-8</v>
      </c>
      <c r="E167" s="6">
        <v>7290</v>
      </c>
      <c r="F167" s="69">
        <f t="shared" si="11"/>
        <v>12764.789999999999</v>
      </c>
      <c r="G167" s="8"/>
    </row>
    <row r="168" spans="1:7" x14ac:dyDescent="0.45">
      <c r="A168" s="8" t="s">
        <v>1346</v>
      </c>
      <c r="B168" s="4">
        <v>2.0499999999999998</v>
      </c>
      <c r="C168" s="7">
        <v>85</v>
      </c>
      <c r="D168" s="7">
        <f>77-Table1[[#This Row],[MELTING]]</f>
        <v>-8</v>
      </c>
      <c r="E168" s="6">
        <v>7290</v>
      </c>
      <c r="F168" s="69">
        <f t="shared" si="11"/>
        <v>12702.824999999997</v>
      </c>
      <c r="G168" s="8"/>
    </row>
    <row r="169" spans="1:7" x14ac:dyDescent="0.45">
      <c r="A169" s="8" t="s">
        <v>1347</v>
      </c>
      <c r="B169" s="4">
        <v>2.06</v>
      </c>
      <c r="C169" s="7">
        <v>85</v>
      </c>
      <c r="D169" s="7">
        <f>77-Table1[[#This Row],[MELTING]]</f>
        <v>-8</v>
      </c>
      <c r="E169" s="6">
        <v>7290</v>
      </c>
      <c r="F169" s="69">
        <f t="shared" si="11"/>
        <v>12764.789999999999</v>
      </c>
      <c r="G169" s="8"/>
    </row>
    <row r="170" spans="1:7" x14ac:dyDescent="0.45">
      <c r="A170" s="8" t="s">
        <v>1348</v>
      </c>
      <c r="B170" s="4">
        <v>2.0299999999999998</v>
      </c>
      <c r="C170" s="7">
        <v>85</v>
      </c>
      <c r="D170" s="7">
        <f>77-Table1[[#This Row],[MELTING]]</f>
        <v>-8</v>
      </c>
      <c r="E170" s="6">
        <v>7290</v>
      </c>
      <c r="F170" s="69">
        <f t="shared" si="11"/>
        <v>12578.894999999999</v>
      </c>
      <c r="G170" s="8"/>
    </row>
    <row r="171" spans="1:7" x14ac:dyDescent="0.45">
      <c r="A171" s="8" t="s">
        <v>1349</v>
      </c>
      <c r="B171" s="4">
        <v>4.05</v>
      </c>
      <c r="C171" s="7">
        <v>85</v>
      </c>
      <c r="D171" s="7">
        <f>77-Table1[[#This Row],[MELTING]]</f>
        <v>-8</v>
      </c>
      <c r="E171" s="6">
        <v>7290</v>
      </c>
      <c r="F171" s="69">
        <f t="shared" si="11"/>
        <v>25095.825000000001</v>
      </c>
      <c r="G171" s="8"/>
    </row>
    <row r="172" spans="1:7" x14ac:dyDescent="0.45">
      <c r="A172" s="8" t="s">
        <v>1486</v>
      </c>
      <c r="B172" s="4">
        <v>4.0599999999999996</v>
      </c>
      <c r="C172" s="7">
        <v>85</v>
      </c>
      <c r="D172" s="7">
        <f>77-Table1[[#This Row],[MELTING]]</f>
        <v>-8</v>
      </c>
      <c r="E172" s="6">
        <v>7290</v>
      </c>
      <c r="F172" s="69">
        <f t="shared" ref="F172:F180" si="12">(((B172*C172)/100)*E172)</f>
        <v>25157.789999999997</v>
      </c>
      <c r="G172" s="8"/>
    </row>
    <row r="173" spans="1:7" x14ac:dyDescent="0.45">
      <c r="A173" s="8" t="s">
        <v>1711</v>
      </c>
      <c r="B173" s="4">
        <f>2.03-1</f>
        <v>1.0299999999999998</v>
      </c>
      <c r="C173" s="7">
        <v>85</v>
      </c>
      <c r="D173" s="7">
        <f>77-Table1[[#This Row],[MELTING]]</f>
        <v>-8</v>
      </c>
      <c r="E173" s="6">
        <v>7290</v>
      </c>
      <c r="F173" s="69">
        <f t="shared" si="12"/>
        <v>6382.3949999999986</v>
      </c>
      <c r="G173" s="8"/>
    </row>
    <row r="174" spans="1:7" x14ac:dyDescent="0.45">
      <c r="A174" s="8" t="s">
        <v>1712</v>
      </c>
      <c r="B174" s="4">
        <v>1</v>
      </c>
      <c r="C174" s="7">
        <v>85</v>
      </c>
      <c r="D174" s="7">
        <f>77-Table1[[#This Row],[MELTING]]</f>
        <v>-8</v>
      </c>
      <c r="E174" s="6">
        <v>7290</v>
      </c>
      <c r="F174" s="69">
        <f>(((B174*C174)/100)*E174)</f>
        <v>6196.5</v>
      </c>
      <c r="G174" s="8"/>
    </row>
    <row r="175" spans="1:7" x14ac:dyDescent="0.45">
      <c r="A175" s="8" t="s">
        <v>1487</v>
      </c>
      <c r="B175" s="4">
        <v>2.0299999999999998</v>
      </c>
      <c r="C175" s="7">
        <v>85</v>
      </c>
      <c r="D175" s="7">
        <f>77-Table1[[#This Row],[MELTING]]</f>
        <v>-8</v>
      </c>
      <c r="E175" s="6">
        <v>7290</v>
      </c>
      <c r="F175" s="69">
        <f t="shared" si="12"/>
        <v>12578.894999999999</v>
      </c>
      <c r="G175" s="8"/>
    </row>
    <row r="176" spans="1:7" x14ac:dyDescent="0.45">
      <c r="A176" s="8" t="s">
        <v>1488</v>
      </c>
      <c r="B176" s="4">
        <v>1.03</v>
      </c>
      <c r="C176" s="7">
        <v>85</v>
      </c>
      <c r="D176" s="7">
        <f>77-Table1[[#This Row],[MELTING]]</f>
        <v>-8</v>
      </c>
      <c r="E176" s="6">
        <v>7290</v>
      </c>
      <c r="F176" s="69">
        <f t="shared" si="12"/>
        <v>6382.3949999999995</v>
      </c>
      <c r="G176" s="8"/>
    </row>
    <row r="177" spans="1:7" x14ac:dyDescent="0.45">
      <c r="A177" s="8" t="s">
        <v>1489</v>
      </c>
      <c r="B177" s="4">
        <v>1.04</v>
      </c>
      <c r="C177" s="7">
        <v>85</v>
      </c>
      <c r="D177" s="7">
        <f>77-Table1[[#This Row],[MELTING]]</f>
        <v>-8</v>
      </c>
      <c r="E177" s="6">
        <v>7290</v>
      </c>
      <c r="F177" s="69">
        <f t="shared" si="12"/>
        <v>6444.36</v>
      </c>
      <c r="G177" s="8"/>
    </row>
    <row r="178" spans="1:7" x14ac:dyDescent="0.45">
      <c r="A178" s="8" t="s">
        <v>1588</v>
      </c>
      <c r="B178" s="4">
        <v>1.04</v>
      </c>
      <c r="C178" s="7">
        <v>84</v>
      </c>
      <c r="D178" s="7">
        <v>8</v>
      </c>
      <c r="E178" s="6">
        <v>8200</v>
      </c>
      <c r="F178" s="69">
        <f t="shared" si="12"/>
        <v>7163.52</v>
      </c>
      <c r="G178" s="8"/>
    </row>
    <row r="179" spans="1:7" x14ac:dyDescent="0.45">
      <c r="A179" s="8" t="s">
        <v>1589</v>
      </c>
      <c r="B179" s="4">
        <v>2.0099999999999998</v>
      </c>
      <c r="C179" s="7">
        <v>84</v>
      </c>
      <c r="D179" s="7">
        <v>8</v>
      </c>
      <c r="E179" s="6">
        <v>8200</v>
      </c>
      <c r="F179" s="69">
        <f t="shared" si="12"/>
        <v>13844.879999999997</v>
      </c>
      <c r="G179" s="8"/>
    </row>
    <row r="180" spans="1:7" x14ac:dyDescent="0.45">
      <c r="A180" s="8" t="s">
        <v>1590</v>
      </c>
      <c r="B180" s="4">
        <v>2.02</v>
      </c>
      <c r="C180" s="7">
        <v>84</v>
      </c>
      <c r="D180" s="7">
        <v>8</v>
      </c>
      <c r="E180" s="6">
        <v>8200</v>
      </c>
      <c r="F180" s="69">
        <f t="shared" si="12"/>
        <v>13913.76</v>
      </c>
      <c r="G180" s="8"/>
    </row>
    <row r="181" spans="1:7" x14ac:dyDescent="0.45">
      <c r="A181" s="8" t="s">
        <v>96</v>
      </c>
      <c r="B181" s="4">
        <v>7.96</v>
      </c>
      <c r="C181" s="7">
        <v>94.25</v>
      </c>
      <c r="D181" s="7">
        <f>92-C181</f>
        <v>-2.25</v>
      </c>
      <c r="E181" s="6">
        <v>7218.2</v>
      </c>
      <c r="F181" s="69">
        <f t="shared" si="11"/>
        <v>54153.101859999995</v>
      </c>
      <c r="G181" s="8"/>
    </row>
    <row r="182" spans="1:7" x14ac:dyDescent="0.45">
      <c r="A182" s="8" t="s">
        <v>97</v>
      </c>
      <c r="B182" s="4">
        <v>8.1</v>
      </c>
      <c r="C182" s="7">
        <v>94.25</v>
      </c>
      <c r="D182" s="7">
        <f t="shared" ref="D182" si="13">92-C182</f>
        <v>-2.25</v>
      </c>
      <c r="E182" s="6">
        <v>7218.2</v>
      </c>
      <c r="F182" s="69">
        <f t="shared" ref="F182:F186" si="14">(((B182*C182)/100)*E182)</f>
        <v>55105.54335</v>
      </c>
      <c r="G182" s="8"/>
    </row>
    <row r="183" spans="1:7" x14ac:dyDescent="0.45">
      <c r="A183" s="8" t="s">
        <v>98</v>
      </c>
      <c r="B183" s="4">
        <v>16.010000000000002</v>
      </c>
      <c r="C183" s="7">
        <v>94.25</v>
      </c>
      <c r="D183" s="7">
        <f>92-C183</f>
        <v>-2.25</v>
      </c>
      <c r="E183" s="6">
        <v>7218.2</v>
      </c>
      <c r="F183" s="69">
        <f t="shared" si="14"/>
        <v>108918.48753499999</v>
      </c>
      <c r="G183" s="8"/>
    </row>
    <row r="184" spans="1:7" x14ac:dyDescent="0.45">
      <c r="A184" s="8" t="s">
        <v>99</v>
      </c>
      <c r="B184" s="4">
        <v>16.100000000000001</v>
      </c>
      <c r="C184" s="7">
        <v>95</v>
      </c>
      <c r="D184" s="7">
        <f t="shared" ref="D184:D185" si="15">92-C184</f>
        <v>-3</v>
      </c>
      <c r="E184" s="6">
        <v>7218.2</v>
      </c>
      <c r="F184" s="69">
        <f t="shared" si="14"/>
        <v>110402.36900000001</v>
      </c>
      <c r="G184" s="8"/>
    </row>
    <row r="185" spans="1:7" x14ac:dyDescent="0.45">
      <c r="A185" s="8" t="s">
        <v>100</v>
      </c>
      <c r="B185" s="4">
        <v>16.03</v>
      </c>
      <c r="C185" s="7">
        <v>95</v>
      </c>
      <c r="D185" s="7">
        <f t="shared" si="15"/>
        <v>-3</v>
      </c>
      <c r="E185" s="6">
        <v>7218.2</v>
      </c>
      <c r="F185" s="69">
        <f t="shared" si="14"/>
        <v>109922.35870000001</v>
      </c>
      <c r="G185" s="8"/>
    </row>
    <row r="186" spans="1:7" x14ac:dyDescent="0.45">
      <c r="A186" s="8" t="s">
        <v>101</v>
      </c>
      <c r="B186" s="4">
        <v>16</v>
      </c>
      <c r="C186" s="8">
        <v>94.25</v>
      </c>
      <c r="D186" s="8">
        <f>92-C186</f>
        <v>-2.25</v>
      </c>
      <c r="E186" s="6">
        <v>7218.2</v>
      </c>
      <c r="F186" s="69">
        <f t="shared" si="14"/>
        <v>108850.45599999999</v>
      </c>
      <c r="G186" s="8"/>
    </row>
    <row r="187" spans="1:7" x14ac:dyDescent="0.45">
      <c r="A187" s="8" t="s">
        <v>1076</v>
      </c>
      <c r="B187" s="4">
        <v>8.02</v>
      </c>
      <c r="C187" s="8">
        <v>94</v>
      </c>
      <c r="D187" s="8">
        <f t="shared" ref="D187:D188" si="16">92-C187</f>
        <v>-2</v>
      </c>
      <c r="E187" s="6">
        <v>7420</v>
      </c>
      <c r="F187" s="69">
        <f>(((B187*C187)/100)*E187)</f>
        <v>55937.896000000001</v>
      </c>
      <c r="G187" s="8"/>
    </row>
    <row r="188" spans="1:7" x14ac:dyDescent="0.45">
      <c r="A188" s="8" t="s">
        <v>1077</v>
      </c>
      <c r="B188" s="4">
        <v>8.09</v>
      </c>
      <c r="C188" s="8">
        <v>95</v>
      </c>
      <c r="D188" s="8">
        <f t="shared" si="16"/>
        <v>-3</v>
      </c>
      <c r="E188" s="6">
        <v>7420</v>
      </c>
      <c r="F188" s="69">
        <f>(((B188*C188)/100)*E188)</f>
        <v>57026.409999999996</v>
      </c>
      <c r="G188" s="8"/>
    </row>
    <row r="189" spans="1:7" x14ac:dyDescent="0.45">
      <c r="A189" s="8" t="s">
        <v>1350</v>
      </c>
      <c r="B189" s="4">
        <v>8.15</v>
      </c>
      <c r="C189" s="8">
        <v>94.25</v>
      </c>
      <c r="D189" s="8">
        <f>92-Table1[[#This Row],[MELTING]]</f>
        <v>-2.25</v>
      </c>
      <c r="E189" s="6">
        <v>6305</v>
      </c>
      <c r="F189" s="69">
        <f>(((B189*C189)/100)*E189)</f>
        <v>48431.069374999999</v>
      </c>
      <c r="G189" s="8"/>
    </row>
    <row r="190" spans="1:7" x14ac:dyDescent="0.45">
      <c r="A190" s="8" t="s">
        <v>1351</v>
      </c>
      <c r="B190" s="4">
        <v>4.03</v>
      </c>
      <c r="C190" s="8">
        <v>92</v>
      </c>
      <c r="D190" s="8"/>
      <c r="E190" s="6">
        <v>5600</v>
      </c>
      <c r="F190" s="69">
        <v>23000</v>
      </c>
      <c r="G190" s="8"/>
    </row>
    <row r="191" spans="1:7" x14ac:dyDescent="0.45">
      <c r="A191" s="8" t="s">
        <v>1591</v>
      </c>
      <c r="B191" s="4">
        <v>8.09</v>
      </c>
      <c r="C191" s="8">
        <v>92</v>
      </c>
      <c r="D191" s="8"/>
      <c r="E191" s="6"/>
      <c r="F191" s="69">
        <v>55000</v>
      </c>
      <c r="G191" s="8"/>
    </row>
    <row r="192" spans="1:7" x14ac:dyDescent="0.45">
      <c r="A192" s="8" t="s">
        <v>1592</v>
      </c>
      <c r="B192" s="4">
        <v>8.06</v>
      </c>
      <c r="C192" s="8">
        <v>94</v>
      </c>
      <c r="D192" s="8">
        <v>2</v>
      </c>
      <c r="E192" s="6">
        <v>8200</v>
      </c>
      <c r="F192" s="69">
        <f>(((B192*C192)/100)*E192)+Table1[[#This Row],[Column1]]</f>
        <v>62181.48000000001</v>
      </c>
      <c r="G192" s="8">
        <v>55</v>
      </c>
    </row>
    <row r="193" spans="1:7" x14ac:dyDescent="0.45">
      <c r="A193" s="8" t="s">
        <v>1593</v>
      </c>
      <c r="B193" s="4">
        <v>8.06</v>
      </c>
      <c r="C193" s="8">
        <v>95.75</v>
      </c>
      <c r="D193" s="8">
        <v>3.75</v>
      </c>
      <c r="E193" s="6">
        <v>8200</v>
      </c>
      <c r="F193" s="69">
        <f>(((B193*C193)/100)*E193)+Table1[[#This Row],[Column1]]</f>
        <v>63338.090000000004</v>
      </c>
      <c r="G193" s="8">
        <v>55</v>
      </c>
    </row>
    <row r="194" spans="1:7" x14ac:dyDescent="0.45">
      <c r="A194" s="8" t="s">
        <v>1594</v>
      </c>
      <c r="B194" s="4">
        <v>4.07</v>
      </c>
      <c r="C194" s="8">
        <v>95</v>
      </c>
      <c r="D194" s="8">
        <v>3</v>
      </c>
      <c r="E194" s="6">
        <v>8200</v>
      </c>
      <c r="F194" s="69">
        <f>(((B194*C194)/100)*E194)+Table1[[#This Row],[Column1]]</f>
        <v>31780.300000000003</v>
      </c>
      <c r="G194" s="8">
        <v>75</v>
      </c>
    </row>
    <row r="195" spans="1:7" x14ac:dyDescent="0.45">
      <c r="A195" s="8" t="s">
        <v>1595</v>
      </c>
      <c r="B195" s="4">
        <v>4.03</v>
      </c>
      <c r="C195" s="8">
        <v>94</v>
      </c>
      <c r="D195" s="8">
        <v>2</v>
      </c>
      <c r="E195" s="6">
        <v>8200</v>
      </c>
      <c r="F195" s="69">
        <f>(((B195*C195)/100)*E195)+Table1[[#This Row],[Column1]]</f>
        <v>31138.240000000005</v>
      </c>
      <c r="G195" s="8">
        <v>75</v>
      </c>
    </row>
    <row r="196" spans="1:7" x14ac:dyDescent="0.45">
      <c r="A196" s="8" t="s">
        <v>1758</v>
      </c>
      <c r="B196" s="4">
        <v>16.03</v>
      </c>
      <c r="C196" s="8"/>
      <c r="D196" s="8"/>
      <c r="E196" s="6"/>
      <c r="F196" s="69">
        <v>122000</v>
      </c>
      <c r="G196" s="8"/>
    </row>
    <row r="197" spans="1:7" x14ac:dyDescent="0.45">
      <c r="A197" s="8" t="s">
        <v>1759</v>
      </c>
      <c r="B197" s="4">
        <v>16.27</v>
      </c>
      <c r="C197" s="8"/>
      <c r="D197" s="8"/>
      <c r="E197" s="6"/>
      <c r="F197" s="69">
        <v>123000</v>
      </c>
      <c r="G197" s="8"/>
    </row>
    <row r="198" spans="1:7" x14ac:dyDescent="0.45">
      <c r="A198" s="8" t="s">
        <v>102</v>
      </c>
      <c r="B198" s="4">
        <v>0.5</v>
      </c>
      <c r="C198" s="7">
        <v>80.39</v>
      </c>
      <c r="D198" s="7">
        <v>-10</v>
      </c>
      <c r="E198" s="6">
        <v>7218.2</v>
      </c>
      <c r="F198" s="69">
        <f>(((B198*C198)/100)*E198)</f>
        <v>2901.3554899999999</v>
      </c>
      <c r="G198" s="8"/>
    </row>
    <row r="199" spans="1:7" x14ac:dyDescent="0.45">
      <c r="A199" s="8" t="s">
        <v>103</v>
      </c>
      <c r="B199" s="4">
        <v>0.5</v>
      </c>
      <c r="C199" s="7">
        <v>80.39</v>
      </c>
      <c r="D199" s="7">
        <v>-10</v>
      </c>
      <c r="E199" s="6">
        <v>7218.2</v>
      </c>
      <c r="F199" s="69">
        <f t="shared" ref="F199:F255" si="17">(((B199*C199)/100)*E199)</f>
        <v>2901.3554899999999</v>
      </c>
      <c r="G199" s="8"/>
    </row>
    <row r="200" spans="1:7" x14ac:dyDescent="0.45">
      <c r="A200" s="8" t="s">
        <v>104</v>
      </c>
      <c r="B200" s="4">
        <v>0.55000000000000004</v>
      </c>
      <c r="C200" s="7">
        <v>80.39</v>
      </c>
      <c r="D200" s="7">
        <v>-10</v>
      </c>
      <c r="E200" s="6">
        <v>7218.2</v>
      </c>
      <c r="F200" s="69">
        <f t="shared" si="17"/>
        <v>3191.491039</v>
      </c>
      <c r="G200" s="8"/>
    </row>
    <row r="201" spans="1:7" x14ac:dyDescent="0.45">
      <c r="A201" s="8" t="s">
        <v>105</v>
      </c>
      <c r="B201" s="4">
        <v>0.5</v>
      </c>
      <c r="C201" s="7">
        <v>80.39</v>
      </c>
      <c r="D201" s="7">
        <v>-10</v>
      </c>
      <c r="E201" s="6">
        <v>7218.2</v>
      </c>
      <c r="F201" s="69">
        <f t="shared" si="17"/>
        <v>2901.3554899999999</v>
      </c>
      <c r="G201" s="8"/>
    </row>
    <row r="202" spans="1:7" x14ac:dyDescent="0.45">
      <c r="A202" s="119" t="s">
        <v>1204</v>
      </c>
      <c r="B202" s="4">
        <f>0.53/2</f>
        <v>0.26500000000000001</v>
      </c>
      <c r="C202" s="7">
        <v>80.39</v>
      </c>
      <c r="D202" s="7">
        <v>-10</v>
      </c>
      <c r="E202" s="6">
        <v>7218.2</v>
      </c>
      <c r="F202" s="69">
        <f t="shared" si="17"/>
        <v>1537.7184097000002</v>
      </c>
      <c r="G202" s="8"/>
    </row>
    <row r="203" spans="1:7" x14ac:dyDescent="0.45">
      <c r="A203" s="8" t="s">
        <v>1205</v>
      </c>
      <c r="B203" s="4">
        <f>0.53/2</f>
        <v>0.26500000000000001</v>
      </c>
      <c r="C203" s="7">
        <v>80.39</v>
      </c>
      <c r="D203" s="7">
        <v>-10</v>
      </c>
      <c r="E203" s="6">
        <v>7219.2</v>
      </c>
      <c r="F203" s="69">
        <f t="shared" ref="F203" si="18">(((B203*C203)/100)*E203)</f>
        <v>1537.9314432000001</v>
      </c>
      <c r="G203" s="8"/>
    </row>
    <row r="204" spans="1:7" x14ac:dyDescent="0.45">
      <c r="A204" s="8" t="s">
        <v>106</v>
      </c>
      <c r="B204" s="4">
        <v>0.5</v>
      </c>
      <c r="C204" s="7">
        <v>80.39</v>
      </c>
      <c r="D204" s="7">
        <v>-10</v>
      </c>
      <c r="E204" s="6">
        <v>7218.2</v>
      </c>
      <c r="F204" s="69">
        <f t="shared" si="17"/>
        <v>2901.3554899999999</v>
      </c>
      <c r="G204" s="8"/>
    </row>
    <row r="205" spans="1:7" x14ac:dyDescent="0.45">
      <c r="A205" s="8" t="s">
        <v>107</v>
      </c>
      <c r="B205" s="4">
        <v>0.48</v>
      </c>
      <c r="C205" s="7">
        <v>80.39</v>
      </c>
      <c r="D205" s="7">
        <v>-10</v>
      </c>
      <c r="E205" s="6">
        <v>7218.2</v>
      </c>
      <c r="F205" s="69">
        <f t="shared" si="17"/>
        <v>2785.3012703999993</v>
      </c>
      <c r="G205" s="8"/>
    </row>
    <row r="206" spans="1:7" x14ac:dyDescent="0.45">
      <c r="A206" s="8" t="s">
        <v>108</v>
      </c>
      <c r="B206" s="4">
        <v>0.42</v>
      </c>
      <c r="C206" s="7">
        <v>80.39</v>
      </c>
      <c r="D206" s="7">
        <v>-10</v>
      </c>
      <c r="E206" s="6">
        <v>7218.2</v>
      </c>
      <c r="F206" s="69">
        <f t="shared" si="17"/>
        <v>2437.1386115999994</v>
      </c>
      <c r="G206" s="8"/>
    </row>
    <row r="207" spans="1:7" x14ac:dyDescent="0.45">
      <c r="A207" s="8" t="s">
        <v>109</v>
      </c>
      <c r="B207" s="4">
        <v>0.48</v>
      </c>
      <c r="C207" s="7">
        <v>80.39</v>
      </c>
      <c r="D207" s="7">
        <v>-10</v>
      </c>
      <c r="E207" s="6">
        <v>7218.2</v>
      </c>
      <c r="F207" s="69">
        <f t="shared" si="17"/>
        <v>2785.3012703999993</v>
      </c>
      <c r="G207" s="8"/>
    </row>
    <row r="208" spans="1:7" x14ac:dyDescent="0.45">
      <c r="A208" s="8" t="s">
        <v>110</v>
      </c>
      <c r="B208" s="4">
        <v>0.5</v>
      </c>
      <c r="C208" s="7">
        <v>80.39</v>
      </c>
      <c r="D208" s="7">
        <v>-10</v>
      </c>
      <c r="E208" s="6">
        <v>7218.2</v>
      </c>
      <c r="F208" s="69">
        <f t="shared" si="17"/>
        <v>2901.3554899999999</v>
      </c>
      <c r="G208" s="8"/>
    </row>
    <row r="209" spans="1:7" x14ac:dyDescent="0.45">
      <c r="A209" s="8" t="s">
        <v>111</v>
      </c>
      <c r="B209" s="4">
        <v>0.5</v>
      </c>
      <c r="C209" s="7">
        <v>80.39</v>
      </c>
      <c r="D209" s="7">
        <v>-10</v>
      </c>
      <c r="E209" s="6">
        <v>7218.2</v>
      </c>
      <c r="F209" s="69">
        <f t="shared" si="17"/>
        <v>2901.3554899999999</v>
      </c>
      <c r="G209" s="8"/>
    </row>
    <row r="210" spans="1:7" x14ac:dyDescent="0.45">
      <c r="A210" s="8" t="s">
        <v>112</v>
      </c>
      <c r="B210" s="4">
        <v>0.52</v>
      </c>
      <c r="C210" s="7">
        <v>80.39</v>
      </c>
      <c r="D210" s="7">
        <v>-10</v>
      </c>
      <c r="E210" s="6">
        <v>7218.2</v>
      </c>
      <c r="F210" s="69">
        <f t="shared" si="17"/>
        <v>3017.4097096000005</v>
      </c>
      <c r="G210" s="8"/>
    </row>
    <row r="211" spans="1:7" x14ac:dyDescent="0.45">
      <c r="A211" s="8" t="s">
        <v>113</v>
      </c>
      <c r="B211" s="4">
        <v>0.65</v>
      </c>
      <c r="C211" s="7">
        <v>80.39</v>
      </c>
      <c r="D211" s="7">
        <v>-10</v>
      </c>
      <c r="E211" s="6">
        <v>7218.2</v>
      </c>
      <c r="F211" s="69">
        <f t="shared" si="17"/>
        <v>3771.7621369999997</v>
      </c>
      <c r="G211" s="8"/>
    </row>
    <row r="212" spans="1:7" s="126" customFormat="1" x14ac:dyDescent="0.45">
      <c r="A212" s="119" t="s">
        <v>114</v>
      </c>
      <c r="B212" s="218">
        <v>0.68</v>
      </c>
      <c r="C212" s="51">
        <v>80.39</v>
      </c>
      <c r="D212" s="51">
        <v>-10</v>
      </c>
      <c r="E212" s="127">
        <v>7218.2</v>
      </c>
      <c r="F212" s="300">
        <f t="shared" si="17"/>
        <v>3945.8434664000001</v>
      </c>
      <c r="G212" s="119"/>
    </row>
    <row r="213" spans="1:7" x14ac:dyDescent="0.45">
      <c r="A213" s="8" t="s">
        <v>115</v>
      </c>
      <c r="B213" s="4">
        <v>0.18</v>
      </c>
      <c r="C213" s="7">
        <v>80.39</v>
      </c>
      <c r="D213" s="7">
        <v>-10</v>
      </c>
      <c r="E213" s="6">
        <v>7218.2</v>
      </c>
      <c r="F213" s="69">
        <f t="shared" si="17"/>
        <v>1044.4879764</v>
      </c>
      <c r="G213" s="8"/>
    </row>
    <row r="214" spans="1:7" x14ac:dyDescent="0.45">
      <c r="A214" s="8" t="s">
        <v>116</v>
      </c>
      <c r="B214" s="4">
        <v>0.25</v>
      </c>
      <c r="C214" s="7">
        <v>80.39</v>
      </c>
      <c r="D214" s="7">
        <v>-10</v>
      </c>
      <c r="E214" s="6">
        <v>7218.2</v>
      </c>
      <c r="F214" s="69">
        <f t="shared" si="17"/>
        <v>1450.677745</v>
      </c>
      <c r="G214" s="8"/>
    </row>
    <row r="215" spans="1:7" x14ac:dyDescent="0.45">
      <c r="A215" s="8" t="s">
        <v>117</v>
      </c>
      <c r="B215" s="4">
        <v>0.41</v>
      </c>
      <c r="C215" s="7">
        <v>80.39</v>
      </c>
      <c r="D215" s="7">
        <v>-10</v>
      </c>
      <c r="E215" s="6">
        <v>7218.2</v>
      </c>
      <c r="F215" s="69">
        <f t="shared" si="17"/>
        <v>2379.1115017999996</v>
      </c>
      <c r="G215" s="8"/>
    </row>
    <row r="216" spans="1:7" x14ac:dyDescent="0.45">
      <c r="A216" s="8" t="s">
        <v>118</v>
      </c>
      <c r="B216" s="4">
        <v>0.22</v>
      </c>
      <c r="C216" s="7">
        <v>80.39</v>
      </c>
      <c r="D216" s="7">
        <v>-10</v>
      </c>
      <c r="E216" s="6">
        <v>7218.2</v>
      </c>
      <c r="F216" s="69">
        <f t="shared" si="17"/>
        <v>1276.5964156</v>
      </c>
      <c r="G216" s="8"/>
    </row>
    <row r="217" spans="1:7" x14ac:dyDescent="0.45">
      <c r="A217" s="8" t="s">
        <v>119</v>
      </c>
      <c r="B217" s="4">
        <v>0.33</v>
      </c>
      <c r="C217" s="7">
        <v>80.39</v>
      </c>
      <c r="D217" s="7">
        <v>-10</v>
      </c>
      <c r="E217" s="6">
        <v>7218.2</v>
      </c>
      <c r="F217" s="69">
        <f t="shared" si="17"/>
        <v>1914.8946234</v>
      </c>
      <c r="G217" s="8"/>
    </row>
    <row r="218" spans="1:7" x14ac:dyDescent="0.45">
      <c r="A218" s="8" t="s">
        <v>120</v>
      </c>
      <c r="B218" s="4">
        <v>0.33</v>
      </c>
      <c r="C218" s="7">
        <v>80.39</v>
      </c>
      <c r="D218" s="7">
        <v>-10</v>
      </c>
      <c r="E218" s="6">
        <v>7218.2</v>
      </c>
      <c r="F218" s="69">
        <f t="shared" si="17"/>
        <v>1914.8946234</v>
      </c>
      <c r="G218" s="8"/>
    </row>
    <row r="219" spans="1:7" x14ac:dyDescent="0.45">
      <c r="A219" s="8" t="s">
        <v>121</v>
      </c>
      <c r="B219" s="4">
        <v>0.18</v>
      </c>
      <c r="C219" s="7">
        <v>80.39</v>
      </c>
      <c r="D219" s="7">
        <v>-10</v>
      </c>
      <c r="E219" s="6">
        <v>7218.2</v>
      </c>
      <c r="F219" s="69">
        <f t="shared" si="17"/>
        <v>1044.4879764</v>
      </c>
      <c r="G219" s="8"/>
    </row>
    <row r="220" spans="1:7" x14ac:dyDescent="0.45">
      <c r="A220" s="8" t="s">
        <v>122</v>
      </c>
      <c r="B220" s="4">
        <v>0.36</v>
      </c>
      <c r="C220" s="7">
        <v>80.39</v>
      </c>
      <c r="D220" s="7">
        <v>-10</v>
      </c>
      <c r="E220" s="6">
        <v>7218.2</v>
      </c>
      <c r="F220" s="69">
        <f t="shared" si="17"/>
        <v>2088.9759528</v>
      </c>
      <c r="G220" s="8"/>
    </row>
    <row r="221" spans="1:7" s="126" customFormat="1" x14ac:dyDescent="0.45">
      <c r="A221" s="119" t="s">
        <v>123</v>
      </c>
      <c r="B221" s="218">
        <v>0.21</v>
      </c>
      <c r="C221" s="51">
        <v>80.39</v>
      </c>
      <c r="D221" s="51">
        <v>-10</v>
      </c>
      <c r="E221" s="127">
        <v>7218.2</v>
      </c>
      <c r="F221" s="300">
        <f t="shared" si="17"/>
        <v>1218.5693057999997</v>
      </c>
      <c r="G221" s="119"/>
    </row>
    <row r="222" spans="1:7" s="126" customFormat="1" x14ac:dyDescent="0.45">
      <c r="A222" s="119" t="s">
        <v>130</v>
      </c>
      <c r="B222" s="218">
        <f>B221/2</f>
        <v>0.105</v>
      </c>
      <c r="C222" s="51">
        <v>80.39</v>
      </c>
      <c r="D222" s="51">
        <v>-10</v>
      </c>
      <c r="E222" s="127">
        <v>7218.2</v>
      </c>
      <c r="F222" s="300">
        <f>(((B222*C222)/100)*E222)</f>
        <v>609.28465289999986</v>
      </c>
      <c r="G222" s="119"/>
    </row>
    <row r="223" spans="1:7" x14ac:dyDescent="0.45">
      <c r="A223" s="8" t="s">
        <v>124</v>
      </c>
      <c r="B223" s="4">
        <v>0.18</v>
      </c>
      <c r="C223" s="7">
        <v>80.39</v>
      </c>
      <c r="D223" s="7">
        <v>-10</v>
      </c>
      <c r="E223" s="6">
        <v>7218.2</v>
      </c>
      <c r="F223" s="69">
        <f t="shared" si="17"/>
        <v>1044.4879764</v>
      </c>
      <c r="G223" s="8"/>
    </row>
    <row r="224" spans="1:7" x14ac:dyDescent="0.45">
      <c r="A224" s="8" t="s">
        <v>125</v>
      </c>
      <c r="B224" s="4">
        <v>0.18</v>
      </c>
      <c r="C224" s="7">
        <v>80.39</v>
      </c>
      <c r="D224" s="7">
        <v>-10</v>
      </c>
      <c r="E224" s="6">
        <v>7218.2</v>
      </c>
      <c r="F224" s="69">
        <f t="shared" si="17"/>
        <v>1044.4879764</v>
      </c>
      <c r="G224" s="8"/>
    </row>
    <row r="225" spans="1:7" x14ac:dyDescent="0.45">
      <c r="A225" s="8" t="s">
        <v>126</v>
      </c>
      <c r="B225" s="4">
        <v>0.18</v>
      </c>
      <c r="C225" s="7">
        <v>80.39</v>
      </c>
      <c r="D225" s="7">
        <v>-10</v>
      </c>
      <c r="E225" s="6">
        <v>7218.2</v>
      </c>
      <c r="F225" s="69">
        <f t="shared" si="17"/>
        <v>1044.4879764</v>
      </c>
      <c r="G225" s="8"/>
    </row>
    <row r="226" spans="1:7" x14ac:dyDescent="0.45">
      <c r="A226" s="8" t="s">
        <v>127</v>
      </c>
      <c r="B226" s="4">
        <v>0.38</v>
      </c>
      <c r="C226" s="7">
        <v>80.39</v>
      </c>
      <c r="D226" s="7">
        <v>-10</v>
      </c>
      <c r="E226" s="6">
        <v>7218.2</v>
      </c>
      <c r="F226" s="69">
        <f t="shared" si="17"/>
        <v>2205.0301724000001</v>
      </c>
      <c r="G226" s="8"/>
    </row>
    <row r="227" spans="1:7" x14ac:dyDescent="0.45">
      <c r="A227" s="8" t="s">
        <v>1719</v>
      </c>
      <c r="B227" s="4">
        <f>0.2/2</f>
        <v>0.1</v>
      </c>
      <c r="C227" s="7">
        <v>80.39</v>
      </c>
      <c r="D227" s="7">
        <v>-10</v>
      </c>
      <c r="E227" s="6">
        <v>7218.2</v>
      </c>
      <c r="F227" s="69">
        <f t="shared" si="17"/>
        <v>580.27109800000005</v>
      </c>
      <c r="G227" s="8"/>
    </row>
    <row r="228" spans="1:7" x14ac:dyDescent="0.45">
      <c r="A228" s="8" t="s">
        <v>1720</v>
      </c>
      <c r="B228" s="4">
        <f>0.2/2</f>
        <v>0.1</v>
      </c>
      <c r="C228" s="7">
        <v>80.39</v>
      </c>
      <c r="D228" s="7">
        <v>-10</v>
      </c>
      <c r="E228" s="6">
        <v>7218.2</v>
      </c>
      <c r="F228" s="69">
        <f t="shared" ref="F228" si="19">(((B228*C228)/100)*E228)</f>
        <v>580.27109800000005</v>
      </c>
      <c r="G228" s="8"/>
    </row>
    <row r="229" spans="1:7" x14ac:dyDescent="0.45">
      <c r="A229" s="8" t="s">
        <v>128</v>
      </c>
      <c r="B229" s="4">
        <v>0.18</v>
      </c>
      <c r="C229" s="7">
        <v>80.39</v>
      </c>
      <c r="D229" s="7">
        <v>-10</v>
      </c>
      <c r="E229" s="6">
        <v>7218.2</v>
      </c>
      <c r="F229" s="69">
        <f t="shared" si="17"/>
        <v>1044.4879764</v>
      </c>
      <c r="G229" s="8"/>
    </row>
    <row r="230" spans="1:7" s="126" customFormat="1" x14ac:dyDescent="0.45">
      <c r="A230" s="119" t="s">
        <v>129</v>
      </c>
      <c r="B230" s="218">
        <v>0.125</v>
      </c>
      <c r="C230" s="51">
        <v>80.39</v>
      </c>
      <c r="D230" s="51">
        <v>-10</v>
      </c>
      <c r="E230" s="127">
        <v>7218.2</v>
      </c>
      <c r="F230" s="300">
        <f t="shared" si="17"/>
        <v>725.33887249999998</v>
      </c>
      <c r="G230" s="119"/>
    </row>
    <row r="231" spans="1:7" s="126" customFormat="1" x14ac:dyDescent="0.45">
      <c r="A231" s="119" t="s">
        <v>1017</v>
      </c>
      <c r="B231" s="218">
        <v>0.125</v>
      </c>
      <c r="C231" s="51">
        <v>80.39</v>
      </c>
      <c r="D231" s="51">
        <v>-10</v>
      </c>
      <c r="E231" s="127">
        <v>7219.2</v>
      </c>
      <c r="F231" s="300">
        <f t="shared" ref="F231" si="20">(((B231*C231)/100)*E231)</f>
        <v>725.43936000000008</v>
      </c>
      <c r="G231" s="119"/>
    </row>
    <row r="232" spans="1:7" s="126" customFormat="1" x14ac:dyDescent="0.45">
      <c r="A232" s="119" t="s">
        <v>131</v>
      </c>
      <c r="B232" s="218">
        <v>0.11</v>
      </c>
      <c r="C232" s="51">
        <v>80.39</v>
      </c>
      <c r="D232" s="51">
        <v>-10</v>
      </c>
      <c r="E232" s="127">
        <v>7218.2</v>
      </c>
      <c r="F232" s="300">
        <f t="shared" si="17"/>
        <v>638.2982078</v>
      </c>
      <c r="G232" s="119"/>
    </row>
    <row r="233" spans="1:7" s="126" customFormat="1" x14ac:dyDescent="0.45">
      <c r="A233" s="119" t="s">
        <v>132</v>
      </c>
      <c r="B233" s="218">
        <v>0.11</v>
      </c>
      <c r="C233" s="51">
        <v>80.39</v>
      </c>
      <c r="D233" s="51">
        <v>-10</v>
      </c>
      <c r="E233" s="127">
        <v>7219.2</v>
      </c>
      <c r="F233" s="300">
        <f t="shared" si="17"/>
        <v>638.38663680000002</v>
      </c>
      <c r="G233" s="119"/>
    </row>
    <row r="234" spans="1:7" s="126" customFormat="1" x14ac:dyDescent="0.45">
      <c r="A234" s="119" t="s">
        <v>133</v>
      </c>
      <c r="B234" s="218">
        <v>0.1</v>
      </c>
      <c r="C234" s="51">
        <v>80.39</v>
      </c>
      <c r="D234" s="51">
        <v>-10</v>
      </c>
      <c r="E234" s="127">
        <v>7218.2</v>
      </c>
      <c r="F234" s="300">
        <f t="shared" si="17"/>
        <v>580.27109800000005</v>
      </c>
      <c r="G234" s="119"/>
    </row>
    <row r="235" spans="1:7" s="126" customFormat="1" x14ac:dyDescent="0.45">
      <c r="A235" s="119" t="s">
        <v>866</v>
      </c>
      <c r="B235" s="218">
        <v>0.1</v>
      </c>
      <c r="C235" s="51">
        <v>80.39</v>
      </c>
      <c r="D235" s="51">
        <v>-10</v>
      </c>
      <c r="E235" s="127">
        <v>7219.2</v>
      </c>
      <c r="F235" s="300">
        <f>(((B235*C235)/100)*E235)</f>
        <v>580.35148800000002</v>
      </c>
      <c r="G235" s="119"/>
    </row>
    <row r="236" spans="1:7" x14ac:dyDescent="0.45">
      <c r="A236" s="8" t="s">
        <v>134</v>
      </c>
      <c r="B236" s="4">
        <v>0.18</v>
      </c>
      <c r="C236" s="7">
        <v>80.39</v>
      </c>
      <c r="D236" s="7">
        <v>-10</v>
      </c>
      <c r="E236" s="6">
        <v>7218.2</v>
      </c>
      <c r="F236" s="69">
        <f t="shared" si="17"/>
        <v>1044.4879764</v>
      </c>
      <c r="G236" s="8"/>
    </row>
    <row r="237" spans="1:7" s="126" customFormat="1" x14ac:dyDescent="0.45">
      <c r="A237" s="119" t="s">
        <v>1378</v>
      </c>
      <c r="B237" s="218">
        <v>0.09</v>
      </c>
      <c r="C237" s="51">
        <v>80.39</v>
      </c>
      <c r="D237" s="51">
        <v>-10</v>
      </c>
      <c r="E237" s="127">
        <v>7219.2</v>
      </c>
      <c r="F237" s="300">
        <f t="shared" ref="F237" si="21">(((B237*C237)/100)*E237)</f>
        <v>522.31633920000002</v>
      </c>
      <c r="G237" s="119"/>
    </row>
    <row r="238" spans="1:7" s="126" customFormat="1" x14ac:dyDescent="0.45">
      <c r="A238" s="119" t="s">
        <v>135</v>
      </c>
      <c r="B238" s="218">
        <v>0.11</v>
      </c>
      <c r="C238" s="51">
        <v>80.39</v>
      </c>
      <c r="D238" s="51">
        <v>-10</v>
      </c>
      <c r="E238" s="127">
        <v>7218.2</v>
      </c>
      <c r="F238" s="300">
        <f t="shared" si="17"/>
        <v>638.2982078</v>
      </c>
      <c r="G238" s="119"/>
    </row>
    <row r="239" spans="1:7" s="126" customFormat="1" x14ac:dyDescent="0.45">
      <c r="A239" s="119" t="s">
        <v>136</v>
      </c>
      <c r="B239" s="218">
        <v>0.11</v>
      </c>
      <c r="C239" s="51">
        <v>80.39</v>
      </c>
      <c r="D239" s="51">
        <v>-10</v>
      </c>
      <c r="E239" s="127">
        <v>7218.2</v>
      </c>
      <c r="F239" s="300">
        <f t="shared" si="17"/>
        <v>638.2982078</v>
      </c>
      <c r="G239" s="119"/>
    </row>
    <row r="240" spans="1:7" x14ac:dyDescent="0.45">
      <c r="A240" s="8" t="s">
        <v>137</v>
      </c>
      <c r="B240" s="4">
        <v>0.25</v>
      </c>
      <c r="C240" s="7">
        <v>80.39</v>
      </c>
      <c r="D240" s="7">
        <v>-10</v>
      </c>
      <c r="E240" s="6">
        <v>7218.2</v>
      </c>
      <c r="F240" s="69">
        <f t="shared" si="17"/>
        <v>1450.677745</v>
      </c>
      <c r="G240" s="8"/>
    </row>
    <row r="241" spans="1:7" s="126" customFormat="1" x14ac:dyDescent="0.45">
      <c r="A241" s="119" t="s">
        <v>138</v>
      </c>
      <c r="B241" s="218">
        <v>0.12</v>
      </c>
      <c r="C241" s="51">
        <v>80.39</v>
      </c>
      <c r="D241" s="51">
        <v>-10</v>
      </c>
      <c r="E241" s="127">
        <v>7218.2</v>
      </c>
      <c r="F241" s="300">
        <f t="shared" si="17"/>
        <v>696.32531759999983</v>
      </c>
      <c r="G241" s="119"/>
    </row>
    <row r="242" spans="1:7" s="126" customFormat="1" x14ac:dyDescent="0.45">
      <c r="A242" s="119" t="s">
        <v>141</v>
      </c>
      <c r="B242" s="218">
        <v>0.12</v>
      </c>
      <c r="C242" s="51">
        <v>80.39</v>
      </c>
      <c r="D242" s="51">
        <v>-10</v>
      </c>
      <c r="E242" s="127">
        <v>7218.2</v>
      </c>
      <c r="F242" s="300">
        <f>(((B242*C242)/100)*E242)</f>
        <v>696.32531759999983</v>
      </c>
      <c r="G242" s="119"/>
    </row>
    <row r="243" spans="1:7" x14ac:dyDescent="0.45">
      <c r="A243" s="8" t="s">
        <v>139</v>
      </c>
      <c r="B243" s="4">
        <v>0.4</v>
      </c>
      <c r="C243" s="7">
        <v>80.39</v>
      </c>
      <c r="D243" s="7">
        <v>-10</v>
      </c>
      <c r="E243" s="6">
        <v>7218.2</v>
      </c>
      <c r="F243" s="69">
        <f t="shared" si="17"/>
        <v>2321.0843920000002</v>
      </c>
      <c r="G243" s="8"/>
    </row>
    <row r="244" spans="1:7" x14ac:dyDescent="0.45">
      <c r="A244" s="8" t="s">
        <v>140</v>
      </c>
      <c r="B244" s="4">
        <v>0.17</v>
      </c>
      <c r="C244" s="7">
        <v>80.39</v>
      </c>
      <c r="D244" s="7">
        <v>-10</v>
      </c>
      <c r="E244" s="6">
        <v>7218.2</v>
      </c>
      <c r="F244" s="69">
        <f t="shared" si="17"/>
        <v>986.46086660000003</v>
      </c>
      <c r="G244" s="8"/>
    </row>
    <row r="245" spans="1:7" x14ac:dyDescent="0.45">
      <c r="A245" s="8" t="s">
        <v>142</v>
      </c>
      <c r="B245" s="4">
        <v>0.25</v>
      </c>
      <c r="C245" s="7">
        <v>80.39</v>
      </c>
      <c r="D245" s="7">
        <v>-10</v>
      </c>
      <c r="E245" s="6">
        <v>7218.2</v>
      </c>
      <c r="F245" s="69">
        <f t="shared" si="17"/>
        <v>1450.677745</v>
      </c>
      <c r="G245" s="8"/>
    </row>
    <row r="246" spans="1:7" x14ac:dyDescent="0.45">
      <c r="A246" s="8" t="s">
        <v>143</v>
      </c>
      <c r="B246" s="4">
        <v>0.33</v>
      </c>
      <c r="C246" s="7">
        <v>80.39</v>
      </c>
      <c r="D246" s="7">
        <v>-10</v>
      </c>
      <c r="E246" s="6">
        <v>7218.2</v>
      </c>
      <c r="F246" s="69">
        <f t="shared" si="17"/>
        <v>1914.8946234</v>
      </c>
      <c r="G246" s="8"/>
    </row>
    <row r="247" spans="1:7" x14ac:dyDescent="0.45">
      <c r="A247" s="8" t="s">
        <v>144</v>
      </c>
      <c r="B247" s="4">
        <v>0.33</v>
      </c>
      <c r="C247" s="7">
        <v>80.39</v>
      </c>
      <c r="D247" s="7">
        <v>-10</v>
      </c>
      <c r="E247" s="6">
        <v>7218.2</v>
      </c>
      <c r="F247" s="69">
        <f t="shared" si="17"/>
        <v>1914.8946234</v>
      </c>
      <c r="G247" s="8"/>
    </row>
    <row r="248" spans="1:7" x14ac:dyDescent="0.45">
      <c r="A248" s="8" t="s">
        <v>145</v>
      </c>
      <c r="B248" s="4">
        <v>0.17</v>
      </c>
      <c r="C248" s="7">
        <v>80.39</v>
      </c>
      <c r="D248" s="7">
        <v>-10</v>
      </c>
      <c r="E248" s="6">
        <v>7218.2</v>
      </c>
      <c r="F248" s="69">
        <f t="shared" si="17"/>
        <v>986.46086660000003</v>
      </c>
      <c r="G248" s="8"/>
    </row>
    <row r="249" spans="1:7" x14ac:dyDescent="0.45">
      <c r="A249" s="8" t="s">
        <v>146</v>
      </c>
      <c r="B249" s="4">
        <v>0.33</v>
      </c>
      <c r="C249" s="7">
        <v>80.39</v>
      </c>
      <c r="D249" s="7">
        <v>-10</v>
      </c>
      <c r="E249" s="6">
        <v>7218.2</v>
      </c>
      <c r="F249" s="69">
        <f t="shared" si="17"/>
        <v>1914.8946234</v>
      </c>
      <c r="G249" s="8"/>
    </row>
    <row r="250" spans="1:7" x14ac:dyDescent="0.45">
      <c r="A250" s="8" t="s">
        <v>147</v>
      </c>
      <c r="B250" s="4">
        <v>0.45</v>
      </c>
      <c r="C250" s="7">
        <v>80.39</v>
      </c>
      <c r="D250" s="7">
        <v>-10</v>
      </c>
      <c r="E250" s="6">
        <v>7218.2</v>
      </c>
      <c r="F250" s="69">
        <f t="shared" si="17"/>
        <v>2611.2199409999998</v>
      </c>
      <c r="G250" s="8"/>
    </row>
    <row r="251" spans="1:7" x14ac:dyDescent="0.45">
      <c r="A251" s="8" t="s">
        <v>148</v>
      </c>
      <c r="B251" s="4">
        <v>0.45</v>
      </c>
      <c r="C251" s="7">
        <v>80.39</v>
      </c>
      <c r="D251" s="7">
        <v>-10</v>
      </c>
      <c r="E251" s="6">
        <v>7218.2</v>
      </c>
      <c r="F251" s="69">
        <f t="shared" si="17"/>
        <v>2611.2199409999998</v>
      </c>
      <c r="G251" s="8"/>
    </row>
    <row r="252" spans="1:7" s="126" customFormat="1" x14ac:dyDescent="0.45">
      <c r="A252" s="119" t="s">
        <v>149</v>
      </c>
      <c r="B252" s="218">
        <v>0.17499999999999999</v>
      </c>
      <c r="C252" s="51">
        <v>80.39</v>
      </c>
      <c r="D252" s="51">
        <v>-10</v>
      </c>
      <c r="E252" s="127">
        <v>7218.2</v>
      </c>
      <c r="F252" s="300">
        <f t="shared" si="17"/>
        <v>1015.4744214999998</v>
      </c>
      <c r="G252" s="119"/>
    </row>
    <row r="253" spans="1:7" s="126" customFormat="1" x14ac:dyDescent="0.45">
      <c r="A253" s="119" t="s">
        <v>150</v>
      </c>
      <c r="B253" s="218">
        <v>0.17499999999999999</v>
      </c>
      <c r="C253" s="51">
        <v>80.39</v>
      </c>
      <c r="D253" s="51">
        <v>-10</v>
      </c>
      <c r="E253" s="127">
        <v>7218.2</v>
      </c>
      <c r="F253" s="300">
        <f t="shared" si="17"/>
        <v>1015.4744214999998</v>
      </c>
      <c r="G253" s="119"/>
    </row>
    <row r="254" spans="1:7" x14ac:dyDescent="0.45">
      <c r="A254" s="8" t="s">
        <v>151</v>
      </c>
      <c r="B254" s="4">
        <v>0.35</v>
      </c>
      <c r="C254" s="7">
        <v>80.39</v>
      </c>
      <c r="D254" s="7">
        <v>-10</v>
      </c>
      <c r="E254" s="6">
        <v>7218.2</v>
      </c>
      <c r="F254" s="69">
        <f t="shared" si="17"/>
        <v>2030.9488429999997</v>
      </c>
      <c r="G254" s="8"/>
    </row>
    <row r="255" spans="1:7" x14ac:dyDescent="0.45">
      <c r="A255" s="8" t="s">
        <v>152</v>
      </c>
      <c r="B255" s="4">
        <v>0.12</v>
      </c>
      <c r="C255" s="7">
        <v>80.39</v>
      </c>
      <c r="D255" s="7">
        <v>-10</v>
      </c>
      <c r="E255" s="6">
        <v>7218.2</v>
      </c>
      <c r="F255" s="69">
        <f t="shared" si="17"/>
        <v>696.32531759999983</v>
      </c>
      <c r="G255" s="8"/>
    </row>
    <row r="256" spans="1:7" x14ac:dyDescent="0.45">
      <c r="A256" s="8" t="s">
        <v>153</v>
      </c>
      <c r="B256" s="4">
        <v>112.36</v>
      </c>
      <c r="C256" s="8">
        <v>76.5</v>
      </c>
      <c r="D256" s="8">
        <f>65-C256</f>
        <v>-11.5</v>
      </c>
      <c r="E256" s="6">
        <v>89.9</v>
      </c>
      <c r="F256" s="69">
        <f>(((B256*C256)/100)*E256)</f>
        <v>7727.3904600000005</v>
      </c>
      <c r="G256" s="8"/>
    </row>
    <row r="257" spans="1:7" x14ac:dyDescent="0.45">
      <c r="A257" s="8" t="s">
        <v>154</v>
      </c>
      <c r="B257" s="4">
        <v>118.4</v>
      </c>
      <c r="C257" s="8">
        <v>76.5</v>
      </c>
      <c r="D257" s="8">
        <f t="shared" ref="D257:D320" si="22">65-C257</f>
        <v>-11.5</v>
      </c>
      <c r="E257" s="6">
        <v>89.9</v>
      </c>
      <c r="F257" s="69">
        <f t="shared" ref="F257:F320" si="23">(((B257*C257)/100)*E257)</f>
        <v>8142.782400000001</v>
      </c>
      <c r="G257" s="8"/>
    </row>
    <row r="258" spans="1:7" x14ac:dyDescent="0.45">
      <c r="A258" s="8" t="s">
        <v>155</v>
      </c>
      <c r="B258" s="4">
        <v>81.87</v>
      </c>
      <c r="C258" s="8">
        <v>76.5</v>
      </c>
      <c r="D258" s="8">
        <f t="shared" si="22"/>
        <v>-11.5</v>
      </c>
      <c r="E258" s="6">
        <v>89.9</v>
      </c>
      <c r="F258" s="69">
        <f t="shared" si="23"/>
        <v>5630.4864450000005</v>
      </c>
      <c r="G258" s="8"/>
    </row>
    <row r="259" spans="1:7" x14ac:dyDescent="0.45">
      <c r="A259" s="8" t="s">
        <v>156</v>
      </c>
      <c r="B259" s="4">
        <v>75.55</v>
      </c>
      <c r="C259" s="8">
        <v>76.5</v>
      </c>
      <c r="D259" s="8">
        <f t="shared" si="22"/>
        <v>-11.5</v>
      </c>
      <c r="E259" s="6">
        <v>89.9</v>
      </c>
      <c r="F259" s="69">
        <f t="shared" si="23"/>
        <v>5195.8379249999998</v>
      </c>
      <c r="G259" s="8"/>
    </row>
    <row r="260" spans="1:7" x14ac:dyDescent="0.45">
      <c r="A260" s="8" t="s">
        <v>157</v>
      </c>
      <c r="B260" s="4">
        <v>96.25</v>
      </c>
      <c r="C260" s="8">
        <v>76.5</v>
      </c>
      <c r="D260" s="8">
        <f t="shared" si="22"/>
        <v>-11.5</v>
      </c>
      <c r="E260" s="6">
        <v>89.9</v>
      </c>
      <c r="F260" s="69">
        <f t="shared" si="23"/>
        <v>6619.4493750000001</v>
      </c>
      <c r="G260" s="8"/>
    </row>
    <row r="261" spans="1:7" x14ac:dyDescent="0.45">
      <c r="A261" s="8" t="s">
        <v>158</v>
      </c>
      <c r="B261" s="4">
        <v>81.28</v>
      </c>
      <c r="C261" s="8">
        <v>76.5</v>
      </c>
      <c r="D261" s="8">
        <f t="shared" si="22"/>
        <v>-11.5</v>
      </c>
      <c r="E261" s="6">
        <v>89.9</v>
      </c>
      <c r="F261" s="69">
        <f t="shared" si="23"/>
        <v>5589.9100800000006</v>
      </c>
      <c r="G261" s="8"/>
    </row>
    <row r="262" spans="1:7" x14ac:dyDescent="0.45">
      <c r="A262" s="8" t="s">
        <v>159</v>
      </c>
      <c r="B262" s="4">
        <v>88.36</v>
      </c>
      <c r="C262" s="8">
        <v>76.5</v>
      </c>
      <c r="D262" s="8">
        <f t="shared" si="22"/>
        <v>-11.5</v>
      </c>
      <c r="E262" s="6">
        <v>89.9</v>
      </c>
      <c r="F262" s="69">
        <f t="shared" si="23"/>
        <v>6076.8264600000002</v>
      </c>
      <c r="G262" s="8"/>
    </row>
    <row r="263" spans="1:7" x14ac:dyDescent="0.45">
      <c r="A263" s="8" t="s">
        <v>160</v>
      </c>
      <c r="B263" s="4">
        <v>122.12</v>
      </c>
      <c r="C263" s="8">
        <v>76.5</v>
      </c>
      <c r="D263" s="8">
        <f t="shared" si="22"/>
        <v>-11.5</v>
      </c>
      <c r="E263" s="6">
        <v>89.9</v>
      </c>
      <c r="F263" s="69">
        <f t="shared" si="23"/>
        <v>8398.6198200000017</v>
      </c>
      <c r="G263" s="8"/>
    </row>
    <row r="264" spans="1:7" x14ac:dyDescent="0.45">
      <c r="A264" s="8" t="s">
        <v>161</v>
      </c>
      <c r="B264" s="4">
        <v>177.9</v>
      </c>
      <c r="C264" s="8">
        <v>76.5</v>
      </c>
      <c r="D264" s="8">
        <f t="shared" si="22"/>
        <v>-11.5</v>
      </c>
      <c r="E264" s="6">
        <v>89.9</v>
      </c>
      <c r="F264" s="69">
        <f t="shared" si="23"/>
        <v>12234.805650000002</v>
      </c>
      <c r="G264" s="8"/>
    </row>
    <row r="265" spans="1:7" x14ac:dyDescent="0.45">
      <c r="A265" s="8" t="s">
        <v>162</v>
      </c>
      <c r="B265" s="4">
        <v>103.81</v>
      </c>
      <c r="C265" s="8">
        <v>76.5</v>
      </c>
      <c r="D265" s="8">
        <f t="shared" si="22"/>
        <v>-11.5</v>
      </c>
      <c r="E265" s="6">
        <v>89.9</v>
      </c>
      <c r="F265" s="69">
        <f t="shared" si="23"/>
        <v>7139.3770349999995</v>
      </c>
      <c r="G265" s="8"/>
    </row>
    <row r="266" spans="1:7" x14ac:dyDescent="0.45">
      <c r="A266" s="8" t="s">
        <v>163</v>
      </c>
      <c r="B266" s="4">
        <v>76.7</v>
      </c>
      <c r="C266" s="8">
        <v>76.5</v>
      </c>
      <c r="D266" s="8">
        <f t="shared" si="22"/>
        <v>-11.5</v>
      </c>
      <c r="E266" s="6">
        <v>89.9</v>
      </c>
      <c r="F266" s="69">
        <f t="shared" si="23"/>
        <v>5274.9274500000001</v>
      </c>
      <c r="G266" s="8"/>
    </row>
    <row r="267" spans="1:7" x14ac:dyDescent="0.45">
      <c r="A267" s="8" t="s">
        <v>164</v>
      </c>
      <c r="B267" s="4">
        <v>106.55</v>
      </c>
      <c r="C267" s="8">
        <v>76.5</v>
      </c>
      <c r="D267" s="8">
        <f t="shared" si="22"/>
        <v>-11.5</v>
      </c>
      <c r="E267" s="6">
        <v>89.9</v>
      </c>
      <c r="F267" s="69">
        <f t="shared" si="23"/>
        <v>7327.8164250000009</v>
      </c>
      <c r="G267" s="8"/>
    </row>
    <row r="268" spans="1:7" x14ac:dyDescent="0.45">
      <c r="A268" s="8" t="s">
        <v>165</v>
      </c>
      <c r="B268" s="4">
        <v>69.12</v>
      </c>
      <c r="C268" s="8">
        <v>76.5</v>
      </c>
      <c r="D268" s="8">
        <f t="shared" si="22"/>
        <v>-11.5</v>
      </c>
      <c r="E268" s="6">
        <v>89.9</v>
      </c>
      <c r="F268" s="69">
        <f t="shared" si="23"/>
        <v>4753.6243200000008</v>
      </c>
      <c r="G268" s="8"/>
    </row>
    <row r="269" spans="1:7" x14ac:dyDescent="0.45">
      <c r="A269" s="8" t="s">
        <v>166</v>
      </c>
      <c r="B269" s="4">
        <v>64.23</v>
      </c>
      <c r="C269" s="8">
        <v>76.5</v>
      </c>
      <c r="D269" s="8">
        <f t="shared" si="22"/>
        <v>-11.5</v>
      </c>
      <c r="E269" s="6">
        <v>89.9</v>
      </c>
      <c r="F269" s="69">
        <f t="shared" si="23"/>
        <v>4417.3219050000007</v>
      </c>
      <c r="G269" s="8"/>
    </row>
    <row r="270" spans="1:7" x14ac:dyDescent="0.45">
      <c r="A270" s="8" t="s">
        <v>167</v>
      </c>
      <c r="B270" s="4">
        <v>42.54</v>
      </c>
      <c r="C270" s="8">
        <v>76.5</v>
      </c>
      <c r="D270" s="8">
        <f t="shared" si="22"/>
        <v>-11.5</v>
      </c>
      <c r="E270" s="6">
        <v>89.9</v>
      </c>
      <c r="F270" s="69">
        <f t="shared" si="23"/>
        <v>2925.6246900000006</v>
      </c>
      <c r="G270" s="8"/>
    </row>
    <row r="271" spans="1:7" x14ac:dyDescent="0.45">
      <c r="A271" s="8" t="s">
        <v>168</v>
      </c>
      <c r="B271" s="4">
        <v>59.59</v>
      </c>
      <c r="C271" s="8">
        <v>76.5</v>
      </c>
      <c r="D271" s="8">
        <f t="shared" si="22"/>
        <v>-11.5</v>
      </c>
      <c r="E271" s="6">
        <v>89.9</v>
      </c>
      <c r="F271" s="69">
        <f t="shared" si="23"/>
        <v>4098.2128650000004</v>
      </c>
      <c r="G271" s="8"/>
    </row>
    <row r="272" spans="1:7" x14ac:dyDescent="0.45">
      <c r="A272" s="8" t="s">
        <v>169</v>
      </c>
      <c r="B272" s="4">
        <v>73.64</v>
      </c>
      <c r="C272" s="8">
        <v>76.5</v>
      </c>
      <c r="D272" s="8">
        <f t="shared" si="22"/>
        <v>-11.5</v>
      </c>
      <c r="E272" s="6">
        <v>89.9</v>
      </c>
      <c r="F272" s="69">
        <f t="shared" si="23"/>
        <v>5064.4805400000005</v>
      </c>
      <c r="G272" s="8"/>
    </row>
    <row r="273" spans="1:7" x14ac:dyDescent="0.45">
      <c r="A273" s="8" t="s">
        <v>170</v>
      </c>
      <c r="B273" s="4">
        <v>62.1</v>
      </c>
      <c r="C273" s="8">
        <v>76.5</v>
      </c>
      <c r="D273" s="8">
        <f t="shared" si="22"/>
        <v>-11.5</v>
      </c>
      <c r="E273" s="6">
        <v>89.9</v>
      </c>
      <c r="F273" s="69">
        <f t="shared" si="23"/>
        <v>4270.8343500000001</v>
      </c>
      <c r="G273" s="8"/>
    </row>
    <row r="274" spans="1:7" x14ac:dyDescent="0.45">
      <c r="A274" s="8" t="s">
        <v>171</v>
      </c>
      <c r="B274" s="4">
        <v>71.17</v>
      </c>
      <c r="C274" s="8">
        <v>76.5</v>
      </c>
      <c r="D274" s="8">
        <f t="shared" si="22"/>
        <v>-11.5</v>
      </c>
      <c r="E274" s="6">
        <v>89.9</v>
      </c>
      <c r="F274" s="69">
        <f t="shared" si="23"/>
        <v>4894.6099950000007</v>
      </c>
      <c r="G274" s="8"/>
    </row>
    <row r="275" spans="1:7" x14ac:dyDescent="0.45">
      <c r="A275" s="8" t="s">
        <v>172</v>
      </c>
      <c r="B275" s="4">
        <v>74.17</v>
      </c>
      <c r="C275" s="8">
        <v>76.5</v>
      </c>
      <c r="D275" s="8">
        <f t="shared" si="22"/>
        <v>-11.5</v>
      </c>
      <c r="E275" s="6">
        <v>89.9</v>
      </c>
      <c r="F275" s="69">
        <f t="shared" si="23"/>
        <v>5100.9304950000005</v>
      </c>
      <c r="G275" s="8"/>
    </row>
    <row r="276" spans="1:7" x14ac:dyDescent="0.45">
      <c r="A276" s="8" t="s">
        <v>173</v>
      </c>
      <c r="B276" s="4">
        <v>97.3</v>
      </c>
      <c r="C276" s="8">
        <v>76.5</v>
      </c>
      <c r="D276" s="8">
        <f t="shared" si="22"/>
        <v>-11.5</v>
      </c>
      <c r="E276" s="6">
        <v>89.9</v>
      </c>
      <c r="F276" s="69">
        <f t="shared" si="23"/>
        <v>6691.6615500000007</v>
      </c>
      <c r="G276" s="8"/>
    </row>
    <row r="277" spans="1:7" x14ac:dyDescent="0.45">
      <c r="A277" s="8" t="s">
        <v>174</v>
      </c>
      <c r="B277" s="4">
        <v>91.13</v>
      </c>
      <c r="C277" s="8">
        <v>76.5</v>
      </c>
      <c r="D277" s="8">
        <f t="shared" si="22"/>
        <v>-11.5</v>
      </c>
      <c r="E277" s="6">
        <v>89.9</v>
      </c>
      <c r="F277" s="69">
        <f t="shared" si="23"/>
        <v>6267.3290550000002</v>
      </c>
      <c r="G277" s="8"/>
    </row>
    <row r="278" spans="1:7" x14ac:dyDescent="0.45">
      <c r="A278" s="8" t="s">
        <v>175</v>
      </c>
      <c r="B278" s="4">
        <v>64.3</v>
      </c>
      <c r="C278" s="8">
        <v>76.5</v>
      </c>
      <c r="D278" s="8">
        <f t="shared" si="22"/>
        <v>-11.5</v>
      </c>
      <c r="E278" s="6">
        <v>89.9</v>
      </c>
      <c r="F278" s="69">
        <f t="shared" si="23"/>
        <v>4422.1360500000001</v>
      </c>
      <c r="G278" s="8"/>
    </row>
    <row r="279" spans="1:7" x14ac:dyDescent="0.45">
      <c r="A279" s="8" t="s">
        <v>176</v>
      </c>
      <c r="B279" s="4">
        <v>58.23</v>
      </c>
      <c r="C279" s="8">
        <v>76.5</v>
      </c>
      <c r="D279" s="8">
        <f t="shared" si="22"/>
        <v>-11.5</v>
      </c>
      <c r="E279" s="6">
        <v>89.9</v>
      </c>
      <c r="F279" s="69">
        <f t="shared" si="23"/>
        <v>4004.6809049999993</v>
      </c>
      <c r="G279" s="8"/>
    </row>
    <row r="280" spans="1:7" x14ac:dyDescent="0.45">
      <c r="A280" s="8" t="s">
        <v>177</v>
      </c>
      <c r="B280" s="4">
        <v>81.64</v>
      </c>
      <c r="C280" s="8">
        <v>76.5</v>
      </c>
      <c r="D280" s="8">
        <f t="shared" si="22"/>
        <v>-11.5</v>
      </c>
      <c r="E280" s="6">
        <v>89.9</v>
      </c>
      <c r="F280" s="69">
        <f t="shared" si="23"/>
        <v>5614.6685400000006</v>
      </c>
      <c r="G280" s="8"/>
    </row>
    <row r="281" spans="1:7" x14ac:dyDescent="0.45">
      <c r="A281" s="8" t="s">
        <v>178</v>
      </c>
      <c r="B281" s="4">
        <v>122.9</v>
      </c>
      <c r="C281" s="8">
        <v>76.5</v>
      </c>
      <c r="D281" s="8">
        <f t="shared" si="22"/>
        <v>-11.5</v>
      </c>
      <c r="E281" s="6">
        <v>89.9</v>
      </c>
      <c r="F281" s="69">
        <f t="shared" si="23"/>
        <v>8452.2631500000007</v>
      </c>
      <c r="G281" s="8"/>
    </row>
    <row r="282" spans="1:7" x14ac:dyDescent="0.45">
      <c r="A282" s="8" t="s">
        <v>179</v>
      </c>
      <c r="B282" s="4">
        <v>67.12</v>
      </c>
      <c r="C282" s="8">
        <v>76.5</v>
      </c>
      <c r="D282" s="8">
        <f t="shared" si="22"/>
        <v>-11.5</v>
      </c>
      <c r="E282" s="6">
        <v>89.9</v>
      </c>
      <c r="F282" s="69">
        <f t="shared" si="23"/>
        <v>4616.0773200000003</v>
      </c>
      <c r="G282" s="8"/>
    </row>
    <row r="283" spans="1:7" x14ac:dyDescent="0.45">
      <c r="A283" s="8" t="s">
        <v>180</v>
      </c>
      <c r="B283" s="4">
        <v>66.69</v>
      </c>
      <c r="C283" s="8">
        <v>76.5</v>
      </c>
      <c r="D283" s="8">
        <f t="shared" si="22"/>
        <v>-11.5</v>
      </c>
      <c r="E283" s="6">
        <v>89.9</v>
      </c>
      <c r="F283" s="69">
        <f t="shared" si="23"/>
        <v>4586.504715</v>
      </c>
      <c r="G283" s="8"/>
    </row>
    <row r="284" spans="1:7" x14ac:dyDescent="0.45">
      <c r="A284" s="8" t="s">
        <v>181</v>
      </c>
      <c r="B284" s="4">
        <v>65.72</v>
      </c>
      <c r="C284" s="8">
        <v>76.5</v>
      </c>
      <c r="D284" s="8">
        <f t="shared" si="22"/>
        <v>-11.5</v>
      </c>
      <c r="E284" s="6">
        <v>89.9</v>
      </c>
      <c r="F284" s="69">
        <f t="shared" si="23"/>
        <v>4519.7944200000002</v>
      </c>
      <c r="G284" s="8"/>
    </row>
    <row r="285" spans="1:7" x14ac:dyDescent="0.45">
      <c r="A285" s="8" t="s">
        <v>182</v>
      </c>
      <c r="B285" s="4">
        <v>87.7</v>
      </c>
      <c r="C285" s="8">
        <v>76.5</v>
      </c>
      <c r="D285" s="8">
        <f t="shared" si="22"/>
        <v>-11.5</v>
      </c>
      <c r="E285" s="6">
        <v>89.9</v>
      </c>
      <c r="F285" s="69">
        <f t="shared" si="23"/>
        <v>6031.435950000001</v>
      </c>
      <c r="G285" s="8"/>
    </row>
    <row r="286" spans="1:7" x14ac:dyDescent="0.45">
      <c r="A286" s="8" t="s">
        <v>183</v>
      </c>
      <c r="B286" s="4">
        <v>66.819999999999993</v>
      </c>
      <c r="C286" s="8">
        <v>76.5</v>
      </c>
      <c r="D286" s="8">
        <f t="shared" si="22"/>
        <v>-11.5</v>
      </c>
      <c r="E286" s="6">
        <v>89.9</v>
      </c>
      <c r="F286" s="69">
        <f t="shared" si="23"/>
        <v>4595.4452699999993</v>
      </c>
      <c r="G286" s="8"/>
    </row>
    <row r="287" spans="1:7" x14ac:dyDescent="0.45">
      <c r="A287" s="8" t="s">
        <v>184</v>
      </c>
      <c r="B287" s="4">
        <v>107.68</v>
      </c>
      <c r="C287" s="8">
        <v>76.5</v>
      </c>
      <c r="D287" s="8">
        <f t="shared" si="22"/>
        <v>-11.5</v>
      </c>
      <c r="E287" s="6">
        <v>89.9</v>
      </c>
      <c r="F287" s="69">
        <f t="shared" si="23"/>
        <v>7405.5304800000013</v>
      </c>
      <c r="G287" s="8"/>
    </row>
    <row r="288" spans="1:7" x14ac:dyDescent="0.45">
      <c r="A288" s="8" t="s">
        <v>185</v>
      </c>
      <c r="B288" s="4">
        <v>98.16</v>
      </c>
      <c r="C288" s="8">
        <v>76.5</v>
      </c>
      <c r="D288" s="8">
        <f t="shared" si="22"/>
        <v>-11.5</v>
      </c>
      <c r="E288" s="6">
        <v>89.9</v>
      </c>
      <c r="F288" s="69">
        <f t="shared" si="23"/>
        <v>6750.8067600000004</v>
      </c>
      <c r="G288" s="8"/>
    </row>
    <row r="289" spans="1:7" x14ac:dyDescent="0.45">
      <c r="A289" s="8" t="s">
        <v>186</v>
      </c>
      <c r="B289" s="4">
        <v>201.29</v>
      </c>
      <c r="C289" s="8">
        <v>76.5</v>
      </c>
      <c r="D289" s="8">
        <f t="shared" si="22"/>
        <v>-11.5</v>
      </c>
      <c r="E289" s="6">
        <v>89.9</v>
      </c>
      <c r="F289" s="69">
        <f t="shared" si="23"/>
        <v>13843.417815000001</v>
      </c>
      <c r="G289" s="8"/>
    </row>
    <row r="290" spans="1:7" x14ac:dyDescent="0.45">
      <c r="A290" s="8" t="s">
        <v>187</v>
      </c>
      <c r="B290" s="4">
        <v>86.75</v>
      </c>
      <c r="C290" s="8">
        <v>76.5</v>
      </c>
      <c r="D290" s="8">
        <f t="shared" si="22"/>
        <v>-11.5</v>
      </c>
      <c r="E290" s="6">
        <v>89.9</v>
      </c>
      <c r="F290" s="69">
        <f t="shared" si="23"/>
        <v>5966.1011250000001</v>
      </c>
      <c r="G290" s="8"/>
    </row>
    <row r="291" spans="1:7" x14ac:dyDescent="0.45">
      <c r="A291" s="8" t="s">
        <v>188</v>
      </c>
      <c r="B291" s="4">
        <v>98.98</v>
      </c>
      <c r="C291" s="8">
        <v>76.5</v>
      </c>
      <c r="D291" s="8">
        <f t="shared" si="22"/>
        <v>-11.5</v>
      </c>
      <c r="E291" s="6">
        <v>89.9</v>
      </c>
      <c r="F291" s="69">
        <f t="shared" si="23"/>
        <v>6807.2010300000011</v>
      </c>
      <c r="G291" s="8"/>
    </row>
    <row r="292" spans="1:7" x14ac:dyDescent="0.45">
      <c r="A292" s="8" t="s">
        <v>189</v>
      </c>
      <c r="B292" s="4">
        <v>130.13</v>
      </c>
      <c r="C292" s="8">
        <v>76.5</v>
      </c>
      <c r="D292" s="8">
        <f t="shared" si="22"/>
        <v>-11.5</v>
      </c>
      <c r="E292" s="6">
        <v>89.9</v>
      </c>
      <c r="F292" s="69">
        <f t="shared" si="23"/>
        <v>8949.4955549999995</v>
      </c>
      <c r="G292" s="8"/>
    </row>
    <row r="293" spans="1:7" x14ac:dyDescent="0.45">
      <c r="A293" s="8" t="s">
        <v>190</v>
      </c>
      <c r="B293" s="4">
        <v>72.459999999999994</v>
      </c>
      <c r="C293" s="8">
        <v>76.5</v>
      </c>
      <c r="D293" s="8">
        <f t="shared" si="22"/>
        <v>-11.5</v>
      </c>
      <c r="E293" s="6">
        <v>89.9</v>
      </c>
      <c r="F293" s="69">
        <f t="shared" si="23"/>
        <v>4983.3278099999998</v>
      </c>
      <c r="G293" s="8"/>
    </row>
    <row r="294" spans="1:7" x14ac:dyDescent="0.45">
      <c r="A294" s="8" t="s">
        <v>191</v>
      </c>
      <c r="B294" s="4">
        <v>73.98</v>
      </c>
      <c r="C294" s="8">
        <v>76.5</v>
      </c>
      <c r="D294" s="8">
        <f t="shared" si="22"/>
        <v>-11.5</v>
      </c>
      <c r="E294" s="6">
        <v>89.9</v>
      </c>
      <c r="F294" s="69">
        <f t="shared" si="23"/>
        <v>5087.8635300000005</v>
      </c>
      <c r="G294" s="8"/>
    </row>
    <row r="295" spans="1:7" x14ac:dyDescent="0.45">
      <c r="A295" s="8" t="s">
        <v>192</v>
      </c>
      <c r="B295" s="4">
        <v>127.48</v>
      </c>
      <c r="C295" s="8">
        <v>76.5</v>
      </c>
      <c r="D295" s="8">
        <f t="shared" si="22"/>
        <v>-11.5</v>
      </c>
      <c r="E295" s="6">
        <v>89.9</v>
      </c>
      <c r="F295" s="69">
        <f t="shared" si="23"/>
        <v>8767.2457800000011</v>
      </c>
      <c r="G295" s="8"/>
    </row>
    <row r="296" spans="1:7" x14ac:dyDescent="0.45">
      <c r="A296" s="8" t="s">
        <v>193</v>
      </c>
      <c r="B296" s="4">
        <v>73.88</v>
      </c>
      <c r="C296" s="8">
        <v>76.5</v>
      </c>
      <c r="D296" s="8">
        <f t="shared" si="22"/>
        <v>-11.5</v>
      </c>
      <c r="E296" s="6">
        <v>89.9</v>
      </c>
      <c r="F296" s="69">
        <f t="shared" si="23"/>
        <v>5080.9861800000008</v>
      </c>
      <c r="G296" s="8"/>
    </row>
    <row r="297" spans="1:7" x14ac:dyDescent="0.45">
      <c r="A297" s="8" t="s">
        <v>194</v>
      </c>
      <c r="B297" s="4">
        <v>123.39</v>
      </c>
      <c r="C297" s="8">
        <v>76.5</v>
      </c>
      <c r="D297" s="8">
        <f t="shared" si="22"/>
        <v>-11.5</v>
      </c>
      <c r="E297" s="6">
        <v>89.9</v>
      </c>
      <c r="F297" s="69">
        <f t="shared" si="23"/>
        <v>8485.9621650000008</v>
      </c>
      <c r="G297" s="8"/>
    </row>
    <row r="298" spans="1:7" x14ac:dyDescent="0.45">
      <c r="A298" s="8" t="s">
        <v>195</v>
      </c>
      <c r="B298" s="4">
        <v>151.59</v>
      </c>
      <c r="C298" s="8">
        <v>76.5</v>
      </c>
      <c r="D298" s="8">
        <f t="shared" si="22"/>
        <v>-11.5</v>
      </c>
      <c r="E298" s="6">
        <v>89.9</v>
      </c>
      <c r="F298" s="69">
        <f t="shared" si="23"/>
        <v>10425.374865000002</v>
      </c>
      <c r="G298" s="8"/>
    </row>
    <row r="299" spans="1:7" x14ac:dyDescent="0.45">
      <c r="A299" s="8" t="s">
        <v>196</v>
      </c>
      <c r="B299" s="4">
        <v>140.76</v>
      </c>
      <c r="C299" s="8">
        <v>76.5</v>
      </c>
      <c r="D299" s="8">
        <f t="shared" si="22"/>
        <v>-11.5</v>
      </c>
      <c r="E299" s="6">
        <v>89.9</v>
      </c>
      <c r="F299" s="69">
        <f t="shared" si="23"/>
        <v>9680.5578600000008</v>
      </c>
      <c r="G299" s="8"/>
    </row>
    <row r="300" spans="1:7" x14ac:dyDescent="0.45">
      <c r="A300" s="8" t="s">
        <v>197</v>
      </c>
      <c r="B300" s="4">
        <v>70.88</v>
      </c>
      <c r="C300" s="8">
        <v>76.5</v>
      </c>
      <c r="D300" s="8">
        <f t="shared" si="22"/>
        <v>-11.5</v>
      </c>
      <c r="E300" s="6">
        <v>89.9</v>
      </c>
      <c r="F300" s="69">
        <f t="shared" si="23"/>
        <v>4874.6656800000001</v>
      </c>
      <c r="G300" s="8"/>
    </row>
    <row r="301" spans="1:7" x14ac:dyDescent="0.45">
      <c r="A301" s="8" t="s">
        <v>198</v>
      </c>
      <c r="B301" s="4">
        <v>80.010000000000005</v>
      </c>
      <c r="C301" s="8">
        <v>76.5</v>
      </c>
      <c r="D301" s="8">
        <f t="shared" si="22"/>
        <v>-11.5</v>
      </c>
      <c r="E301" s="6">
        <v>89.9</v>
      </c>
      <c r="F301" s="69">
        <f t="shared" si="23"/>
        <v>5502.5677350000005</v>
      </c>
      <c r="G301" s="8"/>
    </row>
    <row r="302" spans="1:7" x14ac:dyDescent="0.45">
      <c r="A302" s="8" t="s">
        <v>199</v>
      </c>
      <c r="B302" s="4">
        <v>116.71</v>
      </c>
      <c r="C302" s="8">
        <v>76.5</v>
      </c>
      <c r="D302" s="8">
        <f t="shared" si="22"/>
        <v>-11.5</v>
      </c>
      <c r="E302" s="6">
        <v>89.9</v>
      </c>
      <c r="F302" s="69">
        <f t="shared" si="23"/>
        <v>8026.5551850000002</v>
      </c>
      <c r="G302" s="8"/>
    </row>
    <row r="303" spans="1:7" x14ac:dyDescent="0.45">
      <c r="A303" s="8" t="s">
        <v>200</v>
      </c>
      <c r="B303" s="4">
        <v>99.5</v>
      </c>
      <c r="C303" s="8">
        <v>76.5</v>
      </c>
      <c r="D303" s="8">
        <f t="shared" si="22"/>
        <v>-11.5</v>
      </c>
      <c r="E303" s="6">
        <v>89.9</v>
      </c>
      <c r="F303" s="69">
        <f t="shared" si="23"/>
        <v>6842.9632500000007</v>
      </c>
      <c r="G303" s="8"/>
    </row>
    <row r="304" spans="1:7" x14ac:dyDescent="0.45">
      <c r="A304" s="8" t="s">
        <v>201</v>
      </c>
      <c r="B304" s="4">
        <v>167.84</v>
      </c>
      <c r="C304" s="8">
        <v>76.5</v>
      </c>
      <c r="D304" s="8">
        <f t="shared" si="22"/>
        <v>-11.5</v>
      </c>
      <c r="E304" s="6">
        <v>89.9</v>
      </c>
      <c r="F304" s="69">
        <f t="shared" si="23"/>
        <v>11542.944240000003</v>
      </c>
      <c r="G304" s="8"/>
    </row>
    <row r="305" spans="1:7" x14ac:dyDescent="0.45">
      <c r="A305" s="8" t="s">
        <v>202</v>
      </c>
      <c r="B305" s="4">
        <v>143.88</v>
      </c>
      <c r="C305" s="8">
        <v>76.5</v>
      </c>
      <c r="D305" s="8">
        <f t="shared" si="22"/>
        <v>-11.5</v>
      </c>
      <c r="E305" s="6">
        <v>89.9</v>
      </c>
      <c r="F305" s="69">
        <f t="shared" si="23"/>
        <v>9895.1311800000003</v>
      </c>
      <c r="G305" s="8"/>
    </row>
    <row r="306" spans="1:7" x14ac:dyDescent="0.45">
      <c r="A306" s="8" t="s">
        <v>203</v>
      </c>
      <c r="B306" s="4">
        <v>104.02</v>
      </c>
      <c r="C306" s="8">
        <v>76.5</v>
      </c>
      <c r="D306" s="8">
        <f t="shared" si="22"/>
        <v>-11.5</v>
      </c>
      <c r="E306" s="6">
        <v>89.9</v>
      </c>
      <c r="F306" s="69">
        <f t="shared" si="23"/>
        <v>7153.8194700000004</v>
      </c>
      <c r="G306" s="8"/>
    </row>
    <row r="307" spans="1:7" x14ac:dyDescent="0.45">
      <c r="A307" s="8" t="s">
        <v>204</v>
      </c>
      <c r="B307" s="4">
        <v>97.19</v>
      </c>
      <c r="C307" s="8">
        <v>76.5</v>
      </c>
      <c r="D307" s="8">
        <f t="shared" si="22"/>
        <v>-11.5</v>
      </c>
      <c r="E307" s="6">
        <v>89.9</v>
      </c>
      <c r="F307" s="69">
        <f t="shared" si="23"/>
        <v>6684.0964649999996</v>
      </c>
      <c r="G307" s="8"/>
    </row>
    <row r="308" spans="1:7" x14ac:dyDescent="0.45">
      <c r="A308" s="8" t="s">
        <v>205</v>
      </c>
      <c r="B308" s="4">
        <v>159.87</v>
      </c>
      <c r="C308" s="8">
        <v>76.5</v>
      </c>
      <c r="D308" s="8">
        <f t="shared" si="22"/>
        <v>-11.5</v>
      </c>
      <c r="E308" s="6">
        <v>89.9</v>
      </c>
      <c r="F308" s="69">
        <f t="shared" si="23"/>
        <v>10994.819445000001</v>
      </c>
      <c r="G308" s="8"/>
    </row>
    <row r="309" spans="1:7" x14ac:dyDescent="0.45">
      <c r="A309" s="8" t="s">
        <v>206</v>
      </c>
      <c r="B309" s="4">
        <v>152.72999999999999</v>
      </c>
      <c r="C309" s="8">
        <v>76.5</v>
      </c>
      <c r="D309" s="8">
        <f t="shared" si="22"/>
        <v>-11.5</v>
      </c>
      <c r="E309" s="6">
        <v>89.9</v>
      </c>
      <c r="F309" s="69">
        <f t="shared" si="23"/>
        <v>10503.776655</v>
      </c>
      <c r="G309" s="8"/>
    </row>
    <row r="310" spans="1:7" x14ac:dyDescent="0.45">
      <c r="A310" s="8" t="s">
        <v>207</v>
      </c>
      <c r="B310" s="4">
        <v>83.36</v>
      </c>
      <c r="C310" s="8">
        <v>76.5</v>
      </c>
      <c r="D310" s="8">
        <f t="shared" si="22"/>
        <v>-11.5</v>
      </c>
      <c r="E310" s="6">
        <v>89.9</v>
      </c>
      <c r="F310" s="69">
        <f t="shared" si="23"/>
        <v>5732.9589600000008</v>
      </c>
      <c r="G310" s="8"/>
    </row>
    <row r="311" spans="1:7" x14ac:dyDescent="0.45">
      <c r="A311" s="8" t="s">
        <v>208</v>
      </c>
      <c r="B311" s="4">
        <v>126.48</v>
      </c>
      <c r="C311" s="8">
        <v>76.5</v>
      </c>
      <c r="D311" s="8">
        <f t="shared" si="22"/>
        <v>-11.5</v>
      </c>
      <c r="E311" s="6">
        <v>89.9</v>
      </c>
      <c r="F311" s="69">
        <f t="shared" si="23"/>
        <v>8698.4722800000018</v>
      </c>
      <c r="G311" s="8"/>
    </row>
    <row r="312" spans="1:7" x14ac:dyDescent="0.45">
      <c r="A312" s="8" t="s">
        <v>209</v>
      </c>
      <c r="B312" s="4">
        <v>97.23</v>
      </c>
      <c r="C312" s="8">
        <v>76.5</v>
      </c>
      <c r="D312" s="8">
        <f t="shared" si="22"/>
        <v>-11.5</v>
      </c>
      <c r="E312" s="6">
        <v>89.9</v>
      </c>
      <c r="F312" s="69">
        <f t="shared" si="23"/>
        <v>6686.8474050000004</v>
      </c>
      <c r="G312" s="8"/>
    </row>
    <row r="313" spans="1:7" x14ac:dyDescent="0.45">
      <c r="A313" s="8" t="s">
        <v>210</v>
      </c>
      <c r="B313" s="4">
        <v>182.92</v>
      </c>
      <c r="C313" s="8">
        <v>76.5</v>
      </c>
      <c r="D313" s="8">
        <f t="shared" si="22"/>
        <v>-11.5</v>
      </c>
      <c r="E313" s="6">
        <v>89.9</v>
      </c>
      <c r="F313" s="69">
        <f t="shared" si="23"/>
        <v>12580.04862</v>
      </c>
      <c r="G313" s="8"/>
    </row>
    <row r="314" spans="1:7" x14ac:dyDescent="0.45">
      <c r="A314" s="8" t="s">
        <v>211</v>
      </c>
      <c r="B314" s="4">
        <v>92.3</v>
      </c>
      <c r="C314" s="8">
        <v>76.5</v>
      </c>
      <c r="D314" s="8">
        <f t="shared" si="22"/>
        <v>-11.5</v>
      </c>
      <c r="E314" s="6">
        <v>89.9</v>
      </c>
      <c r="F314" s="69">
        <f t="shared" si="23"/>
        <v>6347.7940500000004</v>
      </c>
      <c r="G314" s="8"/>
    </row>
    <row r="315" spans="1:7" x14ac:dyDescent="0.45">
      <c r="A315" s="8" t="s">
        <v>212</v>
      </c>
      <c r="B315" s="4">
        <v>87.85</v>
      </c>
      <c r="C315" s="8">
        <v>76.5</v>
      </c>
      <c r="D315" s="8">
        <f t="shared" si="22"/>
        <v>-11.5</v>
      </c>
      <c r="E315" s="6">
        <v>89.9</v>
      </c>
      <c r="F315" s="69">
        <f t="shared" si="23"/>
        <v>6041.7519750000001</v>
      </c>
      <c r="G315" s="8"/>
    </row>
    <row r="316" spans="1:7" x14ac:dyDescent="0.45">
      <c r="A316" s="8" t="s">
        <v>213</v>
      </c>
      <c r="B316" s="4">
        <v>102.96</v>
      </c>
      <c r="C316" s="8">
        <v>76.5</v>
      </c>
      <c r="D316" s="8">
        <f t="shared" si="22"/>
        <v>-11.5</v>
      </c>
      <c r="E316" s="6">
        <v>89.9</v>
      </c>
      <c r="F316" s="69">
        <f t="shared" si="23"/>
        <v>7080.9195600000003</v>
      </c>
      <c r="G316" s="8"/>
    </row>
    <row r="317" spans="1:7" x14ac:dyDescent="0.45">
      <c r="A317" s="8" t="s">
        <v>214</v>
      </c>
      <c r="B317" s="4">
        <v>87.22</v>
      </c>
      <c r="C317" s="8">
        <v>76.5</v>
      </c>
      <c r="D317" s="8">
        <f t="shared" si="22"/>
        <v>-11.5</v>
      </c>
      <c r="E317" s="6">
        <v>89.9</v>
      </c>
      <c r="F317" s="69">
        <f t="shared" si="23"/>
        <v>5998.4246700000003</v>
      </c>
      <c r="G317" s="8"/>
    </row>
    <row r="318" spans="1:7" x14ac:dyDescent="0.45">
      <c r="A318" s="8" t="s">
        <v>215</v>
      </c>
      <c r="B318" s="4">
        <v>88.54</v>
      </c>
      <c r="C318" s="8">
        <v>76.5</v>
      </c>
      <c r="D318" s="8">
        <f t="shared" si="22"/>
        <v>-11.5</v>
      </c>
      <c r="E318" s="6">
        <v>89.9</v>
      </c>
      <c r="F318" s="69">
        <f t="shared" si="23"/>
        <v>6089.2056900000007</v>
      </c>
      <c r="G318" s="8"/>
    </row>
    <row r="319" spans="1:7" x14ac:dyDescent="0.45">
      <c r="A319" s="8" t="s">
        <v>216</v>
      </c>
      <c r="B319" s="4">
        <v>43.2</v>
      </c>
      <c r="C319" s="8">
        <v>82</v>
      </c>
      <c r="D319" s="8">
        <f>65-C319</f>
        <v>-17</v>
      </c>
      <c r="E319" s="6">
        <v>90</v>
      </c>
      <c r="F319" s="69">
        <f t="shared" si="23"/>
        <v>3188.16</v>
      </c>
      <c r="G319" s="8"/>
    </row>
    <row r="320" spans="1:7" x14ac:dyDescent="0.45">
      <c r="A320" s="8" t="s">
        <v>217</v>
      </c>
      <c r="B320" s="4">
        <v>103.15</v>
      </c>
      <c r="C320" s="8">
        <v>82</v>
      </c>
      <c r="D320" s="8">
        <f t="shared" si="22"/>
        <v>-17</v>
      </c>
      <c r="E320" s="6">
        <v>90</v>
      </c>
      <c r="F320" s="69">
        <f t="shared" si="23"/>
        <v>7612.4700000000012</v>
      </c>
      <c r="G320" s="8"/>
    </row>
    <row r="321" spans="1:7" x14ac:dyDescent="0.45">
      <c r="A321" s="8" t="s">
        <v>218</v>
      </c>
      <c r="B321" s="4">
        <v>74.3</v>
      </c>
      <c r="C321" s="8">
        <v>82</v>
      </c>
      <c r="D321" s="8">
        <f t="shared" ref="D321:D331" si="24">65-C321</f>
        <v>-17</v>
      </c>
      <c r="E321" s="6">
        <v>90</v>
      </c>
      <c r="F321" s="69">
        <f t="shared" ref="F321:F336" si="25">(((B321*C321)/100)*E321)</f>
        <v>5483.3399999999992</v>
      </c>
      <c r="G321" s="8"/>
    </row>
    <row r="322" spans="1:7" x14ac:dyDescent="0.45">
      <c r="A322" s="8" t="s">
        <v>219</v>
      </c>
      <c r="B322" s="4">
        <v>65.400000000000006</v>
      </c>
      <c r="C322" s="8">
        <v>82</v>
      </c>
      <c r="D322" s="8">
        <f t="shared" si="24"/>
        <v>-17</v>
      </c>
      <c r="E322" s="6">
        <v>90</v>
      </c>
      <c r="F322" s="69">
        <f t="shared" si="25"/>
        <v>4826.5200000000004</v>
      </c>
      <c r="G322" s="8"/>
    </row>
    <row r="323" spans="1:7" x14ac:dyDescent="0.45">
      <c r="A323" s="8" t="s">
        <v>220</v>
      </c>
      <c r="B323" s="4">
        <v>62.9</v>
      </c>
      <c r="C323" s="8">
        <v>82</v>
      </c>
      <c r="D323" s="8">
        <f t="shared" si="24"/>
        <v>-17</v>
      </c>
      <c r="E323" s="6">
        <v>90</v>
      </c>
      <c r="F323" s="69">
        <f t="shared" si="25"/>
        <v>4642.0200000000004</v>
      </c>
      <c r="G323" s="8"/>
    </row>
    <row r="324" spans="1:7" x14ac:dyDescent="0.45">
      <c r="A324" s="8" t="s">
        <v>221</v>
      </c>
      <c r="B324" s="4">
        <v>88.65</v>
      </c>
      <c r="C324" s="8">
        <v>82</v>
      </c>
      <c r="D324" s="8">
        <f t="shared" si="24"/>
        <v>-17</v>
      </c>
      <c r="E324" s="6">
        <v>90</v>
      </c>
      <c r="F324" s="69">
        <f t="shared" si="25"/>
        <v>6542.37</v>
      </c>
      <c r="G324" s="8"/>
    </row>
    <row r="325" spans="1:7" x14ac:dyDescent="0.45">
      <c r="A325" s="8" t="s">
        <v>222</v>
      </c>
      <c r="B325" s="4">
        <v>97</v>
      </c>
      <c r="C325" s="8">
        <v>82</v>
      </c>
      <c r="D325" s="8">
        <f t="shared" si="24"/>
        <v>-17</v>
      </c>
      <c r="E325" s="6">
        <v>90</v>
      </c>
      <c r="F325" s="69">
        <f t="shared" si="25"/>
        <v>7158.6</v>
      </c>
      <c r="G325" s="8"/>
    </row>
    <row r="326" spans="1:7" x14ac:dyDescent="0.45">
      <c r="A326" s="8" t="s">
        <v>223</v>
      </c>
      <c r="B326" s="4">
        <v>93.6</v>
      </c>
      <c r="C326" s="8">
        <v>82</v>
      </c>
      <c r="D326" s="8">
        <f t="shared" si="24"/>
        <v>-17</v>
      </c>
      <c r="E326" s="6">
        <v>90</v>
      </c>
      <c r="F326" s="69">
        <f t="shared" si="25"/>
        <v>6907.6799999999994</v>
      </c>
      <c r="G326" s="8"/>
    </row>
    <row r="327" spans="1:7" x14ac:dyDescent="0.45">
      <c r="A327" s="8" t="s">
        <v>224</v>
      </c>
      <c r="B327" s="4">
        <v>83.75</v>
      </c>
      <c r="C327" s="8">
        <v>82</v>
      </c>
      <c r="D327" s="8">
        <f t="shared" si="24"/>
        <v>-17</v>
      </c>
      <c r="E327" s="6">
        <v>90</v>
      </c>
      <c r="F327" s="69">
        <f t="shared" si="25"/>
        <v>6180.75</v>
      </c>
      <c r="G327" s="8"/>
    </row>
    <row r="328" spans="1:7" x14ac:dyDescent="0.45">
      <c r="A328" s="8" t="s">
        <v>225</v>
      </c>
      <c r="B328" s="4">
        <v>104.55</v>
      </c>
      <c r="C328" s="8">
        <v>82</v>
      </c>
      <c r="D328" s="8">
        <f t="shared" si="24"/>
        <v>-17</v>
      </c>
      <c r="E328" s="6">
        <v>92</v>
      </c>
      <c r="F328" s="69">
        <f t="shared" si="25"/>
        <v>7887.2520000000004</v>
      </c>
      <c r="G328" s="8"/>
    </row>
    <row r="329" spans="1:7" x14ac:dyDescent="0.45">
      <c r="A329" s="8" t="s">
        <v>226</v>
      </c>
      <c r="B329" s="4">
        <v>107.35</v>
      </c>
      <c r="C329" s="8">
        <v>82</v>
      </c>
      <c r="D329" s="8">
        <f t="shared" si="24"/>
        <v>-17</v>
      </c>
      <c r="E329" s="6">
        <v>92</v>
      </c>
      <c r="F329" s="69">
        <f t="shared" si="25"/>
        <v>8098.4839999999986</v>
      </c>
      <c r="G329" s="8"/>
    </row>
    <row r="330" spans="1:7" x14ac:dyDescent="0.45">
      <c r="A330" s="8" t="s">
        <v>227</v>
      </c>
      <c r="B330" s="4">
        <v>57.05</v>
      </c>
      <c r="C330" s="8">
        <v>82</v>
      </c>
      <c r="D330" s="8">
        <f t="shared" si="24"/>
        <v>-17</v>
      </c>
      <c r="E330" s="6">
        <v>92</v>
      </c>
      <c r="F330" s="69">
        <f t="shared" si="25"/>
        <v>4303.851999999999</v>
      </c>
      <c r="G330" s="8"/>
    </row>
    <row r="331" spans="1:7" x14ac:dyDescent="0.45">
      <c r="A331" s="8" t="s">
        <v>228</v>
      </c>
      <c r="B331" s="4">
        <v>57.4</v>
      </c>
      <c r="C331" s="8">
        <v>82</v>
      </c>
      <c r="D331" s="8">
        <f t="shared" si="24"/>
        <v>-17</v>
      </c>
      <c r="E331" s="6">
        <v>92</v>
      </c>
      <c r="F331" s="69">
        <f t="shared" si="25"/>
        <v>4330.2560000000003</v>
      </c>
      <c r="G331" s="8"/>
    </row>
    <row r="332" spans="1:7" x14ac:dyDescent="0.45">
      <c r="A332" s="8" t="s">
        <v>229</v>
      </c>
      <c r="B332" s="4">
        <v>90.3</v>
      </c>
      <c r="C332" s="8">
        <v>82</v>
      </c>
      <c r="D332" s="8">
        <f>65-C332</f>
        <v>-17</v>
      </c>
      <c r="E332" s="6">
        <v>92</v>
      </c>
      <c r="F332" s="69">
        <f t="shared" si="25"/>
        <v>6812.2319999999991</v>
      </c>
      <c r="G332" s="8"/>
    </row>
    <row r="333" spans="1:7" x14ac:dyDescent="0.45">
      <c r="A333" s="8" t="s">
        <v>230</v>
      </c>
      <c r="B333" s="4">
        <v>84.45</v>
      </c>
      <c r="C333" s="8">
        <v>82</v>
      </c>
      <c r="D333" s="8">
        <f>65-C333</f>
        <v>-17</v>
      </c>
      <c r="E333" s="6">
        <v>92</v>
      </c>
      <c r="F333" s="69">
        <f t="shared" si="25"/>
        <v>6370.9080000000013</v>
      </c>
      <c r="G333" s="8"/>
    </row>
    <row r="334" spans="1:7" x14ac:dyDescent="0.45">
      <c r="A334" s="8" t="s">
        <v>231</v>
      </c>
      <c r="B334" s="4">
        <v>52.2</v>
      </c>
      <c r="C334" s="8">
        <v>82</v>
      </c>
      <c r="D334" s="8">
        <f>65-C334</f>
        <v>-17</v>
      </c>
      <c r="E334" s="6">
        <v>92</v>
      </c>
      <c r="F334" s="69">
        <f t="shared" si="25"/>
        <v>3937.9680000000003</v>
      </c>
      <c r="G334" s="8"/>
    </row>
    <row r="335" spans="1:7" x14ac:dyDescent="0.45">
      <c r="A335" s="8" t="s">
        <v>232</v>
      </c>
      <c r="B335" s="4">
        <v>131</v>
      </c>
      <c r="C335" s="8">
        <v>80</v>
      </c>
      <c r="D335" s="8">
        <v>15</v>
      </c>
      <c r="E335" s="6">
        <v>82</v>
      </c>
      <c r="F335" s="69">
        <f t="shared" si="25"/>
        <v>8593.6</v>
      </c>
      <c r="G335" s="8"/>
    </row>
    <row r="336" spans="1:7" x14ac:dyDescent="0.45">
      <c r="A336" s="8" t="s">
        <v>233</v>
      </c>
      <c r="B336" s="4">
        <v>152</v>
      </c>
      <c r="C336" s="8">
        <v>80</v>
      </c>
      <c r="D336" s="8">
        <v>15</v>
      </c>
      <c r="E336" s="6">
        <v>82</v>
      </c>
      <c r="F336" s="69">
        <f t="shared" si="25"/>
        <v>9971.1999999999989</v>
      </c>
      <c r="G336" s="8"/>
    </row>
    <row r="337" spans="1:8" x14ac:dyDescent="0.45">
      <c r="A337" s="8" t="s">
        <v>897</v>
      </c>
      <c r="B337" s="4">
        <v>75.75</v>
      </c>
      <c r="C337" s="8">
        <v>79.53</v>
      </c>
      <c r="D337" s="8">
        <v>16.53</v>
      </c>
      <c r="E337" s="6">
        <v>84.5</v>
      </c>
      <c r="F337" s="69">
        <f t="shared" ref="F337:F367" si="26">(((B337*C337)/100)*E337)</f>
        <v>5090.6158875000001</v>
      </c>
      <c r="G337" s="8"/>
    </row>
    <row r="338" spans="1:8" x14ac:dyDescent="0.45">
      <c r="A338" s="8" t="s">
        <v>898</v>
      </c>
      <c r="B338" s="4">
        <v>88.5</v>
      </c>
      <c r="C338" s="8">
        <v>79.53</v>
      </c>
      <c r="D338" s="8">
        <v>16.53</v>
      </c>
      <c r="E338" s="6">
        <v>84.5</v>
      </c>
      <c r="F338" s="69">
        <f t="shared" si="26"/>
        <v>5947.452225</v>
      </c>
      <c r="G338" s="8"/>
    </row>
    <row r="339" spans="1:8" x14ac:dyDescent="0.45">
      <c r="A339" s="8" t="s">
        <v>989</v>
      </c>
      <c r="B339" s="4">
        <v>91.15</v>
      </c>
      <c r="C339" s="8">
        <v>74.03</v>
      </c>
      <c r="D339" s="8">
        <f>60-Table1[[#This Row],[MELTING]]</f>
        <v>-14.030000000000001</v>
      </c>
      <c r="E339" s="6">
        <v>90</v>
      </c>
      <c r="F339" s="69">
        <f t="shared" si="26"/>
        <v>6073.05105</v>
      </c>
      <c r="G339" s="8"/>
      <c r="H339" s="98">
        <f>Table1[[#This Row],[AMOUNT]]+F340+F341</f>
        <v>17366.327550000002</v>
      </c>
    </row>
    <row r="340" spans="1:8" x14ac:dyDescent="0.45">
      <c r="A340" s="8" t="s">
        <v>990</v>
      </c>
      <c r="B340" s="4">
        <v>87.6</v>
      </c>
      <c r="C340" s="8">
        <v>74.03</v>
      </c>
      <c r="D340" s="8">
        <f>60-Table1[[#This Row],[MELTING]]</f>
        <v>-14.030000000000001</v>
      </c>
      <c r="E340" s="6">
        <v>90</v>
      </c>
      <c r="F340" s="69">
        <f t="shared" si="26"/>
        <v>5836.5252</v>
      </c>
      <c r="G340" s="8"/>
    </row>
    <row r="341" spans="1:8" x14ac:dyDescent="0.45">
      <c r="A341" s="8" t="s">
        <v>991</v>
      </c>
      <c r="B341" s="4">
        <v>81.900000000000006</v>
      </c>
      <c r="C341" s="8">
        <v>74.03</v>
      </c>
      <c r="D341" s="8">
        <f>60-Table1[[#This Row],[MELTING]]</f>
        <v>-14.030000000000001</v>
      </c>
      <c r="E341" s="6">
        <v>90</v>
      </c>
      <c r="F341" s="69">
        <f t="shared" si="26"/>
        <v>5456.7513000000008</v>
      </c>
      <c r="G341" s="8"/>
    </row>
    <row r="342" spans="1:8" x14ac:dyDescent="0.45">
      <c r="A342" s="8" t="s">
        <v>1186</v>
      </c>
      <c r="B342" s="4">
        <v>91.3</v>
      </c>
      <c r="C342" s="8">
        <v>75.03</v>
      </c>
      <c r="D342" s="8">
        <f>65-Table1[[#This Row],[MELTING]]</f>
        <v>-10.030000000000001</v>
      </c>
      <c r="E342" s="6">
        <v>90</v>
      </c>
      <c r="F342" s="69">
        <f t="shared" ref="F342:F352" si="27">(((B342*C342)/100)*E342)</f>
        <v>6165.2150999999994</v>
      </c>
      <c r="G342" s="8"/>
    </row>
    <row r="343" spans="1:8" x14ac:dyDescent="0.45">
      <c r="A343" s="8" t="s">
        <v>1187</v>
      </c>
      <c r="B343" s="4">
        <v>188.5</v>
      </c>
      <c r="C343" s="8">
        <v>80</v>
      </c>
      <c r="D343" s="8">
        <f>65-Table1[[#This Row],[MELTING]]</f>
        <v>-15</v>
      </c>
      <c r="E343" s="6">
        <v>92</v>
      </c>
      <c r="F343" s="69">
        <f t="shared" si="27"/>
        <v>13873.6</v>
      </c>
      <c r="G343" s="8"/>
    </row>
    <row r="344" spans="1:8" x14ac:dyDescent="0.45">
      <c r="A344" s="8" t="s">
        <v>1188</v>
      </c>
      <c r="B344" s="4">
        <v>122</v>
      </c>
      <c r="C344" s="8">
        <v>80</v>
      </c>
      <c r="D344" s="8">
        <f>65-Table1[[#This Row],[MELTING]]</f>
        <v>-15</v>
      </c>
      <c r="E344" s="6">
        <v>86.4</v>
      </c>
      <c r="F344" s="69">
        <f t="shared" si="27"/>
        <v>8432.64</v>
      </c>
      <c r="G344" s="8"/>
    </row>
    <row r="345" spans="1:8" x14ac:dyDescent="0.45">
      <c r="A345" s="8" t="s">
        <v>1189</v>
      </c>
      <c r="B345" s="4">
        <v>122</v>
      </c>
      <c r="C345" s="8">
        <v>80</v>
      </c>
      <c r="D345" s="8">
        <f>65-Table1[[#This Row],[MELTING]]</f>
        <v>-15</v>
      </c>
      <c r="E345" s="6">
        <v>86.4</v>
      </c>
      <c r="F345" s="69">
        <f t="shared" si="27"/>
        <v>8432.64</v>
      </c>
      <c r="G345" s="8"/>
    </row>
    <row r="346" spans="1:8" x14ac:dyDescent="0.45">
      <c r="A346" s="8" t="s">
        <v>1190</v>
      </c>
      <c r="B346" s="4">
        <v>149</v>
      </c>
      <c r="C346" s="8">
        <v>80</v>
      </c>
      <c r="D346" s="8">
        <f>65-Table1[[#This Row],[MELTING]]</f>
        <v>-15</v>
      </c>
      <c r="E346" s="6">
        <v>86.4</v>
      </c>
      <c r="F346" s="69">
        <f t="shared" si="27"/>
        <v>10298.880000000001</v>
      </c>
      <c r="G346" s="8"/>
    </row>
    <row r="347" spans="1:8" x14ac:dyDescent="0.45">
      <c r="A347" s="8" t="s">
        <v>1191</v>
      </c>
      <c r="B347" s="4">
        <v>169.55</v>
      </c>
      <c r="C347" s="8">
        <v>80</v>
      </c>
      <c r="D347" s="8">
        <f>65-Table1[[#This Row],[MELTING]]</f>
        <v>-15</v>
      </c>
      <c r="E347" s="6">
        <v>86.4</v>
      </c>
      <c r="F347" s="69">
        <f t="shared" si="27"/>
        <v>11719.296</v>
      </c>
      <c r="G347" s="8"/>
    </row>
    <row r="348" spans="1:8" x14ac:dyDescent="0.45">
      <c r="A348" s="8" t="s">
        <v>1192</v>
      </c>
      <c r="B348" s="4">
        <v>102.6</v>
      </c>
      <c r="C348" s="8">
        <v>80</v>
      </c>
      <c r="D348" s="8">
        <f>65-Table1[[#This Row],[MELTING]]</f>
        <v>-15</v>
      </c>
      <c r="E348" s="6">
        <v>86.4</v>
      </c>
      <c r="F348" s="69">
        <f t="shared" si="27"/>
        <v>7091.7120000000004</v>
      </c>
      <c r="G348" s="8"/>
    </row>
    <row r="349" spans="1:8" x14ac:dyDescent="0.45">
      <c r="A349" s="8" t="s">
        <v>1193</v>
      </c>
      <c r="B349" s="4">
        <v>208.6</v>
      </c>
      <c r="C349" s="8">
        <v>80</v>
      </c>
      <c r="D349" s="8">
        <f>65-Table1[[#This Row],[MELTING]]</f>
        <v>-15</v>
      </c>
      <c r="E349" s="6">
        <v>86.4</v>
      </c>
      <c r="F349" s="69">
        <f t="shared" si="27"/>
        <v>14418.432000000001</v>
      </c>
      <c r="G349" s="8"/>
    </row>
    <row r="350" spans="1:8" x14ac:dyDescent="0.45">
      <c r="A350" s="8" t="s">
        <v>1194</v>
      </c>
      <c r="B350" s="4">
        <v>131.5</v>
      </c>
      <c r="C350" s="8">
        <v>80</v>
      </c>
      <c r="D350" s="8">
        <f>65-Table1[[#This Row],[MELTING]]</f>
        <v>-15</v>
      </c>
      <c r="E350" s="6">
        <v>86.4</v>
      </c>
      <c r="F350" s="69">
        <f t="shared" si="27"/>
        <v>9089.2800000000007</v>
      </c>
      <c r="G350" s="8"/>
    </row>
    <row r="351" spans="1:8" x14ac:dyDescent="0.45">
      <c r="A351" s="8" t="s">
        <v>1195</v>
      </c>
      <c r="B351" s="4">
        <v>161</v>
      </c>
      <c r="C351" s="8">
        <v>80</v>
      </c>
      <c r="D351" s="8">
        <f>65-Table1[[#This Row],[MELTING]]</f>
        <v>-15</v>
      </c>
      <c r="E351" s="6">
        <v>86.4</v>
      </c>
      <c r="F351" s="69">
        <f t="shared" si="27"/>
        <v>11128.320000000002</v>
      </c>
      <c r="G351" s="8"/>
    </row>
    <row r="352" spans="1:8" x14ac:dyDescent="0.45">
      <c r="A352" s="8" t="s">
        <v>1196</v>
      </c>
      <c r="B352" s="4">
        <v>118.5</v>
      </c>
      <c r="C352" s="8">
        <v>80</v>
      </c>
      <c r="D352" s="8">
        <f>65-Table1[[#This Row],[MELTING]]</f>
        <v>-15</v>
      </c>
      <c r="E352" s="6">
        <v>86.4</v>
      </c>
      <c r="F352" s="69">
        <f t="shared" si="27"/>
        <v>8190.72</v>
      </c>
      <c r="G352" s="8"/>
    </row>
    <row r="353" spans="1:8" x14ac:dyDescent="0.45">
      <c r="A353" s="8" t="s">
        <v>1302</v>
      </c>
      <c r="B353" s="4">
        <v>104.25</v>
      </c>
      <c r="C353" s="8">
        <v>80.02</v>
      </c>
      <c r="D353" s="8">
        <f>65-Table1[[#This Row],[MELTING]]</f>
        <v>-15.019999999999996</v>
      </c>
      <c r="E353" s="6">
        <v>95</v>
      </c>
      <c r="F353" s="69">
        <f t="shared" ref="F353:F366" si="28">(((B353*C353)/100)*E353)</f>
        <v>7924.9807499999988</v>
      </c>
      <c r="G353" s="8"/>
    </row>
    <row r="354" spans="1:8" x14ac:dyDescent="0.45">
      <c r="A354" s="8" t="s">
        <v>1303</v>
      </c>
      <c r="B354" s="4">
        <v>117.05</v>
      </c>
      <c r="C354" s="8">
        <v>80.02</v>
      </c>
      <c r="D354" s="8">
        <f>65-Table1[[#This Row],[MELTING]]</f>
        <v>-15.019999999999996</v>
      </c>
      <c r="E354" s="6">
        <v>95</v>
      </c>
      <c r="F354" s="69">
        <f t="shared" si="28"/>
        <v>8898.0239499999989</v>
      </c>
      <c r="G354" s="8"/>
    </row>
    <row r="355" spans="1:8" x14ac:dyDescent="0.45">
      <c r="A355" s="8" t="s">
        <v>1304</v>
      </c>
      <c r="B355" s="4">
        <v>94.3</v>
      </c>
      <c r="C355" s="8">
        <v>80.02</v>
      </c>
      <c r="D355" s="8">
        <f>65-Table1[[#This Row],[MELTING]]</f>
        <v>-15.019999999999996</v>
      </c>
      <c r="E355" s="6">
        <v>95</v>
      </c>
      <c r="F355" s="69">
        <f t="shared" si="28"/>
        <v>7168.5916999999999</v>
      </c>
      <c r="G355" s="8"/>
    </row>
    <row r="356" spans="1:8" x14ac:dyDescent="0.45">
      <c r="A356" s="8" t="s">
        <v>1493</v>
      </c>
      <c r="B356" s="4">
        <v>97.3</v>
      </c>
      <c r="C356" s="8">
        <v>79.97</v>
      </c>
      <c r="D356" s="8">
        <f>65-Table1[[#This Row],[MELTING]]</f>
        <v>-14.969999999999999</v>
      </c>
      <c r="E356" s="6">
        <v>90</v>
      </c>
      <c r="F356" s="69">
        <f t="shared" si="28"/>
        <v>7002.9728999999988</v>
      </c>
      <c r="G356" s="8"/>
    </row>
    <row r="357" spans="1:8" x14ac:dyDescent="0.45">
      <c r="A357" s="8" t="s">
        <v>1494</v>
      </c>
      <c r="B357" s="4">
        <v>87.3</v>
      </c>
      <c r="C357" s="8">
        <v>79.97</v>
      </c>
      <c r="D357" s="8">
        <f>65-Table1[[#This Row],[MELTING]]</f>
        <v>-14.969999999999999</v>
      </c>
      <c r="E357" s="6">
        <v>90</v>
      </c>
      <c r="F357" s="69">
        <f t="shared" si="28"/>
        <v>6283.2428999999993</v>
      </c>
      <c r="G357" s="8"/>
    </row>
    <row r="358" spans="1:8" x14ac:dyDescent="0.45">
      <c r="A358" s="8" t="s">
        <v>1556</v>
      </c>
      <c r="B358" s="4">
        <v>63.85</v>
      </c>
      <c r="C358" s="8">
        <v>80</v>
      </c>
      <c r="D358" s="8">
        <f>65-Table1[[#This Row],[MELTING]]</f>
        <v>-15</v>
      </c>
      <c r="E358" s="6">
        <v>93.1</v>
      </c>
      <c r="F358" s="69">
        <f t="shared" si="28"/>
        <v>4755.5479999999998</v>
      </c>
      <c r="G358" s="8"/>
    </row>
    <row r="359" spans="1:8" x14ac:dyDescent="0.45">
      <c r="A359" s="8" t="s">
        <v>1557</v>
      </c>
      <c r="B359" s="4">
        <v>53.5</v>
      </c>
      <c r="C359" s="8">
        <v>80</v>
      </c>
      <c r="D359" s="8">
        <f>65-Table1[[#This Row],[MELTING]]</f>
        <v>-15</v>
      </c>
      <c r="E359" s="6">
        <v>93.1</v>
      </c>
      <c r="F359" s="69">
        <f t="shared" si="28"/>
        <v>3984.6799999999994</v>
      </c>
      <c r="G359" s="8"/>
    </row>
    <row r="360" spans="1:8" x14ac:dyDescent="0.45">
      <c r="A360" s="8" t="s">
        <v>1558</v>
      </c>
      <c r="B360" s="4">
        <v>77.3</v>
      </c>
      <c r="C360" s="8">
        <v>80</v>
      </c>
      <c r="D360" s="8">
        <f>65-Table1[[#This Row],[MELTING]]</f>
        <v>-15</v>
      </c>
      <c r="E360" s="6">
        <v>93.1</v>
      </c>
      <c r="F360" s="69">
        <f t="shared" si="28"/>
        <v>5757.3040000000001</v>
      </c>
      <c r="G360" s="8"/>
    </row>
    <row r="361" spans="1:8" x14ac:dyDescent="0.45">
      <c r="A361" s="8" t="s">
        <v>1559</v>
      </c>
      <c r="B361" s="4">
        <v>121.7</v>
      </c>
      <c r="C361" s="8">
        <v>80</v>
      </c>
      <c r="D361" s="8">
        <f>65-Table1[[#This Row],[MELTING]]</f>
        <v>-15</v>
      </c>
      <c r="E361" s="6">
        <v>93.1</v>
      </c>
      <c r="F361" s="69">
        <f t="shared" si="28"/>
        <v>9064.2159999999985</v>
      </c>
      <c r="G361" s="8"/>
      <c r="H361" s="105"/>
    </row>
    <row r="362" spans="1:8" x14ac:dyDescent="0.45">
      <c r="A362" s="8" t="s">
        <v>1560</v>
      </c>
      <c r="B362" s="4">
        <v>87.7</v>
      </c>
      <c r="C362" s="8">
        <v>80</v>
      </c>
      <c r="D362" s="8">
        <f>65-Table1[[#This Row],[MELTING]]</f>
        <v>-15</v>
      </c>
      <c r="E362" s="6">
        <v>93.1</v>
      </c>
      <c r="F362" s="69">
        <f t="shared" si="28"/>
        <v>6531.8959999999997</v>
      </c>
      <c r="G362" s="8"/>
    </row>
    <row r="363" spans="1:8" x14ac:dyDescent="0.45">
      <c r="A363" s="8" t="s">
        <v>1561</v>
      </c>
      <c r="B363" s="4">
        <v>83.1</v>
      </c>
      <c r="C363" s="8">
        <v>80</v>
      </c>
      <c r="D363" s="8">
        <f>65-Table1[[#This Row],[MELTING]]</f>
        <v>-15</v>
      </c>
      <c r="E363" s="6">
        <v>93.1</v>
      </c>
      <c r="F363" s="69">
        <f t="shared" si="28"/>
        <v>6189.2879999999996</v>
      </c>
      <c r="G363" s="8"/>
    </row>
    <row r="364" spans="1:8" x14ac:dyDescent="0.45">
      <c r="A364" s="8" t="s">
        <v>1562</v>
      </c>
      <c r="B364" s="4">
        <v>92.3</v>
      </c>
      <c r="C364" s="8">
        <v>80</v>
      </c>
      <c r="D364" s="8">
        <f>65-Table1[[#This Row],[MELTING]]</f>
        <v>-15</v>
      </c>
      <c r="E364" s="6">
        <v>93.1</v>
      </c>
      <c r="F364" s="69">
        <f t="shared" si="28"/>
        <v>6874.5039999999999</v>
      </c>
      <c r="G364" s="8"/>
    </row>
    <row r="365" spans="1:8" x14ac:dyDescent="0.45">
      <c r="A365" s="8" t="s">
        <v>1563</v>
      </c>
      <c r="B365" s="4">
        <v>114.2</v>
      </c>
      <c r="C365" s="8">
        <v>80</v>
      </c>
      <c r="D365" s="8">
        <f>65-Table1[[#This Row],[MELTING]]</f>
        <v>-15</v>
      </c>
      <c r="E365" s="6">
        <v>93.1</v>
      </c>
      <c r="F365" s="69">
        <f t="shared" si="28"/>
        <v>8505.616</v>
      </c>
      <c r="G365" s="8"/>
    </row>
    <row r="366" spans="1:8" x14ac:dyDescent="0.45">
      <c r="A366" s="8" t="s">
        <v>1564</v>
      </c>
      <c r="B366" s="4">
        <v>133.5</v>
      </c>
      <c r="C366" s="8">
        <v>80</v>
      </c>
      <c r="D366" s="8">
        <f>65-Table1[[#This Row],[MELTING]]</f>
        <v>-15</v>
      </c>
      <c r="E366" s="6">
        <v>93.1</v>
      </c>
      <c r="F366" s="69">
        <f t="shared" si="28"/>
        <v>9943.08</v>
      </c>
      <c r="G366" s="8"/>
      <c r="H366" s="98"/>
    </row>
    <row r="367" spans="1:8" x14ac:dyDescent="0.45">
      <c r="A367" s="8" t="s">
        <v>234</v>
      </c>
      <c r="B367" s="4">
        <v>48.38</v>
      </c>
      <c r="C367" s="8">
        <v>65</v>
      </c>
      <c r="D367" s="8">
        <f>-C367+55</f>
        <v>-10</v>
      </c>
      <c r="E367" s="6">
        <v>89</v>
      </c>
      <c r="F367" s="69">
        <f t="shared" si="26"/>
        <v>2798.7830000000004</v>
      </c>
      <c r="G367" s="8"/>
    </row>
    <row r="368" spans="1:8" x14ac:dyDescent="0.45">
      <c r="A368" s="8" t="s">
        <v>235</v>
      </c>
      <c r="B368" s="4">
        <v>43.14</v>
      </c>
      <c r="C368" s="8">
        <v>65</v>
      </c>
      <c r="D368" s="8">
        <f t="shared" ref="D368:D393" si="29">-C368+55</f>
        <v>-10</v>
      </c>
      <c r="E368" s="6">
        <v>89</v>
      </c>
      <c r="F368" s="69">
        <f t="shared" ref="F368:F411" si="30">(((B368*C368)/100)*E368)</f>
        <v>2495.6489999999999</v>
      </c>
      <c r="G368" s="8"/>
    </row>
    <row r="369" spans="1:7" x14ac:dyDescent="0.45">
      <c r="A369" s="8" t="s">
        <v>236</v>
      </c>
      <c r="B369" s="4">
        <v>38.369999999999997</v>
      </c>
      <c r="C369" s="8">
        <v>65</v>
      </c>
      <c r="D369" s="8">
        <f t="shared" si="29"/>
        <v>-10</v>
      </c>
      <c r="E369" s="6">
        <v>89</v>
      </c>
      <c r="F369" s="69">
        <f t="shared" si="30"/>
        <v>2219.7044999999998</v>
      </c>
      <c r="G369" s="8"/>
    </row>
    <row r="370" spans="1:7" x14ac:dyDescent="0.45">
      <c r="A370" s="8" t="s">
        <v>237</v>
      </c>
      <c r="B370" s="4">
        <v>40.409999999999997</v>
      </c>
      <c r="C370" s="8">
        <v>65</v>
      </c>
      <c r="D370" s="8">
        <f t="shared" si="29"/>
        <v>-10</v>
      </c>
      <c r="E370" s="6">
        <v>89</v>
      </c>
      <c r="F370" s="69">
        <f t="shared" si="30"/>
        <v>2337.7184999999999</v>
      </c>
      <c r="G370" s="8"/>
    </row>
    <row r="371" spans="1:7" x14ac:dyDescent="0.45">
      <c r="A371" s="8" t="s">
        <v>238</v>
      </c>
      <c r="B371" s="4">
        <v>39.96</v>
      </c>
      <c r="C371" s="8">
        <v>65</v>
      </c>
      <c r="D371" s="8">
        <f t="shared" si="29"/>
        <v>-10</v>
      </c>
      <c r="E371" s="6">
        <v>89</v>
      </c>
      <c r="F371" s="69">
        <f t="shared" si="30"/>
        <v>2311.6860000000001</v>
      </c>
      <c r="G371" s="8"/>
    </row>
    <row r="372" spans="1:7" x14ac:dyDescent="0.45">
      <c r="A372" s="8" t="s">
        <v>239</v>
      </c>
      <c r="B372" s="4">
        <v>25.95</v>
      </c>
      <c r="C372" s="8">
        <v>65</v>
      </c>
      <c r="D372" s="8">
        <f t="shared" si="29"/>
        <v>-10</v>
      </c>
      <c r="E372" s="6">
        <v>89</v>
      </c>
      <c r="F372" s="69">
        <f t="shared" si="30"/>
        <v>1501.2075</v>
      </c>
      <c r="G372" s="8"/>
    </row>
    <row r="373" spans="1:7" x14ac:dyDescent="0.45">
      <c r="A373" s="8" t="s">
        <v>240</v>
      </c>
      <c r="B373" s="4">
        <v>59.32</v>
      </c>
      <c r="C373" s="8">
        <v>65</v>
      </c>
      <c r="D373" s="8">
        <f t="shared" si="29"/>
        <v>-10</v>
      </c>
      <c r="E373" s="6">
        <v>89</v>
      </c>
      <c r="F373" s="69">
        <f t="shared" si="30"/>
        <v>3431.6619999999998</v>
      </c>
      <c r="G373" s="8"/>
    </row>
    <row r="374" spans="1:7" x14ac:dyDescent="0.45">
      <c r="A374" s="8" t="s">
        <v>241</v>
      </c>
      <c r="B374" s="4">
        <v>61.89</v>
      </c>
      <c r="C374" s="8">
        <v>65</v>
      </c>
      <c r="D374" s="8">
        <f t="shared" si="29"/>
        <v>-10</v>
      </c>
      <c r="E374" s="6">
        <v>89</v>
      </c>
      <c r="F374" s="69">
        <f t="shared" si="30"/>
        <v>3580.3364999999999</v>
      </c>
      <c r="G374" s="8"/>
    </row>
    <row r="375" spans="1:7" x14ac:dyDescent="0.45">
      <c r="A375" s="8" t="s">
        <v>242</v>
      </c>
      <c r="B375" s="4">
        <v>32.46</v>
      </c>
      <c r="C375" s="8">
        <v>65</v>
      </c>
      <c r="D375" s="8">
        <f t="shared" si="29"/>
        <v>-10</v>
      </c>
      <c r="E375" s="6">
        <v>89</v>
      </c>
      <c r="F375" s="69">
        <f t="shared" si="30"/>
        <v>1877.8109999999999</v>
      </c>
      <c r="G375" s="8"/>
    </row>
    <row r="376" spans="1:7" x14ac:dyDescent="0.45">
      <c r="A376" s="8" t="s">
        <v>243</v>
      </c>
      <c r="B376" s="4">
        <v>37.200000000000003</v>
      </c>
      <c r="C376" s="8">
        <v>65</v>
      </c>
      <c r="D376" s="8">
        <f t="shared" si="29"/>
        <v>-10</v>
      </c>
      <c r="E376" s="6">
        <v>89</v>
      </c>
      <c r="F376" s="69">
        <f t="shared" si="30"/>
        <v>2152.02</v>
      </c>
      <c r="G376" s="8"/>
    </row>
    <row r="377" spans="1:7" x14ac:dyDescent="0.45">
      <c r="A377" s="8" t="s">
        <v>244</v>
      </c>
      <c r="B377" s="4">
        <v>45.85</v>
      </c>
      <c r="C377" s="8">
        <v>65</v>
      </c>
      <c r="D377" s="8">
        <f t="shared" si="29"/>
        <v>-10</v>
      </c>
      <c r="E377" s="6">
        <v>89</v>
      </c>
      <c r="F377" s="69">
        <f t="shared" si="30"/>
        <v>2652.4224999999997</v>
      </c>
      <c r="G377" s="8"/>
    </row>
    <row r="378" spans="1:7" x14ac:dyDescent="0.45">
      <c r="A378" s="8" t="s">
        <v>245</v>
      </c>
      <c r="B378" s="4">
        <v>38.58</v>
      </c>
      <c r="C378" s="8">
        <v>65</v>
      </c>
      <c r="D378" s="8">
        <f t="shared" si="29"/>
        <v>-10</v>
      </c>
      <c r="E378" s="6">
        <v>89</v>
      </c>
      <c r="F378" s="69">
        <f t="shared" si="30"/>
        <v>2231.8530000000001</v>
      </c>
      <c r="G378" s="8"/>
    </row>
    <row r="379" spans="1:7" x14ac:dyDescent="0.45">
      <c r="A379" s="8" t="s">
        <v>246</v>
      </c>
      <c r="B379" s="4">
        <v>69.849999999999994</v>
      </c>
      <c r="C379" s="8">
        <v>65</v>
      </c>
      <c r="D379" s="8">
        <f t="shared" si="29"/>
        <v>-10</v>
      </c>
      <c r="E379" s="6">
        <v>89</v>
      </c>
      <c r="F379" s="69">
        <f t="shared" si="30"/>
        <v>4040.8225000000002</v>
      </c>
      <c r="G379" s="8"/>
    </row>
    <row r="380" spans="1:7" x14ac:dyDescent="0.45">
      <c r="A380" s="8" t="s">
        <v>247</v>
      </c>
      <c r="B380" s="4">
        <v>66.37</v>
      </c>
      <c r="C380" s="8">
        <v>65</v>
      </c>
      <c r="D380" s="8">
        <f t="shared" si="29"/>
        <v>-10</v>
      </c>
      <c r="E380" s="6">
        <v>89</v>
      </c>
      <c r="F380" s="69">
        <f t="shared" si="30"/>
        <v>3839.5045000000005</v>
      </c>
      <c r="G380" s="8"/>
    </row>
    <row r="381" spans="1:7" x14ac:dyDescent="0.45">
      <c r="A381" s="8" t="s">
        <v>248</v>
      </c>
      <c r="B381" s="4">
        <v>70.95</v>
      </c>
      <c r="C381" s="8">
        <v>65</v>
      </c>
      <c r="D381" s="8">
        <f t="shared" si="29"/>
        <v>-10</v>
      </c>
      <c r="E381" s="6">
        <v>89</v>
      </c>
      <c r="F381" s="69">
        <f t="shared" si="30"/>
        <v>4104.4574999999995</v>
      </c>
      <c r="G381" s="8"/>
    </row>
    <row r="382" spans="1:7" x14ac:dyDescent="0.45">
      <c r="A382" s="8" t="s">
        <v>249</v>
      </c>
      <c r="B382" s="4">
        <v>49.92</v>
      </c>
      <c r="C382" s="8">
        <v>65</v>
      </c>
      <c r="D382" s="8">
        <f t="shared" si="29"/>
        <v>-10</v>
      </c>
      <c r="E382" s="6">
        <v>89</v>
      </c>
      <c r="F382" s="69">
        <f t="shared" si="30"/>
        <v>2887.8719999999998</v>
      </c>
      <c r="G382" s="8"/>
    </row>
    <row r="383" spans="1:7" x14ac:dyDescent="0.45">
      <c r="A383" s="8" t="s">
        <v>250</v>
      </c>
      <c r="B383" s="4">
        <v>21.4</v>
      </c>
      <c r="C383" s="8">
        <v>65</v>
      </c>
      <c r="D383" s="8">
        <f t="shared" si="29"/>
        <v>-10</v>
      </c>
      <c r="E383" s="6">
        <v>89</v>
      </c>
      <c r="F383" s="69">
        <f t="shared" si="30"/>
        <v>1237.99</v>
      </c>
      <c r="G383" s="8"/>
    </row>
    <row r="384" spans="1:7" x14ac:dyDescent="0.45">
      <c r="A384" s="8" t="s">
        <v>251</v>
      </c>
      <c r="B384" s="4">
        <v>25.58</v>
      </c>
      <c r="C384" s="8">
        <v>65</v>
      </c>
      <c r="D384" s="8">
        <f t="shared" si="29"/>
        <v>-10</v>
      </c>
      <c r="E384" s="6">
        <v>89</v>
      </c>
      <c r="F384" s="69">
        <f t="shared" si="30"/>
        <v>1479.8029999999999</v>
      </c>
      <c r="G384" s="8"/>
    </row>
    <row r="385" spans="1:7" x14ac:dyDescent="0.45">
      <c r="A385" s="8" t="s">
        <v>252</v>
      </c>
      <c r="B385" s="4">
        <v>20.78</v>
      </c>
      <c r="C385" s="8">
        <v>65</v>
      </c>
      <c r="D385" s="8">
        <f t="shared" si="29"/>
        <v>-10</v>
      </c>
      <c r="E385" s="6">
        <v>89</v>
      </c>
      <c r="F385" s="69">
        <f t="shared" si="30"/>
        <v>1202.123</v>
      </c>
      <c r="G385" s="8"/>
    </row>
    <row r="386" spans="1:7" x14ac:dyDescent="0.45">
      <c r="A386" s="8" t="s">
        <v>253</v>
      </c>
      <c r="B386" s="4">
        <v>25.83</v>
      </c>
      <c r="C386" s="8">
        <v>65</v>
      </c>
      <c r="D386" s="8">
        <f t="shared" si="29"/>
        <v>-10</v>
      </c>
      <c r="E386" s="6">
        <v>89</v>
      </c>
      <c r="F386" s="69">
        <f t="shared" si="30"/>
        <v>1494.2654999999997</v>
      </c>
      <c r="G386" s="8"/>
    </row>
    <row r="387" spans="1:7" x14ac:dyDescent="0.45">
      <c r="A387" s="8" t="s">
        <v>254</v>
      </c>
      <c r="B387" s="4">
        <v>25.11</v>
      </c>
      <c r="C387" s="8">
        <v>65</v>
      </c>
      <c r="D387" s="8">
        <f t="shared" si="29"/>
        <v>-10</v>
      </c>
      <c r="E387" s="6">
        <v>89</v>
      </c>
      <c r="F387" s="69">
        <f t="shared" si="30"/>
        <v>1452.6134999999999</v>
      </c>
      <c r="G387" s="8"/>
    </row>
    <row r="388" spans="1:7" x14ac:dyDescent="0.45">
      <c r="A388" s="8" t="s">
        <v>255</v>
      </c>
      <c r="B388" s="4">
        <v>21.8</v>
      </c>
      <c r="C388" s="8">
        <v>65</v>
      </c>
      <c r="D388" s="8">
        <f t="shared" si="29"/>
        <v>-10</v>
      </c>
      <c r="E388" s="6">
        <v>89</v>
      </c>
      <c r="F388" s="69">
        <f t="shared" si="30"/>
        <v>1261.1299999999999</v>
      </c>
      <c r="G388" s="8"/>
    </row>
    <row r="389" spans="1:7" x14ac:dyDescent="0.45">
      <c r="A389" s="8" t="s">
        <v>256</v>
      </c>
      <c r="B389" s="4">
        <v>25</v>
      </c>
      <c r="C389" s="8">
        <v>65</v>
      </c>
      <c r="D389" s="8">
        <f t="shared" si="29"/>
        <v>-10</v>
      </c>
      <c r="E389" s="6">
        <v>89</v>
      </c>
      <c r="F389" s="69">
        <f t="shared" si="30"/>
        <v>1446.25</v>
      </c>
      <c r="G389" s="8"/>
    </row>
    <row r="390" spans="1:7" x14ac:dyDescent="0.45">
      <c r="A390" s="8" t="s">
        <v>257</v>
      </c>
      <c r="B390" s="4">
        <v>49.45</v>
      </c>
      <c r="C390" s="8">
        <v>65</v>
      </c>
      <c r="D390" s="8">
        <f t="shared" si="29"/>
        <v>-10</v>
      </c>
      <c r="E390" s="6">
        <v>89</v>
      </c>
      <c r="F390" s="69">
        <f t="shared" si="30"/>
        <v>2860.6824999999999</v>
      </c>
      <c r="G390" s="8"/>
    </row>
    <row r="391" spans="1:7" x14ac:dyDescent="0.45">
      <c r="A391" s="8" t="s">
        <v>258</v>
      </c>
      <c r="B391" s="4">
        <v>54.15</v>
      </c>
      <c r="C391" s="8">
        <v>65</v>
      </c>
      <c r="D391" s="8">
        <f t="shared" si="29"/>
        <v>-10</v>
      </c>
      <c r="E391" s="6">
        <v>89</v>
      </c>
      <c r="F391" s="69">
        <f t="shared" si="30"/>
        <v>3132.5774999999999</v>
      </c>
      <c r="G391" s="8"/>
    </row>
    <row r="392" spans="1:7" x14ac:dyDescent="0.45">
      <c r="A392" s="8" t="s">
        <v>259</v>
      </c>
      <c r="B392" s="4">
        <v>53.35</v>
      </c>
      <c r="C392" s="8">
        <v>65</v>
      </c>
      <c r="D392" s="8">
        <f>-C392+55</f>
        <v>-10</v>
      </c>
      <c r="E392" s="6">
        <v>89</v>
      </c>
      <c r="F392" s="69">
        <f>(((B392*C392)/100)*E392)</f>
        <v>3086.2975000000001</v>
      </c>
      <c r="G392" s="8"/>
    </row>
    <row r="393" spans="1:7" x14ac:dyDescent="0.45">
      <c r="A393" s="8" t="s">
        <v>260</v>
      </c>
      <c r="B393" s="4">
        <v>47.48</v>
      </c>
      <c r="C393" s="8">
        <v>65</v>
      </c>
      <c r="D393" s="8">
        <f t="shared" si="29"/>
        <v>-10</v>
      </c>
      <c r="E393" s="6">
        <v>89</v>
      </c>
      <c r="F393" s="69">
        <f t="shared" si="30"/>
        <v>2746.7179999999998</v>
      </c>
      <c r="G393" s="8"/>
    </row>
    <row r="394" spans="1:7" x14ac:dyDescent="0.45">
      <c r="A394" s="8" t="s">
        <v>261</v>
      </c>
      <c r="B394" s="4">
        <v>56.37</v>
      </c>
      <c r="C394" s="8">
        <v>65</v>
      </c>
      <c r="D394" s="8">
        <f>-C394+55</f>
        <v>-10</v>
      </c>
      <c r="E394" s="6">
        <v>89</v>
      </c>
      <c r="F394" s="69">
        <f>(((B394*C394)/100)*E394)</f>
        <v>3261.0044999999996</v>
      </c>
      <c r="G394" s="8"/>
    </row>
    <row r="395" spans="1:7" x14ac:dyDescent="0.45">
      <c r="A395" s="8" t="s">
        <v>262</v>
      </c>
      <c r="B395" s="4">
        <v>71.08</v>
      </c>
      <c r="C395" s="8">
        <v>82</v>
      </c>
      <c r="D395" s="8">
        <f>65-C395</f>
        <v>-17</v>
      </c>
      <c r="E395" s="6">
        <v>90</v>
      </c>
      <c r="F395" s="69">
        <f t="shared" si="30"/>
        <v>5245.7039999999997</v>
      </c>
      <c r="G395" s="8"/>
    </row>
    <row r="396" spans="1:7" x14ac:dyDescent="0.45">
      <c r="A396" s="8" t="s">
        <v>263</v>
      </c>
      <c r="B396" s="4">
        <v>70.7</v>
      </c>
      <c r="C396" s="8">
        <v>82</v>
      </c>
      <c r="D396" s="8">
        <f t="shared" ref="D396:D411" si="31">65-C396</f>
        <v>-17</v>
      </c>
      <c r="E396" s="6">
        <v>90</v>
      </c>
      <c r="F396" s="69">
        <f t="shared" si="30"/>
        <v>5217.6600000000008</v>
      </c>
      <c r="G396" s="8"/>
    </row>
    <row r="397" spans="1:7" x14ac:dyDescent="0.45">
      <c r="A397" s="8" t="s">
        <v>264</v>
      </c>
      <c r="B397" s="4">
        <v>31.6</v>
      </c>
      <c r="C397" s="8">
        <v>82</v>
      </c>
      <c r="D397" s="8">
        <f t="shared" si="31"/>
        <v>-17</v>
      </c>
      <c r="E397" s="6">
        <v>90</v>
      </c>
      <c r="F397" s="69">
        <f t="shared" si="30"/>
        <v>2332.0800000000004</v>
      </c>
      <c r="G397" s="8"/>
    </row>
    <row r="398" spans="1:7" x14ac:dyDescent="0.45">
      <c r="A398" s="8" t="s">
        <v>265</v>
      </c>
      <c r="B398" s="4">
        <v>36</v>
      </c>
      <c r="C398" s="8">
        <v>82</v>
      </c>
      <c r="D398" s="8">
        <f t="shared" si="31"/>
        <v>-17</v>
      </c>
      <c r="E398" s="6">
        <v>90</v>
      </c>
      <c r="F398" s="69">
        <f t="shared" si="30"/>
        <v>2656.8</v>
      </c>
      <c r="G398" s="8"/>
    </row>
    <row r="399" spans="1:7" x14ac:dyDescent="0.45">
      <c r="A399" s="8" t="s">
        <v>266</v>
      </c>
      <c r="B399" s="4">
        <v>49.8</v>
      </c>
      <c r="C399" s="8">
        <v>82</v>
      </c>
      <c r="D399" s="8">
        <f t="shared" si="31"/>
        <v>-17</v>
      </c>
      <c r="E399" s="6">
        <v>90</v>
      </c>
      <c r="F399" s="69">
        <f t="shared" si="30"/>
        <v>3675.24</v>
      </c>
      <c r="G399" s="8"/>
    </row>
    <row r="400" spans="1:7" x14ac:dyDescent="0.45">
      <c r="A400" s="8" t="s">
        <v>267</v>
      </c>
      <c r="B400" s="4">
        <v>49.2</v>
      </c>
      <c r="C400" s="8">
        <v>82</v>
      </c>
      <c r="D400" s="8">
        <f t="shared" si="31"/>
        <v>-17</v>
      </c>
      <c r="E400" s="6">
        <v>90</v>
      </c>
      <c r="F400" s="69">
        <f t="shared" si="30"/>
        <v>3630.96</v>
      </c>
      <c r="G400" s="8"/>
    </row>
    <row r="401" spans="1:7" x14ac:dyDescent="0.45">
      <c r="A401" s="8" t="s">
        <v>268</v>
      </c>
      <c r="B401" s="4">
        <v>44.3</v>
      </c>
      <c r="C401" s="8">
        <v>82</v>
      </c>
      <c r="D401" s="8">
        <f t="shared" si="31"/>
        <v>-17</v>
      </c>
      <c r="E401" s="6">
        <v>90</v>
      </c>
      <c r="F401" s="69">
        <f t="shared" si="30"/>
        <v>3269.34</v>
      </c>
      <c r="G401" s="8"/>
    </row>
    <row r="402" spans="1:7" x14ac:dyDescent="0.45">
      <c r="A402" s="8" t="s">
        <v>269</v>
      </c>
      <c r="B402" s="4">
        <v>32.700000000000003</v>
      </c>
      <c r="C402" s="8">
        <v>82</v>
      </c>
      <c r="D402" s="8">
        <f t="shared" si="31"/>
        <v>-17</v>
      </c>
      <c r="E402" s="6">
        <v>90</v>
      </c>
      <c r="F402" s="69">
        <f t="shared" si="30"/>
        <v>2413.2600000000002</v>
      </c>
      <c r="G402" s="8"/>
    </row>
    <row r="403" spans="1:7" x14ac:dyDescent="0.45">
      <c r="A403" s="8" t="s">
        <v>270</v>
      </c>
      <c r="B403" s="4">
        <v>39.5</v>
      </c>
      <c r="C403" s="8">
        <v>82</v>
      </c>
      <c r="D403" s="8">
        <f t="shared" si="31"/>
        <v>-17</v>
      </c>
      <c r="E403" s="6">
        <v>90</v>
      </c>
      <c r="F403" s="69">
        <f t="shared" si="30"/>
        <v>2915.1</v>
      </c>
      <c r="G403" s="8"/>
    </row>
    <row r="404" spans="1:7" x14ac:dyDescent="0.45">
      <c r="A404" s="8" t="s">
        <v>271</v>
      </c>
      <c r="B404" s="4">
        <v>36.700000000000003</v>
      </c>
      <c r="C404" s="8">
        <v>82</v>
      </c>
      <c r="D404" s="8">
        <f t="shared" si="31"/>
        <v>-17</v>
      </c>
      <c r="E404" s="6">
        <v>90</v>
      </c>
      <c r="F404" s="69">
        <f t="shared" si="30"/>
        <v>2708.46</v>
      </c>
      <c r="G404" s="8"/>
    </row>
    <row r="405" spans="1:7" x14ac:dyDescent="0.45">
      <c r="A405" s="8" t="s">
        <v>272</v>
      </c>
      <c r="B405" s="4">
        <v>39.200000000000003</v>
      </c>
      <c r="C405" s="8">
        <v>82</v>
      </c>
      <c r="D405" s="8">
        <f t="shared" si="31"/>
        <v>-17</v>
      </c>
      <c r="E405" s="6">
        <v>90</v>
      </c>
      <c r="F405" s="69">
        <f t="shared" si="30"/>
        <v>2892.96</v>
      </c>
      <c r="G405" s="8"/>
    </row>
    <row r="406" spans="1:7" x14ac:dyDescent="0.45">
      <c r="A406" s="8" t="s">
        <v>273</v>
      </c>
      <c r="B406" s="4">
        <v>25.75</v>
      </c>
      <c r="C406" s="8">
        <v>82</v>
      </c>
      <c r="D406" s="8">
        <f t="shared" si="31"/>
        <v>-17</v>
      </c>
      <c r="E406" s="6">
        <v>90</v>
      </c>
      <c r="F406" s="69">
        <f t="shared" si="30"/>
        <v>1900.35</v>
      </c>
      <c r="G406" s="8"/>
    </row>
    <row r="407" spans="1:7" x14ac:dyDescent="0.45">
      <c r="A407" s="8" t="s">
        <v>274</v>
      </c>
      <c r="B407" s="4">
        <v>31.7</v>
      </c>
      <c r="C407" s="8">
        <v>82</v>
      </c>
      <c r="D407" s="8">
        <f t="shared" si="31"/>
        <v>-17</v>
      </c>
      <c r="E407" s="6">
        <v>90</v>
      </c>
      <c r="F407" s="69">
        <f t="shared" si="30"/>
        <v>2339.46</v>
      </c>
      <c r="G407" s="8"/>
    </row>
    <row r="408" spans="1:7" x14ac:dyDescent="0.45">
      <c r="A408" s="8" t="s">
        <v>275</v>
      </c>
      <c r="B408" s="4">
        <v>34</v>
      </c>
      <c r="C408" s="8">
        <v>82</v>
      </c>
      <c r="D408" s="8">
        <f t="shared" si="31"/>
        <v>-17</v>
      </c>
      <c r="E408" s="6">
        <v>90</v>
      </c>
      <c r="F408" s="69">
        <f t="shared" si="30"/>
        <v>2509.1999999999998</v>
      </c>
      <c r="G408" s="8"/>
    </row>
    <row r="409" spans="1:7" x14ac:dyDescent="0.45">
      <c r="A409" s="8" t="s">
        <v>276</v>
      </c>
      <c r="B409" s="4">
        <v>40</v>
      </c>
      <c r="C409" s="8">
        <v>82</v>
      </c>
      <c r="D409" s="8">
        <f t="shared" si="31"/>
        <v>-17</v>
      </c>
      <c r="E409" s="6">
        <v>90</v>
      </c>
      <c r="F409" s="69">
        <f t="shared" si="30"/>
        <v>2951.9999999999995</v>
      </c>
      <c r="G409" s="8"/>
    </row>
    <row r="410" spans="1:7" x14ac:dyDescent="0.45">
      <c r="A410" s="8" t="s">
        <v>277</v>
      </c>
      <c r="B410" s="4">
        <v>24.86</v>
      </c>
      <c r="C410" s="8">
        <v>82</v>
      </c>
      <c r="D410" s="8">
        <f t="shared" si="31"/>
        <v>-17</v>
      </c>
      <c r="E410" s="6">
        <v>92</v>
      </c>
      <c r="F410" s="69">
        <f t="shared" si="30"/>
        <v>1875.4384</v>
      </c>
      <c r="G410" s="8"/>
    </row>
    <row r="411" spans="1:7" x14ac:dyDescent="0.45">
      <c r="A411" s="8" t="s">
        <v>278</v>
      </c>
      <c r="B411" s="4">
        <v>20.65</v>
      </c>
      <c r="C411" s="8">
        <v>82</v>
      </c>
      <c r="D411" s="8">
        <f t="shared" si="31"/>
        <v>-17</v>
      </c>
      <c r="E411" s="6">
        <v>92</v>
      </c>
      <c r="F411" s="69">
        <f t="shared" si="30"/>
        <v>1557.836</v>
      </c>
      <c r="G411" s="8"/>
    </row>
    <row r="412" spans="1:7" x14ac:dyDescent="0.45">
      <c r="A412" s="10" t="s">
        <v>279</v>
      </c>
      <c r="B412" s="9">
        <v>27.2</v>
      </c>
      <c r="C412" s="10">
        <v>82</v>
      </c>
      <c r="D412" s="10">
        <v>-17</v>
      </c>
      <c r="E412" s="11">
        <v>92</v>
      </c>
      <c r="F412" s="301">
        <v>2051.9699999999998</v>
      </c>
      <c r="G412" s="8"/>
    </row>
    <row r="413" spans="1:7" x14ac:dyDescent="0.45">
      <c r="A413" s="8" t="s">
        <v>280</v>
      </c>
      <c r="B413" s="4">
        <v>19.7</v>
      </c>
      <c r="C413" s="8">
        <v>82</v>
      </c>
      <c r="D413" s="8">
        <v>17</v>
      </c>
      <c r="E413" s="8">
        <v>86.14</v>
      </c>
      <c r="F413" s="69">
        <f t="shared" ref="F413:F462" si="32">(((B413*C413)/100)*E413)</f>
        <v>1391.5055600000001</v>
      </c>
      <c r="G413" s="8"/>
    </row>
    <row r="414" spans="1:7" x14ac:dyDescent="0.45">
      <c r="A414" s="8" t="s">
        <v>281</v>
      </c>
      <c r="B414" s="4">
        <v>32.9</v>
      </c>
      <c r="C414" s="8">
        <v>82</v>
      </c>
      <c r="D414" s="8">
        <v>17</v>
      </c>
      <c r="E414" s="8">
        <v>86.14</v>
      </c>
      <c r="F414" s="69">
        <f t="shared" si="32"/>
        <v>2323.88492</v>
      </c>
      <c r="G414" s="8"/>
    </row>
    <row r="415" spans="1:7" x14ac:dyDescent="0.45">
      <c r="A415" s="8" t="s">
        <v>899</v>
      </c>
      <c r="B415" s="4">
        <v>47</v>
      </c>
      <c r="C415" s="8">
        <v>79.53</v>
      </c>
      <c r="D415" s="8">
        <f>63-Table1[[#This Row],[MELTING]]</f>
        <v>-16.53</v>
      </c>
      <c r="E415" s="8">
        <v>84.5</v>
      </c>
      <c r="F415" s="69">
        <f t="shared" si="32"/>
        <v>3158.53395</v>
      </c>
      <c r="G415" s="8"/>
    </row>
    <row r="416" spans="1:7" x14ac:dyDescent="0.45">
      <c r="A416" s="8" t="s">
        <v>900</v>
      </c>
      <c r="B416" s="4">
        <v>49</v>
      </c>
      <c r="C416" s="8">
        <v>79.53</v>
      </c>
      <c r="D416" s="8">
        <f>63-Table1[[#This Row],[MELTING]]</f>
        <v>-16.53</v>
      </c>
      <c r="E416" s="8">
        <v>84.5</v>
      </c>
      <c r="F416" s="69">
        <f t="shared" si="32"/>
        <v>3292.9396500000003</v>
      </c>
      <c r="G416" s="8"/>
    </row>
    <row r="417" spans="1:8" x14ac:dyDescent="0.45">
      <c r="A417" s="8" t="s">
        <v>901</v>
      </c>
      <c r="B417" s="4">
        <v>48.1</v>
      </c>
      <c r="C417" s="8">
        <v>79.53</v>
      </c>
      <c r="D417" s="8">
        <f>63-Table1[[#This Row],[MELTING]]</f>
        <v>-16.53</v>
      </c>
      <c r="E417" s="8">
        <v>84.5</v>
      </c>
      <c r="F417" s="69">
        <f t="shared" si="32"/>
        <v>3232.4570849999996</v>
      </c>
      <c r="G417" s="8"/>
    </row>
    <row r="418" spans="1:8" x14ac:dyDescent="0.45">
      <c r="A418" s="8" t="s">
        <v>902</v>
      </c>
      <c r="B418" s="4">
        <v>42.5</v>
      </c>
      <c r="C418" s="8">
        <v>79.53</v>
      </c>
      <c r="D418" s="8">
        <f>63-Table1[[#This Row],[MELTING]]</f>
        <v>-16.53</v>
      </c>
      <c r="E418" s="8">
        <v>84.5</v>
      </c>
      <c r="F418" s="69">
        <f t="shared" si="32"/>
        <v>2856.1211249999997</v>
      </c>
      <c r="G418" s="8"/>
    </row>
    <row r="419" spans="1:8" x14ac:dyDescent="0.45">
      <c r="A419" s="8" t="s">
        <v>927</v>
      </c>
      <c r="B419" s="4">
        <v>37.1</v>
      </c>
      <c r="C419" s="8">
        <v>80</v>
      </c>
      <c r="D419" s="8">
        <f>65-Table1[[#This Row],[MELTING]]</f>
        <v>-15</v>
      </c>
      <c r="E419" s="8">
        <v>85</v>
      </c>
      <c r="F419" s="69">
        <f t="shared" ref="F419:F428" si="33">(((B419*C419)/100)*E419)</f>
        <v>2522.8000000000002</v>
      </c>
      <c r="G419" s="8"/>
    </row>
    <row r="420" spans="1:8" x14ac:dyDescent="0.45">
      <c r="A420" s="8" t="s">
        <v>992</v>
      </c>
      <c r="B420" s="4">
        <v>46.07</v>
      </c>
      <c r="C420" s="8">
        <v>74.03</v>
      </c>
      <c r="D420" s="8">
        <f>60-Table1[[#This Row],[MELTING]]</f>
        <v>-14.030000000000001</v>
      </c>
      <c r="E420" s="8">
        <v>90</v>
      </c>
      <c r="F420" s="69">
        <f t="shared" si="33"/>
        <v>3069.5058899999999</v>
      </c>
      <c r="G420" s="8"/>
    </row>
    <row r="421" spans="1:8" x14ac:dyDescent="0.45">
      <c r="A421" s="8" t="s">
        <v>993</v>
      </c>
      <c r="B421" s="4">
        <v>48.6</v>
      </c>
      <c r="C421" s="8">
        <v>74.03</v>
      </c>
      <c r="D421" s="8">
        <f>60-Table1[[#This Row],[MELTING]]</f>
        <v>-14.030000000000001</v>
      </c>
      <c r="E421" s="8">
        <v>90</v>
      </c>
      <c r="F421" s="69">
        <f t="shared" si="33"/>
        <v>3238.0722000000001</v>
      </c>
      <c r="G421" s="8"/>
    </row>
    <row r="422" spans="1:8" x14ac:dyDescent="0.45">
      <c r="A422" s="8" t="s">
        <v>994</v>
      </c>
      <c r="B422" s="4">
        <v>50.9</v>
      </c>
      <c r="C422" s="8">
        <v>74.03</v>
      </c>
      <c r="D422" s="8">
        <f>60-Table1[[#This Row],[MELTING]]</f>
        <v>-14.030000000000001</v>
      </c>
      <c r="E422" s="8">
        <v>90</v>
      </c>
      <c r="F422" s="69">
        <f t="shared" si="33"/>
        <v>3391.3143</v>
      </c>
      <c r="G422" s="8"/>
    </row>
    <row r="423" spans="1:8" x14ac:dyDescent="0.45">
      <c r="A423" s="8" t="s">
        <v>995</v>
      </c>
      <c r="B423" s="4">
        <v>53.3</v>
      </c>
      <c r="C423" s="8">
        <v>74.03</v>
      </c>
      <c r="D423" s="8">
        <f>60-Table1[[#This Row],[MELTING]]</f>
        <v>-14.030000000000001</v>
      </c>
      <c r="E423" s="8">
        <v>90</v>
      </c>
      <c r="F423" s="69">
        <f t="shared" si="33"/>
        <v>3551.2191000000003</v>
      </c>
      <c r="G423" s="8"/>
    </row>
    <row r="424" spans="1:8" x14ac:dyDescent="0.45">
      <c r="A424" s="8" t="s">
        <v>996</v>
      </c>
      <c r="B424" s="4">
        <v>52.05</v>
      </c>
      <c r="C424" s="8">
        <v>74.03</v>
      </c>
      <c r="D424" s="8">
        <f>60-Table1[[#This Row],[MELTING]]</f>
        <v>-14.030000000000001</v>
      </c>
      <c r="E424" s="8">
        <v>90</v>
      </c>
      <c r="F424" s="69">
        <f t="shared" si="33"/>
        <v>3467.9353500000002</v>
      </c>
      <c r="G424" s="8"/>
    </row>
    <row r="425" spans="1:8" x14ac:dyDescent="0.45">
      <c r="A425" s="8" t="s">
        <v>997</v>
      </c>
      <c r="B425" s="4">
        <v>53.4</v>
      </c>
      <c r="C425" s="8">
        <v>74.03</v>
      </c>
      <c r="D425" s="8">
        <f>60-Table1[[#This Row],[MELTING]]</f>
        <v>-14.030000000000001</v>
      </c>
      <c r="E425" s="8">
        <v>90</v>
      </c>
      <c r="F425" s="69">
        <f t="shared" si="33"/>
        <v>3557.8817999999997</v>
      </c>
      <c r="G425" s="8"/>
    </row>
    <row r="426" spans="1:8" x14ac:dyDescent="0.45">
      <c r="A426" s="8" t="s">
        <v>998</v>
      </c>
      <c r="B426" s="4">
        <v>43.75</v>
      </c>
      <c r="C426" s="8">
        <v>74.03</v>
      </c>
      <c r="D426" s="8">
        <f>60-Table1[[#This Row],[MELTING]]</f>
        <v>-14.030000000000001</v>
      </c>
      <c r="E426" s="8">
        <v>90</v>
      </c>
      <c r="F426" s="69">
        <f t="shared" si="33"/>
        <v>2914.9312500000001</v>
      </c>
      <c r="G426" s="8"/>
    </row>
    <row r="427" spans="1:8" x14ac:dyDescent="0.45">
      <c r="A427" s="8" t="s">
        <v>999</v>
      </c>
      <c r="B427" s="4">
        <v>37.65</v>
      </c>
      <c r="C427" s="8">
        <v>74.03</v>
      </c>
      <c r="D427" s="8">
        <f>60-Table1[[#This Row],[MELTING]]</f>
        <v>-14.030000000000001</v>
      </c>
      <c r="E427" s="8">
        <v>90</v>
      </c>
      <c r="F427" s="69">
        <f t="shared" si="33"/>
        <v>2508.5065499999996</v>
      </c>
      <c r="G427" s="8"/>
    </row>
    <row r="428" spans="1:8" x14ac:dyDescent="0.45">
      <c r="A428" s="8" t="s">
        <v>1000</v>
      </c>
      <c r="B428" s="4">
        <v>37</v>
      </c>
      <c r="C428" s="8">
        <v>74.03</v>
      </c>
      <c r="D428" s="8">
        <f>60-Table1[[#This Row],[MELTING]]</f>
        <v>-14.030000000000001</v>
      </c>
      <c r="E428" s="8">
        <v>90</v>
      </c>
      <c r="F428" s="69">
        <f t="shared" si="33"/>
        <v>2465.1990000000001</v>
      </c>
      <c r="G428" s="8"/>
      <c r="H428" s="98"/>
    </row>
    <row r="429" spans="1:8" x14ac:dyDescent="0.45">
      <c r="A429" s="8" t="s">
        <v>1164</v>
      </c>
      <c r="B429" s="4">
        <v>33.4</v>
      </c>
      <c r="C429" s="8">
        <v>74.03</v>
      </c>
      <c r="D429" s="8">
        <f>60-Table1[[#This Row],[MELTING]]</f>
        <v>-14.030000000000001</v>
      </c>
      <c r="E429" s="8">
        <v>90</v>
      </c>
      <c r="F429" s="69">
        <f t="shared" ref="F429:F447" si="34">(((B429*C429)/100)*E429)</f>
        <v>2225.3417999999997</v>
      </c>
      <c r="G429" s="8"/>
      <c r="H429" s="98"/>
    </row>
    <row r="430" spans="1:8" x14ac:dyDescent="0.45">
      <c r="A430" s="8" t="s">
        <v>1165</v>
      </c>
      <c r="B430" s="4">
        <v>24.8</v>
      </c>
      <c r="C430" s="8">
        <v>79</v>
      </c>
      <c r="D430" s="8">
        <f>65-Table1[[#This Row],[MELTING]]</f>
        <v>-14</v>
      </c>
      <c r="E430" s="8">
        <v>86.4</v>
      </c>
      <c r="F430" s="69">
        <f>(((B430*C430)/100)*E430)</f>
        <v>1692.7488000000001</v>
      </c>
      <c r="G430" s="8"/>
      <c r="H430" s="98"/>
    </row>
    <row r="431" spans="1:8" x14ac:dyDescent="0.45">
      <c r="A431" s="8" t="s">
        <v>1166</v>
      </c>
      <c r="B431" s="4">
        <v>19.600000000000001</v>
      </c>
      <c r="C431" s="8">
        <v>79</v>
      </c>
      <c r="D431" s="8">
        <f>65-Table1[[#This Row],[MELTING]]</f>
        <v>-14</v>
      </c>
      <c r="E431" s="8">
        <v>86.4</v>
      </c>
      <c r="F431" s="69">
        <f t="shared" si="34"/>
        <v>1337.8176000000003</v>
      </c>
      <c r="G431" s="8"/>
      <c r="H431" s="98"/>
    </row>
    <row r="432" spans="1:8" x14ac:dyDescent="0.45">
      <c r="A432" s="8" t="s">
        <v>1167</v>
      </c>
      <c r="B432" s="4">
        <v>30.15</v>
      </c>
      <c r="C432" s="8">
        <v>79</v>
      </c>
      <c r="D432" s="8">
        <f>65-Table1[[#This Row],[MELTING]]</f>
        <v>-14</v>
      </c>
      <c r="E432" s="8">
        <v>86.4</v>
      </c>
      <c r="F432" s="69">
        <f t="shared" si="34"/>
        <v>2057.9184</v>
      </c>
      <c r="G432" s="8"/>
      <c r="H432" s="98"/>
    </row>
    <row r="433" spans="1:8" x14ac:dyDescent="0.45">
      <c r="A433" s="8" t="s">
        <v>1168</v>
      </c>
      <c r="B433" s="4">
        <v>34.200000000000003</v>
      </c>
      <c r="C433" s="8">
        <v>79</v>
      </c>
      <c r="D433" s="8">
        <f>65-Table1[[#This Row],[MELTING]]</f>
        <v>-14</v>
      </c>
      <c r="E433" s="8">
        <v>86.4</v>
      </c>
      <c r="F433" s="69">
        <f t="shared" si="34"/>
        <v>2334.3552000000004</v>
      </c>
      <c r="G433" s="8"/>
      <c r="H433" s="98"/>
    </row>
    <row r="434" spans="1:8" x14ac:dyDescent="0.45">
      <c r="A434" s="8" t="s">
        <v>1169</v>
      </c>
      <c r="B434" s="4">
        <v>31.6</v>
      </c>
      <c r="C434" s="8">
        <v>79</v>
      </c>
      <c r="D434" s="8">
        <f>65-Table1[[#This Row],[MELTING]]</f>
        <v>-14</v>
      </c>
      <c r="E434" s="8">
        <v>86.4</v>
      </c>
      <c r="F434" s="69">
        <f t="shared" si="34"/>
        <v>2156.8896000000004</v>
      </c>
      <c r="G434" s="8"/>
      <c r="H434" s="98"/>
    </row>
    <row r="435" spans="1:8" x14ac:dyDescent="0.45">
      <c r="A435" s="8" t="s">
        <v>1170</v>
      </c>
      <c r="B435" s="4">
        <v>40.1</v>
      </c>
      <c r="C435" s="8">
        <v>79</v>
      </c>
      <c r="D435" s="8">
        <f>65-Table1[[#This Row],[MELTING]]</f>
        <v>-14</v>
      </c>
      <c r="E435" s="8">
        <v>86.4</v>
      </c>
      <c r="F435" s="69">
        <f t="shared" si="34"/>
        <v>2737.0656000000004</v>
      </c>
      <c r="G435" s="8"/>
      <c r="H435" s="98"/>
    </row>
    <row r="436" spans="1:8" x14ac:dyDescent="0.45">
      <c r="A436" s="8" t="s">
        <v>1171</v>
      </c>
      <c r="B436" s="4">
        <v>33.6</v>
      </c>
      <c r="C436" s="8">
        <v>79</v>
      </c>
      <c r="D436" s="8">
        <f>65-Table1[[#This Row],[MELTING]]</f>
        <v>-14</v>
      </c>
      <c r="E436" s="8">
        <v>86.4</v>
      </c>
      <c r="F436" s="69">
        <f t="shared" si="34"/>
        <v>2293.4016000000001</v>
      </c>
      <c r="G436" s="8"/>
      <c r="H436" s="98"/>
    </row>
    <row r="437" spans="1:8" x14ac:dyDescent="0.45">
      <c r="A437" s="8" t="s">
        <v>1172</v>
      </c>
      <c r="B437" s="4">
        <v>39.450000000000003</v>
      </c>
      <c r="C437" s="8">
        <v>79</v>
      </c>
      <c r="D437" s="8">
        <f>65-Table1[[#This Row],[MELTING]]</f>
        <v>-14</v>
      </c>
      <c r="E437" s="8">
        <v>86.4</v>
      </c>
      <c r="F437" s="69">
        <f t="shared" si="34"/>
        <v>2692.6992000000005</v>
      </c>
      <c r="G437" s="8"/>
      <c r="H437" s="98"/>
    </row>
    <row r="438" spans="1:8" x14ac:dyDescent="0.45">
      <c r="A438" s="8" t="s">
        <v>1173</v>
      </c>
      <c r="B438" s="4">
        <v>35.6</v>
      </c>
      <c r="C438" s="8">
        <v>79</v>
      </c>
      <c r="D438" s="8">
        <f>65-Table1[[#This Row],[MELTING]]</f>
        <v>-14</v>
      </c>
      <c r="E438" s="8">
        <v>86.4</v>
      </c>
      <c r="F438" s="69">
        <f t="shared" si="34"/>
        <v>2429.9136000000003</v>
      </c>
      <c r="G438" s="8"/>
      <c r="H438" s="98"/>
    </row>
    <row r="439" spans="1:8" x14ac:dyDescent="0.45">
      <c r="A439" s="8" t="s">
        <v>1174</v>
      </c>
      <c r="B439" s="4">
        <v>33.1</v>
      </c>
      <c r="C439" s="8">
        <v>79</v>
      </c>
      <c r="D439" s="8">
        <f>65-Table1[[#This Row],[MELTING]]</f>
        <v>-14</v>
      </c>
      <c r="E439" s="8">
        <v>86.4</v>
      </c>
      <c r="F439" s="69">
        <f t="shared" si="34"/>
        <v>2259.2736000000004</v>
      </c>
      <c r="G439" s="8"/>
      <c r="H439" s="98"/>
    </row>
    <row r="440" spans="1:8" x14ac:dyDescent="0.45">
      <c r="A440" s="8" t="s">
        <v>1175</v>
      </c>
      <c r="B440" s="4">
        <v>35.1</v>
      </c>
      <c r="C440" s="8">
        <v>79</v>
      </c>
      <c r="D440" s="8">
        <f>65-Table1[[#This Row],[MELTING]]</f>
        <v>-14</v>
      </c>
      <c r="E440" s="8">
        <v>86.4</v>
      </c>
      <c r="F440" s="69">
        <f t="shared" si="34"/>
        <v>2395.7856000000002</v>
      </c>
      <c r="G440" s="8"/>
      <c r="H440" s="98"/>
    </row>
    <row r="441" spans="1:8" x14ac:dyDescent="0.45">
      <c r="A441" s="8" t="s">
        <v>1176</v>
      </c>
      <c r="B441" s="4">
        <v>41.2</v>
      </c>
      <c r="C441" s="8">
        <v>79</v>
      </c>
      <c r="D441" s="8">
        <f>65-Table1[[#This Row],[MELTING]]</f>
        <v>-14</v>
      </c>
      <c r="E441" s="8">
        <v>86.4</v>
      </c>
      <c r="F441" s="69">
        <f t="shared" si="34"/>
        <v>2812.1472000000003</v>
      </c>
      <c r="G441" s="8"/>
      <c r="H441" s="98"/>
    </row>
    <row r="442" spans="1:8" x14ac:dyDescent="0.45">
      <c r="A442" s="8" t="s">
        <v>1177</v>
      </c>
      <c r="B442" s="4">
        <v>36.5</v>
      </c>
      <c r="C442" s="8">
        <v>79</v>
      </c>
      <c r="D442" s="8">
        <f>65-Table1[[#This Row],[MELTING]]</f>
        <v>-14</v>
      </c>
      <c r="E442" s="8">
        <v>86.4</v>
      </c>
      <c r="F442" s="69">
        <f t="shared" si="34"/>
        <v>2491.3440000000001</v>
      </c>
      <c r="G442" s="8"/>
      <c r="H442" s="98"/>
    </row>
    <row r="443" spans="1:8" x14ac:dyDescent="0.45">
      <c r="A443" s="8" t="s">
        <v>1178</v>
      </c>
      <c r="B443" s="4">
        <v>20.5</v>
      </c>
      <c r="C443" s="8">
        <v>79</v>
      </c>
      <c r="D443" s="8">
        <f>65-Table1[[#This Row],[MELTING]]</f>
        <v>-14</v>
      </c>
      <c r="E443" s="8">
        <v>86.4</v>
      </c>
      <c r="F443" s="69">
        <f t="shared" si="34"/>
        <v>1399.248</v>
      </c>
      <c r="G443" s="8"/>
      <c r="H443" s="98"/>
    </row>
    <row r="444" spans="1:8" x14ac:dyDescent="0.45">
      <c r="A444" s="8" t="s">
        <v>1179</v>
      </c>
      <c r="B444" s="4">
        <v>116.35</v>
      </c>
      <c r="C444" s="8">
        <v>79</v>
      </c>
      <c r="D444" s="8">
        <f>65-Table1[[#This Row],[MELTING]]</f>
        <v>-14</v>
      </c>
      <c r="E444" s="8">
        <v>86.4</v>
      </c>
      <c r="F444" s="69">
        <f t="shared" si="34"/>
        <v>7941.5856000000003</v>
      </c>
      <c r="G444" s="8"/>
      <c r="H444" s="98"/>
    </row>
    <row r="445" spans="1:8" x14ac:dyDescent="0.45">
      <c r="A445" s="8" t="s">
        <v>1180</v>
      </c>
      <c r="B445" s="4">
        <v>190</v>
      </c>
      <c r="C445" s="8">
        <v>79</v>
      </c>
      <c r="D445" s="8">
        <f>65-Table1[[#This Row],[MELTING]]</f>
        <v>-14</v>
      </c>
      <c r="E445" s="8">
        <v>86.4</v>
      </c>
      <c r="F445" s="69">
        <f t="shared" si="34"/>
        <v>12968.640000000001</v>
      </c>
      <c r="G445" s="8"/>
      <c r="H445" s="98"/>
    </row>
    <row r="446" spans="1:8" x14ac:dyDescent="0.45">
      <c r="A446" s="8" t="s">
        <v>1181</v>
      </c>
      <c r="B446" s="4">
        <v>132.75</v>
      </c>
      <c r="C446" s="8">
        <v>79</v>
      </c>
      <c r="D446" s="8">
        <f>65-Table1[[#This Row],[MELTING]]</f>
        <v>-14</v>
      </c>
      <c r="E446" s="8">
        <v>86.4</v>
      </c>
      <c r="F446" s="69">
        <f t="shared" si="34"/>
        <v>9060.9840000000004</v>
      </c>
      <c r="G446" s="8"/>
      <c r="H446" s="98"/>
    </row>
    <row r="447" spans="1:8" x14ac:dyDescent="0.45">
      <c r="A447" s="8" t="s">
        <v>1182</v>
      </c>
      <c r="B447" s="4">
        <v>40.700000000000003</v>
      </c>
      <c r="C447" s="8">
        <v>79</v>
      </c>
      <c r="D447" s="8">
        <f>65-Table1[[#This Row],[MELTING]]</f>
        <v>-14</v>
      </c>
      <c r="E447" s="8">
        <v>86.4</v>
      </c>
      <c r="F447" s="69">
        <f t="shared" si="34"/>
        <v>2778.0192000000002</v>
      </c>
      <c r="G447" s="8"/>
      <c r="H447" s="98"/>
    </row>
    <row r="448" spans="1:8" x14ac:dyDescent="0.45">
      <c r="A448" s="8" t="s">
        <v>1305</v>
      </c>
      <c r="B448" s="4">
        <v>22.65</v>
      </c>
      <c r="C448" s="8">
        <v>80.02</v>
      </c>
      <c r="D448" s="8">
        <f>65-Table1[[#This Row],[MELTING]]</f>
        <v>-15.019999999999996</v>
      </c>
      <c r="E448" s="8">
        <v>95</v>
      </c>
      <c r="F448" s="69">
        <f t="shared" ref="F448:F454" si="35">(((B448*C448)/100)*E448)</f>
        <v>1721.8303499999997</v>
      </c>
      <c r="G448" s="8"/>
      <c r="H448" s="98"/>
    </row>
    <row r="449" spans="1:8" x14ac:dyDescent="0.45">
      <c r="A449" s="8" t="s">
        <v>1306</v>
      </c>
      <c r="B449" s="4">
        <v>19.3</v>
      </c>
      <c r="C449" s="8">
        <v>80.02</v>
      </c>
      <c r="D449" s="8">
        <f>65-Table1[[#This Row],[MELTING]]</f>
        <v>-15.019999999999996</v>
      </c>
      <c r="E449" s="8">
        <v>95</v>
      </c>
      <c r="F449" s="69">
        <f t="shared" si="35"/>
        <v>1467.1667</v>
      </c>
      <c r="G449" s="8"/>
      <c r="H449" s="98"/>
    </row>
    <row r="450" spans="1:8" x14ac:dyDescent="0.45">
      <c r="A450" s="8" t="s">
        <v>1307</v>
      </c>
      <c r="B450" s="4">
        <v>39.15</v>
      </c>
      <c r="C450" s="8">
        <v>80.02</v>
      </c>
      <c r="D450" s="8">
        <f>65-Table1[[#This Row],[MELTING]]</f>
        <v>-15.019999999999996</v>
      </c>
      <c r="E450" s="8">
        <v>95</v>
      </c>
      <c r="F450" s="69">
        <f t="shared" si="35"/>
        <v>2976.1438499999999</v>
      </c>
      <c r="G450" s="8"/>
      <c r="H450" s="98"/>
    </row>
    <row r="451" spans="1:8" x14ac:dyDescent="0.45">
      <c r="A451" s="8" t="s">
        <v>1308</v>
      </c>
      <c r="B451" s="4">
        <v>21.6</v>
      </c>
      <c r="C451" s="8">
        <v>80.02</v>
      </c>
      <c r="D451" s="8">
        <f>65-Table1[[#This Row],[MELTING]]</f>
        <v>-15.019999999999996</v>
      </c>
      <c r="E451" s="8">
        <v>95</v>
      </c>
      <c r="F451" s="69">
        <f t="shared" si="35"/>
        <v>1642.0104000000001</v>
      </c>
      <c r="G451" s="8"/>
      <c r="H451" s="98"/>
    </row>
    <row r="452" spans="1:8" x14ac:dyDescent="0.45">
      <c r="A452" s="8" t="s">
        <v>1309</v>
      </c>
      <c r="B452" s="4">
        <v>21.65</v>
      </c>
      <c r="C452" s="8">
        <v>80.02</v>
      </c>
      <c r="D452" s="8">
        <f>65-Table1[[#This Row],[MELTING]]</f>
        <v>-15.019999999999996</v>
      </c>
      <c r="E452" s="8">
        <v>95</v>
      </c>
      <c r="F452" s="69">
        <f t="shared" si="35"/>
        <v>1645.8113499999997</v>
      </c>
      <c r="G452" s="8"/>
      <c r="H452" s="98"/>
    </row>
    <row r="453" spans="1:8" x14ac:dyDescent="0.45">
      <c r="A453" s="8" t="s">
        <v>1310</v>
      </c>
      <c r="B453" s="4">
        <v>47.5</v>
      </c>
      <c r="C453" s="8">
        <v>80.02</v>
      </c>
      <c r="D453" s="8">
        <f>65-Table1[[#This Row],[MELTING]]</f>
        <v>-15.019999999999996</v>
      </c>
      <c r="E453" s="8">
        <v>95</v>
      </c>
      <c r="F453" s="69">
        <f t="shared" si="35"/>
        <v>3610.9024999999997</v>
      </c>
      <c r="G453" s="8"/>
      <c r="H453" s="98"/>
    </row>
    <row r="454" spans="1:8" x14ac:dyDescent="0.45">
      <c r="A454" s="8" t="s">
        <v>1311</v>
      </c>
      <c r="B454" s="4">
        <v>33.950000000000003</v>
      </c>
      <c r="C454" s="8">
        <v>80.02</v>
      </c>
      <c r="D454" s="8">
        <f>65-Table1[[#This Row],[MELTING]]</f>
        <v>-15.019999999999996</v>
      </c>
      <c r="E454" s="8">
        <v>95</v>
      </c>
      <c r="F454" s="69">
        <f t="shared" si="35"/>
        <v>2580.8450500000004</v>
      </c>
      <c r="G454" s="8"/>
      <c r="H454" s="98"/>
    </row>
    <row r="455" spans="1:8" x14ac:dyDescent="0.45">
      <c r="A455" s="8" t="s">
        <v>1491</v>
      </c>
      <c r="B455" s="4">
        <v>64.23</v>
      </c>
      <c r="C455" s="8">
        <v>81.02</v>
      </c>
      <c r="D455" s="8">
        <f>65-Table1[[#This Row],[MELTING]]</f>
        <v>-16.019999999999996</v>
      </c>
      <c r="E455" s="8">
        <v>96</v>
      </c>
      <c r="F455" s="69">
        <f t="shared" ref="F455" si="36">(((B455*C455)/100)*E455)</f>
        <v>4995.7580159999998</v>
      </c>
      <c r="G455" s="8"/>
      <c r="H455" s="98"/>
    </row>
    <row r="456" spans="1:8" x14ac:dyDescent="0.45">
      <c r="A456" s="8" t="s">
        <v>1701</v>
      </c>
      <c r="B456" s="4">
        <v>26</v>
      </c>
      <c r="C456" s="8">
        <v>79.97</v>
      </c>
      <c r="D456" s="8">
        <f>65-Table1[[#This Row],[MELTING]]</f>
        <v>-14.969999999999999</v>
      </c>
      <c r="E456" s="8">
        <v>90</v>
      </c>
      <c r="F456" s="69">
        <f>(((B456*C456)/100)*E456)</f>
        <v>1871.2979999999998</v>
      </c>
      <c r="G456" s="8"/>
      <c r="H456" s="98"/>
    </row>
    <row r="457" spans="1:8" x14ac:dyDescent="0.45">
      <c r="A457" s="8" t="s">
        <v>1702</v>
      </c>
      <c r="B457" s="4">
        <v>24</v>
      </c>
      <c r="C457" s="8">
        <v>79.97</v>
      </c>
      <c r="D457" s="8">
        <f>65-Table1[[#This Row],[MELTING]]</f>
        <v>-14.969999999999999</v>
      </c>
      <c r="E457" s="8">
        <v>90</v>
      </c>
      <c r="F457" s="69">
        <f>(((B457*C457)/100)*E457)</f>
        <v>1727.3519999999999</v>
      </c>
      <c r="G457" s="8"/>
      <c r="H457" s="98"/>
    </row>
    <row r="458" spans="1:8" x14ac:dyDescent="0.45">
      <c r="A458" s="8" t="s">
        <v>1703</v>
      </c>
      <c r="B458" s="4">
        <v>24.5</v>
      </c>
      <c r="C458" s="8">
        <v>79.97</v>
      </c>
      <c r="D458" s="8">
        <f>65-Table1[[#This Row],[MELTING]]</f>
        <v>-14.969999999999999</v>
      </c>
      <c r="E458" s="8">
        <v>90</v>
      </c>
      <c r="F458" s="69">
        <f>(((B458*C458)/100)*E458)</f>
        <v>1763.3384999999998</v>
      </c>
      <c r="G458" s="8"/>
      <c r="H458" s="98"/>
    </row>
    <row r="459" spans="1:8" x14ac:dyDescent="0.45">
      <c r="A459" s="8" t="s">
        <v>1704</v>
      </c>
      <c r="B459" s="4">
        <v>20.6</v>
      </c>
      <c r="C459" s="8">
        <v>79.97</v>
      </c>
      <c r="D459" s="8">
        <f>65-Table1[[#This Row],[MELTING]]</f>
        <v>-14.969999999999999</v>
      </c>
      <c r="E459" s="8">
        <v>90</v>
      </c>
      <c r="F459" s="69">
        <f>(((B459*C459)/100)*E459)</f>
        <v>1482.6438000000001</v>
      </c>
      <c r="G459" s="8"/>
      <c r="H459" s="98"/>
    </row>
    <row r="460" spans="1:8" x14ac:dyDescent="0.45">
      <c r="A460" s="8" t="s">
        <v>1769</v>
      </c>
      <c r="B460" s="4">
        <v>31</v>
      </c>
      <c r="C460" s="8">
        <v>80</v>
      </c>
      <c r="D460" s="8">
        <f>65-Table1[[#This Row],[MELTING]]</f>
        <v>-15</v>
      </c>
      <c r="E460" s="8">
        <v>95.8</v>
      </c>
      <c r="F460" s="69">
        <f>(((B460*C460)/100)*E460)</f>
        <v>2375.84</v>
      </c>
      <c r="G460" s="8"/>
      <c r="H460" s="98"/>
    </row>
    <row r="461" spans="1:8" x14ac:dyDescent="0.45">
      <c r="A461" s="8" t="s">
        <v>1770</v>
      </c>
      <c r="B461" s="4">
        <v>32.299999999999997</v>
      </c>
      <c r="C461" s="8">
        <v>80</v>
      </c>
      <c r="D461" s="8">
        <f>65-Table1[[#This Row],[MELTING]]</f>
        <v>-15</v>
      </c>
      <c r="E461" s="8">
        <v>95.8</v>
      </c>
      <c r="F461" s="69">
        <f>(((B461*C461)/100)*E461)</f>
        <v>2475.4719999999998</v>
      </c>
      <c r="G461" s="8"/>
      <c r="H461" s="98"/>
    </row>
    <row r="462" spans="1:8" x14ac:dyDescent="0.45">
      <c r="A462" s="8" t="s">
        <v>282</v>
      </c>
      <c r="B462" s="4">
        <v>20.2</v>
      </c>
      <c r="C462" s="8">
        <v>65</v>
      </c>
      <c r="D462" s="8">
        <f>55-C462</f>
        <v>-10</v>
      </c>
      <c r="E462" s="6">
        <v>89.9</v>
      </c>
      <c r="F462" s="69">
        <f t="shared" si="32"/>
        <v>1180.3870000000002</v>
      </c>
      <c r="G462" s="8"/>
    </row>
    <row r="463" spans="1:8" x14ac:dyDescent="0.45">
      <c r="A463" s="8" t="s">
        <v>283</v>
      </c>
      <c r="B463" s="4">
        <v>22.11</v>
      </c>
      <c r="C463" s="8">
        <v>65</v>
      </c>
      <c r="D463" s="8">
        <f t="shared" ref="D463:D480" si="37">55-C463</f>
        <v>-10</v>
      </c>
      <c r="E463" s="6">
        <v>89</v>
      </c>
      <c r="F463" s="69">
        <f t="shared" ref="F463:F469" si="38">(((B463*C463)/100)*E463)</f>
        <v>1279.0635</v>
      </c>
      <c r="G463" s="8"/>
    </row>
    <row r="464" spans="1:8" x14ac:dyDescent="0.45">
      <c r="A464" s="8" t="s">
        <v>284</v>
      </c>
      <c r="B464" s="4">
        <v>20.11</v>
      </c>
      <c r="C464" s="8">
        <v>65</v>
      </c>
      <c r="D464" s="8">
        <f t="shared" si="37"/>
        <v>-10</v>
      </c>
      <c r="E464" s="6">
        <v>89</v>
      </c>
      <c r="F464" s="69">
        <f t="shared" si="38"/>
        <v>1163.3634999999999</v>
      </c>
      <c r="G464" s="8"/>
    </row>
    <row r="465" spans="1:7" x14ac:dyDescent="0.45">
      <c r="A465" s="8" t="s">
        <v>285</v>
      </c>
      <c r="B465" s="4">
        <v>13.54</v>
      </c>
      <c r="C465" s="8">
        <v>65</v>
      </c>
      <c r="D465" s="8">
        <f t="shared" si="37"/>
        <v>-10</v>
      </c>
      <c r="E465" s="6">
        <v>89</v>
      </c>
      <c r="F465" s="69">
        <f t="shared" si="38"/>
        <v>783.28899999999987</v>
      </c>
      <c r="G465" s="8"/>
    </row>
    <row r="466" spans="1:7" x14ac:dyDescent="0.45">
      <c r="A466" s="8" t="s">
        <v>286</v>
      </c>
      <c r="B466" s="4">
        <v>20.51</v>
      </c>
      <c r="C466" s="8">
        <v>65</v>
      </c>
      <c r="D466" s="8">
        <f t="shared" si="37"/>
        <v>-10</v>
      </c>
      <c r="E466" s="6">
        <v>89</v>
      </c>
      <c r="F466" s="69">
        <f t="shared" si="38"/>
        <v>1186.5035</v>
      </c>
      <c r="G466" s="8"/>
    </row>
    <row r="467" spans="1:7" x14ac:dyDescent="0.45">
      <c r="A467" s="8" t="s">
        <v>287</v>
      </c>
      <c r="B467" s="4">
        <v>36.67</v>
      </c>
      <c r="C467" s="8">
        <v>65</v>
      </c>
      <c r="D467" s="8">
        <f t="shared" si="37"/>
        <v>-10</v>
      </c>
      <c r="E467" s="6">
        <v>89</v>
      </c>
      <c r="F467" s="69">
        <f t="shared" si="38"/>
        <v>2121.3595000000005</v>
      </c>
      <c r="G467" s="8"/>
    </row>
    <row r="468" spans="1:7" x14ac:dyDescent="0.45">
      <c r="A468" s="8" t="s">
        <v>288</v>
      </c>
      <c r="B468" s="4">
        <v>31.98</v>
      </c>
      <c r="C468" s="8">
        <v>65</v>
      </c>
      <c r="D468" s="8">
        <f t="shared" si="37"/>
        <v>-10</v>
      </c>
      <c r="E468" s="6">
        <v>89</v>
      </c>
      <c r="F468" s="69">
        <f t="shared" si="38"/>
        <v>1850.0429999999999</v>
      </c>
      <c r="G468" s="8"/>
    </row>
    <row r="469" spans="1:7" x14ac:dyDescent="0.45">
      <c r="A469" s="8" t="s">
        <v>289</v>
      </c>
      <c r="B469" s="4">
        <v>30.94</v>
      </c>
      <c r="C469" s="8">
        <v>65</v>
      </c>
      <c r="D469" s="8">
        <f t="shared" si="37"/>
        <v>-10</v>
      </c>
      <c r="E469" s="6">
        <v>89</v>
      </c>
      <c r="F469" s="69">
        <f t="shared" si="38"/>
        <v>1789.8790000000001</v>
      </c>
      <c r="G469" s="8"/>
    </row>
    <row r="470" spans="1:7" x14ac:dyDescent="0.45">
      <c r="A470" s="8" t="s">
        <v>1312</v>
      </c>
      <c r="B470" s="4">
        <v>30.65</v>
      </c>
      <c r="C470" s="8">
        <v>80.02</v>
      </c>
      <c r="D470" s="8">
        <f t="shared" si="37"/>
        <v>-25.019999999999996</v>
      </c>
      <c r="E470" s="6">
        <v>95</v>
      </c>
      <c r="F470" s="69">
        <f t="shared" ref="F470:F482" si="39">(((B470*C470)/100)*E470)</f>
        <v>2329.9823499999998</v>
      </c>
      <c r="G470" s="8"/>
    </row>
    <row r="471" spans="1:7" x14ac:dyDescent="0.45">
      <c r="A471" s="8" t="s">
        <v>1313</v>
      </c>
      <c r="B471" s="4">
        <v>30.8</v>
      </c>
      <c r="C471" s="8">
        <v>80.02</v>
      </c>
      <c r="D471" s="8">
        <f t="shared" si="37"/>
        <v>-25.019999999999996</v>
      </c>
      <c r="E471" s="6">
        <v>95</v>
      </c>
      <c r="F471" s="69">
        <f t="shared" si="39"/>
        <v>2341.3851999999997</v>
      </c>
      <c r="G471" s="8"/>
    </row>
    <row r="472" spans="1:7" x14ac:dyDescent="0.45">
      <c r="A472" s="8" t="s">
        <v>1314</v>
      </c>
      <c r="B472" s="4">
        <v>31.4</v>
      </c>
      <c r="C472" s="8">
        <v>80.02</v>
      </c>
      <c r="D472" s="8">
        <f t="shared" si="37"/>
        <v>-25.019999999999996</v>
      </c>
      <c r="E472" s="6">
        <v>95</v>
      </c>
      <c r="F472" s="69">
        <f t="shared" si="39"/>
        <v>2386.9965999999999</v>
      </c>
      <c r="G472" s="8"/>
    </row>
    <row r="473" spans="1:7" x14ac:dyDescent="0.45">
      <c r="A473" s="8" t="s">
        <v>1315</v>
      </c>
      <c r="B473" s="4">
        <v>32.299999999999997</v>
      </c>
      <c r="C473" s="8">
        <v>80.02</v>
      </c>
      <c r="D473" s="8">
        <f t="shared" si="37"/>
        <v>-25.019999999999996</v>
      </c>
      <c r="E473" s="6">
        <v>95</v>
      </c>
      <c r="F473" s="69">
        <f t="shared" si="39"/>
        <v>2455.4136999999996</v>
      </c>
      <c r="G473" s="8"/>
    </row>
    <row r="474" spans="1:7" x14ac:dyDescent="0.45">
      <c r="A474" s="8" t="s">
        <v>1316</v>
      </c>
      <c r="B474" s="4">
        <v>28.1</v>
      </c>
      <c r="C474" s="8">
        <v>80.02</v>
      </c>
      <c r="D474" s="8">
        <f t="shared" si="37"/>
        <v>-25.019999999999996</v>
      </c>
      <c r="E474" s="6">
        <v>95</v>
      </c>
      <c r="F474" s="69">
        <f t="shared" si="39"/>
        <v>2136.1338999999998</v>
      </c>
      <c r="G474" s="8"/>
    </row>
    <row r="475" spans="1:7" x14ac:dyDescent="0.45">
      <c r="A475" s="8" t="s">
        <v>1317</v>
      </c>
      <c r="B475" s="4">
        <v>31.7</v>
      </c>
      <c r="C475" s="8">
        <v>80.02</v>
      </c>
      <c r="D475" s="8">
        <f t="shared" si="37"/>
        <v>-25.019999999999996</v>
      </c>
      <c r="E475" s="6">
        <v>95</v>
      </c>
      <c r="F475" s="69">
        <f t="shared" si="39"/>
        <v>2409.8023000000003</v>
      </c>
      <c r="G475" s="8"/>
    </row>
    <row r="476" spans="1:7" x14ac:dyDescent="0.45">
      <c r="A476" s="8" t="s">
        <v>1600</v>
      </c>
      <c r="B476" s="4">
        <v>17.600000000000001</v>
      </c>
      <c r="C476" s="8">
        <v>76</v>
      </c>
      <c r="D476" s="8">
        <f t="shared" si="37"/>
        <v>-21</v>
      </c>
      <c r="E476" s="6">
        <v>91.5</v>
      </c>
      <c r="F476" s="69">
        <f>(((B476*C476)/100)*E476)</f>
        <v>1223.9040000000002</v>
      </c>
      <c r="G476" s="8"/>
    </row>
    <row r="477" spans="1:7" x14ac:dyDescent="0.45">
      <c r="A477" s="8" t="s">
        <v>1601</v>
      </c>
      <c r="B477" s="4">
        <v>10.9</v>
      </c>
      <c r="C477" s="8">
        <v>80</v>
      </c>
      <c r="D477" s="8">
        <f t="shared" si="37"/>
        <v>-25</v>
      </c>
      <c r="E477" s="6">
        <v>90</v>
      </c>
      <c r="F477" s="69">
        <f>(((B477*C477)/100)*E477)</f>
        <v>784.80000000000007</v>
      </c>
      <c r="G477" s="8"/>
    </row>
    <row r="478" spans="1:7" x14ac:dyDescent="0.45">
      <c r="A478" s="8" t="s">
        <v>1602</v>
      </c>
      <c r="B478" s="4">
        <v>13.4</v>
      </c>
      <c r="C478" s="8">
        <v>80</v>
      </c>
      <c r="D478" s="8">
        <f t="shared" si="37"/>
        <v>-25</v>
      </c>
      <c r="E478" s="6">
        <v>90</v>
      </c>
      <c r="F478" s="69">
        <f>(((B478*C478)/100)*E478)</f>
        <v>964.80000000000007</v>
      </c>
      <c r="G478" s="8"/>
    </row>
    <row r="479" spans="1:7" x14ac:dyDescent="0.45">
      <c r="A479" s="8" t="s">
        <v>1603</v>
      </c>
      <c r="B479" s="4">
        <v>18.899999999999999</v>
      </c>
      <c r="C479" s="8">
        <v>80</v>
      </c>
      <c r="D479" s="8">
        <f t="shared" si="37"/>
        <v>-25</v>
      </c>
      <c r="E479" s="6">
        <v>90</v>
      </c>
      <c r="F479" s="69">
        <f>(((B479*C479)/100)*E479)</f>
        <v>1360.8</v>
      </c>
      <c r="G479" s="8"/>
    </row>
    <row r="480" spans="1:7" x14ac:dyDescent="0.45">
      <c r="A480" s="8" t="s">
        <v>1604</v>
      </c>
      <c r="B480" s="4">
        <v>21.2</v>
      </c>
      <c r="C480" s="8">
        <v>80</v>
      </c>
      <c r="D480" s="8">
        <f t="shared" si="37"/>
        <v>-25</v>
      </c>
      <c r="E480" s="6">
        <v>90</v>
      </c>
      <c r="F480" s="69">
        <f>(((B480*C480)/100)*E480)</f>
        <v>1526.4</v>
      </c>
      <c r="G480" s="8"/>
    </row>
    <row r="481" spans="1:7" x14ac:dyDescent="0.45">
      <c r="A481" s="8" t="s">
        <v>290</v>
      </c>
      <c r="B481" s="4">
        <v>41.1</v>
      </c>
      <c r="C481" s="8">
        <v>76.5</v>
      </c>
      <c r="D481" s="8">
        <f>55-C481</f>
        <v>-21.5</v>
      </c>
      <c r="E481" s="6">
        <v>89.9</v>
      </c>
      <c r="F481" s="69">
        <f t="shared" si="39"/>
        <v>2826.5908500000005</v>
      </c>
      <c r="G481" s="8"/>
    </row>
    <row r="482" spans="1:7" x14ac:dyDescent="0.45">
      <c r="A482" s="8" t="s">
        <v>291</v>
      </c>
      <c r="B482" s="4">
        <v>48.5</v>
      </c>
      <c r="C482" s="8">
        <v>76.5</v>
      </c>
      <c r="D482" s="8">
        <f t="shared" ref="D482:D494" si="40">55-C482</f>
        <v>-21.5</v>
      </c>
      <c r="E482" s="6">
        <v>89.9</v>
      </c>
      <c r="F482" s="69">
        <f t="shared" si="39"/>
        <v>3335.5147500000003</v>
      </c>
      <c r="G482" s="8"/>
    </row>
    <row r="483" spans="1:7" x14ac:dyDescent="0.45">
      <c r="A483" s="8" t="s">
        <v>292</v>
      </c>
      <c r="B483" s="4">
        <v>56.1</v>
      </c>
      <c r="C483" s="8">
        <v>76.5</v>
      </c>
      <c r="D483" s="8">
        <f t="shared" si="40"/>
        <v>-21.5</v>
      </c>
      <c r="E483" s="6">
        <v>89.9</v>
      </c>
      <c r="F483" s="69">
        <f t="shared" ref="F483:F494" si="41">(((B483*C483)/100)*E483)</f>
        <v>3858.1933500000009</v>
      </c>
      <c r="G483" s="8"/>
    </row>
    <row r="484" spans="1:7" x14ac:dyDescent="0.45">
      <c r="A484" s="8" t="s">
        <v>293</v>
      </c>
      <c r="B484" s="4">
        <v>36.5</v>
      </c>
      <c r="C484" s="8">
        <v>76.5</v>
      </c>
      <c r="D484" s="8">
        <f t="shared" si="40"/>
        <v>-21.5</v>
      </c>
      <c r="E484" s="6">
        <v>89.9</v>
      </c>
      <c r="F484" s="69">
        <f t="shared" si="41"/>
        <v>2510.2327500000001</v>
      </c>
      <c r="G484" s="8"/>
    </row>
    <row r="485" spans="1:7" x14ac:dyDescent="0.45">
      <c r="A485" s="8" t="s">
        <v>294</v>
      </c>
      <c r="B485" s="4">
        <v>40.06</v>
      </c>
      <c r="C485" s="8">
        <v>76.5</v>
      </c>
      <c r="D485" s="8">
        <f t="shared" si="40"/>
        <v>-21.5</v>
      </c>
      <c r="E485" s="6">
        <v>89.9</v>
      </c>
      <c r="F485" s="69">
        <f t="shared" si="41"/>
        <v>2755.0664100000004</v>
      </c>
      <c r="G485" s="8"/>
    </row>
    <row r="486" spans="1:7" x14ac:dyDescent="0.45">
      <c r="A486" s="8" t="s">
        <v>295</v>
      </c>
      <c r="B486" s="4">
        <v>31.1</v>
      </c>
      <c r="C486" s="8">
        <v>76.5</v>
      </c>
      <c r="D486" s="8">
        <f t="shared" si="40"/>
        <v>-21.5</v>
      </c>
      <c r="E486" s="6">
        <v>89.9</v>
      </c>
      <c r="F486" s="69">
        <f t="shared" si="41"/>
        <v>2138.8558499999999</v>
      </c>
      <c r="G486" s="8"/>
    </row>
    <row r="487" spans="1:7" x14ac:dyDescent="0.45">
      <c r="A487" s="8" t="s">
        <v>296</v>
      </c>
      <c r="B487" s="4">
        <v>32.25</v>
      </c>
      <c r="C487" s="8">
        <v>76.5</v>
      </c>
      <c r="D487" s="8">
        <f t="shared" si="40"/>
        <v>-21.5</v>
      </c>
      <c r="E487" s="6">
        <v>89.9</v>
      </c>
      <c r="F487" s="69">
        <f t="shared" si="41"/>
        <v>2217.9453750000002</v>
      </c>
      <c r="G487" s="8"/>
    </row>
    <row r="488" spans="1:7" x14ac:dyDescent="0.45">
      <c r="A488" s="8" t="s">
        <v>297</v>
      </c>
      <c r="B488" s="4">
        <v>25.1</v>
      </c>
      <c r="C488" s="8">
        <v>76.5</v>
      </c>
      <c r="D488" s="8">
        <f t="shared" si="40"/>
        <v>-21.5</v>
      </c>
      <c r="E488" s="6">
        <v>89.9</v>
      </c>
      <c r="F488" s="69">
        <f t="shared" si="41"/>
        <v>1726.2148500000001</v>
      </c>
      <c r="G488" s="8"/>
    </row>
    <row r="489" spans="1:7" ht="24.6" customHeight="1" x14ac:dyDescent="0.45">
      <c r="A489" s="8" t="s">
        <v>298</v>
      </c>
      <c r="B489" s="4">
        <v>40.200000000000003</v>
      </c>
      <c r="C489" s="8">
        <v>76.5</v>
      </c>
      <c r="D489" s="8">
        <f t="shared" si="40"/>
        <v>-21.5</v>
      </c>
      <c r="E489" s="6">
        <v>89.9</v>
      </c>
      <c r="F489" s="69">
        <f t="shared" si="41"/>
        <v>2764.6947</v>
      </c>
      <c r="G489" s="8"/>
    </row>
    <row r="490" spans="1:7" x14ac:dyDescent="0.45">
      <c r="A490" s="8" t="s">
        <v>299</v>
      </c>
      <c r="B490" s="4">
        <v>50.25</v>
      </c>
      <c r="C490" s="8">
        <v>82</v>
      </c>
      <c r="D490" s="8">
        <f t="shared" si="40"/>
        <v>-27</v>
      </c>
      <c r="E490" s="6">
        <v>92</v>
      </c>
      <c r="F490" s="69">
        <f t="shared" si="41"/>
        <v>3790.8599999999997</v>
      </c>
      <c r="G490" s="8"/>
    </row>
    <row r="491" spans="1:7" x14ac:dyDescent="0.45">
      <c r="A491" s="8" t="s">
        <v>300</v>
      </c>
      <c r="B491" s="4">
        <v>35</v>
      </c>
      <c r="C491" s="8">
        <v>82</v>
      </c>
      <c r="D491" s="8">
        <f t="shared" si="40"/>
        <v>-27</v>
      </c>
      <c r="E491" s="6">
        <v>92</v>
      </c>
      <c r="F491" s="69">
        <f t="shared" si="41"/>
        <v>2640.4</v>
      </c>
      <c r="G491" s="8"/>
    </row>
    <row r="492" spans="1:7" x14ac:dyDescent="0.45">
      <c r="A492" s="8" t="s">
        <v>301</v>
      </c>
      <c r="B492" s="4">
        <v>40.35</v>
      </c>
      <c r="C492" s="8">
        <v>82</v>
      </c>
      <c r="D492" s="8">
        <f t="shared" si="40"/>
        <v>-27</v>
      </c>
      <c r="E492" s="6">
        <v>92</v>
      </c>
      <c r="F492" s="69">
        <f t="shared" si="41"/>
        <v>3044.0040000000004</v>
      </c>
      <c r="G492" s="8"/>
    </row>
    <row r="493" spans="1:7" x14ac:dyDescent="0.45">
      <c r="A493" s="8" t="s">
        <v>302</v>
      </c>
      <c r="B493" s="4">
        <v>31.2</v>
      </c>
      <c r="C493" s="8">
        <v>82</v>
      </c>
      <c r="D493" s="8">
        <f t="shared" si="40"/>
        <v>-27</v>
      </c>
      <c r="E493" s="6">
        <v>92</v>
      </c>
      <c r="F493" s="69">
        <f t="shared" si="41"/>
        <v>2353.7280000000001</v>
      </c>
      <c r="G493" s="8"/>
    </row>
    <row r="494" spans="1:7" x14ac:dyDescent="0.45">
      <c r="A494" s="8" t="s">
        <v>303</v>
      </c>
      <c r="B494" s="4">
        <v>49.2</v>
      </c>
      <c r="C494" s="8">
        <v>82</v>
      </c>
      <c r="D494" s="8">
        <f t="shared" si="40"/>
        <v>-27</v>
      </c>
      <c r="E494" s="6">
        <v>92</v>
      </c>
      <c r="F494" s="69">
        <f t="shared" si="41"/>
        <v>3711.6480000000001</v>
      </c>
      <c r="G494" s="8"/>
    </row>
    <row r="495" spans="1:7" x14ac:dyDescent="0.45">
      <c r="A495" s="8" t="s">
        <v>304</v>
      </c>
      <c r="B495" s="4">
        <v>38.85</v>
      </c>
      <c r="C495" s="8">
        <v>65</v>
      </c>
      <c r="D495" s="8">
        <v>10</v>
      </c>
      <c r="E495" s="6">
        <v>83.17</v>
      </c>
      <c r="F495" s="69">
        <f>(((B495*C495)/100)*E495)</f>
        <v>2100.2504250000002</v>
      </c>
      <c r="G495" s="8"/>
    </row>
    <row r="496" spans="1:7" x14ac:dyDescent="0.45">
      <c r="A496" s="8" t="s">
        <v>1255</v>
      </c>
      <c r="B496" s="4">
        <v>37.35</v>
      </c>
      <c r="C496" s="8">
        <v>80</v>
      </c>
      <c r="D496" s="8">
        <v>10</v>
      </c>
      <c r="E496" s="6">
        <v>95</v>
      </c>
      <c r="F496" s="69">
        <f>(((B496*C496)/100)*E496)</f>
        <v>2838.6</v>
      </c>
      <c r="G496" s="8"/>
    </row>
    <row r="497" spans="1:7" x14ac:dyDescent="0.45">
      <c r="A497" s="8" t="s">
        <v>1492</v>
      </c>
      <c r="B497" s="4">
        <v>39.700000000000003</v>
      </c>
      <c r="C497" s="8">
        <v>80</v>
      </c>
      <c r="D497" s="8">
        <v>10</v>
      </c>
      <c r="E497" s="6">
        <v>95</v>
      </c>
      <c r="F497" s="69">
        <f>(((B497*C497)/100)*E497)</f>
        <v>3017.2000000000003</v>
      </c>
      <c r="G497" s="8"/>
    </row>
    <row r="498" spans="1:7" x14ac:dyDescent="0.45">
      <c r="A498" s="8" t="s">
        <v>1526</v>
      </c>
      <c r="B498" s="4">
        <v>51.51</v>
      </c>
      <c r="C498" s="8">
        <v>80.650000000000006</v>
      </c>
      <c r="D498" s="8">
        <v>10</v>
      </c>
      <c r="E498" s="6">
        <v>90</v>
      </c>
      <c r="F498" s="69">
        <f>(((B498*C498)/100)*E498)</f>
        <v>3738.8533499999999</v>
      </c>
      <c r="G498" s="8"/>
    </row>
    <row r="499" spans="1:7" x14ac:dyDescent="0.45">
      <c r="A499" s="8" t="s">
        <v>305</v>
      </c>
      <c r="B499" s="4">
        <v>3</v>
      </c>
      <c r="C499" s="8">
        <v>92.5</v>
      </c>
      <c r="D499" s="8">
        <v>92.5</v>
      </c>
      <c r="E499" s="6">
        <v>130</v>
      </c>
      <c r="F499" s="69">
        <f>B499*E499</f>
        <v>390</v>
      </c>
      <c r="G499" s="8"/>
    </row>
    <row r="500" spans="1:7" x14ac:dyDescent="0.45">
      <c r="A500" s="8" t="s">
        <v>306</v>
      </c>
      <c r="B500" s="4">
        <v>2.81</v>
      </c>
      <c r="C500" s="8">
        <v>92.5</v>
      </c>
      <c r="D500" s="8">
        <v>92.5</v>
      </c>
      <c r="E500" s="6">
        <v>130</v>
      </c>
      <c r="F500" s="69">
        <f t="shared" ref="F500:F517" si="42">B500*E500</f>
        <v>365.3</v>
      </c>
      <c r="G500" s="8"/>
    </row>
    <row r="501" spans="1:7" x14ac:dyDescent="0.45">
      <c r="A501" s="8" t="s">
        <v>307</v>
      </c>
      <c r="B501" s="4">
        <v>2.75</v>
      </c>
      <c r="C501" s="8">
        <v>92.5</v>
      </c>
      <c r="D501" s="8">
        <v>92.5</v>
      </c>
      <c r="E501" s="6">
        <v>130</v>
      </c>
      <c r="F501" s="69">
        <f t="shared" si="42"/>
        <v>357.5</v>
      </c>
      <c r="G501" s="8"/>
    </row>
    <row r="502" spans="1:7" x14ac:dyDescent="0.45">
      <c r="A502" s="8" t="s">
        <v>308</v>
      </c>
      <c r="B502" s="4">
        <v>1.28</v>
      </c>
      <c r="C502" s="8">
        <v>92.5</v>
      </c>
      <c r="D502" s="8">
        <v>92.5</v>
      </c>
      <c r="E502" s="6">
        <v>130</v>
      </c>
      <c r="F502" s="69">
        <f t="shared" si="42"/>
        <v>166.4</v>
      </c>
      <c r="G502" s="8"/>
    </row>
    <row r="503" spans="1:7" x14ac:dyDescent="0.45">
      <c r="A503" s="8" t="s">
        <v>309</v>
      </c>
      <c r="B503" s="4">
        <v>2.65</v>
      </c>
      <c r="C503" s="8">
        <v>92.5</v>
      </c>
      <c r="D503" s="8">
        <v>92.5</v>
      </c>
      <c r="E503" s="6">
        <v>130</v>
      </c>
      <c r="F503" s="69">
        <f t="shared" si="42"/>
        <v>344.5</v>
      </c>
      <c r="G503" s="8"/>
    </row>
    <row r="504" spans="1:7" x14ac:dyDescent="0.45">
      <c r="A504" s="8" t="s">
        <v>310</v>
      </c>
      <c r="B504" s="4">
        <v>2.8</v>
      </c>
      <c r="C504" s="8">
        <v>92.5</v>
      </c>
      <c r="D504" s="8">
        <v>92.5</v>
      </c>
      <c r="E504" s="6">
        <v>165</v>
      </c>
      <c r="F504" s="69">
        <f t="shared" si="42"/>
        <v>461.99999999999994</v>
      </c>
      <c r="G504" s="8"/>
    </row>
    <row r="505" spans="1:7" x14ac:dyDescent="0.45">
      <c r="A505" s="8" t="s">
        <v>311</v>
      </c>
      <c r="B505" s="4">
        <v>2.0699999999999998</v>
      </c>
      <c r="C505" s="8">
        <v>92.5</v>
      </c>
      <c r="D505" s="8">
        <v>92.5</v>
      </c>
      <c r="E505" s="6">
        <v>165</v>
      </c>
      <c r="F505" s="69">
        <f t="shared" si="42"/>
        <v>341.54999999999995</v>
      </c>
      <c r="G505" s="8"/>
    </row>
    <row r="506" spans="1:7" x14ac:dyDescent="0.45">
      <c r="A506" s="8" t="s">
        <v>312</v>
      </c>
      <c r="B506" s="4">
        <v>1.87</v>
      </c>
      <c r="C506" s="8">
        <v>92.5</v>
      </c>
      <c r="D506" s="8">
        <v>92.5</v>
      </c>
      <c r="E506" s="6">
        <v>165</v>
      </c>
      <c r="F506" s="69">
        <f t="shared" si="42"/>
        <v>308.55</v>
      </c>
      <c r="G506" s="8"/>
    </row>
    <row r="507" spans="1:7" x14ac:dyDescent="0.45">
      <c r="A507" s="8" t="s">
        <v>313</v>
      </c>
      <c r="B507" s="4">
        <v>1.7</v>
      </c>
      <c r="C507" s="8">
        <v>92.5</v>
      </c>
      <c r="D507" s="8">
        <v>92.5</v>
      </c>
      <c r="E507" s="6">
        <v>165</v>
      </c>
      <c r="F507" s="69">
        <f t="shared" si="42"/>
        <v>280.5</v>
      </c>
      <c r="G507" s="8"/>
    </row>
    <row r="508" spans="1:7" x14ac:dyDescent="0.45">
      <c r="A508" s="8" t="s">
        <v>314</v>
      </c>
      <c r="B508" s="4">
        <v>2.17</v>
      </c>
      <c r="C508" s="8">
        <v>92.5</v>
      </c>
      <c r="D508" s="8">
        <v>92.5</v>
      </c>
      <c r="E508" s="6">
        <v>165</v>
      </c>
      <c r="F508" s="69">
        <f t="shared" si="42"/>
        <v>358.05</v>
      </c>
      <c r="G508" s="8"/>
    </row>
    <row r="509" spans="1:7" x14ac:dyDescent="0.45">
      <c r="A509" s="8" t="s">
        <v>315</v>
      </c>
      <c r="B509" s="4">
        <v>1.51</v>
      </c>
      <c r="C509" s="8">
        <v>92.5</v>
      </c>
      <c r="D509" s="8">
        <v>92.5</v>
      </c>
      <c r="E509" s="6">
        <v>165</v>
      </c>
      <c r="F509" s="69">
        <f t="shared" si="42"/>
        <v>249.15</v>
      </c>
      <c r="G509" s="8"/>
    </row>
    <row r="510" spans="1:7" x14ac:dyDescent="0.45">
      <c r="A510" s="8" t="s">
        <v>316</v>
      </c>
      <c r="B510" s="4">
        <v>1.25</v>
      </c>
      <c r="C510" s="8">
        <v>92.5</v>
      </c>
      <c r="D510" s="8">
        <v>92.5</v>
      </c>
      <c r="E510" s="6">
        <v>165</v>
      </c>
      <c r="F510" s="69">
        <f t="shared" si="42"/>
        <v>206.25</v>
      </c>
      <c r="G510" s="8"/>
    </row>
    <row r="511" spans="1:7" x14ac:dyDescent="0.45">
      <c r="A511" s="8" t="s">
        <v>317</v>
      </c>
      <c r="B511" s="4">
        <v>1.1499999999999999</v>
      </c>
      <c r="C511" s="8">
        <v>92.5</v>
      </c>
      <c r="D511" s="8">
        <v>92.5</v>
      </c>
      <c r="E511" s="6">
        <v>165</v>
      </c>
      <c r="F511" s="69">
        <f t="shared" si="42"/>
        <v>189.74999999999997</v>
      </c>
      <c r="G511" s="8"/>
    </row>
    <row r="512" spans="1:7" x14ac:dyDescent="0.45">
      <c r="A512" s="8" t="s">
        <v>318</v>
      </c>
      <c r="B512" s="4">
        <v>1.08</v>
      </c>
      <c r="C512" s="8">
        <v>92.5</v>
      </c>
      <c r="D512" s="8">
        <v>92.5</v>
      </c>
      <c r="E512" s="6">
        <v>165</v>
      </c>
      <c r="F512" s="69">
        <f t="shared" si="42"/>
        <v>178.20000000000002</v>
      </c>
      <c r="G512" s="8"/>
    </row>
    <row r="513" spans="1:8" x14ac:dyDescent="0.45">
      <c r="A513" s="8" t="s">
        <v>319</v>
      </c>
      <c r="B513" s="4">
        <v>1.3</v>
      </c>
      <c r="C513" s="8">
        <v>92.5</v>
      </c>
      <c r="D513" s="8">
        <v>92.5</v>
      </c>
      <c r="E513" s="6">
        <v>165</v>
      </c>
      <c r="F513" s="69">
        <f t="shared" si="42"/>
        <v>214.5</v>
      </c>
      <c r="G513" s="8"/>
    </row>
    <row r="514" spans="1:8" x14ac:dyDescent="0.45">
      <c r="A514" s="8" t="s">
        <v>320</v>
      </c>
      <c r="B514" s="4">
        <v>1.1000000000000001</v>
      </c>
      <c r="C514" s="8">
        <v>92.5</v>
      </c>
      <c r="D514" s="8">
        <v>92.5</v>
      </c>
      <c r="E514" s="6">
        <v>165</v>
      </c>
      <c r="F514" s="69">
        <f t="shared" si="42"/>
        <v>181.50000000000003</v>
      </c>
      <c r="G514" s="8"/>
    </row>
    <row r="515" spans="1:8" x14ac:dyDescent="0.45">
      <c r="A515" s="8" t="s">
        <v>321</v>
      </c>
      <c r="B515" s="4">
        <v>1.06</v>
      </c>
      <c r="C515" s="8">
        <v>92.5</v>
      </c>
      <c r="D515" s="8">
        <v>92.5</v>
      </c>
      <c r="E515" s="6">
        <v>165</v>
      </c>
      <c r="F515" s="69">
        <f t="shared" si="42"/>
        <v>174.9</v>
      </c>
      <c r="G515" s="8"/>
    </row>
    <row r="516" spans="1:8" x14ac:dyDescent="0.45">
      <c r="A516" s="8" t="s">
        <v>322</v>
      </c>
      <c r="B516" s="4">
        <v>1.17</v>
      </c>
      <c r="C516" s="8">
        <v>92.5</v>
      </c>
      <c r="D516" s="8">
        <v>92.5</v>
      </c>
      <c r="E516" s="6">
        <v>165</v>
      </c>
      <c r="F516" s="69">
        <f t="shared" si="42"/>
        <v>193.04999999999998</v>
      </c>
      <c r="G516" s="8"/>
    </row>
    <row r="517" spans="1:8" x14ac:dyDescent="0.45">
      <c r="A517" s="8" t="s">
        <v>323</v>
      </c>
      <c r="B517" s="4">
        <v>1.17</v>
      </c>
      <c r="C517" s="8">
        <v>92.5</v>
      </c>
      <c r="D517" s="8">
        <v>92.5</v>
      </c>
      <c r="E517" s="6">
        <v>165</v>
      </c>
      <c r="F517" s="69">
        <f t="shared" si="42"/>
        <v>193.04999999999998</v>
      </c>
      <c r="G517" s="8"/>
    </row>
    <row r="518" spans="1:8" x14ac:dyDescent="0.45">
      <c r="A518" s="8" t="s">
        <v>324</v>
      </c>
      <c r="B518" s="4">
        <v>2.95</v>
      </c>
      <c r="C518" s="7">
        <v>65</v>
      </c>
      <c r="D518" s="7">
        <v>85</v>
      </c>
      <c r="E518" s="6">
        <v>100</v>
      </c>
      <c r="F518" s="69">
        <f>(((B518*C518)/100)*E518)</f>
        <v>191.75</v>
      </c>
      <c r="G518" s="8"/>
    </row>
    <row r="519" spans="1:8" x14ac:dyDescent="0.45">
      <c r="A519" s="8" t="s">
        <v>325</v>
      </c>
      <c r="B519" s="4">
        <v>2.4500000000000002</v>
      </c>
      <c r="C519" s="7">
        <v>92.5</v>
      </c>
      <c r="D519" s="7">
        <v>92.5</v>
      </c>
      <c r="E519" s="6">
        <v>145</v>
      </c>
      <c r="F519" s="69">
        <f>B519*E519</f>
        <v>355.25</v>
      </c>
      <c r="G519" s="8"/>
    </row>
    <row r="520" spans="1:8" x14ac:dyDescent="0.45">
      <c r="A520" s="8" t="s">
        <v>326</v>
      </c>
      <c r="B520" s="4">
        <v>2.6</v>
      </c>
      <c r="C520" s="7">
        <v>92.5</v>
      </c>
      <c r="D520" s="7">
        <v>92.5</v>
      </c>
      <c r="E520" s="6">
        <v>145</v>
      </c>
      <c r="F520" s="69">
        <f t="shared" ref="F520" si="43">B520*E520</f>
        <v>377</v>
      </c>
      <c r="G520" s="8"/>
    </row>
    <row r="521" spans="1:8" x14ac:dyDescent="0.45">
      <c r="A521" s="8" t="s">
        <v>327</v>
      </c>
      <c r="B521" s="4">
        <v>1.95</v>
      </c>
      <c r="C521" s="8">
        <v>92.5</v>
      </c>
      <c r="D521" s="8">
        <v>92.5</v>
      </c>
      <c r="E521" s="8">
        <v>135.13</v>
      </c>
      <c r="F521" s="69">
        <f>B521*E521</f>
        <v>263.50349999999997</v>
      </c>
      <c r="G521" s="8"/>
    </row>
    <row r="522" spans="1:8" x14ac:dyDescent="0.45">
      <c r="A522" s="8" t="s">
        <v>328</v>
      </c>
      <c r="B522" s="4">
        <v>1.05</v>
      </c>
      <c r="C522" s="8">
        <v>92.5</v>
      </c>
      <c r="D522" s="8">
        <v>92.5</v>
      </c>
      <c r="E522" s="8">
        <v>135.13</v>
      </c>
      <c r="F522" s="69">
        <f>B522*E522</f>
        <v>141.88650000000001</v>
      </c>
      <c r="G522" s="8"/>
    </row>
    <row r="523" spans="1:8" x14ac:dyDescent="0.45">
      <c r="A523" s="8" t="s">
        <v>887</v>
      </c>
      <c r="B523" s="4">
        <v>4</v>
      </c>
      <c r="C523" s="8">
        <v>92.5</v>
      </c>
      <c r="D523" s="8">
        <v>92.5</v>
      </c>
      <c r="E523" s="8">
        <v>160</v>
      </c>
      <c r="F523" s="69">
        <f t="shared" ref="F523:F524" si="44">B523*E523</f>
        <v>640</v>
      </c>
      <c r="G523" s="8"/>
    </row>
    <row r="524" spans="1:8" x14ac:dyDescent="0.45">
      <c r="A524" s="8" t="s">
        <v>888</v>
      </c>
      <c r="B524" s="4">
        <v>2.66</v>
      </c>
      <c r="C524" s="8">
        <v>92.5</v>
      </c>
      <c r="D524" s="8">
        <v>92.5</v>
      </c>
      <c r="E524" s="8">
        <v>160</v>
      </c>
      <c r="F524" s="69">
        <f t="shared" si="44"/>
        <v>425.6</v>
      </c>
      <c r="G524" s="8"/>
      <c r="H524" s="105"/>
    </row>
    <row r="525" spans="1:8" x14ac:dyDescent="0.45">
      <c r="A525" s="8" t="s">
        <v>889</v>
      </c>
      <c r="B525" s="4">
        <v>1.52</v>
      </c>
      <c r="C525" s="8">
        <v>92.5</v>
      </c>
      <c r="D525" s="8">
        <v>92.5</v>
      </c>
      <c r="E525" s="8">
        <v>160</v>
      </c>
      <c r="F525" s="69">
        <f>B525*E525</f>
        <v>243.2</v>
      </c>
      <c r="G525" s="8"/>
    </row>
    <row r="526" spans="1:8" x14ac:dyDescent="0.45">
      <c r="A526" s="8" t="s">
        <v>928</v>
      </c>
      <c r="B526" s="4">
        <v>1.5</v>
      </c>
      <c r="C526" s="8">
        <v>92.5</v>
      </c>
      <c r="D526" s="8">
        <v>92.5</v>
      </c>
      <c r="E526" s="8">
        <v>175</v>
      </c>
      <c r="F526" s="69">
        <f t="shared" ref="F526:F530" si="45">B526*E526</f>
        <v>262.5</v>
      </c>
      <c r="G526" s="8"/>
    </row>
    <row r="527" spans="1:8" x14ac:dyDescent="0.45">
      <c r="A527" s="8" t="s">
        <v>929</v>
      </c>
      <c r="B527" s="4">
        <v>1.35</v>
      </c>
      <c r="C527" s="8">
        <v>92.5</v>
      </c>
      <c r="D527" s="8">
        <v>92.5</v>
      </c>
      <c r="E527" s="8">
        <v>175</v>
      </c>
      <c r="F527" s="69">
        <f t="shared" si="45"/>
        <v>236.25000000000003</v>
      </c>
      <c r="G527" s="8"/>
      <c r="H527" s="98"/>
    </row>
    <row r="528" spans="1:8" x14ac:dyDescent="0.45">
      <c r="A528" s="8" t="s">
        <v>930</v>
      </c>
      <c r="B528" s="4">
        <v>1.5</v>
      </c>
      <c r="C528" s="8">
        <v>92.5</v>
      </c>
      <c r="D528" s="8">
        <v>92.5</v>
      </c>
      <c r="E528" s="8">
        <v>175</v>
      </c>
      <c r="F528" s="69">
        <f t="shared" si="45"/>
        <v>262.5</v>
      </c>
      <c r="G528" s="8"/>
    </row>
    <row r="529" spans="1:7" x14ac:dyDescent="0.45">
      <c r="A529" s="8" t="s">
        <v>931</v>
      </c>
      <c r="B529" s="4">
        <v>1.5</v>
      </c>
      <c r="C529" s="8">
        <v>92.5</v>
      </c>
      <c r="D529" s="8">
        <v>92.5</v>
      </c>
      <c r="E529" s="8">
        <v>175</v>
      </c>
      <c r="F529" s="69">
        <f t="shared" si="45"/>
        <v>262.5</v>
      </c>
      <c r="G529" s="8"/>
    </row>
    <row r="530" spans="1:7" x14ac:dyDescent="0.45">
      <c r="A530" s="8" t="s">
        <v>932</v>
      </c>
      <c r="B530" s="4">
        <v>2.21</v>
      </c>
      <c r="C530" s="8">
        <v>92.5</v>
      </c>
      <c r="D530" s="8">
        <v>92.5</v>
      </c>
      <c r="E530" s="8">
        <v>175</v>
      </c>
      <c r="F530" s="69">
        <f t="shared" si="45"/>
        <v>386.75</v>
      </c>
      <c r="G530" s="8"/>
    </row>
    <row r="531" spans="1:7" x14ac:dyDescent="0.45">
      <c r="A531" s="8" t="s">
        <v>933</v>
      </c>
      <c r="B531" s="4">
        <v>2.25</v>
      </c>
      <c r="C531" s="8">
        <v>92.5</v>
      </c>
      <c r="D531" s="8">
        <v>92.5</v>
      </c>
      <c r="E531" s="8">
        <v>175</v>
      </c>
      <c r="F531" s="69">
        <f>B531*E531</f>
        <v>393.75</v>
      </c>
      <c r="G531" s="8"/>
    </row>
    <row r="532" spans="1:7" x14ac:dyDescent="0.45">
      <c r="A532" s="8" t="s">
        <v>934</v>
      </c>
      <c r="B532" s="4">
        <v>1.5</v>
      </c>
      <c r="C532" s="8">
        <v>92.5</v>
      </c>
      <c r="D532" s="8">
        <v>92.5</v>
      </c>
      <c r="E532" s="8">
        <v>175</v>
      </c>
      <c r="F532" s="69">
        <f t="shared" ref="F532:F541" si="46">B532*E532</f>
        <v>262.5</v>
      </c>
      <c r="G532" s="8"/>
    </row>
    <row r="533" spans="1:7" x14ac:dyDescent="0.45">
      <c r="A533" s="8" t="s">
        <v>935</v>
      </c>
      <c r="B533" s="4">
        <v>1.5</v>
      </c>
      <c r="C533" s="8">
        <v>92.5</v>
      </c>
      <c r="D533" s="8">
        <v>92.5</v>
      </c>
      <c r="E533" s="8">
        <v>175</v>
      </c>
      <c r="F533" s="69">
        <f t="shared" si="46"/>
        <v>262.5</v>
      </c>
      <c r="G533" s="8"/>
    </row>
    <row r="534" spans="1:7" x14ac:dyDescent="0.45">
      <c r="A534" s="8" t="s">
        <v>1252</v>
      </c>
      <c r="B534" s="4">
        <v>2.42</v>
      </c>
      <c r="C534" s="8">
        <v>92.5</v>
      </c>
      <c r="D534" s="8">
        <v>92.5</v>
      </c>
      <c r="E534" s="8">
        <v>140</v>
      </c>
      <c r="F534" s="69">
        <f t="shared" si="46"/>
        <v>338.8</v>
      </c>
      <c r="G534" s="8"/>
    </row>
    <row r="535" spans="1:7" x14ac:dyDescent="0.45">
      <c r="A535" s="8" t="s">
        <v>1253</v>
      </c>
      <c r="B535" s="4">
        <v>2.2999999999999998</v>
      </c>
      <c r="C535" s="8">
        <v>92.5</v>
      </c>
      <c r="D535" s="8">
        <v>92.5</v>
      </c>
      <c r="E535" s="8">
        <v>140</v>
      </c>
      <c r="F535" s="69">
        <f>B535*E535</f>
        <v>322</v>
      </c>
      <c r="G535" s="8"/>
    </row>
    <row r="536" spans="1:7" x14ac:dyDescent="0.45">
      <c r="A536" s="8" t="s">
        <v>1254</v>
      </c>
      <c r="B536" s="4">
        <v>2.4500000000000002</v>
      </c>
      <c r="C536" s="8">
        <v>92.5</v>
      </c>
      <c r="D536" s="8">
        <v>92.5</v>
      </c>
      <c r="E536" s="8">
        <v>140</v>
      </c>
      <c r="F536" s="69">
        <f>B536*E536</f>
        <v>343</v>
      </c>
      <c r="G536" s="8"/>
    </row>
    <row r="537" spans="1:7" x14ac:dyDescent="0.45">
      <c r="A537" s="8" t="s">
        <v>1324</v>
      </c>
      <c r="B537" s="4">
        <v>2.2400000000000002</v>
      </c>
      <c r="C537" s="8">
        <v>92.5</v>
      </c>
      <c r="D537" s="8">
        <v>92.5</v>
      </c>
      <c r="E537" s="8">
        <v>140</v>
      </c>
      <c r="F537" s="69">
        <f>B537*E537</f>
        <v>313.60000000000002</v>
      </c>
      <c r="G537" s="8"/>
    </row>
    <row r="538" spans="1:7" x14ac:dyDescent="0.45">
      <c r="A538" s="8" t="s">
        <v>1325</v>
      </c>
      <c r="B538" s="4">
        <v>2.04</v>
      </c>
      <c r="C538" s="8">
        <v>92.5</v>
      </c>
      <c r="D538" s="8">
        <v>92.5</v>
      </c>
      <c r="E538" s="8">
        <v>140</v>
      </c>
      <c r="F538" s="69">
        <f>B538*E538</f>
        <v>285.60000000000002</v>
      </c>
      <c r="G538" s="8"/>
    </row>
    <row r="539" spans="1:7" x14ac:dyDescent="0.45">
      <c r="A539" s="8" t="s">
        <v>1326</v>
      </c>
      <c r="B539" s="4">
        <v>1.58</v>
      </c>
      <c r="C539" s="8">
        <v>92.5</v>
      </c>
      <c r="D539" s="8">
        <v>92.5</v>
      </c>
      <c r="E539" s="8">
        <v>140</v>
      </c>
      <c r="F539" s="69">
        <f>B539*E539</f>
        <v>221.20000000000002</v>
      </c>
      <c r="G539" s="8"/>
    </row>
    <row r="540" spans="1:7" x14ac:dyDescent="0.45">
      <c r="A540" s="8" t="s">
        <v>1327</v>
      </c>
      <c r="B540" s="4">
        <v>1.58</v>
      </c>
      <c r="C540" s="8">
        <v>92.5</v>
      </c>
      <c r="D540" s="8">
        <v>92.5</v>
      </c>
      <c r="E540" s="8">
        <v>140</v>
      </c>
      <c r="F540" s="69">
        <f t="shared" si="46"/>
        <v>221.20000000000002</v>
      </c>
      <c r="G540" s="8"/>
    </row>
    <row r="541" spans="1:7" x14ac:dyDescent="0.45">
      <c r="A541" s="8" t="s">
        <v>329</v>
      </c>
      <c r="B541" s="4">
        <v>4.72</v>
      </c>
      <c r="C541" s="8">
        <v>92.5</v>
      </c>
      <c r="D541" s="8">
        <v>92.5</v>
      </c>
      <c r="E541" s="6">
        <v>140</v>
      </c>
      <c r="F541" s="69">
        <f t="shared" si="46"/>
        <v>660.8</v>
      </c>
      <c r="G541" s="8"/>
    </row>
    <row r="542" spans="1:7" x14ac:dyDescent="0.45">
      <c r="A542" s="8" t="s">
        <v>330</v>
      </c>
      <c r="B542" s="4">
        <v>4.5</v>
      </c>
      <c r="C542" s="8">
        <v>92.5</v>
      </c>
      <c r="D542" s="8">
        <v>92.5</v>
      </c>
      <c r="E542" s="6">
        <v>140</v>
      </c>
      <c r="F542" s="69">
        <f>B542*E542</f>
        <v>630</v>
      </c>
      <c r="G542" s="8"/>
    </row>
    <row r="543" spans="1:7" x14ac:dyDescent="0.45">
      <c r="A543" s="8" t="s">
        <v>331</v>
      </c>
      <c r="B543" s="4">
        <v>4.6500000000000004</v>
      </c>
      <c r="C543" s="8">
        <v>92.5</v>
      </c>
      <c r="D543" s="8">
        <v>92.5</v>
      </c>
      <c r="E543" s="6">
        <v>140</v>
      </c>
      <c r="F543" s="69">
        <f t="shared" ref="F543:F605" si="47">B543*E543</f>
        <v>651</v>
      </c>
      <c r="G543" s="8"/>
    </row>
    <row r="544" spans="1:7" x14ac:dyDescent="0.45">
      <c r="A544" s="8" t="s">
        <v>332</v>
      </c>
      <c r="B544" s="4">
        <v>4.46</v>
      </c>
      <c r="C544" s="8">
        <v>92.5</v>
      </c>
      <c r="D544" s="8">
        <v>92.5</v>
      </c>
      <c r="E544" s="6">
        <v>140</v>
      </c>
      <c r="F544" s="69">
        <f t="shared" si="47"/>
        <v>624.4</v>
      </c>
      <c r="G544" s="8"/>
    </row>
    <row r="545" spans="1:7" x14ac:dyDescent="0.45">
      <c r="A545" s="8" t="s">
        <v>333</v>
      </c>
      <c r="B545" s="4">
        <v>3.35</v>
      </c>
      <c r="C545" s="8">
        <v>92.5</v>
      </c>
      <c r="D545" s="8">
        <v>92.5</v>
      </c>
      <c r="E545" s="6">
        <v>140</v>
      </c>
      <c r="F545" s="69">
        <f t="shared" si="47"/>
        <v>469</v>
      </c>
      <c r="G545" s="8"/>
    </row>
    <row r="546" spans="1:7" x14ac:dyDescent="0.45">
      <c r="A546" s="8" t="s">
        <v>334</v>
      </c>
      <c r="B546" s="4">
        <v>3.78</v>
      </c>
      <c r="C546" s="8">
        <v>92.5</v>
      </c>
      <c r="D546" s="8">
        <v>92.5</v>
      </c>
      <c r="E546" s="6">
        <v>140</v>
      </c>
      <c r="F546" s="69">
        <f t="shared" si="47"/>
        <v>529.19999999999993</v>
      </c>
      <c r="G546" s="8"/>
    </row>
    <row r="547" spans="1:7" x14ac:dyDescent="0.45">
      <c r="A547" s="8" t="s">
        <v>335</v>
      </c>
      <c r="B547" s="4">
        <v>4.0999999999999996</v>
      </c>
      <c r="C547" s="8">
        <v>92.5</v>
      </c>
      <c r="D547" s="8">
        <v>92.5</v>
      </c>
      <c r="E547" s="6">
        <v>140</v>
      </c>
      <c r="F547" s="69">
        <f t="shared" si="47"/>
        <v>574</v>
      </c>
      <c r="G547" s="8"/>
    </row>
    <row r="548" spans="1:7" x14ac:dyDescent="0.45">
      <c r="A548" s="8" t="s">
        <v>336</v>
      </c>
      <c r="B548" s="4">
        <v>5.08</v>
      </c>
      <c r="C548" s="8">
        <v>92.5</v>
      </c>
      <c r="D548" s="8">
        <v>92.5</v>
      </c>
      <c r="E548" s="6">
        <v>140</v>
      </c>
      <c r="F548" s="69">
        <f t="shared" si="47"/>
        <v>711.2</v>
      </c>
      <c r="G548" s="8"/>
    </row>
    <row r="549" spans="1:7" x14ac:dyDescent="0.45">
      <c r="A549" s="8" t="s">
        <v>337</v>
      </c>
      <c r="B549" s="4">
        <v>4.9000000000000004</v>
      </c>
      <c r="C549" s="8">
        <v>92.5</v>
      </c>
      <c r="D549" s="8">
        <v>92.5</v>
      </c>
      <c r="E549" s="6">
        <v>140</v>
      </c>
      <c r="F549" s="69">
        <f t="shared" si="47"/>
        <v>686</v>
      </c>
      <c r="G549" s="8"/>
    </row>
    <row r="550" spans="1:7" x14ac:dyDescent="0.45">
      <c r="A550" s="8" t="s">
        <v>338</v>
      </c>
      <c r="B550" s="4">
        <v>4.46</v>
      </c>
      <c r="C550" s="8">
        <v>92.5</v>
      </c>
      <c r="D550" s="8">
        <v>92.5</v>
      </c>
      <c r="E550" s="6">
        <v>140</v>
      </c>
      <c r="F550" s="69">
        <f t="shared" si="47"/>
        <v>624.4</v>
      </c>
      <c r="G550" s="8"/>
    </row>
    <row r="551" spans="1:7" x14ac:dyDescent="0.45">
      <c r="A551" s="8" t="s">
        <v>339</v>
      </c>
      <c r="B551" s="4">
        <v>4.0599999999999996</v>
      </c>
      <c r="C551" s="8">
        <v>92.5</v>
      </c>
      <c r="D551" s="8">
        <v>92.5</v>
      </c>
      <c r="E551" s="6">
        <v>140</v>
      </c>
      <c r="F551" s="69">
        <f t="shared" si="47"/>
        <v>568.4</v>
      </c>
      <c r="G551" s="8"/>
    </row>
    <row r="552" spans="1:7" x14ac:dyDescent="0.45">
      <c r="A552" s="8" t="s">
        <v>340</v>
      </c>
      <c r="B552" s="4">
        <v>3.95</v>
      </c>
      <c r="C552" s="8">
        <v>92.5</v>
      </c>
      <c r="D552" s="8">
        <v>92.5</v>
      </c>
      <c r="E552" s="6">
        <v>140</v>
      </c>
      <c r="F552" s="69">
        <f t="shared" si="47"/>
        <v>553</v>
      </c>
      <c r="G552" s="8"/>
    </row>
    <row r="553" spans="1:7" x14ac:dyDescent="0.45">
      <c r="A553" s="8" t="s">
        <v>341</v>
      </c>
      <c r="B553" s="4">
        <v>3.92</v>
      </c>
      <c r="C553" s="8">
        <v>92.5</v>
      </c>
      <c r="D553" s="8">
        <v>92.5</v>
      </c>
      <c r="E553" s="6">
        <v>140</v>
      </c>
      <c r="F553" s="69">
        <f t="shared" si="47"/>
        <v>548.79999999999995</v>
      </c>
      <c r="G553" s="8"/>
    </row>
    <row r="554" spans="1:7" x14ac:dyDescent="0.45">
      <c r="A554" s="8" t="s">
        <v>342</v>
      </c>
      <c r="B554" s="4">
        <v>1.81</v>
      </c>
      <c r="C554" s="8">
        <v>92.5</v>
      </c>
      <c r="D554" s="8">
        <v>92.5</v>
      </c>
      <c r="E554" s="6">
        <v>140</v>
      </c>
      <c r="F554" s="69">
        <f t="shared" si="47"/>
        <v>253.4</v>
      </c>
      <c r="G554" s="8"/>
    </row>
    <row r="555" spans="1:7" x14ac:dyDescent="0.45">
      <c r="A555" s="8" t="s">
        <v>343</v>
      </c>
      <c r="B555" s="4">
        <v>2.2999999999999998</v>
      </c>
      <c r="C555" s="8">
        <v>92.5</v>
      </c>
      <c r="D555" s="8">
        <v>92.5</v>
      </c>
      <c r="E555" s="6">
        <v>140</v>
      </c>
      <c r="F555" s="69">
        <f t="shared" si="47"/>
        <v>322</v>
      </c>
      <c r="G555" s="8"/>
    </row>
    <row r="556" spans="1:7" x14ac:dyDescent="0.45">
      <c r="A556" s="8" t="s">
        <v>344</v>
      </c>
      <c r="B556" s="4">
        <v>3.6</v>
      </c>
      <c r="C556" s="8">
        <v>92.5</v>
      </c>
      <c r="D556" s="8">
        <v>92.5</v>
      </c>
      <c r="E556" s="6">
        <v>140</v>
      </c>
      <c r="F556" s="69">
        <f t="shared" si="47"/>
        <v>504</v>
      </c>
      <c r="G556" s="8"/>
    </row>
    <row r="557" spans="1:7" x14ac:dyDescent="0.45">
      <c r="A557" s="8" t="s">
        <v>345</v>
      </c>
      <c r="B557" s="4">
        <v>4.0999999999999996</v>
      </c>
      <c r="C557" s="8">
        <v>92.5</v>
      </c>
      <c r="D557" s="8">
        <v>92.5</v>
      </c>
      <c r="E557" s="6">
        <v>140</v>
      </c>
      <c r="F557" s="69">
        <f t="shared" si="47"/>
        <v>574</v>
      </c>
      <c r="G557" s="8"/>
    </row>
    <row r="558" spans="1:7" x14ac:dyDescent="0.45">
      <c r="A558" s="8" t="s">
        <v>346</v>
      </c>
      <c r="B558" s="4">
        <v>2.95</v>
      </c>
      <c r="C558" s="8">
        <v>92.5</v>
      </c>
      <c r="D558" s="8">
        <v>92.5</v>
      </c>
      <c r="E558" s="6">
        <v>140</v>
      </c>
      <c r="F558" s="69">
        <f t="shared" si="47"/>
        <v>413</v>
      </c>
      <c r="G558" s="8"/>
    </row>
    <row r="559" spans="1:7" x14ac:dyDescent="0.45">
      <c r="A559" s="8" t="s">
        <v>347</v>
      </c>
      <c r="B559" s="4">
        <v>3.07</v>
      </c>
      <c r="C559" s="8">
        <v>92.5</v>
      </c>
      <c r="D559" s="8">
        <v>92.5</v>
      </c>
      <c r="E559" s="6">
        <v>140</v>
      </c>
      <c r="F559" s="69">
        <f t="shared" si="47"/>
        <v>429.79999999999995</v>
      </c>
      <c r="G559" s="8"/>
    </row>
    <row r="560" spans="1:7" x14ac:dyDescent="0.45">
      <c r="A560" s="8" t="s">
        <v>348</v>
      </c>
      <c r="B560" s="4">
        <v>3.15</v>
      </c>
      <c r="C560" s="8">
        <v>92.5</v>
      </c>
      <c r="D560" s="8">
        <v>92.5</v>
      </c>
      <c r="E560" s="6">
        <v>140</v>
      </c>
      <c r="F560" s="69">
        <f t="shared" si="47"/>
        <v>441</v>
      </c>
      <c r="G560" s="8"/>
    </row>
    <row r="561" spans="1:7" x14ac:dyDescent="0.45">
      <c r="A561" s="8" t="s">
        <v>349</v>
      </c>
      <c r="B561" s="4">
        <v>2.57</v>
      </c>
      <c r="C561" s="8">
        <v>92.5</v>
      </c>
      <c r="D561" s="8">
        <v>92.5</v>
      </c>
      <c r="E561" s="6">
        <v>140</v>
      </c>
      <c r="F561" s="69">
        <f t="shared" si="47"/>
        <v>359.79999999999995</v>
      </c>
      <c r="G561" s="8"/>
    </row>
    <row r="562" spans="1:7" x14ac:dyDescent="0.45">
      <c r="A562" s="8" t="s">
        <v>350</v>
      </c>
      <c r="B562" s="4">
        <v>3.45</v>
      </c>
      <c r="C562" s="8">
        <v>92.5</v>
      </c>
      <c r="D562" s="8">
        <v>92.5</v>
      </c>
      <c r="E562" s="6">
        <v>140</v>
      </c>
      <c r="F562" s="69">
        <f t="shared" si="47"/>
        <v>483</v>
      </c>
      <c r="G562" s="8"/>
    </row>
    <row r="563" spans="1:7" x14ac:dyDescent="0.45">
      <c r="A563" s="8" t="s">
        <v>351</v>
      </c>
      <c r="B563" s="4">
        <v>3.15</v>
      </c>
      <c r="C563" s="8">
        <v>92.5</v>
      </c>
      <c r="D563" s="8">
        <v>92.5</v>
      </c>
      <c r="E563" s="6">
        <v>140</v>
      </c>
      <c r="F563" s="69">
        <f t="shared" si="47"/>
        <v>441</v>
      </c>
      <c r="G563" s="8"/>
    </row>
    <row r="564" spans="1:7" x14ac:dyDescent="0.45">
      <c r="A564" s="8" t="s">
        <v>352</v>
      </c>
      <c r="B564" s="4">
        <v>2.5499999999999998</v>
      </c>
      <c r="C564" s="8">
        <v>92.5</v>
      </c>
      <c r="D564" s="8">
        <v>92.5</v>
      </c>
      <c r="E564" s="6">
        <v>140</v>
      </c>
      <c r="F564" s="69">
        <f t="shared" si="47"/>
        <v>357</v>
      </c>
      <c r="G564" s="8"/>
    </row>
    <row r="565" spans="1:7" x14ac:dyDescent="0.45">
      <c r="A565" s="8" t="s">
        <v>353</v>
      </c>
      <c r="B565" s="4">
        <v>3.7</v>
      </c>
      <c r="C565" s="8">
        <v>92.5</v>
      </c>
      <c r="D565" s="8">
        <v>92.5</v>
      </c>
      <c r="E565" s="6">
        <v>140</v>
      </c>
      <c r="F565" s="69">
        <f t="shared" si="47"/>
        <v>518</v>
      </c>
      <c r="G565" s="8"/>
    </row>
    <row r="566" spans="1:7" x14ac:dyDescent="0.45">
      <c r="A566" s="8" t="s">
        <v>354</v>
      </c>
      <c r="B566" s="4">
        <v>3.81</v>
      </c>
      <c r="C566" s="8">
        <v>92.5</v>
      </c>
      <c r="D566" s="8">
        <v>92.5</v>
      </c>
      <c r="E566" s="6">
        <v>140</v>
      </c>
      <c r="F566" s="69">
        <f t="shared" si="47"/>
        <v>533.4</v>
      </c>
      <c r="G566" s="8"/>
    </row>
    <row r="567" spans="1:7" x14ac:dyDescent="0.45">
      <c r="A567" s="8" t="s">
        <v>355</v>
      </c>
      <c r="B567" s="4">
        <v>3.31</v>
      </c>
      <c r="C567" s="8">
        <v>92.5</v>
      </c>
      <c r="D567" s="8">
        <v>92.5</v>
      </c>
      <c r="E567" s="6">
        <v>140</v>
      </c>
      <c r="F567" s="69">
        <f t="shared" si="47"/>
        <v>463.40000000000003</v>
      </c>
      <c r="G567" s="8"/>
    </row>
    <row r="568" spans="1:7" x14ac:dyDescent="0.45">
      <c r="A568" s="8" t="s">
        <v>356</v>
      </c>
      <c r="B568" s="4">
        <v>1.4</v>
      </c>
      <c r="C568" s="8">
        <v>92.5</v>
      </c>
      <c r="D568" s="8">
        <v>92.5</v>
      </c>
      <c r="E568" s="6">
        <v>140</v>
      </c>
      <c r="F568" s="69">
        <f t="shared" si="47"/>
        <v>196</v>
      </c>
      <c r="G568" s="8"/>
    </row>
    <row r="569" spans="1:7" x14ac:dyDescent="0.45">
      <c r="A569" s="8" t="s">
        <v>357</v>
      </c>
      <c r="B569" s="4">
        <v>1.92</v>
      </c>
      <c r="C569" s="8">
        <v>92.5</v>
      </c>
      <c r="D569" s="8">
        <v>92.5</v>
      </c>
      <c r="E569" s="6">
        <v>140</v>
      </c>
      <c r="F569" s="69">
        <f t="shared" si="47"/>
        <v>268.8</v>
      </c>
      <c r="G569" s="8"/>
    </row>
    <row r="570" spans="1:7" x14ac:dyDescent="0.45">
      <c r="A570" s="8" t="s">
        <v>358</v>
      </c>
      <c r="B570" s="4">
        <v>1.96</v>
      </c>
      <c r="C570" s="8">
        <v>92.5</v>
      </c>
      <c r="D570" s="8">
        <v>92.5</v>
      </c>
      <c r="E570" s="6">
        <v>140</v>
      </c>
      <c r="F570" s="69">
        <f t="shared" si="47"/>
        <v>274.39999999999998</v>
      </c>
      <c r="G570" s="8"/>
    </row>
    <row r="571" spans="1:7" x14ac:dyDescent="0.45">
      <c r="A571" s="8" t="s">
        <v>359</v>
      </c>
      <c r="B571" s="4">
        <v>1.87</v>
      </c>
      <c r="C571" s="8">
        <v>92.5</v>
      </c>
      <c r="D571" s="8">
        <v>92.5</v>
      </c>
      <c r="E571" s="6">
        <v>140</v>
      </c>
      <c r="F571" s="69">
        <f t="shared" si="47"/>
        <v>261.8</v>
      </c>
      <c r="G571" s="8"/>
    </row>
    <row r="572" spans="1:7" x14ac:dyDescent="0.45">
      <c r="A572" s="8" t="s">
        <v>360</v>
      </c>
      <c r="B572" s="4">
        <v>1.9</v>
      </c>
      <c r="C572" s="8">
        <v>92.5</v>
      </c>
      <c r="D572" s="8">
        <v>92.5</v>
      </c>
      <c r="E572" s="6">
        <v>140</v>
      </c>
      <c r="F572" s="69">
        <f t="shared" si="47"/>
        <v>266</v>
      </c>
      <c r="G572" s="8"/>
    </row>
    <row r="573" spans="1:7" x14ac:dyDescent="0.45">
      <c r="A573" s="8" t="s">
        <v>361</v>
      </c>
      <c r="B573" s="4">
        <v>1.31</v>
      </c>
      <c r="C573" s="8">
        <v>92.5</v>
      </c>
      <c r="D573" s="8">
        <v>92.5</v>
      </c>
      <c r="E573" s="6">
        <v>140</v>
      </c>
      <c r="F573" s="69">
        <f t="shared" si="47"/>
        <v>183.4</v>
      </c>
      <c r="G573" s="8"/>
    </row>
    <row r="574" spans="1:7" x14ac:dyDescent="0.45">
      <c r="A574" s="8" t="s">
        <v>362</v>
      </c>
      <c r="B574" s="4">
        <v>1.75</v>
      </c>
      <c r="C574" s="8">
        <v>92.5</v>
      </c>
      <c r="D574" s="8">
        <v>92.5</v>
      </c>
      <c r="E574" s="6">
        <v>140</v>
      </c>
      <c r="F574" s="69">
        <f t="shared" si="47"/>
        <v>245</v>
      </c>
      <c r="G574" s="8"/>
    </row>
    <row r="575" spans="1:7" x14ac:dyDescent="0.45">
      <c r="A575" s="8" t="s">
        <v>363</v>
      </c>
      <c r="B575" s="4">
        <v>1.8</v>
      </c>
      <c r="C575" s="8">
        <v>92.5</v>
      </c>
      <c r="D575" s="8">
        <v>92.5</v>
      </c>
      <c r="E575" s="6">
        <v>140</v>
      </c>
      <c r="F575" s="69">
        <f t="shared" si="47"/>
        <v>252</v>
      </c>
      <c r="G575" s="8"/>
    </row>
    <row r="576" spans="1:7" x14ac:dyDescent="0.45">
      <c r="A576" s="8" t="s">
        <v>364</v>
      </c>
      <c r="B576" s="4">
        <v>1.68</v>
      </c>
      <c r="C576" s="8">
        <v>92.5</v>
      </c>
      <c r="D576" s="8">
        <v>92.5</v>
      </c>
      <c r="E576" s="6">
        <v>140</v>
      </c>
      <c r="F576" s="69">
        <f t="shared" si="47"/>
        <v>235.2</v>
      </c>
      <c r="G576" s="8"/>
    </row>
    <row r="577" spans="1:7" x14ac:dyDescent="0.45">
      <c r="A577" s="8" t="s">
        <v>365</v>
      </c>
      <c r="B577" s="4">
        <v>2.9</v>
      </c>
      <c r="C577" s="8">
        <v>92.5</v>
      </c>
      <c r="D577" s="8">
        <v>92.5</v>
      </c>
      <c r="E577" s="6">
        <v>140</v>
      </c>
      <c r="F577" s="69">
        <f t="shared" si="47"/>
        <v>406</v>
      </c>
      <c r="G577" s="8"/>
    </row>
    <row r="578" spans="1:7" x14ac:dyDescent="0.45">
      <c r="A578" s="8" t="s">
        <v>366</v>
      </c>
      <c r="B578" s="4">
        <v>1.28</v>
      </c>
      <c r="C578" s="8">
        <v>92.5</v>
      </c>
      <c r="D578" s="8">
        <v>92.5</v>
      </c>
      <c r="E578" s="6">
        <v>140</v>
      </c>
      <c r="F578" s="69">
        <f t="shared" si="47"/>
        <v>179.20000000000002</v>
      </c>
      <c r="G578" s="8"/>
    </row>
    <row r="579" spans="1:7" x14ac:dyDescent="0.45">
      <c r="A579" s="8" t="s">
        <v>367</v>
      </c>
      <c r="B579" s="4">
        <v>1.5</v>
      </c>
      <c r="C579" s="8">
        <v>92.5</v>
      </c>
      <c r="D579" s="8">
        <v>92.5</v>
      </c>
      <c r="E579" s="6">
        <v>140</v>
      </c>
      <c r="F579" s="69">
        <f t="shared" si="47"/>
        <v>210</v>
      </c>
      <c r="G579" s="8"/>
    </row>
    <row r="580" spans="1:7" x14ac:dyDescent="0.45">
      <c r="A580" s="8" t="s">
        <v>368</v>
      </c>
      <c r="B580" s="4">
        <v>1.8</v>
      </c>
      <c r="C580" s="8">
        <v>92.5</v>
      </c>
      <c r="D580" s="8">
        <v>92.5</v>
      </c>
      <c r="E580" s="6">
        <v>140</v>
      </c>
      <c r="F580" s="69">
        <f t="shared" si="47"/>
        <v>252</v>
      </c>
      <c r="G580" s="8"/>
    </row>
    <row r="581" spans="1:7" x14ac:dyDescent="0.45">
      <c r="A581" s="8" t="s">
        <v>369</v>
      </c>
      <c r="B581" s="4">
        <v>1.7</v>
      </c>
      <c r="C581" s="8">
        <v>92.5</v>
      </c>
      <c r="D581" s="8">
        <v>92.5</v>
      </c>
      <c r="E581" s="6">
        <v>140</v>
      </c>
      <c r="F581" s="69">
        <f t="shared" si="47"/>
        <v>238</v>
      </c>
      <c r="G581" s="8"/>
    </row>
    <row r="582" spans="1:7" x14ac:dyDescent="0.45">
      <c r="A582" s="8" t="s">
        <v>370</v>
      </c>
      <c r="B582" s="4">
        <v>1.5</v>
      </c>
      <c r="C582" s="8">
        <v>92.5</v>
      </c>
      <c r="D582" s="8">
        <v>92.5</v>
      </c>
      <c r="E582" s="6">
        <v>140</v>
      </c>
      <c r="F582" s="69">
        <f t="shared" si="47"/>
        <v>210</v>
      </c>
      <c r="G582" s="8"/>
    </row>
    <row r="583" spans="1:7" x14ac:dyDescent="0.45">
      <c r="A583" s="8" t="s">
        <v>371</v>
      </c>
      <c r="B583" s="4">
        <v>1.6</v>
      </c>
      <c r="C583" s="8">
        <v>92.5</v>
      </c>
      <c r="D583" s="8">
        <v>92.5</v>
      </c>
      <c r="E583" s="6">
        <v>140</v>
      </c>
      <c r="F583" s="69">
        <f t="shared" si="47"/>
        <v>224</v>
      </c>
      <c r="G583" s="8"/>
    </row>
    <row r="584" spans="1:7" x14ac:dyDescent="0.45">
      <c r="A584" s="8" t="s">
        <v>372</v>
      </c>
      <c r="B584" s="4">
        <v>1.6</v>
      </c>
      <c r="C584" s="8">
        <v>92.5</v>
      </c>
      <c r="D584" s="8">
        <v>92.5</v>
      </c>
      <c r="E584" s="6">
        <v>140</v>
      </c>
      <c r="F584" s="69">
        <f t="shared" si="47"/>
        <v>224</v>
      </c>
      <c r="G584" s="8"/>
    </row>
    <row r="585" spans="1:7" x14ac:dyDescent="0.45">
      <c r="A585" s="8" t="s">
        <v>373</v>
      </c>
      <c r="B585" s="4">
        <v>1.4</v>
      </c>
      <c r="C585" s="8">
        <v>92.5</v>
      </c>
      <c r="D585" s="8">
        <v>92.5</v>
      </c>
      <c r="E585" s="6">
        <v>140</v>
      </c>
      <c r="F585" s="69">
        <f t="shared" si="47"/>
        <v>196</v>
      </c>
      <c r="G585" s="8"/>
    </row>
    <row r="586" spans="1:7" x14ac:dyDescent="0.45">
      <c r="A586" s="8" t="s">
        <v>374</v>
      </c>
      <c r="B586" s="4">
        <v>1.6</v>
      </c>
      <c r="C586" s="8">
        <v>92.5</v>
      </c>
      <c r="D586" s="8">
        <v>92.5</v>
      </c>
      <c r="E586" s="6">
        <v>140</v>
      </c>
      <c r="F586" s="69">
        <f t="shared" si="47"/>
        <v>224</v>
      </c>
      <c r="G586" s="8"/>
    </row>
    <row r="587" spans="1:7" x14ac:dyDescent="0.45">
      <c r="A587" s="8" t="s">
        <v>375</v>
      </c>
      <c r="B587" s="4">
        <v>1.35</v>
      </c>
      <c r="C587" s="8">
        <v>92.5</v>
      </c>
      <c r="D587" s="8">
        <v>92.5</v>
      </c>
      <c r="E587" s="6">
        <v>140</v>
      </c>
      <c r="F587" s="69">
        <f t="shared" si="47"/>
        <v>189</v>
      </c>
      <c r="G587" s="8"/>
    </row>
    <row r="588" spans="1:7" x14ac:dyDescent="0.45">
      <c r="A588" s="8" t="s">
        <v>376</v>
      </c>
      <c r="B588" s="4">
        <v>1.6</v>
      </c>
      <c r="C588" s="8">
        <v>92.5</v>
      </c>
      <c r="D588" s="8">
        <v>92.5</v>
      </c>
      <c r="E588" s="6">
        <v>140</v>
      </c>
      <c r="F588" s="69">
        <f t="shared" si="47"/>
        <v>224</v>
      </c>
      <c r="G588" s="8"/>
    </row>
    <row r="589" spans="1:7" x14ac:dyDescent="0.45">
      <c r="A589" s="8" t="s">
        <v>377</v>
      </c>
      <c r="B589" s="4">
        <v>1.4</v>
      </c>
      <c r="C589" s="8">
        <v>92.5</v>
      </c>
      <c r="D589" s="8">
        <v>92.5</v>
      </c>
      <c r="E589" s="6">
        <v>140</v>
      </c>
      <c r="F589" s="69">
        <f t="shared" si="47"/>
        <v>196</v>
      </c>
      <c r="G589" s="8"/>
    </row>
    <row r="590" spans="1:7" x14ac:dyDescent="0.45">
      <c r="A590" s="8" t="s">
        <v>378</v>
      </c>
      <c r="B590" s="4">
        <v>1.25</v>
      </c>
      <c r="C590" s="8">
        <v>92.5</v>
      </c>
      <c r="D590" s="8">
        <v>92.5</v>
      </c>
      <c r="E590" s="6">
        <v>140</v>
      </c>
      <c r="F590" s="69">
        <f t="shared" si="47"/>
        <v>175</v>
      </c>
      <c r="G590" s="8"/>
    </row>
    <row r="591" spans="1:7" x14ac:dyDescent="0.45">
      <c r="A591" s="8" t="s">
        <v>379</v>
      </c>
      <c r="B591" s="4">
        <v>1.81</v>
      </c>
      <c r="C591" s="8">
        <v>92.5</v>
      </c>
      <c r="D591" s="8">
        <v>92.5</v>
      </c>
      <c r="E591" s="6">
        <v>140</v>
      </c>
      <c r="F591" s="69">
        <f t="shared" si="47"/>
        <v>253.4</v>
      </c>
      <c r="G591" s="8"/>
    </row>
    <row r="592" spans="1:7" x14ac:dyDescent="0.45">
      <c r="A592" s="8" t="s">
        <v>380</v>
      </c>
      <c r="B592" s="4">
        <v>1.25</v>
      </c>
      <c r="C592" s="8">
        <v>92.5</v>
      </c>
      <c r="D592" s="8">
        <v>92.5</v>
      </c>
      <c r="E592" s="6">
        <v>140</v>
      </c>
      <c r="F592" s="69">
        <f t="shared" si="47"/>
        <v>175</v>
      </c>
      <c r="G592" s="8"/>
    </row>
    <row r="593" spans="1:7" x14ac:dyDescent="0.45">
      <c r="A593" s="8" t="s">
        <v>381</v>
      </c>
      <c r="B593" s="4">
        <v>1.51</v>
      </c>
      <c r="C593" s="8">
        <v>92.5</v>
      </c>
      <c r="D593" s="8">
        <v>92.5</v>
      </c>
      <c r="E593" s="6">
        <v>140</v>
      </c>
      <c r="F593" s="69">
        <f t="shared" si="47"/>
        <v>211.4</v>
      </c>
      <c r="G593" s="8"/>
    </row>
    <row r="594" spans="1:7" x14ac:dyDescent="0.45">
      <c r="A594" s="8" t="s">
        <v>382</v>
      </c>
      <c r="B594" s="4">
        <v>1.35</v>
      </c>
      <c r="C594" s="8">
        <v>92.5</v>
      </c>
      <c r="D594" s="8">
        <v>92.5</v>
      </c>
      <c r="E594" s="6">
        <v>140</v>
      </c>
      <c r="F594" s="69">
        <f t="shared" si="47"/>
        <v>189</v>
      </c>
      <c r="G594" s="8"/>
    </row>
    <row r="595" spans="1:7" x14ac:dyDescent="0.45">
      <c r="A595" s="8" t="s">
        <v>383</v>
      </c>
      <c r="B595" s="4">
        <v>5.73</v>
      </c>
      <c r="C595" s="8">
        <v>92.5</v>
      </c>
      <c r="D595" s="8">
        <v>92.5</v>
      </c>
      <c r="E595" s="6">
        <v>127</v>
      </c>
      <c r="F595" s="69">
        <f t="shared" si="47"/>
        <v>727.71</v>
      </c>
      <c r="G595" s="8"/>
    </row>
    <row r="596" spans="1:7" x14ac:dyDescent="0.45">
      <c r="A596" s="8" t="s">
        <v>384</v>
      </c>
      <c r="B596" s="4">
        <v>6.39</v>
      </c>
      <c r="C596" s="8">
        <v>92.5</v>
      </c>
      <c r="D596" s="8">
        <v>92.5</v>
      </c>
      <c r="E596" s="6">
        <v>127</v>
      </c>
      <c r="F596" s="69">
        <f t="shared" si="47"/>
        <v>811.53</v>
      </c>
      <c r="G596" s="8"/>
    </row>
    <row r="597" spans="1:7" x14ac:dyDescent="0.45">
      <c r="A597" s="8" t="s">
        <v>385</v>
      </c>
      <c r="B597" s="4">
        <v>5.31</v>
      </c>
      <c r="C597" s="8">
        <v>92.5</v>
      </c>
      <c r="D597" s="8">
        <v>92.5</v>
      </c>
      <c r="E597" s="6">
        <v>127</v>
      </c>
      <c r="F597" s="69">
        <f t="shared" si="47"/>
        <v>674.37</v>
      </c>
      <c r="G597" s="8"/>
    </row>
    <row r="598" spans="1:7" x14ac:dyDescent="0.45">
      <c r="A598" s="8" t="s">
        <v>386</v>
      </c>
      <c r="B598" s="4">
        <v>5.12</v>
      </c>
      <c r="C598" s="8">
        <v>92.5</v>
      </c>
      <c r="D598" s="8">
        <v>92.5</v>
      </c>
      <c r="E598" s="6">
        <v>127</v>
      </c>
      <c r="F598" s="69">
        <f t="shared" si="47"/>
        <v>650.24</v>
      </c>
      <c r="G598" s="8"/>
    </row>
    <row r="599" spans="1:7" x14ac:dyDescent="0.45">
      <c r="A599" s="8" t="s">
        <v>387</v>
      </c>
      <c r="B599" s="4">
        <v>5.52</v>
      </c>
      <c r="C599" s="8">
        <v>92.5</v>
      </c>
      <c r="D599" s="8">
        <v>92.5</v>
      </c>
      <c r="E599" s="6">
        <v>127</v>
      </c>
      <c r="F599" s="69">
        <f t="shared" si="47"/>
        <v>701.04</v>
      </c>
      <c r="G599" s="8"/>
    </row>
    <row r="600" spans="1:7" x14ac:dyDescent="0.45">
      <c r="A600" s="8" t="s">
        <v>388</v>
      </c>
      <c r="B600" s="4">
        <v>5.58</v>
      </c>
      <c r="C600" s="8">
        <v>92.5</v>
      </c>
      <c r="D600" s="8">
        <v>92.5</v>
      </c>
      <c r="E600" s="6">
        <v>127</v>
      </c>
      <c r="F600" s="69">
        <f t="shared" si="47"/>
        <v>708.66</v>
      </c>
      <c r="G600" s="8"/>
    </row>
    <row r="601" spans="1:7" x14ac:dyDescent="0.45">
      <c r="A601" s="8" t="s">
        <v>389</v>
      </c>
      <c r="B601" s="4">
        <v>5.39</v>
      </c>
      <c r="C601" s="8">
        <v>92.5</v>
      </c>
      <c r="D601" s="8">
        <v>92.5</v>
      </c>
      <c r="E601" s="6">
        <v>127</v>
      </c>
      <c r="F601" s="69">
        <f t="shared" si="47"/>
        <v>684.53</v>
      </c>
      <c r="G601" s="8"/>
    </row>
    <row r="602" spans="1:7" x14ac:dyDescent="0.45">
      <c r="A602" s="8" t="s">
        <v>390</v>
      </c>
      <c r="B602" s="4">
        <v>5.8</v>
      </c>
      <c r="C602" s="8">
        <v>92.5</v>
      </c>
      <c r="D602" s="8">
        <v>92.5</v>
      </c>
      <c r="E602" s="6">
        <v>127</v>
      </c>
      <c r="F602" s="69">
        <f t="shared" si="47"/>
        <v>736.6</v>
      </c>
      <c r="G602" s="8"/>
    </row>
    <row r="603" spans="1:7" x14ac:dyDescent="0.45">
      <c r="A603" s="8" t="s">
        <v>391</v>
      </c>
      <c r="B603" s="4">
        <v>5</v>
      </c>
      <c r="C603" s="8">
        <v>92.5</v>
      </c>
      <c r="D603" s="8">
        <v>92.5</v>
      </c>
      <c r="E603" s="6">
        <v>127</v>
      </c>
      <c r="F603" s="69">
        <f t="shared" si="47"/>
        <v>635</v>
      </c>
      <c r="G603" s="8"/>
    </row>
    <row r="604" spans="1:7" x14ac:dyDescent="0.45">
      <c r="A604" s="8" t="s">
        <v>392</v>
      </c>
      <c r="B604" s="4">
        <v>5.3</v>
      </c>
      <c r="C604" s="8">
        <v>92.5</v>
      </c>
      <c r="D604" s="8">
        <v>92.5</v>
      </c>
      <c r="E604" s="6">
        <v>127</v>
      </c>
      <c r="F604" s="69">
        <f t="shared" si="47"/>
        <v>673.1</v>
      </c>
      <c r="G604" s="8"/>
    </row>
    <row r="605" spans="1:7" x14ac:dyDescent="0.45">
      <c r="A605" s="8" t="s">
        <v>393</v>
      </c>
      <c r="B605" s="4">
        <v>5.49</v>
      </c>
      <c r="C605" s="8">
        <v>92.5</v>
      </c>
      <c r="D605" s="8">
        <v>92.5</v>
      </c>
      <c r="E605" s="6">
        <v>127</v>
      </c>
      <c r="F605" s="69">
        <f t="shared" si="47"/>
        <v>697.23</v>
      </c>
      <c r="G605" s="8"/>
    </row>
    <row r="606" spans="1:7" x14ac:dyDescent="0.45">
      <c r="A606" s="8" t="s">
        <v>394</v>
      </c>
      <c r="B606" s="4">
        <v>5.1100000000000003</v>
      </c>
      <c r="C606" s="8">
        <v>92.5</v>
      </c>
      <c r="D606" s="8">
        <v>92.5</v>
      </c>
      <c r="E606" s="6">
        <v>127</v>
      </c>
      <c r="F606" s="69">
        <f t="shared" ref="F606:F669" si="48">B606*E606</f>
        <v>648.97</v>
      </c>
      <c r="G606" s="8"/>
    </row>
    <row r="607" spans="1:7" x14ac:dyDescent="0.45">
      <c r="A607" s="8" t="s">
        <v>395</v>
      </c>
      <c r="B607" s="4">
        <v>5</v>
      </c>
      <c r="C607" s="8">
        <v>92.5</v>
      </c>
      <c r="D607" s="8">
        <v>92.5</v>
      </c>
      <c r="E607" s="6">
        <v>127</v>
      </c>
      <c r="F607" s="69">
        <f t="shared" si="48"/>
        <v>635</v>
      </c>
      <c r="G607" s="8"/>
    </row>
    <row r="608" spans="1:7" x14ac:dyDescent="0.45">
      <c r="A608" s="8" t="s">
        <v>396</v>
      </c>
      <c r="B608" s="4">
        <v>5.31</v>
      </c>
      <c r="C608" s="8">
        <v>92.5</v>
      </c>
      <c r="D608" s="8">
        <v>92.5</v>
      </c>
      <c r="E608" s="6">
        <v>127</v>
      </c>
      <c r="F608" s="69">
        <f t="shared" si="48"/>
        <v>674.37</v>
      </c>
      <c r="G608" s="8"/>
    </row>
    <row r="609" spans="1:7" x14ac:dyDescent="0.45">
      <c r="A609" s="8" t="s">
        <v>397</v>
      </c>
      <c r="B609" s="4">
        <v>5.37</v>
      </c>
      <c r="C609" s="8">
        <v>92.5</v>
      </c>
      <c r="D609" s="8">
        <v>92.5</v>
      </c>
      <c r="E609" s="6">
        <v>127</v>
      </c>
      <c r="F609" s="69">
        <f t="shared" si="48"/>
        <v>681.99</v>
      </c>
      <c r="G609" s="8"/>
    </row>
    <row r="610" spans="1:7" x14ac:dyDescent="0.45">
      <c r="A610" s="8" t="s">
        <v>398</v>
      </c>
      <c r="B610" s="4">
        <v>5.44</v>
      </c>
      <c r="C610" s="8">
        <v>92.5</v>
      </c>
      <c r="D610" s="8">
        <v>92.5</v>
      </c>
      <c r="E610" s="6">
        <v>127</v>
      </c>
      <c r="F610" s="69">
        <f t="shared" si="48"/>
        <v>690.88</v>
      </c>
      <c r="G610" s="8"/>
    </row>
    <row r="611" spans="1:7" x14ac:dyDescent="0.45">
      <c r="A611" s="8" t="s">
        <v>399</v>
      </c>
      <c r="B611" s="4">
        <v>4.92</v>
      </c>
      <c r="C611" s="8">
        <v>92.5</v>
      </c>
      <c r="D611" s="8">
        <v>92.5</v>
      </c>
      <c r="E611" s="6">
        <v>127</v>
      </c>
      <c r="F611" s="69">
        <f t="shared" si="48"/>
        <v>624.84</v>
      </c>
      <c r="G611" s="8"/>
    </row>
    <row r="612" spans="1:7" x14ac:dyDescent="0.45">
      <c r="A612" s="8" t="s">
        <v>400</v>
      </c>
      <c r="B612" s="4">
        <v>5.12</v>
      </c>
      <c r="C612" s="8">
        <v>92.5</v>
      </c>
      <c r="D612" s="8">
        <v>92.5</v>
      </c>
      <c r="E612" s="6">
        <v>127</v>
      </c>
      <c r="F612" s="69">
        <f t="shared" si="48"/>
        <v>650.24</v>
      </c>
      <c r="G612" s="8"/>
    </row>
    <row r="613" spans="1:7" x14ac:dyDescent="0.45">
      <c r="A613" s="8" t="s">
        <v>401</v>
      </c>
      <c r="B613" s="4">
        <v>5.29</v>
      </c>
      <c r="C613" s="8">
        <v>92.5</v>
      </c>
      <c r="D613" s="8">
        <v>92.5</v>
      </c>
      <c r="E613" s="6">
        <v>127</v>
      </c>
      <c r="F613" s="69">
        <f t="shared" si="48"/>
        <v>671.83</v>
      </c>
      <c r="G613" s="8"/>
    </row>
    <row r="614" spans="1:7" x14ac:dyDescent="0.45">
      <c r="A614" s="8" t="s">
        <v>402</v>
      </c>
      <c r="B614" s="4">
        <v>4.7</v>
      </c>
      <c r="C614" s="8">
        <v>92.5</v>
      </c>
      <c r="D614" s="8">
        <v>92.5</v>
      </c>
      <c r="E614" s="6">
        <v>127</v>
      </c>
      <c r="F614" s="69">
        <f t="shared" si="48"/>
        <v>596.9</v>
      </c>
      <c r="G614" s="8"/>
    </row>
    <row r="615" spans="1:7" x14ac:dyDescent="0.45">
      <c r="A615" s="8" t="s">
        <v>403</v>
      </c>
      <c r="B615" s="4">
        <v>5.82</v>
      </c>
      <c r="C615" s="8">
        <v>92.5</v>
      </c>
      <c r="D615" s="8">
        <v>92.5</v>
      </c>
      <c r="E615" s="6">
        <v>127</v>
      </c>
      <c r="F615" s="69">
        <f t="shared" si="48"/>
        <v>739.14</v>
      </c>
      <c r="G615" s="8"/>
    </row>
    <row r="616" spans="1:7" x14ac:dyDescent="0.45">
      <c r="A616" s="8" t="s">
        <v>404</v>
      </c>
      <c r="B616" s="4">
        <v>2.09</v>
      </c>
      <c r="C616" s="8">
        <v>92.5</v>
      </c>
      <c r="D616" s="8">
        <v>92.5</v>
      </c>
      <c r="E616" s="6">
        <v>127</v>
      </c>
      <c r="F616" s="69">
        <f t="shared" si="48"/>
        <v>265.43</v>
      </c>
      <c r="G616" s="8"/>
    </row>
    <row r="617" spans="1:7" x14ac:dyDescent="0.45">
      <c r="A617" s="8" t="s">
        <v>405</v>
      </c>
      <c r="B617" s="4">
        <v>4.4000000000000004</v>
      </c>
      <c r="C617" s="8">
        <v>92.5</v>
      </c>
      <c r="D617" s="8">
        <v>92.5</v>
      </c>
      <c r="E617" s="6">
        <v>127</v>
      </c>
      <c r="F617" s="69">
        <f t="shared" si="48"/>
        <v>558.80000000000007</v>
      </c>
      <c r="G617" s="8"/>
    </row>
    <row r="618" spans="1:7" x14ac:dyDescent="0.45">
      <c r="A618" s="8" t="s">
        <v>406</v>
      </c>
      <c r="B618" s="4">
        <v>3.44</v>
      </c>
      <c r="C618" s="8">
        <v>92.5</v>
      </c>
      <c r="D618" s="8">
        <v>92.5</v>
      </c>
      <c r="E618" s="6">
        <v>127</v>
      </c>
      <c r="F618" s="69">
        <f t="shared" si="48"/>
        <v>436.88</v>
      </c>
      <c r="G618" s="8"/>
    </row>
    <row r="619" spans="1:7" x14ac:dyDescent="0.45">
      <c r="A619" s="8" t="s">
        <v>407</v>
      </c>
      <c r="B619" s="4">
        <v>3.46</v>
      </c>
      <c r="C619" s="8">
        <v>92.5</v>
      </c>
      <c r="D619" s="8">
        <v>92.5</v>
      </c>
      <c r="E619" s="6">
        <v>127</v>
      </c>
      <c r="F619" s="69">
        <f t="shared" si="48"/>
        <v>439.42</v>
      </c>
      <c r="G619" s="8"/>
    </row>
    <row r="620" spans="1:7" x14ac:dyDescent="0.45">
      <c r="A620" s="8" t="s">
        <v>408</v>
      </c>
      <c r="B620" s="4">
        <v>4.63</v>
      </c>
      <c r="C620" s="8">
        <v>92.5</v>
      </c>
      <c r="D620" s="8">
        <v>92.5</v>
      </c>
      <c r="E620" s="6">
        <v>127</v>
      </c>
      <c r="F620" s="69">
        <f t="shared" si="48"/>
        <v>588.01</v>
      </c>
      <c r="G620" s="8"/>
    </row>
    <row r="621" spans="1:7" x14ac:dyDescent="0.45">
      <c r="A621" s="8" t="s">
        <v>409</v>
      </c>
      <c r="B621" s="4">
        <v>4.1399999999999997</v>
      </c>
      <c r="C621" s="8">
        <v>92.5</v>
      </c>
      <c r="D621" s="8">
        <v>92.5</v>
      </c>
      <c r="E621" s="6">
        <v>127</v>
      </c>
      <c r="F621" s="69">
        <f t="shared" si="48"/>
        <v>525.78</v>
      </c>
      <c r="G621" s="8"/>
    </row>
    <row r="622" spans="1:7" x14ac:dyDescent="0.45">
      <c r="A622" s="8" t="s">
        <v>410</v>
      </c>
      <c r="B622" s="4">
        <v>4.0599999999999996</v>
      </c>
      <c r="C622" s="8">
        <v>92.5</v>
      </c>
      <c r="D622" s="8">
        <v>92.5</v>
      </c>
      <c r="E622" s="6">
        <v>127</v>
      </c>
      <c r="F622" s="69">
        <f t="shared" si="48"/>
        <v>515.62</v>
      </c>
      <c r="G622" s="8"/>
    </row>
    <row r="623" spans="1:7" x14ac:dyDescent="0.45">
      <c r="A623" s="8" t="s">
        <v>411</v>
      </c>
      <c r="B623" s="4">
        <v>4.3499999999999996</v>
      </c>
      <c r="C623" s="8">
        <v>92.5</v>
      </c>
      <c r="D623" s="8">
        <v>92.5</v>
      </c>
      <c r="E623" s="6">
        <v>127</v>
      </c>
      <c r="F623" s="69">
        <f t="shared" si="48"/>
        <v>552.44999999999993</v>
      </c>
      <c r="G623" s="8"/>
    </row>
    <row r="624" spans="1:7" x14ac:dyDescent="0.45">
      <c r="A624" s="8" t="s">
        <v>412</v>
      </c>
      <c r="B624" s="4">
        <v>3.35</v>
      </c>
      <c r="C624" s="8">
        <v>92.5</v>
      </c>
      <c r="D624" s="8">
        <v>92.5</v>
      </c>
      <c r="E624" s="6">
        <v>127</v>
      </c>
      <c r="F624" s="69">
        <f t="shared" si="48"/>
        <v>425.45</v>
      </c>
      <c r="G624" s="8"/>
    </row>
    <row r="625" spans="1:7" x14ac:dyDescent="0.45">
      <c r="A625" s="8" t="s">
        <v>413</v>
      </c>
      <c r="B625" s="4">
        <v>2.2599999999999998</v>
      </c>
      <c r="C625" s="8">
        <v>92.5</v>
      </c>
      <c r="D625" s="8">
        <v>92.5</v>
      </c>
      <c r="E625" s="6">
        <v>127</v>
      </c>
      <c r="F625" s="69">
        <f t="shared" si="48"/>
        <v>287.02</v>
      </c>
      <c r="G625" s="8"/>
    </row>
    <row r="626" spans="1:7" x14ac:dyDescent="0.45">
      <c r="A626" s="8" t="s">
        <v>414</v>
      </c>
      <c r="B626" s="4">
        <v>4.25</v>
      </c>
      <c r="C626" s="8">
        <v>92.5</v>
      </c>
      <c r="D626" s="8">
        <v>92.5</v>
      </c>
      <c r="E626" s="6">
        <v>127</v>
      </c>
      <c r="F626" s="69">
        <f t="shared" si="48"/>
        <v>539.75</v>
      </c>
      <c r="G626" s="8"/>
    </row>
    <row r="627" spans="1:7" x14ac:dyDescent="0.45">
      <c r="A627" s="8" t="s">
        <v>415</v>
      </c>
      <c r="B627" s="4">
        <v>5.0199999999999996</v>
      </c>
      <c r="C627" s="8">
        <v>92.5</v>
      </c>
      <c r="D627" s="8">
        <v>92.5</v>
      </c>
      <c r="E627" s="6">
        <v>127</v>
      </c>
      <c r="F627" s="69">
        <f t="shared" si="48"/>
        <v>637.54</v>
      </c>
      <c r="G627" s="8"/>
    </row>
    <row r="628" spans="1:7" x14ac:dyDescent="0.45">
      <c r="A628" s="8" t="s">
        <v>416</v>
      </c>
      <c r="B628" s="4">
        <v>3.87</v>
      </c>
      <c r="C628" s="8">
        <v>92.5</v>
      </c>
      <c r="D628" s="8">
        <v>92.5</v>
      </c>
      <c r="E628" s="6">
        <v>127</v>
      </c>
      <c r="F628" s="69">
        <f t="shared" si="48"/>
        <v>491.49</v>
      </c>
      <c r="G628" s="8"/>
    </row>
    <row r="629" spans="1:7" x14ac:dyDescent="0.45">
      <c r="A629" s="8" t="s">
        <v>417</v>
      </c>
      <c r="B629" s="4">
        <v>4.1100000000000003</v>
      </c>
      <c r="C629" s="8">
        <v>92.5</v>
      </c>
      <c r="D629" s="8">
        <v>92.5</v>
      </c>
      <c r="E629" s="6">
        <v>127</v>
      </c>
      <c r="F629" s="69">
        <f t="shared" si="48"/>
        <v>521.97</v>
      </c>
      <c r="G629" s="8"/>
    </row>
    <row r="630" spans="1:7" x14ac:dyDescent="0.45">
      <c r="A630" s="8" t="s">
        <v>418</v>
      </c>
      <c r="B630" s="4">
        <v>2.76</v>
      </c>
      <c r="C630" s="8">
        <v>92.5</v>
      </c>
      <c r="D630" s="8">
        <v>92.5</v>
      </c>
      <c r="E630" s="6">
        <v>127</v>
      </c>
      <c r="F630" s="69">
        <f t="shared" si="48"/>
        <v>350.52</v>
      </c>
      <c r="G630" s="8"/>
    </row>
    <row r="631" spans="1:7" x14ac:dyDescent="0.45">
      <c r="A631" s="8" t="s">
        <v>419</v>
      </c>
      <c r="B631" s="4">
        <v>1.93</v>
      </c>
      <c r="C631" s="8">
        <v>92.5</v>
      </c>
      <c r="D631" s="8">
        <v>92.5</v>
      </c>
      <c r="E631" s="6">
        <v>127</v>
      </c>
      <c r="F631" s="69">
        <f t="shared" si="48"/>
        <v>245.10999999999999</v>
      </c>
      <c r="G631" s="8"/>
    </row>
    <row r="632" spans="1:7" x14ac:dyDescent="0.45">
      <c r="A632" s="8" t="s">
        <v>420</v>
      </c>
      <c r="B632" s="4">
        <v>2.76</v>
      </c>
      <c r="C632" s="8">
        <v>92.5</v>
      </c>
      <c r="D632" s="8">
        <v>92.5</v>
      </c>
      <c r="E632" s="6">
        <v>127</v>
      </c>
      <c r="F632" s="69">
        <f t="shared" si="48"/>
        <v>350.52</v>
      </c>
      <c r="G632" s="8"/>
    </row>
    <row r="633" spans="1:7" x14ac:dyDescent="0.45">
      <c r="A633" s="8" t="s">
        <v>421</v>
      </c>
      <c r="B633" s="4">
        <v>2.88</v>
      </c>
      <c r="C633" s="8">
        <v>92.5</v>
      </c>
      <c r="D633" s="8">
        <v>92.5</v>
      </c>
      <c r="E633" s="6">
        <v>127</v>
      </c>
      <c r="F633" s="69">
        <f t="shared" si="48"/>
        <v>365.76</v>
      </c>
      <c r="G633" s="8"/>
    </row>
    <row r="634" spans="1:7" x14ac:dyDescent="0.45">
      <c r="A634" s="8" t="s">
        <v>422</v>
      </c>
      <c r="B634" s="4">
        <v>4.09</v>
      </c>
      <c r="C634" s="8">
        <v>92.5</v>
      </c>
      <c r="D634" s="8">
        <v>92.5</v>
      </c>
      <c r="E634" s="6">
        <v>127</v>
      </c>
      <c r="F634" s="69">
        <f t="shared" si="48"/>
        <v>519.42999999999995</v>
      </c>
      <c r="G634" s="8"/>
    </row>
    <row r="635" spans="1:7" x14ac:dyDescent="0.45">
      <c r="A635" s="8" t="s">
        <v>423</v>
      </c>
      <c r="B635" s="4">
        <v>3.03</v>
      </c>
      <c r="C635" s="8">
        <v>92.5</v>
      </c>
      <c r="D635" s="8">
        <v>92.5</v>
      </c>
      <c r="E635" s="6">
        <v>127</v>
      </c>
      <c r="F635" s="69">
        <f t="shared" si="48"/>
        <v>384.81</v>
      </c>
      <c r="G635" s="8"/>
    </row>
    <row r="636" spans="1:7" x14ac:dyDescent="0.45">
      <c r="A636" s="8" t="s">
        <v>424</v>
      </c>
      <c r="B636" s="4">
        <v>2.0699999999999998</v>
      </c>
      <c r="C636" s="8">
        <v>92.5</v>
      </c>
      <c r="D636" s="8">
        <v>92.5</v>
      </c>
      <c r="E636" s="6">
        <v>127</v>
      </c>
      <c r="F636" s="69">
        <f t="shared" si="48"/>
        <v>262.89</v>
      </c>
      <c r="G636" s="8"/>
    </row>
    <row r="637" spans="1:7" x14ac:dyDescent="0.45">
      <c r="A637" s="8" t="s">
        <v>425</v>
      </c>
      <c r="B637" s="4">
        <v>2.85</v>
      </c>
      <c r="C637" s="8">
        <v>92.5</v>
      </c>
      <c r="D637" s="8">
        <v>92.5</v>
      </c>
      <c r="E637" s="6">
        <v>127</v>
      </c>
      <c r="F637" s="69">
        <f t="shared" si="48"/>
        <v>361.95</v>
      </c>
      <c r="G637" s="8"/>
    </row>
    <row r="638" spans="1:7" x14ac:dyDescent="0.45">
      <c r="A638" s="8" t="s">
        <v>426</v>
      </c>
      <c r="B638" s="4">
        <v>2.73</v>
      </c>
      <c r="C638" s="8">
        <v>92.5</v>
      </c>
      <c r="D638" s="8">
        <v>92.5</v>
      </c>
      <c r="E638" s="6">
        <v>127</v>
      </c>
      <c r="F638" s="69">
        <f t="shared" si="48"/>
        <v>346.71</v>
      </c>
      <c r="G638" s="8"/>
    </row>
    <row r="639" spans="1:7" x14ac:dyDescent="0.45">
      <c r="A639" s="8" t="s">
        <v>427</v>
      </c>
      <c r="B639" s="4">
        <v>3.82</v>
      </c>
      <c r="C639" s="8">
        <v>92.5</v>
      </c>
      <c r="D639" s="8">
        <v>92.5</v>
      </c>
      <c r="E639" s="6">
        <v>127</v>
      </c>
      <c r="F639" s="69">
        <f t="shared" si="48"/>
        <v>485.14</v>
      </c>
      <c r="G639" s="8"/>
    </row>
    <row r="640" spans="1:7" x14ac:dyDescent="0.45">
      <c r="A640" s="8" t="s">
        <v>428</v>
      </c>
      <c r="B640" s="4">
        <v>2.73</v>
      </c>
      <c r="C640" s="8">
        <v>92.5</v>
      </c>
      <c r="D640" s="8">
        <v>92.5</v>
      </c>
      <c r="E640" s="6">
        <v>127</v>
      </c>
      <c r="F640" s="69">
        <f t="shared" si="48"/>
        <v>346.71</v>
      </c>
      <c r="G640" s="8"/>
    </row>
    <row r="641" spans="1:7" x14ac:dyDescent="0.45">
      <c r="A641" s="8" t="s">
        <v>429</v>
      </c>
      <c r="B641" s="4">
        <v>3.06</v>
      </c>
      <c r="C641" s="8">
        <v>92.5</v>
      </c>
      <c r="D641" s="8">
        <v>92.5</v>
      </c>
      <c r="E641" s="6">
        <v>127</v>
      </c>
      <c r="F641" s="69">
        <f t="shared" si="48"/>
        <v>388.62</v>
      </c>
      <c r="G641" s="8"/>
    </row>
    <row r="642" spans="1:7" x14ac:dyDescent="0.45">
      <c r="A642" s="8" t="s">
        <v>430</v>
      </c>
      <c r="B642" s="4">
        <v>1.88</v>
      </c>
      <c r="C642" s="8">
        <v>92.5</v>
      </c>
      <c r="D642" s="8">
        <v>92.5</v>
      </c>
      <c r="E642" s="6">
        <v>127</v>
      </c>
      <c r="F642" s="69">
        <f t="shared" si="48"/>
        <v>238.76</v>
      </c>
      <c r="G642" s="8"/>
    </row>
    <row r="643" spans="1:7" x14ac:dyDescent="0.45">
      <c r="A643" s="8" t="s">
        <v>431</v>
      </c>
      <c r="B643" s="4">
        <v>2.0099999999999998</v>
      </c>
      <c r="C643" s="8">
        <v>92.5</v>
      </c>
      <c r="D643" s="8">
        <v>92.5</v>
      </c>
      <c r="E643" s="6">
        <v>127</v>
      </c>
      <c r="F643" s="69">
        <f t="shared" si="48"/>
        <v>255.26999999999998</v>
      </c>
      <c r="G643" s="8"/>
    </row>
    <row r="644" spans="1:7" x14ac:dyDescent="0.45">
      <c r="A644" s="8" t="s">
        <v>432</v>
      </c>
      <c r="B644" s="4">
        <v>2.58</v>
      </c>
      <c r="C644" s="8">
        <v>92.5</v>
      </c>
      <c r="D644" s="8">
        <v>92.5</v>
      </c>
      <c r="E644" s="6">
        <v>127</v>
      </c>
      <c r="F644" s="69">
        <f t="shared" si="48"/>
        <v>327.66000000000003</v>
      </c>
      <c r="G644" s="8"/>
    </row>
    <row r="645" spans="1:7" x14ac:dyDescent="0.45">
      <c r="A645" s="8" t="s">
        <v>433</v>
      </c>
      <c r="B645" s="4">
        <v>2.72</v>
      </c>
      <c r="C645" s="8">
        <v>92.5</v>
      </c>
      <c r="D645" s="8">
        <v>92.5</v>
      </c>
      <c r="E645" s="6">
        <v>127</v>
      </c>
      <c r="F645" s="69">
        <f t="shared" si="48"/>
        <v>345.44</v>
      </c>
      <c r="G645" s="8"/>
    </row>
    <row r="646" spans="1:7" x14ac:dyDescent="0.45">
      <c r="A646" s="8" t="s">
        <v>434</v>
      </c>
      <c r="B646" s="4">
        <v>2.68</v>
      </c>
      <c r="C646" s="8">
        <v>92.5</v>
      </c>
      <c r="D646" s="8">
        <v>92.5</v>
      </c>
      <c r="E646" s="6">
        <v>127</v>
      </c>
      <c r="F646" s="69">
        <f t="shared" si="48"/>
        <v>340.36</v>
      </c>
      <c r="G646" s="8"/>
    </row>
    <row r="647" spans="1:7" x14ac:dyDescent="0.45">
      <c r="A647" s="8" t="s">
        <v>435</v>
      </c>
      <c r="B647" s="4">
        <v>2.6</v>
      </c>
      <c r="C647" s="8">
        <v>92.5</v>
      </c>
      <c r="D647" s="8">
        <v>92.5</v>
      </c>
      <c r="E647" s="6">
        <v>127</v>
      </c>
      <c r="F647" s="69">
        <f t="shared" si="48"/>
        <v>330.2</v>
      </c>
      <c r="G647" s="8"/>
    </row>
    <row r="648" spans="1:7" x14ac:dyDescent="0.45">
      <c r="A648" s="8" t="s">
        <v>436</v>
      </c>
      <c r="B648" s="4">
        <v>1.03</v>
      </c>
      <c r="C648" s="8">
        <v>92.5</v>
      </c>
      <c r="D648" s="8">
        <v>92.5</v>
      </c>
      <c r="E648" s="6">
        <v>127</v>
      </c>
      <c r="F648" s="69">
        <f t="shared" si="48"/>
        <v>130.81</v>
      </c>
      <c r="G648" s="8"/>
    </row>
    <row r="649" spans="1:7" x14ac:dyDescent="0.45">
      <c r="A649" s="8" t="s">
        <v>437</v>
      </c>
      <c r="B649" s="4">
        <v>2.48</v>
      </c>
      <c r="C649" s="8">
        <v>92.5</v>
      </c>
      <c r="D649" s="8">
        <v>92.5</v>
      </c>
      <c r="E649" s="6">
        <v>127</v>
      </c>
      <c r="F649" s="69">
        <f t="shared" si="48"/>
        <v>314.95999999999998</v>
      </c>
      <c r="G649" s="8"/>
    </row>
    <row r="650" spans="1:7" x14ac:dyDescent="0.45">
      <c r="A650" s="8" t="s">
        <v>438</v>
      </c>
      <c r="B650" s="4">
        <v>2.39</v>
      </c>
      <c r="C650" s="8">
        <v>92.5</v>
      </c>
      <c r="D650" s="8">
        <v>92.5</v>
      </c>
      <c r="E650" s="6">
        <v>127</v>
      </c>
      <c r="F650" s="69">
        <f t="shared" si="48"/>
        <v>303.53000000000003</v>
      </c>
      <c r="G650" s="8"/>
    </row>
    <row r="651" spans="1:7" x14ac:dyDescent="0.45">
      <c r="A651" s="8" t="s">
        <v>439</v>
      </c>
      <c r="B651" s="4">
        <v>2.6</v>
      </c>
      <c r="C651" s="8">
        <v>92.5</v>
      </c>
      <c r="D651" s="8">
        <v>92.5</v>
      </c>
      <c r="E651" s="6">
        <v>127</v>
      </c>
      <c r="F651" s="69">
        <f t="shared" si="48"/>
        <v>330.2</v>
      </c>
      <c r="G651" s="8"/>
    </row>
    <row r="652" spans="1:7" x14ac:dyDescent="0.45">
      <c r="A652" s="8" t="s">
        <v>440</v>
      </c>
      <c r="B652" s="4">
        <v>0.98</v>
      </c>
      <c r="C652" s="8">
        <v>92.5</v>
      </c>
      <c r="D652" s="8">
        <v>92.5</v>
      </c>
      <c r="E652" s="6">
        <v>127</v>
      </c>
      <c r="F652" s="69">
        <f t="shared" si="48"/>
        <v>124.46</v>
      </c>
      <c r="G652" s="8"/>
    </row>
    <row r="653" spans="1:7" x14ac:dyDescent="0.45">
      <c r="A653" s="8" t="s">
        <v>441</v>
      </c>
      <c r="B653" s="4">
        <v>1.1100000000000001</v>
      </c>
      <c r="C653" s="8">
        <v>92.5</v>
      </c>
      <c r="D653" s="8">
        <v>92.5</v>
      </c>
      <c r="E653" s="6">
        <v>127</v>
      </c>
      <c r="F653" s="69">
        <f t="shared" si="48"/>
        <v>140.97</v>
      </c>
      <c r="G653" s="8"/>
    </row>
    <row r="654" spans="1:7" x14ac:dyDescent="0.45">
      <c r="A654" s="8" t="s">
        <v>442</v>
      </c>
      <c r="B654" s="4">
        <v>1.1499999999999999</v>
      </c>
      <c r="C654" s="8">
        <v>92.5</v>
      </c>
      <c r="D654" s="8">
        <v>92.5</v>
      </c>
      <c r="E654" s="6">
        <v>127</v>
      </c>
      <c r="F654" s="69">
        <f t="shared" si="48"/>
        <v>146.04999999999998</v>
      </c>
      <c r="G654" s="8"/>
    </row>
    <row r="655" spans="1:7" x14ac:dyDescent="0.45">
      <c r="A655" s="8" t="s">
        <v>443</v>
      </c>
      <c r="B655" s="4">
        <v>2.99</v>
      </c>
      <c r="C655" s="8">
        <v>92.5</v>
      </c>
      <c r="D655" s="8">
        <v>92.5</v>
      </c>
      <c r="E655" s="6">
        <v>127</v>
      </c>
      <c r="F655" s="69">
        <f t="shared" si="48"/>
        <v>379.73</v>
      </c>
      <c r="G655" s="8"/>
    </row>
    <row r="656" spans="1:7" x14ac:dyDescent="0.45">
      <c r="A656" s="8" t="s">
        <v>444</v>
      </c>
      <c r="B656" s="4">
        <v>2.56</v>
      </c>
      <c r="C656" s="8">
        <v>92.5</v>
      </c>
      <c r="D656" s="8">
        <v>92.5</v>
      </c>
      <c r="E656" s="6">
        <v>127</v>
      </c>
      <c r="F656" s="69">
        <f t="shared" si="48"/>
        <v>325.12</v>
      </c>
      <c r="G656" s="8"/>
    </row>
    <row r="657" spans="1:7" x14ac:dyDescent="0.45">
      <c r="A657" s="8" t="s">
        <v>445</v>
      </c>
      <c r="B657" s="4">
        <v>2.63</v>
      </c>
      <c r="C657" s="8">
        <v>92.5</v>
      </c>
      <c r="D657" s="8">
        <v>92.5</v>
      </c>
      <c r="E657" s="6">
        <v>127</v>
      </c>
      <c r="F657" s="69">
        <f t="shared" si="48"/>
        <v>334.01</v>
      </c>
      <c r="G657" s="8"/>
    </row>
    <row r="658" spans="1:7" x14ac:dyDescent="0.45">
      <c r="A658" s="8" t="s">
        <v>446</v>
      </c>
      <c r="B658" s="4">
        <v>1.07</v>
      </c>
      <c r="C658" s="8">
        <v>92.5</v>
      </c>
      <c r="D658" s="8">
        <v>92.5</v>
      </c>
      <c r="E658" s="6">
        <v>127</v>
      </c>
      <c r="F658" s="69">
        <f t="shared" si="48"/>
        <v>135.89000000000001</v>
      </c>
      <c r="G658" s="8"/>
    </row>
    <row r="659" spans="1:7" x14ac:dyDescent="0.45">
      <c r="A659" s="8" t="s">
        <v>447</v>
      </c>
      <c r="B659" s="4">
        <v>2.76</v>
      </c>
      <c r="C659" s="8">
        <v>92.5</v>
      </c>
      <c r="D659" s="8">
        <v>92.5</v>
      </c>
      <c r="E659" s="6">
        <v>127</v>
      </c>
      <c r="F659" s="69">
        <f t="shared" si="48"/>
        <v>350.52</v>
      </c>
      <c r="G659" s="8"/>
    </row>
    <row r="660" spans="1:7" x14ac:dyDescent="0.45">
      <c r="A660" s="8" t="s">
        <v>448</v>
      </c>
      <c r="B660" s="4">
        <v>2.52</v>
      </c>
      <c r="C660" s="8">
        <v>92.5</v>
      </c>
      <c r="D660" s="8">
        <v>92.5</v>
      </c>
      <c r="E660" s="6">
        <v>127</v>
      </c>
      <c r="F660" s="69">
        <f t="shared" si="48"/>
        <v>320.04000000000002</v>
      </c>
      <c r="G660" s="8"/>
    </row>
    <row r="661" spans="1:7" x14ac:dyDescent="0.45">
      <c r="A661" s="8" t="s">
        <v>449</v>
      </c>
      <c r="B661" s="4">
        <v>1.1200000000000001</v>
      </c>
      <c r="C661" s="8">
        <v>92.5</v>
      </c>
      <c r="D661" s="8">
        <v>92.5</v>
      </c>
      <c r="E661" s="6">
        <v>127</v>
      </c>
      <c r="F661" s="69">
        <f t="shared" si="48"/>
        <v>142.24</v>
      </c>
      <c r="G661" s="8"/>
    </row>
    <row r="662" spans="1:7" x14ac:dyDescent="0.45">
      <c r="A662" s="8" t="s">
        <v>450</v>
      </c>
      <c r="B662" s="4">
        <v>1.26</v>
      </c>
      <c r="C662" s="8">
        <v>92.5</v>
      </c>
      <c r="D662" s="8">
        <v>92.5</v>
      </c>
      <c r="E662" s="6">
        <v>127</v>
      </c>
      <c r="F662" s="69">
        <f t="shared" si="48"/>
        <v>160.02000000000001</v>
      </c>
      <c r="G662" s="8"/>
    </row>
    <row r="663" spans="1:7" x14ac:dyDescent="0.45">
      <c r="A663" s="8" t="s">
        <v>451</v>
      </c>
      <c r="B663" s="4">
        <v>2.4</v>
      </c>
      <c r="C663" s="8">
        <v>92.5</v>
      </c>
      <c r="D663" s="8">
        <v>92.5</v>
      </c>
      <c r="E663" s="6">
        <v>127</v>
      </c>
      <c r="F663" s="69">
        <f t="shared" si="48"/>
        <v>304.8</v>
      </c>
      <c r="G663" s="8"/>
    </row>
    <row r="664" spans="1:7" x14ac:dyDescent="0.45">
      <c r="A664" s="8" t="s">
        <v>452</v>
      </c>
      <c r="B664" s="4">
        <v>2.72</v>
      </c>
      <c r="C664" s="8">
        <v>92.5</v>
      </c>
      <c r="D664" s="8">
        <v>92.5</v>
      </c>
      <c r="E664" s="6">
        <v>127</v>
      </c>
      <c r="F664" s="69">
        <f t="shared" si="48"/>
        <v>345.44</v>
      </c>
      <c r="G664" s="8"/>
    </row>
    <row r="665" spans="1:7" x14ac:dyDescent="0.45">
      <c r="A665" s="8" t="s">
        <v>453</v>
      </c>
      <c r="B665" s="4">
        <v>2.31</v>
      </c>
      <c r="C665" s="8">
        <v>92.5</v>
      </c>
      <c r="D665" s="8">
        <v>92.5</v>
      </c>
      <c r="E665" s="6">
        <v>127</v>
      </c>
      <c r="F665" s="69">
        <f t="shared" si="48"/>
        <v>293.37</v>
      </c>
      <c r="G665" s="8"/>
    </row>
    <row r="666" spans="1:7" x14ac:dyDescent="0.45">
      <c r="A666" s="8" t="s">
        <v>454</v>
      </c>
      <c r="B666" s="4">
        <v>1.1100000000000001</v>
      </c>
      <c r="C666" s="8">
        <v>92.5</v>
      </c>
      <c r="D666" s="8">
        <v>92.5</v>
      </c>
      <c r="E666" s="6">
        <v>127</v>
      </c>
      <c r="F666" s="69">
        <f t="shared" si="48"/>
        <v>140.97</v>
      </c>
      <c r="G666" s="8"/>
    </row>
    <row r="667" spans="1:7" x14ac:dyDescent="0.45">
      <c r="A667" s="8" t="s">
        <v>455</v>
      </c>
      <c r="B667" s="4">
        <v>2.79</v>
      </c>
      <c r="C667" s="8">
        <v>92.5</v>
      </c>
      <c r="D667" s="8">
        <v>92.5</v>
      </c>
      <c r="E667" s="6">
        <v>127</v>
      </c>
      <c r="F667" s="69">
        <f t="shared" si="48"/>
        <v>354.33</v>
      </c>
      <c r="G667" s="8"/>
    </row>
    <row r="668" spans="1:7" x14ac:dyDescent="0.45">
      <c r="A668" s="8" t="s">
        <v>456</v>
      </c>
      <c r="B668" s="4">
        <v>0.96</v>
      </c>
      <c r="C668" s="8">
        <v>92.5</v>
      </c>
      <c r="D668" s="8">
        <v>92.5</v>
      </c>
      <c r="E668" s="6">
        <v>127</v>
      </c>
      <c r="F668" s="69">
        <f t="shared" si="48"/>
        <v>121.92</v>
      </c>
      <c r="G668" s="8"/>
    </row>
    <row r="669" spans="1:7" x14ac:dyDescent="0.45">
      <c r="A669" s="8" t="s">
        <v>457</v>
      </c>
      <c r="B669" s="4">
        <v>1.1399999999999999</v>
      </c>
      <c r="C669" s="8">
        <v>92.5</v>
      </c>
      <c r="D669" s="8">
        <v>92.5</v>
      </c>
      <c r="E669" s="6">
        <v>127</v>
      </c>
      <c r="F669" s="69">
        <f t="shared" si="48"/>
        <v>144.78</v>
      </c>
      <c r="G669" s="8"/>
    </row>
    <row r="670" spans="1:7" x14ac:dyDescent="0.45">
      <c r="A670" s="8" t="s">
        <v>458</v>
      </c>
      <c r="B670" s="4">
        <v>1.22</v>
      </c>
      <c r="C670" s="8">
        <v>92.5</v>
      </c>
      <c r="D670" s="8">
        <v>92.5</v>
      </c>
      <c r="E670" s="6">
        <v>127</v>
      </c>
      <c r="F670" s="69">
        <f t="shared" ref="F670:F733" si="49">B670*E670</f>
        <v>154.94</v>
      </c>
      <c r="G670" s="8"/>
    </row>
    <row r="671" spans="1:7" x14ac:dyDescent="0.45">
      <c r="A671" s="8" t="s">
        <v>459</v>
      </c>
      <c r="B671" s="4">
        <v>1.1200000000000001</v>
      </c>
      <c r="C671" s="8">
        <v>92.5</v>
      </c>
      <c r="D671" s="8">
        <v>92.5</v>
      </c>
      <c r="E671" s="6">
        <v>127</v>
      </c>
      <c r="F671" s="69">
        <f t="shared" si="49"/>
        <v>142.24</v>
      </c>
      <c r="G671" s="8"/>
    </row>
    <row r="672" spans="1:7" x14ac:dyDescent="0.45">
      <c r="A672" s="8" t="s">
        <v>460</v>
      </c>
      <c r="B672" s="4">
        <v>1.25</v>
      </c>
      <c r="C672" s="8">
        <v>92.5</v>
      </c>
      <c r="D672" s="8">
        <v>92.5</v>
      </c>
      <c r="E672" s="6">
        <v>127</v>
      </c>
      <c r="F672" s="69">
        <f t="shared" si="49"/>
        <v>158.75</v>
      </c>
      <c r="G672" s="8"/>
    </row>
    <row r="673" spans="1:7" x14ac:dyDescent="0.45">
      <c r="A673" s="8" t="s">
        <v>461</v>
      </c>
      <c r="B673" s="4">
        <v>1.1299999999999999</v>
      </c>
      <c r="C673" s="8">
        <v>92.5</v>
      </c>
      <c r="D673" s="8">
        <v>92.5</v>
      </c>
      <c r="E673" s="6">
        <v>127</v>
      </c>
      <c r="F673" s="69">
        <f t="shared" si="49"/>
        <v>143.51</v>
      </c>
      <c r="G673" s="8"/>
    </row>
    <row r="674" spans="1:7" x14ac:dyDescent="0.45">
      <c r="A674" s="8" t="s">
        <v>462</v>
      </c>
      <c r="B674" s="4">
        <v>1.1299999999999999</v>
      </c>
      <c r="C674" s="8">
        <v>92.5</v>
      </c>
      <c r="D674" s="8">
        <v>92.5</v>
      </c>
      <c r="E674" s="6">
        <v>127</v>
      </c>
      <c r="F674" s="69">
        <f t="shared" si="49"/>
        <v>143.51</v>
      </c>
      <c r="G674" s="8"/>
    </row>
    <row r="675" spans="1:7" x14ac:dyDescent="0.45">
      <c r="A675" s="8" t="s">
        <v>463</v>
      </c>
      <c r="B675" s="4">
        <v>5.42</v>
      </c>
      <c r="C675" s="8">
        <v>92.5</v>
      </c>
      <c r="D675" s="8">
        <v>92.5</v>
      </c>
      <c r="E675" s="6">
        <v>127</v>
      </c>
      <c r="F675" s="69">
        <f t="shared" si="49"/>
        <v>688.34</v>
      </c>
      <c r="G675" s="8"/>
    </row>
    <row r="676" spans="1:7" x14ac:dyDescent="0.45">
      <c r="A676" s="8" t="s">
        <v>464</v>
      </c>
      <c r="B676" s="4">
        <v>5.25</v>
      </c>
      <c r="C676" s="8">
        <v>92.5</v>
      </c>
      <c r="D676" s="8">
        <v>92.5</v>
      </c>
      <c r="E676" s="6">
        <v>140</v>
      </c>
      <c r="F676" s="69">
        <f t="shared" si="49"/>
        <v>735</v>
      </c>
      <c r="G676" s="8"/>
    </row>
    <row r="677" spans="1:7" x14ac:dyDescent="0.45">
      <c r="A677" s="8" t="s">
        <v>465</v>
      </c>
      <c r="B677" s="4">
        <v>2.0499999999999998</v>
      </c>
      <c r="C677" s="8">
        <v>92.5</v>
      </c>
      <c r="D677" s="8">
        <v>92.5</v>
      </c>
      <c r="E677" s="6">
        <v>131.65</v>
      </c>
      <c r="F677" s="69">
        <f t="shared" si="49"/>
        <v>269.88249999999999</v>
      </c>
      <c r="G677" s="8"/>
    </row>
    <row r="678" spans="1:7" x14ac:dyDescent="0.45">
      <c r="A678" s="8" t="s">
        <v>466</v>
      </c>
      <c r="B678" s="4">
        <v>3</v>
      </c>
      <c r="C678" s="8">
        <v>92.5</v>
      </c>
      <c r="D678" s="8">
        <v>92.5</v>
      </c>
      <c r="E678" s="6">
        <v>131.65</v>
      </c>
      <c r="F678" s="69">
        <f t="shared" si="49"/>
        <v>394.95000000000005</v>
      </c>
      <c r="G678" s="8"/>
    </row>
    <row r="679" spans="1:7" x14ac:dyDescent="0.45">
      <c r="A679" s="8" t="s">
        <v>467</v>
      </c>
      <c r="B679" s="4">
        <v>2.14</v>
      </c>
      <c r="C679" s="8">
        <v>92.5</v>
      </c>
      <c r="D679" s="8">
        <v>92.5</v>
      </c>
      <c r="E679" s="6">
        <v>131.65</v>
      </c>
      <c r="F679" s="69">
        <f t="shared" si="49"/>
        <v>281.73100000000005</v>
      </c>
      <c r="G679" s="8"/>
    </row>
    <row r="680" spans="1:7" x14ac:dyDescent="0.45">
      <c r="A680" s="8" t="s">
        <v>468</v>
      </c>
      <c r="B680" s="4">
        <v>2.12</v>
      </c>
      <c r="C680" s="8">
        <v>92.5</v>
      </c>
      <c r="D680" s="8">
        <v>92.5</v>
      </c>
      <c r="E680" s="6">
        <v>131.65</v>
      </c>
      <c r="F680" s="69">
        <f t="shared" si="49"/>
        <v>279.09800000000001</v>
      </c>
      <c r="G680" s="8"/>
    </row>
    <row r="681" spans="1:7" x14ac:dyDescent="0.45">
      <c r="A681" s="8" t="s">
        <v>469</v>
      </c>
      <c r="B681" s="4">
        <v>2.2000000000000002</v>
      </c>
      <c r="C681" s="8">
        <v>92.5</v>
      </c>
      <c r="D681" s="8">
        <v>92.5</v>
      </c>
      <c r="E681" s="6">
        <v>131.65</v>
      </c>
      <c r="F681" s="69">
        <f t="shared" si="49"/>
        <v>289.63000000000005</v>
      </c>
      <c r="G681" s="8"/>
    </row>
    <row r="682" spans="1:7" x14ac:dyDescent="0.45">
      <c r="A682" s="8" t="s">
        <v>470</v>
      </c>
      <c r="B682" s="4">
        <v>2.7</v>
      </c>
      <c r="C682" s="8">
        <v>92.5</v>
      </c>
      <c r="D682" s="8">
        <v>92.5</v>
      </c>
      <c r="E682" s="6">
        <v>131.65</v>
      </c>
      <c r="F682" s="69">
        <f t="shared" si="49"/>
        <v>355.45500000000004</v>
      </c>
      <c r="G682" s="8"/>
    </row>
    <row r="683" spans="1:7" x14ac:dyDescent="0.45">
      <c r="A683" s="8" t="s">
        <v>471</v>
      </c>
      <c r="B683" s="4">
        <v>3</v>
      </c>
      <c r="C683" s="8">
        <v>92.5</v>
      </c>
      <c r="D683" s="8">
        <v>92.5</v>
      </c>
      <c r="E683" s="6">
        <v>131.65</v>
      </c>
      <c r="F683" s="69">
        <f t="shared" si="49"/>
        <v>394.95000000000005</v>
      </c>
      <c r="G683" s="8"/>
    </row>
    <row r="684" spans="1:7" x14ac:dyDescent="0.45">
      <c r="A684" s="8" t="s">
        <v>472</v>
      </c>
      <c r="B684" s="4">
        <v>5.67</v>
      </c>
      <c r="C684" s="8">
        <v>92.5</v>
      </c>
      <c r="D684" s="8">
        <v>92.5</v>
      </c>
      <c r="E684" s="6">
        <v>131.65</v>
      </c>
      <c r="F684" s="69">
        <f>B684*E684</f>
        <v>746.45550000000003</v>
      </c>
      <c r="G684" s="8"/>
    </row>
    <row r="685" spans="1:7" x14ac:dyDescent="0.45">
      <c r="A685" s="8" t="s">
        <v>473</v>
      </c>
      <c r="B685" s="4">
        <v>5.82</v>
      </c>
      <c r="C685" s="8">
        <v>92.5</v>
      </c>
      <c r="D685" s="8">
        <v>92.5</v>
      </c>
      <c r="E685" s="6">
        <v>131.65</v>
      </c>
      <c r="F685" s="69">
        <f t="shared" si="49"/>
        <v>766.20300000000009</v>
      </c>
      <c r="G685" s="8"/>
    </row>
    <row r="686" spans="1:7" x14ac:dyDescent="0.45">
      <c r="A686" s="8" t="s">
        <v>474</v>
      </c>
      <c r="B686" s="4">
        <v>6.12</v>
      </c>
      <c r="C686" s="8">
        <v>92.5</v>
      </c>
      <c r="D686" s="8">
        <v>92.5</v>
      </c>
      <c r="E686" s="6">
        <v>131.65</v>
      </c>
      <c r="F686" s="69">
        <f t="shared" si="49"/>
        <v>805.69800000000009</v>
      </c>
      <c r="G686" s="8"/>
    </row>
    <row r="687" spans="1:7" x14ac:dyDescent="0.45">
      <c r="A687" s="8" t="s">
        <v>475</v>
      </c>
      <c r="B687" s="4">
        <v>5.95</v>
      </c>
      <c r="C687" s="8">
        <v>92.5</v>
      </c>
      <c r="D687" s="8">
        <v>92.5</v>
      </c>
      <c r="E687" s="6">
        <v>131.65</v>
      </c>
      <c r="F687" s="69">
        <f t="shared" si="49"/>
        <v>783.31750000000011</v>
      </c>
      <c r="G687" s="8"/>
    </row>
    <row r="688" spans="1:7" x14ac:dyDescent="0.45">
      <c r="A688" s="8" t="s">
        <v>476</v>
      </c>
      <c r="B688" s="4">
        <v>5.7</v>
      </c>
      <c r="C688" s="8">
        <v>92.5</v>
      </c>
      <c r="D688" s="8">
        <v>92.5</v>
      </c>
      <c r="E688" s="6">
        <v>131.65</v>
      </c>
      <c r="F688" s="69">
        <f t="shared" si="49"/>
        <v>750.40500000000009</v>
      </c>
      <c r="G688" s="8"/>
    </row>
    <row r="689" spans="1:7" x14ac:dyDescent="0.45">
      <c r="A689" s="8" t="s">
        <v>477</v>
      </c>
      <c r="B689" s="4">
        <v>5.72</v>
      </c>
      <c r="C689" s="8">
        <v>92.5</v>
      </c>
      <c r="D689" s="8">
        <v>92.5</v>
      </c>
      <c r="E689" s="6">
        <v>131.65</v>
      </c>
      <c r="F689" s="69">
        <f t="shared" si="49"/>
        <v>753.03800000000001</v>
      </c>
      <c r="G689" s="8"/>
    </row>
    <row r="690" spans="1:7" x14ac:dyDescent="0.45">
      <c r="A690" s="8" t="s">
        <v>478</v>
      </c>
      <c r="B690" s="4">
        <v>5.88</v>
      </c>
      <c r="C690" s="8">
        <v>92.5</v>
      </c>
      <c r="D690" s="8">
        <v>92.5</v>
      </c>
      <c r="E690" s="6">
        <v>131.65</v>
      </c>
      <c r="F690" s="69">
        <f t="shared" si="49"/>
        <v>774.10199999999998</v>
      </c>
      <c r="G690" s="8"/>
    </row>
    <row r="691" spans="1:7" x14ac:dyDescent="0.45">
      <c r="A691" s="8" t="s">
        <v>479</v>
      </c>
      <c r="B691" s="4">
        <v>3.55</v>
      </c>
      <c r="C691" s="8">
        <v>92.5</v>
      </c>
      <c r="D691" s="8">
        <v>92.5</v>
      </c>
      <c r="E691" s="6">
        <v>131.65</v>
      </c>
      <c r="F691" s="69">
        <f t="shared" si="49"/>
        <v>467.35750000000002</v>
      </c>
      <c r="G691" s="8"/>
    </row>
    <row r="692" spans="1:7" x14ac:dyDescent="0.45">
      <c r="A692" s="8" t="s">
        <v>480</v>
      </c>
      <c r="B692" s="4">
        <v>3.4</v>
      </c>
      <c r="C692" s="8">
        <v>92.5</v>
      </c>
      <c r="D692" s="8">
        <v>92.5</v>
      </c>
      <c r="E692" s="6">
        <v>131.65</v>
      </c>
      <c r="F692" s="69">
        <f t="shared" si="49"/>
        <v>447.61</v>
      </c>
      <c r="G692" s="8"/>
    </row>
    <row r="693" spans="1:7" x14ac:dyDescent="0.45">
      <c r="A693" s="8" t="s">
        <v>481</v>
      </c>
      <c r="B693" s="4">
        <v>3.5</v>
      </c>
      <c r="C693" s="8">
        <v>92.5</v>
      </c>
      <c r="D693" s="8">
        <v>92.5</v>
      </c>
      <c r="E693" s="6">
        <v>131.65</v>
      </c>
      <c r="F693" s="69">
        <f t="shared" si="49"/>
        <v>460.77500000000003</v>
      </c>
      <c r="G693" s="8"/>
    </row>
    <row r="694" spans="1:7" x14ac:dyDescent="0.45">
      <c r="A694" s="8" t="s">
        <v>482</v>
      </c>
      <c r="B694" s="4">
        <v>3.3</v>
      </c>
      <c r="C694" s="8">
        <v>92.5</v>
      </c>
      <c r="D694" s="8">
        <v>92.5</v>
      </c>
      <c r="E694" s="6">
        <v>131.65</v>
      </c>
      <c r="F694" s="69">
        <f t="shared" si="49"/>
        <v>434.44499999999999</v>
      </c>
      <c r="G694" s="8"/>
    </row>
    <row r="695" spans="1:7" x14ac:dyDescent="0.45">
      <c r="A695" s="8" t="s">
        <v>483</v>
      </c>
      <c r="B695" s="4">
        <v>4.0999999999999996</v>
      </c>
      <c r="C695" s="8">
        <v>92.5</v>
      </c>
      <c r="D695" s="8">
        <v>92.5</v>
      </c>
      <c r="E695" s="6">
        <v>131.65</v>
      </c>
      <c r="F695" s="69">
        <f t="shared" si="49"/>
        <v>539.76499999999999</v>
      </c>
      <c r="G695" s="8"/>
    </row>
    <row r="696" spans="1:7" x14ac:dyDescent="0.45">
      <c r="A696" s="8" t="s">
        <v>484</v>
      </c>
      <c r="B696" s="4">
        <v>5.22</v>
      </c>
      <c r="C696" s="8">
        <v>92.5</v>
      </c>
      <c r="D696" s="8">
        <v>92.5</v>
      </c>
      <c r="E696" s="6">
        <v>131.65</v>
      </c>
      <c r="F696" s="69">
        <f t="shared" si="49"/>
        <v>687.21299999999997</v>
      </c>
      <c r="G696" s="8"/>
    </row>
    <row r="697" spans="1:7" x14ac:dyDescent="0.45">
      <c r="A697" s="8" t="s">
        <v>485</v>
      </c>
      <c r="B697" s="4">
        <v>4.05</v>
      </c>
      <c r="C697" s="8">
        <v>92.5</v>
      </c>
      <c r="D697" s="8">
        <v>92.5</v>
      </c>
      <c r="E697" s="6">
        <v>131.65</v>
      </c>
      <c r="F697" s="69">
        <f t="shared" si="49"/>
        <v>533.1825</v>
      </c>
      <c r="G697" s="8"/>
    </row>
    <row r="698" spans="1:7" x14ac:dyDescent="0.45">
      <c r="A698" s="8" t="s">
        <v>486</v>
      </c>
      <c r="B698" s="4">
        <v>3.75</v>
      </c>
      <c r="C698" s="8">
        <v>92.5</v>
      </c>
      <c r="D698" s="8">
        <v>92.5</v>
      </c>
      <c r="E698" s="6">
        <v>131.65</v>
      </c>
      <c r="F698" s="69">
        <f t="shared" si="49"/>
        <v>493.6875</v>
      </c>
      <c r="G698" s="8"/>
    </row>
    <row r="699" spans="1:7" x14ac:dyDescent="0.45">
      <c r="A699" s="8" t="s">
        <v>487</v>
      </c>
      <c r="B699" s="4">
        <v>3.5</v>
      </c>
      <c r="C699" s="8">
        <v>92.5</v>
      </c>
      <c r="D699" s="8">
        <v>92.5</v>
      </c>
      <c r="E699" s="6">
        <v>131.65</v>
      </c>
      <c r="F699" s="69">
        <f t="shared" si="49"/>
        <v>460.77500000000003</v>
      </c>
      <c r="G699" s="8"/>
    </row>
    <row r="700" spans="1:7" x14ac:dyDescent="0.45">
      <c r="A700" s="8" t="s">
        <v>488</v>
      </c>
      <c r="B700" s="4">
        <v>1.2</v>
      </c>
      <c r="C700" s="8">
        <v>92.5</v>
      </c>
      <c r="D700" s="8">
        <v>92.5</v>
      </c>
      <c r="E700" s="6">
        <v>131.65</v>
      </c>
      <c r="F700" s="69">
        <f t="shared" si="49"/>
        <v>157.97999999999999</v>
      </c>
      <c r="G700" s="8"/>
    </row>
    <row r="701" spans="1:7" x14ac:dyDescent="0.45">
      <c r="A701" s="8" t="s">
        <v>489</v>
      </c>
      <c r="B701" s="4">
        <v>1.25</v>
      </c>
      <c r="C701" s="8">
        <v>92.5</v>
      </c>
      <c r="D701" s="8">
        <v>92.5</v>
      </c>
      <c r="E701" s="6">
        <v>131.65</v>
      </c>
      <c r="F701" s="69">
        <f t="shared" si="49"/>
        <v>164.5625</v>
      </c>
      <c r="G701" s="8"/>
    </row>
    <row r="702" spans="1:7" x14ac:dyDescent="0.45">
      <c r="A702" s="8" t="s">
        <v>490</v>
      </c>
      <c r="B702" s="4">
        <v>1.25</v>
      </c>
      <c r="C702" s="8">
        <v>92.5</v>
      </c>
      <c r="D702" s="8">
        <v>92.5</v>
      </c>
      <c r="E702" s="6">
        <v>131.65</v>
      </c>
      <c r="F702" s="69">
        <f t="shared" si="49"/>
        <v>164.5625</v>
      </c>
      <c r="G702" s="8"/>
    </row>
    <row r="703" spans="1:7" x14ac:dyDescent="0.45">
      <c r="A703" s="8" t="s">
        <v>491</v>
      </c>
      <c r="B703" s="4">
        <v>1.1000000000000001</v>
      </c>
      <c r="C703" s="8">
        <v>92.5</v>
      </c>
      <c r="D703" s="8">
        <v>92.5</v>
      </c>
      <c r="E703" s="6">
        <v>131.65</v>
      </c>
      <c r="F703" s="69">
        <f t="shared" si="49"/>
        <v>144.81500000000003</v>
      </c>
      <c r="G703" s="8"/>
    </row>
    <row r="704" spans="1:7" x14ac:dyDescent="0.45">
      <c r="A704" s="8" t="s">
        <v>492</v>
      </c>
      <c r="B704" s="4">
        <v>1.1000000000000001</v>
      </c>
      <c r="C704" s="8">
        <v>92.5</v>
      </c>
      <c r="D704" s="8">
        <v>92.5</v>
      </c>
      <c r="E704" s="6">
        <v>131.65</v>
      </c>
      <c r="F704" s="69">
        <f t="shared" si="49"/>
        <v>144.81500000000003</v>
      </c>
      <c r="G704" s="8"/>
    </row>
    <row r="705" spans="1:7" x14ac:dyDescent="0.45">
      <c r="A705" s="8" t="s">
        <v>493</v>
      </c>
      <c r="B705" s="4">
        <v>1.31</v>
      </c>
      <c r="C705" s="8">
        <v>92.5</v>
      </c>
      <c r="D705" s="8">
        <v>92.5</v>
      </c>
      <c r="E705" s="6">
        <v>131.65</v>
      </c>
      <c r="F705" s="69">
        <f t="shared" si="49"/>
        <v>172.4615</v>
      </c>
      <c r="G705" s="8"/>
    </row>
    <row r="706" spans="1:7" x14ac:dyDescent="0.45">
      <c r="A706" s="8" t="s">
        <v>494</v>
      </c>
      <c r="B706" s="4">
        <v>1.3</v>
      </c>
      <c r="C706" s="8">
        <v>92.5</v>
      </c>
      <c r="D706" s="8">
        <v>92.5</v>
      </c>
      <c r="E706" s="6">
        <v>131.65</v>
      </c>
      <c r="F706" s="69">
        <f t="shared" si="49"/>
        <v>171.14500000000001</v>
      </c>
      <c r="G706" s="8"/>
    </row>
    <row r="707" spans="1:7" x14ac:dyDescent="0.45">
      <c r="A707" s="8" t="s">
        <v>495</v>
      </c>
      <c r="B707" s="4">
        <v>1.3</v>
      </c>
      <c r="C707" s="8">
        <v>92.5</v>
      </c>
      <c r="D707" s="8">
        <v>92.5</v>
      </c>
      <c r="E707" s="6">
        <v>131.65</v>
      </c>
      <c r="F707" s="69">
        <f t="shared" si="49"/>
        <v>171.14500000000001</v>
      </c>
      <c r="G707" s="8"/>
    </row>
    <row r="708" spans="1:7" x14ac:dyDescent="0.45">
      <c r="A708" s="8" t="s">
        <v>496</v>
      </c>
      <c r="B708" s="4">
        <v>1.25</v>
      </c>
      <c r="C708" s="8">
        <v>92.5</v>
      </c>
      <c r="D708" s="8">
        <v>92.5</v>
      </c>
      <c r="E708" s="6">
        <v>131.65</v>
      </c>
      <c r="F708" s="69">
        <f t="shared" si="49"/>
        <v>164.5625</v>
      </c>
      <c r="G708" s="8"/>
    </row>
    <row r="709" spans="1:7" x14ac:dyDescent="0.45">
      <c r="A709" s="8" t="s">
        <v>497</v>
      </c>
      <c r="B709" s="4">
        <v>1.2</v>
      </c>
      <c r="C709" s="8">
        <v>92.5</v>
      </c>
      <c r="D709" s="8">
        <v>92.5</v>
      </c>
      <c r="E709" s="6">
        <v>131.65</v>
      </c>
      <c r="F709" s="69">
        <f t="shared" si="49"/>
        <v>157.97999999999999</v>
      </c>
      <c r="G709" s="8"/>
    </row>
    <row r="710" spans="1:7" x14ac:dyDescent="0.45">
      <c r="A710" s="8" t="s">
        <v>498</v>
      </c>
      <c r="B710" s="4">
        <v>1.2</v>
      </c>
      <c r="C710" s="8">
        <v>92.5</v>
      </c>
      <c r="D710" s="8">
        <v>92.5</v>
      </c>
      <c r="E710" s="6">
        <v>131.65</v>
      </c>
      <c r="F710" s="69">
        <f t="shared" si="49"/>
        <v>157.97999999999999</v>
      </c>
      <c r="G710" s="8"/>
    </row>
    <row r="711" spans="1:7" x14ac:dyDescent="0.45">
      <c r="A711" s="8" t="s">
        <v>499</v>
      </c>
      <c r="B711" s="4">
        <v>1.31</v>
      </c>
      <c r="C711" s="8">
        <v>92.5</v>
      </c>
      <c r="D711" s="8">
        <v>92.5</v>
      </c>
      <c r="E711" s="6">
        <v>131.65</v>
      </c>
      <c r="F711" s="69">
        <f t="shared" si="49"/>
        <v>172.4615</v>
      </c>
      <c r="G711" s="8"/>
    </row>
    <row r="712" spans="1:7" x14ac:dyDescent="0.45">
      <c r="A712" s="8" t="s">
        <v>500</v>
      </c>
      <c r="B712" s="4">
        <v>1.36</v>
      </c>
      <c r="C712" s="8">
        <v>92.5</v>
      </c>
      <c r="D712" s="8">
        <v>92.5</v>
      </c>
      <c r="E712" s="6">
        <v>131.65</v>
      </c>
      <c r="F712" s="69">
        <f t="shared" si="49"/>
        <v>179.04400000000001</v>
      </c>
      <c r="G712" s="8"/>
    </row>
    <row r="713" spans="1:7" x14ac:dyDescent="0.45">
      <c r="A713" s="8" t="s">
        <v>501</v>
      </c>
      <c r="B713" s="4">
        <v>1.1499999999999999</v>
      </c>
      <c r="C713" s="8">
        <v>92.5</v>
      </c>
      <c r="D713" s="8">
        <v>92.5</v>
      </c>
      <c r="E713" s="6">
        <v>131.65</v>
      </c>
      <c r="F713" s="69">
        <f t="shared" si="49"/>
        <v>151.39750000000001</v>
      </c>
      <c r="G713" s="8"/>
    </row>
    <row r="714" spans="1:7" x14ac:dyDescent="0.45">
      <c r="A714" s="8" t="s">
        <v>502</v>
      </c>
      <c r="B714" s="4">
        <v>1.1499999999999999</v>
      </c>
      <c r="C714" s="8">
        <v>92.5</v>
      </c>
      <c r="D714" s="8">
        <v>92.5</v>
      </c>
      <c r="E714" s="6">
        <v>131.65</v>
      </c>
      <c r="F714" s="69">
        <f t="shared" si="49"/>
        <v>151.39750000000001</v>
      </c>
      <c r="G714" s="8"/>
    </row>
    <row r="715" spans="1:7" x14ac:dyDescent="0.45">
      <c r="A715" s="8" t="s">
        <v>503</v>
      </c>
      <c r="B715" s="4">
        <v>1.4</v>
      </c>
      <c r="C715" s="8">
        <v>92.5</v>
      </c>
      <c r="D715" s="8">
        <v>92.5</v>
      </c>
      <c r="E715" s="6">
        <v>131.65</v>
      </c>
      <c r="F715" s="69">
        <f t="shared" si="49"/>
        <v>184.31</v>
      </c>
      <c r="G715" s="8"/>
    </row>
    <row r="716" spans="1:7" x14ac:dyDescent="0.45">
      <c r="A716" s="8" t="s">
        <v>504</v>
      </c>
      <c r="B716" s="4">
        <v>1.3</v>
      </c>
      <c r="C716" s="8">
        <v>92.5</v>
      </c>
      <c r="D716" s="8">
        <v>92.5</v>
      </c>
      <c r="E716" s="6">
        <v>131.65</v>
      </c>
      <c r="F716" s="69">
        <f t="shared" si="49"/>
        <v>171.14500000000001</v>
      </c>
      <c r="G716" s="8"/>
    </row>
    <row r="717" spans="1:7" x14ac:dyDescent="0.45">
      <c r="A717" s="8" t="s">
        <v>505</v>
      </c>
      <c r="B717" s="4">
        <v>1.2</v>
      </c>
      <c r="C717" s="8">
        <v>92.5</v>
      </c>
      <c r="D717" s="8">
        <v>92.5</v>
      </c>
      <c r="E717" s="6">
        <v>131.65</v>
      </c>
      <c r="F717" s="69">
        <f t="shared" si="49"/>
        <v>157.97999999999999</v>
      </c>
      <c r="G717" s="8"/>
    </row>
    <row r="718" spans="1:7" x14ac:dyDescent="0.45">
      <c r="A718" s="8" t="s">
        <v>506</v>
      </c>
      <c r="B718" s="4">
        <v>1.4</v>
      </c>
      <c r="C718" s="8">
        <v>92.5</v>
      </c>
      <c r="D718" s="8">
        <v>92.5</v>
      </c>
      <c r="E718" s="6">
        <v>131.65</v>
      </c>
      <c r="F718" s="69">
        <f t="shared" si="49"/>
        <v>184.31</v>
      </c>
      <c r="G718" s="8"/>
    </row>
    <row r="719" spans="1:7" x14ac:dyDescent="0.45">
      <c r="A719" s="8" t="s">
        <v>507</v>
      </c>
      <c r="B719" s="4">
        <v>1.21</v>
      </c>
      <c r="C719" s="8">
        <v>92.5</v>
      </c>
      <c r="D719" s="8">
        <v>92.5</v>
      </c>
      <c r="E719" s="6">
        <v>131.65</v>
      </c>
      <c r="F719" s="69">
        <f t="shared" si="49"/>
        <v>159.29650000000001</v>
      </c>
      <c r="G719" s="8"/>
    </row>
    <row r="720" spans="1:7" x14ac:dyDescent="0.45">
      <c r="A720" s="8" t="s">
        <v>508</v>
      </c>
      <c r="B720" s="4">
        <v>1.2</v>
      </c>
      <c r="C720" s="8">
        <v>92.5</v>
      </c>
      <c r="D720" s="8">
        <v>92.5</v>
      </c>
      <c r="E720" s="6">
        <v>131.65</v>
      </c>
      <c r="F720" s="69">
        <f t="shared" si="49"/>
        <v>157.97999999999999</v>
      </c>
      <c r="G720" s="8"/>
    </row>
    <row r="721" spans="1:7" x14ac:dyDescent="0.45">
      <c r="A721" s="8" t="s">
        <v>509</v>
      </c>
      <c r="B721" s="4">
        <v>1.35</v>
      </c>
      <c r="C721" s="8">
        <v>92.5</v>
      </c>
      <c r="D721" s="8">
        <v>92.5</v>
      </c>
      <c r="E721" s="6">
        <v>131.65</v>
      </c>
      <c r="F721" s="69">
        <f t="shared" si="49"/>
        <v>177.72750000000002</v>
      </c>
      <c r="G721" s="8"/>
    </row>
    <row r="722" spans="1:7" x14ac:dyDescent="0.45">
      <c r="A722" s="8" t="s">
        <v>510</v>
      </c>
      <c r="B722" s="4">
        <v>1.1000000000000001</v>
      </c>
      <c r="C722" s="8">
        <v>92.5</v>
      </c>
      <c r="D722" s="8">
        <v>92.5</v>
      </c>
      <c r="E722" s="6">
        <v>131.65</v>
      </c>
      <c r="F722" s="69">
        <f t="shared" si="49"/>
        <v>144.81500000000003</v>
      </c>
      <c r="G722" s="8"/>
    </row>
    <row r="723" spans="1:7" x14ac:dyDescent="0.45">
      <c r="A723" s="8" t="s">
        <v>511</v>
      </c>
      <c r="B723" s="4">
        <v>1.2</v>
      </c>
      <c r="C723" s="8">
        <v>92.5</v>
      </c>
      <c r="D723" s="8">
        <v>92.5</v>
      </c>
      <c r="E723" s="6">
        <v>131.65</v>
      </c>
      <c r="F723" s="69">
        <f t="shared" si="49"/>
        <v>157.97999999999999</v>
      </c>
      <c r="G723" s="8"/>
    </row>
    <row r="724" spans="1:7" x14ac:dyDescent="0.45">
      <c r="A724" s="8" t="s">
        <v>512</v>
      </c>
      <c r="B724" s="4">
        <v>1.51</v>
      </c>
      <c r="C724" s="8">
        <v>92.5</v>
      </c>
      <c r="D724" s="8">
        <v>92.5</v>
      </c>
      <c r="E724" s="6">
        <v>131.65</v>
      </c>
      <c r="F724" s="69">
        <f t="shared" si="49"/>
        <v>198.79150000000001</v>
      </c>
      <c r="G724" s="8"/>
    </row>
    <row r="725" spans="1:7" x14ac:dyDescent="0.45">
      <c r="A725" s="8" t="s">
        <v>513</v>
      </c>
      <c r="B725" s="4">
        <v>1.25</v>
      </c>
      <c r="C725" s="8">
        <v>92.5</v>
      </c>
      <c r="D725" s="8">
        <v>92.5</v>
      </c>
      <c r="E725" s="6">
        <v>131.65</v>
      </c>
      <c r="F725" s="69">
        <f t="shared" si="49"/>
        <v>164.5625</v>
      </c>
      <c r="G725" s="8"/>
    </row>
    <row r="726" spans="1:7" x14ac:dyDescent="0.45">
      <c r="A726" s="8" t="s">
        <v>514</v>
      </c>
      <c r="B726" s="4">
        <v>1.31</v>
      </c>
      <c r="C726" s="8">
        <v>92.5</v>
      </c>
      <c r="D726" s="8">
        <v>92.5</v>
      </c>
      <c r="E726" s="6">
        <v>131.65</v>
      </c>
      <c r="F726" s="69">
        <f t="shared" si="49"/>
        <v>172.4615</v>
      </c>
      <c r="G726" s="8"/>
    </row>
    <row r="727" spans="1:7" x14ac:dyDescent="0.45">
      <c r="A727" s="8" t="s">
        <v>515</v>
      </c>
      <c r="B727" s="4">
        <v>1.5</v>
      </c>
      <c r="C727" s="8">
        <v>92.5</v>
      </c>
      <c r="D727" s="8">
        <v>92.5</v>
      </c>
      <c r="E727" s="6">
        <v>131.65</v>
      </c>
      <c r="F727" s="69">
        <f t="shared" si="49"/>
        <v>197.47500000000002</v>
      </c>
      <c r="G727" s="8"/>
    </row>
    <row r="728" spans="1:7" x14ac:dyDescent="0.45">
      <c r="A728" s="8" t="s">
        <v>516</v>
      </c>
      <c r="B728" s="4">
        <v>1.2</v>
      </c>
      <c r="C728" s="8">
        <v>92.5</v>
      </c>
      <c r="D728" s="8">
        <v>92.5</v>
      </c>
      <c r="E728" s="6">
        <v>131.65</v>
      </c>
      <c r="F728" s="69">
        <f t="shared" si="49"/>
        <v>157.97999999999999</v>
      </c>
      <c r="G728" s="8"/>
    </row>
    <row r="729" spans="1:7" x14ac:dyDescent="0.45">
      <c r="A729" s="8" t="s">
        <v>517</v>
      </c>
      <c r="B729" s="4">
        <v>1.32</v>
      </c>
      <c r="C729" s="8">
        <v>92.5</v>
      </c>
      <c r="D729" s="8">
        <v>92.5</v>
      </c>
      <c r="E729" s="6">
        <v>131.65</v>
      </c>
      <c r="F729" s="69">
        <f t="shared" si="49"/>
        <v>173.77800000000002</v>
      </c>
      <c r="G729" s="8"/>
    </row>
    <row r="730" spans="1:7" x14ac:dyDescent="0.45">
      <c r="A730" s="8" t="s">
        <v>518</v>
      </c>
      <c r="B730" s="4">
        <v>1.33</v>
      </c>
      <c r="C730" s="8">
        <v>92.5</v>
      </c>
      <c r="D730" s="8">
        <v>92.5</v>
      </c>
      <c r="E730" s="6">
        <v>131.65</v>
      </c>
      <c r="F730" s="69">
        <f t="shared" si="49"/>
        <v>175.09450000000001</v>
      </c>
      <c r="G730" s="8"/>
    </row>
    <row r="731" spans="1:7" x14ac:dyDescent="0.45">
      <c r="A731" s="8" t="s">
        <v>519</v>
      </c>
      <c r="B731" s="4">
        <v>1.1200000000000001</v>
      </c>
      <c r="C731" s="8">
        <v>92.5</v>
      </c>
      <c r="D731" s="8">
        <v>92.5</v>
      </c>
      <c r="E731" s="6">
        <v>131.65</v>
      </c>
      <c r="F731" s="69">
        <f t="shared" si="49"/>
        <v>147.44800000000001</v>
      </c>
      <c r="G731" s="8"/>
    </row>
    <row r="732" spans="1:7" x14ac:dyDescent="0.45">
      <c r="A732" s="8" t="s">
        <v>520</v>
      </c>
      <c r="B732" s="4">
        <v>1.18</v>
      </c>
      <c r="C732" s="8">
        <v>92.5</v>
      </c>
      <c r="D732" s="8">
        <v>92.5</v>
      </c>
      <c r="E732" s="6">
        <v>131.65</v>
      </c>
      <c r="F732" s="69">
        <f t="shared" si="49"/>
        <v>155.34700000000001</v>
      </c>
      <c r="G732" s="8"/>
    </row>
    <row r="733" spans="1:7" x14ac:dyDescent="0.45">
      <c r="A733" s="8" t="s">
        <v>521</v>
      </c>
      <c r="B733" s="4">
        <v>1.22</v>
      </c>
      <c r="C733" s="8">
        <v>92.5</v>
      </c>
      <c r="D733" s="8">
        <v>92.5</v>
      </c>
      <c r="E733" s="6">
        <v>131.65</v>
      </c>
      <c r="F733" s="69">
        <f t="shared" si="49"/>
        <v>160.613</v>
      </c>
      <c r="G733" s="8"/>
    </row>
    <row r="734" spans="1:7" x14ac:dyDescent="0.45">
      <c r="A734" s="8" t="s">
        <v>522</v>
      </c>
      <c r="B734" s="4">
        <v>1.41</v>
      </c>
      <c r="C734" s="8">
        <v>92.5</v>
      </c>
      <c r="D734" s="8">
        <v>92.5</v>
      </c>
      <c r="E734" s="6">
        <v>131.65</v>
      </c>
      <c r="F734" s="69">
        <f t="shared" ref="F734:F743" si="50">B734*E734</f>
        <v>185.62649999999999</v>
      </c>
      <c r="G734" s="8"/>
    </row>
    <row r="735" spans="1:7" x14ac:dyDescent="0.45">
      <c r="A735" s="8" t="s">
        <v>523</v>
      </c>
      <c r="B735" s="4">
        <v>1.26</v>
      </c>
      <c r="C735" s="8">
        <v>92.5</v>
      </c>
      <c r="D735" s="8">
        <v>92.5</v>
      </c>
      <c r="E735" s="6">
        <v>131.65</v>
      </c>
      <c r="F735" s="69">
        <f t="shared" si="50"/>
        <v>165.87900000000002</v>
      </c>
      <c r="G735" s="8"/>
    </row>
    <row r="736" spans="1:7" x14ac:dyDescent="0.45">
      <c r="A736" s="8" t="s">
        <v>524</v>
      </c>
      <c r="B736" s="4">
        <v>1.31</v>
      </c>
      <c r="C736" s="8">
        <v>92.5</v>
      </c>
      <c r="D736" s="8">
        <v>92.5</v>
      </c>
      <c r="E736" s="6">
        <v>131.65</v>
      </c>
      <c r="F736" s="69">
        <f t="shared" si="50"/>
        <v>172.4615</v>
      </c>
      <c r="G736" s="8"/>
    </row>
    <row r="737" spans="1:7" x14ac:dyDescent="0.45">
      <c r="A737" s="8" t="s">
        <v>525</v>
      </c>
      <c r="B737" s="4">
        <v>1.19</v>
      </c>
      <c r="C737" s="8">
        <v>92.5</v>
      </c>
      <c r="D737" s="8">
        <v>92.5</v>
      </c>
      <c r="E737" s="6">
        <v>131.65</v>
      </c>
      <c r="F737" s="69">
        <f t="shared" si="50"/>
        <v>156.6635</v>
      </c>
      <c r="G737" s="8"/>
    </row>
    <row r="738" spans="1:7" x14ac:dyDescent="0.45">
      <c r="A738" s="8" t="s">
        <v>526</v>
      </c>
      <c r="B738" s="4">
        <v>1.4</v>
      </c>
      <c r="C738" s="8">
        <v>92.5</v>
      </c>
      <c r="D738" s="8">
        <v>92.5</v>
      </c>
      <c r="E738" s="6">
        <v>131.65</v>
      </c>
      <c r="F738" s="69">
        <f t="shared" si="50"/>
        <v>184.31</v>
      </c>
      <c r="G738" s="8"/>
    </row>
    <row r="739" spans="1:7" x14ac:dyDescent="0.45">
      <c r="A739" s="8" t="s">
        <v>527</v>
      </c>
      <c r="B739" s="4">
        <v>1.2</v>
      </c>
      <c r="C739" s="8">
        <v>92.5</v>
      </c>
      <c r="D739" s="8">
        <v>92.5</v>
      </c>
      <c r="E739" s="6">
        <v>131.65</v>
      </c>
      <c r="F739" s="69">
        <f t="shared" si="50"/>
        <v>157.97999999999999</v>
      </c>
      <c r="G739" s="8"/>
    </row>
    <row r="740" spans="1:7" x14ac:dyDescent="0.45">
      <c r="A740" s="8" t="s">
        <v>528</v>
      </c>
      <c r="B740" s="4">
        <v>1.17</v>
      </c>
      <c r="C740" s="8">
        <v>92.5</v>
      </c>
      <c r="D740" s="8">
        <v>92.5</v>
      </c>
      <c r="E740" s="6">
        <v>131.65</v>
      </c>
      <c r="F740" s="69">
        <f t="shared" si="50"/>
        <v>154.03049999999999</v>
      </c>
      <c r="G740" s="8"/>
    </row>
    <row r="741" spans="1:7" x14ac:dyDescent="0.45">
      <c r="A741" s="8" t="s">
        <v>529</v>
      </c>
      <c r="B741" s="4">
        <v>1.32</v>
      </c>
      <c r="C741" s="8">
        <v>92.5</v>
      </c>
      <c r="D741" s="8">
        <v>92.5</v>
      </c>
      <c r="E741" s="6">
        <v>131.65</v>
      </c>
      <c r="F741" s="69">
        <f t="shared" si="50"/>
        <v>173.77800000000002</v>
      </c>
      <c r="G741" s="8"/>
    </row>
    <row r="742" spans="1:7" x14ac:dyDescent="0.45">
      <c r="A742" s="8" t="s">
        <v>530</v>
      </c>
      <c r="B742" s="4">
        <v>1.28</v>
      </c>
      <c r="C742" s="8">
        <v>92.5</v>
      </c>
      <c r="D742" s="8">
        <v>92.5</v>
      </c>
      <c r="E742" s="6">
        <v>131.65</v>
      </c>
      <c r="F742" s="69">
        <f t="shared" si="50"/>
        <v>168.512</v>
      </c>
      <c r="G742" s="8"/>
    </row>
    <row r="743" spans="1:7" x14ac:dyDescent="0.45">
      <c r="A743" s="8" t="s">
        <v>531</v>
      </c>
      <c r="B743" s="4">
        <v>1.25</v>
      </c>
      <c r="C743" s="8">
        <v>92.5</v>
      </c>
      <c r="D743" s="8">
        <v>92.5</v>
      </c>
      <c r="E743" s="6">
        <v>131.65</v>
      </c>
      <c r="F743" s="69">
        <f t="shared" si="50"/>
        <v>164.5625</v>
      </c>
      <c r="G743" s="8"/>
    </row>
    <row r="744" spans="1:7" x14ac:dyDescent="0.45">
      <c r="A744" s="8" t="s">
        <v>532</v>
      </c>
      <c r="B744" s="4">
        <v>1.32</v>
      </c>
      <c r="C744" s="8">
        <v>92.5</v>
      </c>
      <c r="D744" s="8">
        <v>92.5</v>
      </c>
      <c r="E744" s="6">
        <v>131.65</v>
      </c>
      <c r="F744" s="69">
        <f>B744*E744</f>
        <v>173.77800000000002</v>
      </c>
      <c r="G744" s="8"/>
    </row>
    <row r="745" spans="1:7" x14ac:dyDescent="0.45">
      <c r="A745" s="8" t="s">
        <v>533</v>
      </c>
      <c r="B745" s="4">
        <v>1.4</v>
      </c>
      <c r="C745" s="8">
        <v>92.5</v>
      </c>
      <c r="D745" s="8">
        <v>92.5</v>
      </c>
      <c r="E745" s="6">
        <v>131.65</v>
      </c>
      <c r="F745" s="69">
        <f t="shared" ref="F745:F808" si="51">B745*E745</f>
        <v>184.31</v>
      </c>
      <c r="G745" s="8"/>
    </row>
    <row r="746" spans="1:7" x14ac:dyDescent="0.45">
      <c r="A746" s="8" t="s">
        <v>534</v>
      </c>
      <c r="B746" s="4">
        <v>1.35</v>
      </c>
      <c r="C746" s="8">
        <v>92.5</v>
      </c>
      <c r="D746" s="8">
        <v>92.5</v>
      </c>
      <c r="E746" s="6">
        <v>131.65</v>
      </c>
      <c r="F746" s="69">
        <f t="shared" si="51"/>
        <v>177.72750000000002</v>
      </c>
      <c r="G746" s="8"/>
    </row>
    <row r="747" spans="1:7" x14ac:dyDescent="0.45">
      <c r="A747" s="8" t="s">
        <v>535</v>
      </c>
      <c r="B747" s="4">
        <v>1.68</v>
      </c>
      <c r="C747" s="8">
        <v>92.5</v>
      </c>
      <c r="D747" s="8">
        <v>92.5</v>
      </c>
      <c r="E747" s="8">
        <v>125.57</v>
      </c>
      <c r="F747" s="69">
        <f t="shared" si="51"/>
        <v>210.95759999999999</v>
      </c>
      <c r="G747" s="8"/>
    </row>
    <row r="748" spans="1:7" x14ac:dyDescent="0.45">
      <c r="A748" s="8" t="s">
        <v>536</v>
      </c>
      <c r="B748" s="4">
        <v>1.75</v>
      </c>
      <c r="C748" s="8">
        <v>92.5</v>
      </c>
      <c r="D748" s="8">
        <v>92.5</v>
      </c>
      <c r="E748" s="8">
        <v>125.57</v>
      </c>
      <c r="F748" s="69">
        <f t="shared" si="51"/>
        <v>219.7475</v>
      </c>
      <c r="G748" s="8"/>
    </row>
    <row r="749" spans="1:7" x14ac:dyDescent="0.45">
      <c r="A749" s="8" t="s">
        <v>537</v>
      </c>
      <c r="B749" s="4">
        <v>2.96</v>
      </c>
      <c r="C749" s="8">
        <v>92.5</v>
      </c>
      <c r="D749" s="8">
        <v>92.5</v>
      </c>
      <c r="E749" s="8">
        <v>125.57</v>
      </c>
      <c r="F749" s="69">
        <f t="shared" si="51"/>
        <v>371.68719999999996</v>
      </c>
      <c r="G749" s="8"/>
    </row>
    <row r="750" spans="1:7" x14ac:dyDescent="0.45">
      <c r="A750" s="8" t="s">
        <v>538</v>
      </c>
      <c r="B750" s="4">
        <v>1.76</v>
      </c>
      <c r="C750" s="8">
        <v>92.5</v>
      </c>
      <c r="D750" s="8">
        <v>92.5</v>
      </c>
      <c r="E750" s="8">
        <v>125.57</v>
      </c>
      <c r="F750" s="69">
        <f t="shared" si="51"/>
        <v>221.00319999999999</v>
      </c>
      <c r="G750" s="8"/>
    </row>
    <row r="751" spans="1:7" x14ac:dyDescent="0.45">
      <c r="A751" s="8" t="s">
        <v>539</v>
      </c>
      <c r="B751" s="4">
        <v>1.7</v>
      </c>
      <c r="C751" s="8">
        <v>92.5</v>
      </c>
      <c r="D751" s="8">
        <v>92.5</v>
      </c>
      <c r="E751" s="8">
        <v>125.57</v>
      </c>
      <c r="F751" s="69">
        <f t="shared" si="51"/>
        <v>213.46899999999999</v>
      </c>
      <c r="G751" s="8"/>
    </row>
    <row r="752" spans="1:7" x14ac:dyDescent="0.45">
      <c r="A752" s="8" t="s">
        <v>540</v>
      </c>
      <c r="B752" s="4">
        <v>1.85</v>
      </c>
      <c r="C752" s="8">
        <v>92.5</v>
      </c>
      <c r="D752" s="8">
        <v>92.5</v>
      </c>
      <c r="E752" s="8">
        <v>125.57</v>
      </c>
      <c r="F752" s="69">
        <f t="shared" si="51"/>
        <v>232.30449999999999</v>
      </c>
      <c r="G752" s="8"/>
    </row>
    <row r="753" spans="1:7" x14ac:dyDescent="0.45">
      <c r="A753" s="8" t="s">
        <v>541</v>
      </c>
      <c r="B753" s="4">
        <v>2.04</v>
      </c>
      <c r="C753" s="8">
        <v>92.5</v>
      </c>
      <c r="D753" s="8">
        <v>92.5</v>
      </c>
      <c r="E753" s="8">
        <v>125.57</v>
      </c>
      <c r="F753" s="69">
        <f t="shared" si="51"/>
        <v>256.1628</v>
      </c>
      <c r="G753" s="8"/>
    </row>
    <row r="754" spans="1:7" x14ac:dyDescent="0.45">
      <c r="A754" s="8" t="s">
        <v>542</v>
      </c>
      <c r="B754" s="4">
        <v>1.76</v>
      </c>
      <c r="C754" s="8">
        <v>92.5</v>
      </c>
      <c r="D754" s="8">
        <v>92.5</v>
      </c>
      <c r="E754" s="8">
        <v>125.57</v>
      </c>
      <c r="F754" s="69">
        <f t="shared" si="51"/>
        <v>221.00319999999999</v>
      </c>
      <c r="G754" s="8"/>
    </row>
    <row r="755" spans="1:7" x14ac:dyDescent="0.45">
      <c r="A755" s="8" t="s">
        <v>543</v>
      </c>
      <c r="B755" s="4">
        <v>2.25</v>
      </c>
      <c r="C755" s="8">
        <v>92.5</v>
      </c>
      <c r="D755" s="8">
        <v>92.5</v>
      </c>
      <c r="E755" s="8">
        <v>125.57</v>
      </c>
      <c r="F755" s="69">
        <f>B755*E755</f>
        <v>282.53249999999997</v>
      </c>
      <c r="G755" s="8"/>
    </row>
    <row r="756" spans="1:7" x14ac:dyDescent="0.45">
      <c r="A756" s="8" t="s">
        <v>544</v>
      </c>
      <c r="B756" s="4">
        <v>1.81</v>
      </c>
      <c r="C756" s="8">
        <v>92.5</v>
      </c>
      <c r="D756" s="8">
        <v>92.5</v>
      </c>
      <c r="E756" s="8">
        <v>125.57</v>
      </c>
      <c r="F756" s="69">
        <f t="shared" si="51"/>
        <v>227.2817</v>
      </c>
      <c r="G756" s="8"/>
    </row>
    <row r="757" spans="1:7" x14ac:dyDescent="0.45">
      <c r="A757" s="8" t="s">
        <v>545</v>
      </c>
      <c r="B757" s="4">
        <v>1.73</v>
      </c>
      <c r="C757" s="8">
        <v>92.5</v>
      </c>
      <c r="D757" s="8">
        <v>92.5</v>
      </c>
      <c r="E757" s="8">
        <v>125.57</v>
      </c>
      <c r="F757" s="69">
        <f>B757*E757</f>
        <v>217.23609999999999</v>
      </c>
      <c r="G757" s="8"/>
    </row>
    <row r="758" spans="1:7" x14ac:dyDescent="0.45">
      <c r="A758" s="8" t="s">
        <v>546</v>
      </c>
      <c r="B758" s="4">
        <v>1.88</v>
      </c>
      <c r="C758" s="8">
        <v>92.5</v>
      </c>
      <c r="D758" s="8">
        <v>92.5</v>
      </c>
      <c r="E758" s="8">
        <v>125.57</v>
      </c>
      <c r="F758" s="69">
        <f t="shared" si="51"/>
        <v>236.07159999999996</v>
      </c>
      <c r="G758" s="8"/>
    </row>
    <row r="759" spans="1:7" x14ac:dyDescent="0.45">
      <c r="A759" s="8" t="s">
        <v>547</v>
      </c>
      <c r="B759" s="4">
        <v>1.82</v>
      </c>
      <c r="C759" s="8">
        <v>92.5</v>
      </c>
      <c r="D759" s="8">
        <v>92.5</v>
      </c>
      <c r="E759" s="8">
        <v>125.57</v>
      </c>
      <c r="F759" s="69">
        <f t="shared" si="51"/>
        <v>228.53739999999999</v>
      </c>
      <c r="G759" s="8"/>
    </row>
    <row r="760" spans="1:7" x14ac:dyDescent="0.45">
      <c r="A760" s="8" t="s">
        <v>548</v>
      </c>
      <c r="B760" s="4">
        <v>3.54</v>
      </c>
      <c r="C760" s="8">
        <v>92.5</v>
      </c>
      <c r="D760" s="8">
        <v>92.5</v>
      </c>
      <c r="E760" s="8">
        <v>125.57</v>
      </c>
      <c r="F760" s="69">
        <f t="shared" si="51"/>
        <v>444.51779999999997</v>
      </c>
      <c r="G760" s="8"/>
    </row>
    <row r="761" spans="1:7" x14ac:dyDescent="0.45">
      <c r="A761" s="8" t="s">
        <v>549</v>
      </c>
      <c r="B761" s="4">
        <v>2.12</v>
      </c>
      <c r="C761" s="8">
        <v>92.5</v>
      </c>
      <c r="D761" s="8">
        <v>92.5</v>
      </c>
      <c r="E761" s="8">
        <v>125.57</v>
      </c>
      <c r="F761" s="69">
        <f t="shared" si="51"/>
        <v>266.20839999999998</v>
      </c>
      <c r="G761" s="8"/>
    </row>
    <row r="762" spans="1:7" x14ac:dyDescent="0.45">
      <c r="A762" s="8" t="s">
        <v>550</v>
      </c>
      <c r="B762" s="4">
        <v>1.93</v>
      </c>
      <c r="C762" s="8">
        <v>92.5</v>
      </c>
      <c r="D762" s="8">
        <v>92.5</v>
      </c>
      <c r="E762" s="8">
        <v>125.57</v>
      </c>
      <c r="F762" s="69">
        <f t="shared" si="51"/>
        <v>242.35009999999997</v>
      </c>
      <c r="G762" s="8"/>
    </row>
    <row r="763" spans="1:7" x14ac:dyDescent="0.45">
      <c r="A763" s="8" t="s">
        <v>551</v>
      </c>
      <c r="B763" s="4">
        <v>1.85</v>
      </c>
      <c r="C763" s="8">
        <v>92.5</v>
      </c>
      <c r="D763" s="8">
        <v>92.5</v>
      </c>
      <c r="E763" s="8">
        <v>125.57</v>
      </c>
      <c r="F763" s="69">
        <f t="shared" si="51"/>
        <v>232.30449999999999</v>
      </c>
      <c r="G763" s="8"/>
    </row>
    <row r="764" spans="1:7" x14ac:dyDescent="0.45">
      <c r="A764" s="8" t="s">
        <v>552</v>
      </c>
      <c r="B764" s="4">
        <v>1.91</v>
      </c>
      <c r="C764" s="8">
        <v>92.5</v>
      </c>
      <c r="D764" s="8">
        <v>92.5</v>
      </c>
      <c r="E764" s="8">
        <v>125.57</v>
      </c>
      <c r="F764" s="69">
        <f t="shared" si="51"/>
        <v>239.83869999999999</v>
      </c>
      <c r="G764" s="8"/>
    </row>
    <row r="765" spans="1:7" x14ac:dyDescent="0.45">
      <c r="A765" s="8" t="s">
        <v>553</v>
      </c>
      <c r="B765" s="4">
        <v>1.85</v>
      </c>
      <c r="C765" s="8">
        <v>92.5</v>
      </c>
      <c r="D765" s="8">
        <v>92.5</v>
      </c>
      <c r="E765" s="8">
        <v>125.57</v>
      </c>
      <c r="F765" s="69">
        <f t="shared" si="51"/>
        <v>232.30449999999999</v>
      </c>
      <c r="G765" s="8"/>
    </row>
    <row r="766" spans="1:7" x14ac:dyDescent="0.45">
      <c r="A766" s="8" t="s">
        <v>554</v>
      </c>
      <c r="B766" s="4">
        <v>3.1</v>
      </c>
      <c r="C766" s="8">
        <v>92.5</v>
      </c>
      <c r="D766" s="8">
        <v>92.5</v>
      </c>
      <c r="E766" s="8">
        <v>125.57</v>
      </c>
      <c r="F766" s="69">
        <f t="shared" si="51"/>
        <v>389.267</v>
      </c>
      <c r="G766" s="8"/>
    </row>
    <row r="767" spans="1:7" x14ac:dyDescent="0.45">
      <c r="A767" s="8" t="s">
        <v>555</v>
      </c>
      <c r="B767" s="4">
        <v>4.3</v>
      </c>
      <c r="C767" s="8">
        <v>92.5</v>
      </c>
      <c r="D767" s="8">
        <v>92.5</v>
      </c>
      <c r="E767" s="8">
        <v>125.57</v>
      </c>
      <c r="F767" s="69">
        <f t="shared" si="51"/>
        <v>539.95099999999991</v>
      </c>
      <c r="G767" s="8"/>
    </row>
    <row r="768" spans="1:7" x14ac:dyDescent="0.45">
      <c r="A768" s="8" t="s">
        <v>556</v>
      </c>
      <c r="B768" s="4">
        <v>4.66</v>
      </c>
      <c r="C768" s="8">
        <v>92.5</v>
      </c>
      <c r="D768" s="8">
        <v>92.5</v>
      </c>
      <c r="E768" s="8">
        <v>125.57</v>
      </c>
      <c r="F768" s="69">
        <f t="shared" si="51"/>
        <v>585.15620000000001</v>
      </c>
      <c r="G768" s="8"/>
    </row>
    <row r="769" spans="1:7" x14ac:dyDescent="0.45">
      <c r="A769" s="8" t="s">
        <v>557</v>
      </c>
      <c r="B769" s="4">
        <v>3.87</v>
      </c>
      <c r="C769" s="8">
        <v>92.5</v>
      </c>
      <c r="D769" s="8">
        <v>92.5</v>
      </c>
      <c r="E769" s="8">
        <v>125.57</v>
      </c>
      <c r="F769" s="69">
        <f t="shared" si="51"/>
        <v>485.95589999999999</v>
      </c>
      <c r="G769" s="8"/>
    </row>
    <row r="770" spans="1:7" x14ac:dyDescent="0.45">
      <c r="A770" s="8" t="s">
        <v>558</v>
      </c>
      <c r="B770" s="4">
        <v>4</v>
      </c>
      <c r="C770" s="8">
        <v>92.5</v>
      </c>
      <c r="D770" s="8">
        <v>92.5</v>
      </c>
      <c r="E770" s="8">
        <v>125.57</v>
      </c>
      <c r="F770" s="69">
        <f t="shared" si="51"/>
        <v>502.28</v>
      </c>
      <c r="G770" s="8"/>
    </row>
    <row r="771" spans="1:7" x14ac:dyDescent="0.45">
      <c r="A771" s="8" t="s">
        <v>559</v>
      </c>
      <c r="B771" s="4">
        <v>4.32</v>
      </c>
      <c r="C771" s="8">
        <v>92.5</v>
      </c>
      <c r="D771" s="8">
        <v>92.5</v>
      </c>
      <c r="E771" s="8">
        <v>125.57</v>
      </c>
      <c r="F771" s="69">
        <f t="shared" si="51"/>
        <v>542.4624</v>
      </c>
      <c r="G771" s="8"/>
    </row>
    <row r="772" spans="1:7" x14ac:dyDescent="0.45">
      <c r="A772" s="8" t="s">
        <v>560</v>
      </c>
      <c r="B772" s="4">
        <v>4.74</v>
      </c>
      <c r="C772" s="8">
        <v>92.5</v>
      </c>
      <c r="D772" s="8">
        <v>92.5</v>
      </c>
      <c r="E772" s="8">
        <v>125.57</v>
      </c>
      <c r="F772" s="69">
        <f t="shared" si="51"/>
        <v>595.20180000000005</v>
      </c>
      <c r="G772" s="8"/>
    </row>
    <row r="773" spans="1:7" x14ac:dyDescent="0.45">
      <c r="A773" s="8" t="s">
        <v>561</v>
      </c>
      <c r="B773" s="4">
        <v>4</v>
      </c>
      <c r="C773" s="8">
        <v>92.5</v>
      </c>
      <c r="D773" s="8">
        <v>92.5</v>
      </c>
      <c r="E773" s="8">
        <v>125.57</v>
      </c>
      <c r="F773" s="69">
        <f t="shared" si="51"/>
        <v>502.28</v>
      </c>
      <c r="G773" s="8"/>
    </row>
    <row r="774" spans="1:7" x14ac:dyDescent="0.45">
      <c r="A774" s="8" t="s">
        <v>906</v>
      </c>
      <c r="B774" s="4">
        <v>1.61</v>
      </c>
      <c r="C774" s="8">
        <v>92.5</v>
      </c>
      <c r="D774" s="8">
        <v>92.5</v>
      </c>
      <c r="E774" s="8">
        <v>135</v>
      </c>
      <c r="F774" s="69">
        <f t="shared" si="51"/>
        <v>217.35000000000002</v>
      </c>
      <c r="G774" s="8"/>
    </row>
    <row r="775" spans="1:7" x14ac:dyDescent="0.45">
      <c r="A775" s="8" t="s">
        <v>907</v>
      </c>
      <c r="B775" s="4">
        <v>2</v>
      </c>
      <c r="C775" s="8">
        <v>92.5</v>
      </c>
      <c r="D775" s="8">
        <v>92.5</v>
      </c>
      <c r="E775" s="8">
        <v>135</v>
      </c>
      <c r="F775" s="69">
        <f t="shared" si="51"/>
        <v>270</v>
      </c>
      <c r="G775" s="8"/>
    </row>
    <row r="776" spans="1:7" x14ac:dyDescent="0.45">
      <c r="A776" s="8" t="s">
        <v>908</v>
      </c>
      <c r="B776" s="4">
        <v>2.5</v>
      </c>
      <c r="C776" s="8">
        <v>92.5</v>
      </c>
      <c r="D776" s="8">
        <v>92.5</v>
      </c>
      <c r="E776" s="8">
        <v>135</v>
      </c>
      <c r="F776" s="69">
        <f t="shared" si="51"/>
        <v>337.5</v>
      </c>
      <c r="G776" s="8"/>
    </row>
    <row r="777" spans="1:7" x14ac:dyDescent="0.45">
      <c r="A777" s="8" t="s">
        <v>909</v>
      </c>
      <c r="B777" s="4">
        <v>2.4500000000000002</v>
      </c>
      <c r="C777" s="8">
        <v>92.5</v>
      </c>
      <c r="D777" s="8">
        <v>92.5</v>
      </c>
      <c r="E777" s="8">
        <v>135</v>
      </c>
      <c r="F777" s="69">
        <f t="shared" si="51"/>
        <v>330.75</v>
      </c>
      <c r="G777" s="8"/>
    </row>
    <row r="778" spans="1:7" x14ac:dyDescent="0.45">
      <c r="A778" s="8" t="s">
        <v>910</v>
      </c>
      <c r="B778" s="4">
        <v>2</v>
      </c>
      <c r="C778" s="8">
        <v>92.5</v>
      </c>
      <c r="D778" s="8">
        <v>92.5</v>
      </c>
      <c r="E778" s="8">
        <v>135</v>
      </c>
      <c r="F778" s="69">
        <f t="shared" si="51"/>
        <v>270</v>
      </c>
      <c r="G778" s="8"/>
    </row>
    <row r="779" spans="1:7" x14ac:dyDescent="0.45">
      <c r="A779" s="8" t="s">
        <v>911</v>
      </c>
      <c r="B779" s="4">
        <v>2.7</v>
      </c>
      <c r="C779" s="8">
        <v>92.5</v>
      </c>
      <c r="D779" s="8">
        <v>92.5</v>
      </c>
      <c r="E779" s="8">
        <v>135</v>
      </c>
      <c r="F779" s="69">
        <f t="shared" si="51"/>
        <v>364.5</v>
      </c>
      <c r="G779" s="8"/>
    </row>
    <row r="780" spans="1:7" x14ac:dyDescent="0.45">
      <c r="A780" s="8" t="s">
        <v>912</v>
      </c>
      <c r="B780" s="4">
        <v>2.02</v>
      </c>
      <c r="C780" s="8">
        <v>92.5</v>
      </c>
      <c r="D780" s="8">
        <v>92.5</v>
      </c>
      <c r="E780" s="8">
        <v>135</v>
      </c>
      <c r="F780" s="69">
        <f t="shared" si="51"/>
        <v>272.7</v>
      </c>
      <c r="G780" s="8"/>
    </row>
    <row r="781" spans="1:7" x14ac:dyDescent="0.45">
      <c r="A781" s="8" t="s">
        <v>913</v>
      </c>
      <c r="B781" s="4">
        <v>1.8</v>
      </c>
      <c r="C781" s="8">
        <v>92.5</v>
      </c>
      <c r="D781" s="8">
        <v>92.5</v>
      </c>
      <c r="E781" s="8">
        <v>135</v>
      </c>
      <c r="F781" s="69">
        <f t="shared" si="51"/>
        <v>243</v>
      </c>
      <c r="G781" s="8"/>
    </row>
    <row r="782" spans="1:7" x14ac:dyDescent="0.45">
      <c r="A782" s="8" t="s">
        <v>914</v>
      </c>
      <c r="B782" s="4">
        <v>1.95</v>
      </c>
      <c r="C782" s="8">
        <v>92.5</v>
      </c>
      <c r="D782" s="8">
        <v>92.5</v>
      </c>
      <c r="E782" s="8">
        <v>135</v>
      </c>
      <c r="F782" s="69">
        <f>B782*E782</f>
        <v>263.25</v>
      </c>
      <c r="G782" s="8"/>
    </row>
    <row r="783" spans="1:7" x14ac:dyDescent="0.45">
      <c r="A783" s="8" t="s">
        <v>915</v>
      </c>
      <c r="B783" s="4">
        <v>1.25</v>
      </c>
      <c r="C783" s="8">
        <v>92.5</v>
      </c>
      <c r="D783" s="8">
        <v>92.5</v>
      </c>
      <c r="E783" s="8">
        <v>135</v>
      </c>
      <c r="F783" s="69">
        <f t="shared" si="51"/>
        <v>168.75</v>
      </c>
      <c r="G783" s="8"/>
    </row>
    <row r="784" spans="1:7" x14ac:dyDescent="0.45">
      <c r="A784" s="8" t="s">
        <v>1113</v>
      </c>
      <c r="B784" s="4">
        <v>3.01</v>
      </c>
      <c r="C784" s="8">
        <v>92.5</v>
      </c>
      <c r="D784" s="8">
        <v>92.5</v>
      </c>
      <c r="E784" s="8">
        <v>123</v>
      </c>
      <c r="F784" s="69">
        <f t="shared" si="51"/>
        <v>370.22999999999996</v>
      </c>
      <c r="G784" s="8"/>
    </row>
    <row r="785" spans="1:7" x14ac:dyDescent="0.45">
      <c r="A785" s="8" t="s">
        <v>1114</v>
      </c>
      <c r="B785" s="4">
        <v>3.3</v>
      </c>
      <c r="C785" s="8">
        <v>92.5</v>
      </c>
      <c r="D785" s="8">
        <v>92.5</v>
      </c>
      <c r="E785" s="8">
        <v>123</v>
      </c>
      <c r="F785" s="69">
        <f t="shared" si="51"/>
        <v>405.9</v>
      </c>
      <c r="G785" s="8"/>
    </row>
    <row r="786" spans="1:7" x14ac:dyDescent="0.45">
      <c r="A786" s="8" t="s">
        <v>1115</v>
      </c>
      <c r="B786" s="4">
        <v>2.93</v>
      </c>
      <c r="C786" s="8">
        <v>92.5</v>
      </c>
      <c r="D786" s="8">
        <v>92.5</v>
      </c>
      <c r="E786" s="8">
        <v>123</v>
      </c>
      <c r="F786" s="69">
        <f t="shared" si="51"/>
        <v>360.39000000000004</v>
      </c>
      <c r="G786" s="8"/>
    </row>
    <row r="787" spans="1:7" x14ac:dyDescent="0.45">
      <c r="A787" s="8" t="s">
        <v>1116</v>
      </c>
      <c r="B787" s="4">
        <v>2.27</v>
      </c>
      <c r="C787" s="8">
        <v>92.5</v>
      </c>
      <c r="D787" s="8">
        <v>92.5</v>
      </c>
      <c r="E787" s="8">
        <v>123</v>
      </c>
      <c r="F787" s="69">
        <f>B787*E787</f>
        <v>279.20999999999998</v>
      </c>
      <c r="G787" s="8"/>
    </row>
    <row r="788" spans="1:7" x14ac:dyDescent="0.45">
      <c r="A788" s="8" t="s">
        <v>1117</v>
      </c>
      <c r="B788" s="4">
        <v>3.39</v>
      </c>
      <c r="C788" s="8">
        <v>92.5</v>
      </c>
      <c r="D788" s="8">
        <v>92.5</v>
      </c>
      <c r="E788" s="8">
        <v>123</v>
      </c>
      <c r="F788" s="69">
        <f>B788*E788</f>
        <v>416.97</v>
      </c>
      <c r="G788" s="8"/>
    </row>
    <row r="789" spans="1:7" x14ac:dyDescent="0.45">
      <c r="A789" s="8" t="s">
        <v>1118</v>
      </c>
      <c r="B789" s="4">
        <v>1.95</v>
      </c>
      <c r="C789" s="8">
        <v>92.5</v>
      </c>
      <c r="D789" s="8">
        <v>92.5</v>
      </c>
      <c r="E789" s="8">
        <v>123</v>
      </c>
      <c r="F789" s="69">
        <f t="shared" si="51"/>
        <v>239.85</v>
      </c>
      <c r="G789" s="8"/>
    </row>
    <row r="790" spans="1:7" x14ac:dyDescent="0.45">
      <c r="A790" s="8" t="s">
        <v>1119</v>
      </c>
      <c r="B790" s="4">
        <v>2.4500000000000002</v>
      </c>
      <c r="C790" s="8">
        <v>92.5</v>
      </c>
      <c r="D790" s="8">
        <v>92.5</v>
      </c>
      <c r="E790" s="8">
        <v>123</v>
      </c>
      <c r="F790" s="69">
        <f t="shared" si="51"/>
        <v>301.35000000000002</v>
      </c>
      <c r="G790" s="8"/>
    </row>
    <row r="791" spans="1:7" x14ac:dyDescent="0.45">
      <c r="A791" s="8" t="s">
        <v>1120</v>
      </c>
      <c r="B791" s="4">
        <v>3.45</v>
      </c>
      <c r="C791" s="8">
        <v>92.5</v>
      </c>
      <c r="D791" s="8">
        <v>92.5</v>
      </c>
      <c r="E791" s="8">
        <v>123</v>
      </c>
      <c r="F791" s="69">
        <f t="shared" si="51"/>
        <v>424.35</v>
      </c>
      <c r="G791" s="8"/>
    </row>
    <row r="792" spans="1:7" x14ac:dyDescent="0.45">
      <c r="A792" s="8" t="s">
        <v>1121</v>
      </c>
      <c r="B792" s="4">
        <v>2.97</v>
      </c>
      <c r="C792" s="8">
        <v>92.5</v>
      </c>
      <c r="D792" s="8">
        <v>92.5</v>
      </c>
      <c r="E792" s="8">
        <v>123</v>
      </c>
      <c r="F792" s="69">
        <f t="shared" si="51"/>
        <v>365.31</v>
      </c>
      <c r="G792" s="8"/>
    </row>
    <row r="793" spans="1:7" x14ac:dyDescent="0.45">
      <c r="A793" s="8" t="s">
        <v>1122</v>
      </c>
      <c r="B793" s="4">
        <v>2.75</v>
      </c>
      <c r="C793" s="8">
        <v>92.5</v>
      </c>
      <c r="D793" s="8">
        <v>92.5</v>
      </c>
      <c r="E793" s="8">
        <v>123</v>
      </c>
      <c r="F793" s="69">
        <f t="shared" si="51"/>
        <v>338.25</v>
      </c>
      <c r="G793" s="8"/>
    </row>
    <row r="794" spans="1:7" x14ac:dyDescent="0.45">
      <c r="A794" s="8" t="s">
        <v>1123</v>
      </c>
      <c r="B794" s="4">
        <v>3.3</v>
      </c>
      <c r="C794" s="8">
        <v>92.5</v>
      </c>
      <c r="D794" s="8">
        <v>92.5</v>
      </c>
      <c r="E794" s="8">
        <v>123</v>
      </c>
      <c r="F794" s="69">
        <f t="shared" si="51"/>
        <v>405.9</v>
      </c>
      <c r="G794" s="8"/>
    </row>
    <row r="795" spans="1:7" x14ac:dyDescent="0.45">
      <c r="A795" s="8" t="s">
        <v>1124</v>
      </c>
      <c r="B795" s="4">
        <v>2.4</v>
      </c>
      <c r="C795" s="8">
        <v>92.5</v>
      </c>
      <c r="D795" s="8">
        <v>92.5</v>
      </c>
      <c r="E795" s="8">
        <v>123</v>
      </c>
      <c r="F795" s="69">
        <f>B795*E795</f>
        <v>295.2</v>
      </c>
      <c r="G795" s="8"/>
    </row>
    <row r="796" spans="1:7" x14ac:dyDescent="0.45">
      <c r="A796" s="8" t="s">
        <v>1125</v>
      </c>
      <c r="B796" s="4">
        <v>1.86</v>
      </c>
      <c r="C796" s="8">
        <v>92.5</v>
      </c>
      <c r="D796" s="8">
        <v>92.5</v>
      </c>
      <c r="E796" s="8">
        <v>123</v>
      </c>
      <c r="F796" s="69">
        <f t="shared" si="51"/>
        <v>228.78</v>
      </c>
      <c r="G796" s="8"/>
    </row>
    <row r="797" spans="1:7" x14ac:dyDescent="0.45">
      <c r="A797" s="8" t="s">
        <v>1126</v>
      </c>
      <c r="B797" s="4">
        <v>1.6</v>
      </c>
      <c r="C797" s="8">
        <v>92.5</v>
      </c>
      <c r="D797" s="8">
        <v>92.5</v>
      </c>
      <c r="E797" s="8">
        <v>123</v>
      </c>
      <c r="F797" s="69">
        <f t="shared" si="51"/>
        <v>196.8</v>
      </c>
      <c r="G797" s="8"/>
    </row>
    <row r="798" spans="1:7" x14ac:dyDescent="0.45">
      <c r="A798" s="8" t="s">
        <v>1127</v>
      </c>
      <c r="B798" s="4">
        <v>1.61</v>
      </c>
      <c r="C798" s="8">
        <v>92.5</v>
      </c>
      <c r="D798" s="8">
        <v>92.5</v>
      </c>
      <c r="E798" s="8">
        <v>123</v>
      </c>
      <c r="F798" s="69">
        <f t="shared" si="51"/>
        <v>198.03</v>
      </c>
      <c r="G798" s="8"/>
    </row>
    <row r="799" spans="1:7" x14ac:dyDescent="0.45">
      <c r="A799" s="8" t="s">
        <v>1128</v>
      </c>
      <c r="B799" s="4">
        <v>1.83</v>
      </c>
      <c r="C799" s="8">
        <v>92.5</v>
      </c>
      <c r="D799" s="8">
        <v>92.5</v>
      </c>
      <c r="E799" s="8">
        <v>123</v>
      </c>
      <c r="F799" s="69">
        <f t="shared" si="51"/>
        <v>225.09</v>
      </c>
      <c r="G799" s="8"/>
    </row>
    <row r="800" spans="1:7" x14ac:dyDescent="0.45">
      <c r="A800" s="8" t="s">
        <v>1129</v>
      </c>
      <c r="B800" s="4">
        <v>1.58</v>
      </c>
      <c r="C800" s="8">
        <v>92.5</v>
      </c>
      <c r="D800" s="8">
        <v>92.5</v>
      </c>
      <c r="E800" s="8">
        <v>123</v>
      </c>
      <c r="F800" s="69">
        <f t="shared" si="51"/>
        <v>194.34</v>
      </c>
      <c r="G800" s="8"/>
    </row>
    <row r="801" spans="1:7" x14ac:dyDescent="0.45">
      <c r="A801" s="8" t="s">
        <v>1130</v>
      </c>
      <c r="B801" s="4">
        <v>2.17</v>
      </c>
      <c r="C801" s="8">
        <v>92.5</v>
      </c>
      <c r="D801" s="8">
        <v>92.5</v>
      </c>
      <c r="E801" s="8">
        <v>123</v>
      </c>
      <c r="F801" s="69">
        <f>B801*E801</f>
        <v>266.90999999999997</v>
      </c>
      <c r="G801" s="8"/>
    </row>
    <row r="802" spans="1:7" x14ac:dyDescent="0.45">
      <c r="A802" s="8" t="s">
        <v>1131</v>
      </c>
      <c r="B802" s="4">
        <v>2.36</v>
      </c>
      <c r="C802" s="8">
        <v>92.5</v>
      </c>
      <c r="D802" s="8">
        <v>92.5</v>
      </c>
      <c r="E802" s="8">
        <v>123</v>
      </c>
      <c r="F802" s="69">
        <f t="shared" si="51"/>
        <v>290.27999999999997</v>
      </c>
      <c r="G802" s="8"/>
    </row>
    <row r="803" spans="1:7" x14ac:dyDescent="0.45">
      <c r="A803" s="8" t="s">
        <v>1132</v>
      </c>
      <c r="B803" s="4">
        <v>1.61</v>
      </c>
      <c r="C803" s="8">
        <v>92.5</v>
      </c>
      <c r="D803" s="8">
        <v>92.5</v>
      </c>
      <c r="E803" s="8">
        <v>123</v>
      </c>
      <c r="F803" s="69">
        <f t="shared" si="51"/>
        <v>198.03</v>
      </c>
      <c r="G803" s="8"/>
    </row>
    <row r="804" spans="1:7" x14ac:dyDescent="0.45">
      <c r="A804" s="8" t="s">
        <v>1133</v>
      </c>
      <c r="B804" s="4">
        <v>1.72</v>
      </c>
      <c r="C804" s="8">
        <v>92.5</v>
      </c>
      <c r="D804" s="8">
        <v>92.5</v>
      </c>
      <c r="E804" s="8">
        <v>123</v>
      </c>
      <c r="F804" s="69">
        <f t="shared" si="51"/>
        <v>211.56</v>
      </c>
      <c r="G804" s="8"/>
    </row>
    <row r="805" spans="1:7" x14ac:dyDescent="0.45">
      <c r="A805" s="8" t="s">
        <v>1134</v>
      </c>
      <c r="B805" s="4">
        <v>1.61</v>
      </c>
      <c r="C805" s="8">
        <v>92.5</v>
      </c>
      <c r="D805" s="8">
        <v>92.5</v>
      </c>
      <c r="E805" s="8">
        <v>123</v>
      </c>
      <c r="F805" s="69">
        <f t="shared" si="51"/>
        <v>198.03</v>
      </c>
      <c r="G805" s="8"/>
    </row>
    <row r="806" spans="1:7" x14ac:dyDescent="0.45">
      <c r="A806" s="8" t="s">
        <v>1135</v>
      </c>
      <c r="B806" s="4">
        <v>1.81</v>
      </c>
      <c r="C806" s="8">
        <v>92.5</v>
      </c>
      <c r="D806" s="8">
        <v>92.5</v>
      </c>
      <c r="E806" s="8">
        <v>123</v>
      </c>
      <c r="F806" s="69">
        <f t="shared" si="51"/>
        <v>222.63</v>
      </c>
      <c r="G806" s="8"/>
    </row>
    <row r="807" spans="1:7" x14ac:dyDescent="0.45">
      <c r="A807" s="8" t="s">
        <v>1136</v>
      </c>
      <c r="B807" s="4">
        <v>2.2000000000000002</v>
      </c>
      <c r="C807" s="8">
        <v>92.5</v>
      </c>
      <c r="D807" s="8">
        <v>92.5</v>
      </c>
      <c r="E807" s="8">
        <v>123</v>
      </c>
      <c r="F807" s="69">
        <f t="shared" si="51"/>
        <v>270.60000000000002</v>
      </c>
      <c r="G807" s="8"/>
    </row>
    <row r="808" spans="1:7" x14ac:dyDescent="0.45">
      <c r="A808" s="8" t="s">
        <v>1137</v>
      </c>
      <c r="B808" s="4">
        <v>2.0499999999999998</v>
      </c>
      <c r="C808" s="8">
        <v>92.5</v>
      </c>
      <c r="D808" s="8">
        <v>92.5</v>
      </c>
      <c r="E808" s="8">
        <v>123</v>
      </c>
      <c r="F808" s="69">
        <f t="shared" si="51"/>
        <v>252.14999999999998</v>
      </c>
      <c r="G808" s="8"/>
    </row>
    <row r="809" spans="1:7" x14ac:dyDescent="0.45">
      <c r="A809" s="8" t="s">
        <v>1138</v>
      </c>
      <c r="B809" s="4">
        <v>2.25</v>
      </c>
      <c r="C809" s="8">
        <v>92.5</v>
      </c>
      <c r="D809" s="8">
        <v>92.5</v>
      </c>
      <c r="E809" s="8">
        <v>123</v>
      </c>
      <c r="F809" s="69">
        <f t="shared" ref="F809:F817" si="52">B809*E809</f>
        <v>276.75</v>
      </c>
      <c r="G809" s="8"/>
    </row>
    <row r="810" spans="1:7" x14ac:dyDescent="0.45">
      <c r="A810" s="8" t="s">
        <v>1139</v>
      </c>
      <c r="B810" s="4">
        <v>2.02</v>
      </c>
      <c r="C810" s="8">
        <v>92.5</v>
      </c>
      <c r="D810" s="8">
        <v>92.5</v>
      </c>
      <c r="E810" s="8">
        <v>123</v>
      </c>
      <c r="F810" s="69">
        <f t="shared" si="52"/>
        <v>248.46</v>
      </c>
      <c r="G810" s="8"/>
    </row>
    <row r="811" spans="1:7" x14ac:dyDescent="0.45">
      <c r="A811" s="8" t="s">
        <v>1140</v>
      </c>
      <c r="B811" s="4">
        <v>2.65</v>
      </c>
      <c r="C811" s="8">
        <v>92.5</v>
      </c>
      <c r="D811" s="8">
        <v>92.5</v>
      </c>
      <c r="E811" s="8">
        <v>123</v>
      </c>
      <c r="F811" s="69">
        <f t="shared" si="52"/>
        <v>325.95</v>
      </c>
      <c r="G811" s="8"/>
    </row>
    <row r="812" spans="1:7" x14ac:dyDescent="0.45">
      <c r="A812" s="8" t="s">
        <v>1141</v>
      </c>
      <c r="B812" s="4">
        <v>1.62</v>
      </c>
      <c r="C812" s="8">
        <v>92.5</v>
      </c>
      <c r="D812" s="8">
        <v>92.5</v>
      </c>
      <c r="E812" s="8">
        <v>123</v>
      </c>
      <c r="F812" s="69">
        <f>B812*E812</f>
        <v>199.26000000000002</v>
      </c>
      <c r="G812" s="8"/>
    </row>
    <row r="813" spans="1:7" x14ac:dyDescent="0.45">
      <c r="A813" s="8" t="s">
        <v>1142</v>
      </c>
      <c r="B813" s="4">
        <v>4</v>
      </c>
      <c r="C813" s="8">
        <v>92.5</v>
      </c>
      <c r="D813" s="8">
        <v>92.5</v>
      </c>
      <c r="E813" s="8">
        <v>123</v>
      </c>
      <c r="F813" s="69">
        <f t="shared" si="52"/>
        <v>492</v>
      </c>
      <c r="G813" s="8"/>
    </row>
    <row r="814" spans="1:7" x14ac:dyDescent="0.45">
      <c r="A814" s="8" t="s">
        <v>1143</v>
      </c>
      <c r="B814" s="4">
        <v>4.42</v>
      </c>
      <c r="C814" s="8">
        <v>92.5</v>
      </c>
      <c r="D814" s="8">
        <v>92.5</v>
      </c>
      <c r="E814" s="8">
        <v>123</v>
      </c>
      <c r="F814" s="69">
        <f t="shared" si="52"/>
        <v>543.66</v>
      </c>
      <c r="G814" s="8"/>
    </row>
    <row r="815" spans="1:7" x14ac:dyDescent="0.45">
      <c r="A815" s="8" t="s">
        <v>1144</v>
      </c>
      <c r="B815" s="4">
        <v>4.1500000000000004</v>
      </c>
      <c r="C815" s="8">
        <v>92.5</v>
      </c>
      <c r="D815" s="8">
        <v>92.5</v>
      </c>
      <c r="E815" s="8">
        <v>123</v>
      </c>
      <c r="F815" s="69">
        <f t="shared" si="52"/>
        <v>510.45000000000005</v>
      </c>
      <c r="G815" s="8"/>
    </row>
    <row r="816" spans="1:7" x14ac:dyDescent="0.45">
      <c r="A816" s="8" t="s">
        <v>1145</v>
      </c>
      <c r="B816" s="4">
        <v>4.6500000000000004</v>
      </c>
      <c r="C816" s="8">
        <v>92.5</v>
      </c>
      <c r="D816" s="8">
        <v>92.5</v>
      </c>
      <c r="E816" s="8">
        <v>123</v>
      </c>
      <c r="F816" s="69">
        <f t="shared" si="52"/>
        <v>571.95000000000005</v>
      </c>
      <c r="G816" s="8"/>
    </row>
    <row r="817" spans="1:7" x14ac:dyDescent="0.45">
      <c r="A817" s="8" t="s">
        <v>1146</v>
      </c>
      <c r="B817" s="4">
        <v>4.18</v>
      </c>
      <c r="C817" s="8">
        <v>92.5</v>
      </c>
      <c r="D817" s="8">
        <v>92.5</v>
      </c>
      <c r="E817" s="8">
        <v>123</v>
      </c>
      <c r="F817" s="69">
        <f t="shared" si="52"/>
        <v>514.14</v>
      </c>
      <c r="G817" s="8"/>
    </row>
    <row r="818" spans="1:7" x14ac:dyDescent="0.45">
      <c r="A818" s="8" t="s">
        <v>1147</v>
      </c>
      <c r="B818" s="4">
        <v>4.18</v>
      </c>
      <c r="C818" s="8">
        <v>92.5</v>
      </c>
      <c r="D818" s="8">
        <v>92.5</v>
      </c>
      <c r="E818" s="8">
        <v>123</v>
      </c>
      <c r="F818" s="69">
        <f>B818*E818</f>
        <v>514.14</v>
      </c>
      <c r="G818" s="8"/>
    </row>
    <row r="819" spans="1:7" x14ac:dyDescent="0.45">
      <c r="A819" s="8" t="s">
        <v>1148</v>
      </c>
      <c r="B819" s="4">
        <v>4.01</v>
      </c>
      <c r="C819" s="8">
        <v>92.5</v>
      </c>
      <c r="D819" s="8">
        <v>92.5</v>
      </c>
      <c r="E819" s="8">
        <v>123</v>
      </c>
      <c r="F819" s="69">
        <f>B819*E819</f>
        <v>493.22999999999996</v>
      </c>
      <c r="G819" s="8"/>
    </row>
    <row r="820" spans="1:7" x14ac:dyDescent="0.45">
      <c r="A820" s="8" t="s">
        <v>1237</v>
      </c>
      <c r="B820" s="4">
        <v>1.61</v>
      </c>
      <c r="C820" s="8">
        <v>92.5</v>
      </c>
      <c r="D820" s="8">
        <v>92.5</v>
      </c>
      <c r="E820" s="8">
        <v>140</v>
      </c>
      <c r="F820" s="69">
        <f>B820*E820</f>
        <v>225.4</v>
      </c>
      <c r="G820" s="8"/>
    </row>
    <row r="821" spans="1:7" x14ac:dyDescent="0.45">
      <c r="A821" s="8" t="s">
        <v>1238</v>
      </c>
      <c r="B821" s="4">
        <v>1.95</v>
      </c>
      <c r="C821" s="8">
        <v>92.5</v>
      </c>
      <c r="D821" s="8">
        <v>92.5</v>
      </c>
      <c r="E821" s="8">
        <v>140</v>
      </c>
      <c r="F821" s="69">
        <f t="shared" ref="F821:F832" si="53">B821*E821</f>
        <v>273</v>
      </c>
      <c r="G821" s="8"/>
    </row>
    <row r="822" spans="1:7" x14ac:dyDescent="0.45">
      <c r="A822" s="8" t="s">
        <v>1239</v>
      </c>
      <c r="B822" s="4">
        <v>2.13</v>
      </c>
      <c r="C822" s="8">
        <v>92.5</v>
      </c>
      <c r="D822" s="8">
        <v>92.5</v>
      </c>
      <c r="E822" s="8">
        <v>140</v>
      </c>
      <c r="F822" s="69">
        <f>B822*E822</f>
        <v>298.2</v>
      </c>
      <c r="G822" s="8"/>
    </row>
    <row r="823" spans="1:7" x14ac:dyDescent="0.45">
      <c r="A823" s="8" t="s">
        <v>1240</v>
      </c>
      <c r="B823" s="4">
        <v>1.98</v>
      </c>
      <c r="C823" s="8">
        <v>92.5</v>
      </c>
      <c r="D823" s="8">
        <v>92.5</v>
      </c>
      <c r="E823" s="8">
        <v>140</v>
      </c>
      <c r="F823" s="69">
        <f t="shared" si="53"/>
        <v>277.2</v>
      </c>
      <c r="G823" s="8"/>
    </row>
    <row r="824" spans="1:7" x14ac:dyDescent="0.45">
      <c r="A824" s="8" t="s">
        <v>1241</v>
      </c>
      <c r="B824" s="4">
        <v>1.95</v>
      </c>
      <c r="C824" s="8">
        <v>92.5</v>
      </c>
      <c r="D824" s="8">
        <v>92.5</v>
      </c>
      <c r="E824" s="8">
        <v>140</v>
      </c>
      <c r="F824" s="69">
        <f>B824*E824</f>
        <v>273</v>
      </c>
      <c r="G824" s="8"/>
    </row>
    <row r="825" spans="1:7" x14ac:dyDescent="0.45">
      <c r="A825" s="8" t="s">
        <v>1242</v>
      </c>
      <c r="B825" s="4">
        <v>1.35</v>
      </c>
      <c r="C825" s="8">
        <v>92.5</v>
      </c>
      <c r="D825" s="8">
        <v>92.5</v>
      </c>
      <c r="E825" s="8">
        <v>140</v>
      </c>
      <c r="F825" s="69">
        <f t="shared" si="53"/>
        <v>189</v>
      </c>
      <c r="G825" s="8"/>
    </row>
    <row r="826" spans="1:7" x14ac:dyDescent="0.45">
      <c r="A826" s="8" t="s">
        <v>1243</v>
      </c>
      <c r="B826" s="4">
        <v>1.82</v>
      </c>
      <c r="C826" s="8">
        <v>92.5</v>
      </c>
      <c r="D826" s="8">
        <v>92.5</v>
      </c>
      <c r="E826" s="8">
        <v>140</v>
      </c>
      <c r="F826" s="69">
        <f>B826*E826</f>
        <v>254.8</v>
      </c>
      <c r="G826" s="8"/>
    </row>
    <row r="827" spans="1:7" x14ac:dyDescent="0.45">
      <c r="A827" s="8" t="s">
        <v>1244</v>
      </c>
      <c r="B827" s="4">
        <v>2.06</v>
      </c>
      <c r="C827" s="8">
        <v>92.5</v>
      </c>
      <c r="D827" s="8">
        <v>92.5</v>
      </c>
      <c r="E827" s="8">
        <v>140</v>
      </c>
      <c r="F827" s="69">
        <f t="shared" si="53"/>
        <v>288.40000000000003</v>
      </c>
      <c r="G827" s="8"/>
    </row>
    <row r="828" spans="1:7" x14ac:dyDescent="0.45">
      <c r="A828" s="8" t="s">
        <v>1245</v>
      </c>
      <c r="B828" s="4">
        <v>1.47</v>
      </c>
      <c r="C828" s="8">
        <v>92.5</v>
      </c>
      <c r="D828" s="8">
        <v>92.5</v>
      </c>
      <c r="E828" s="8">
        <v>140</v>
      </c>
      <c r="F828" s="69">
        <f t="shared" si="53"/>
        <v>205.79999999999998</v>
      </c>
      <c r="G828" s="8"/>
    </row>
    <row r="829" spans="1:7" x14ac:dyDescent="0.45">
      <c r="A829" s="8" t="s">
        <v>1246</v>
      </c>
      <c r="B829" s="4">
        <v>1.55</v>
      </c>
      <c r="C829" s="8">
        <v>92.5</v>
      </c>
      <c r="D829" s="8">
        <v>92.5</v>
      </c>
      <c r="E829" s="8">
        <v>140</v>
      </c>
      <c r="F829" s="69">
        <f t="shared" si="53"/>
        <v>217</v>
      </c>
      <c r="G829" s="8"/>
    </row>
    <row r="830" spans="1:7" x14ac:dyDescent="0.45">
      <c r="A830" s="8" t="s">
        <v>1247</v>
      </c>
      <c r="B830" s="4">
        <v>1.7</v>
      </c>
      <c r="C830" s="8">
        <v>92.5</v>
      </c>
      <c r="D830" s="8">
        <v>92.5</v>
      </c>
      <c r="E830" s="8">
        <v>140</v>
      </c>
      <c r="F830" s="69">
        <f t="shared" si="53"/>
        <v>238</v>
      </c>
      <c r="G830" s="8"/>
    </row>
    <row r="831" spans="1:7" x14ac:dyDescent="0.45">
      <c r="A831" s="8" t="s">
        <v>1248</v>
      </c>
      <c r="B831" s="4">
        <v>1.41</v>
      </c>
      <c r="C831" s="8">
        <v>92.5</v>
      </c>
      <c r="D831" s="8">
        <v>92.5</v>
      </c>
      <c r="E831" s="8">
        <v>140</v>
      </c>
      <c r="F831" s="69">
        <f t="shared" si="53"/>
        <v>197.39999999999998</v>
      </c>
      <c r="G831" s="8"/>
    </row>
    <row r="832" spans="1:7" x14ac:dyDescent="0.45">
      <c r="A832" s="8" t="s">
        <v>1249</v>
      </c>
      <c r="B832" s="4">
        <v>1.48</v>
      </c>
      <c r="C832" s="8">
        <v>92.5</v>
      </c>
      <c r="D832" s="8">
        <v>92.5</v>
      </c>
      <c r="E832" s="8">
        <v>140</v>
      </c>
      <c r="F832" s="69">
        <f t="shared" si="53"/>
        <v>207.2</v>
      </c>
      <c r="G832" s="8"/>
    </row>
    <row r="833" spans="1:7" x14ac:dyDescent="0.45">
      <c r="A833" s="8" t="s">
        <v>1250</v>
      </c>
      <c r="B833" s="4">
        <v>2.13</v>
      </c>
      <c r="C833" s="8">
        <v>92.5</v>
      </c>
      <c r="D833" s="8">
        <v>92.5</v>
      </c>
      <c r="E833" s="8">
        <v>140</v>
      </c>
      <c r="F833" s="69">
        <f>B833*E833</f>
        <v>298.2</v>
      </c>
      <c r="G833" s="8"/>
    </row>
    <row r="834" spans="1:7" x14ac:dyDescent="0.45">
      <c r="A834" s="8" t="s">
        <v>1251</v>
      </c>
      <c r="B834" s="4">
        <v>1.92</v>
      </c>
      <c r="C834" s="8">
        <v>92.5</v>
      </c>
      <c r="D834" s="8">
        <v>92.5</v>
      </c>
      <c r="E834" s="8">
        <v>140</v>
      </c>
      <c r="F834" s="69">
        <f t="shared" ref="F834:F897" si="54">B834*E834</f>
        <v>268.8</v>
      </c>
      <c r="G834" s="8"/>
    </row>
    <row r="835" spans="1:7" x14ac:dyDescent="0.45">
      <c r="A835" s="8" t="s">
        <v>1391</v>
      </c>
      <c r="B835" s="4">
        <v>2.4500000000000002</v>
      </c>
      <c r="C835" s="8">
        <v>92.5</v>
      </c>
      <c r="D835" s="8">
        <v>92.5</v>
      </c>
      <c r="E835" s="8">
        <v>132</v>
      </c>
      <c r="F835" s="69">
        <f t="shared" si="54"/>
        <v>323.40000000000003</v>
      </c>
      <c r="G835" s="8"/>
    </row>
    <row r="836" spans="1:7" x14ac:dyDescent="0.45">
      <c r="A836" s="8" t="s">
        <v>1392</v>
      </c>
      <c r="B836" s="4">
        <v>2.95</v>
      </c>
      <c r="C836" s="8">
        <v>92.5</v>
      </c>
      <c r="D836" s="8">
        <v>92.5</v>
      </c>
      <c r="E836" s="8">
        <v>132</v>
      </c>
      <c r="F836" s="69">
        <f t="shared" si="54"/>
        <v>389.40000000000003</v>
      </c>
      <c r="G836" s="8"/>
    </row>
    <row r="837" spans="1:7" x14ac:dyDescent="0.45">
      <c r="A837" s="8" t="s">
        <v>1393</v>
      </c>
      <c r="B837" s="4">
        <v>2</v>
      </c>
      <c r="C837" s="8">
        <v>92.5</v>
      </c>
      <c r="D837" s="8">
        <v>92.5</v>
      </c>
      <c r="E837" s="8">
        <v>132</v>
      </c>
      <c r="F837" s="69">
        <f t="shared" si="54"/>
        <v>264</v>
      </c>
      <c r="G837" s="8"/>
    </row>
    <row r="838" spans="1:7" x14ac:dyDescent="0.45">
      <c r="A838" s="8" t="s">
        <v>1394</v>
      </c>
      <c r="B838" s="4">
        <v>2.75</v>
      </c>
      <c r="C838" s="8">
        <v>92.5</v>
      </c>
      <c r="D838" s="8">
        <v>92.5</v>
      </c>
      <c r="E838" s="8">
        <v>132</v>
      </c>
      <c r="F838" s="69">
        <f t="shared" si="54"/>
        <v>363</v>
      </c>
      <c r="G838" s="8"/>
    </row>
    <row r="839" spans="1:7" x14ac:dyDescent="0.45">
      <c r="A839" s="8" t="s">
        <v>1395</v>
      </c>
      <c r="B839" s="4">
        <v>3.1</v>
      </c>
      <c r="C839" s="8">
        <v>92.5</v>
      </c>
      <c r="D839" s="8">
        <v>92.5</v>
      </c>
      <c r="E839" s="8">
        <v>132</v>
      </c>
      <c r="F839" s="69">
        <f t="shared" si="54"/>
        <v>409.2</v>
      </c>
      <c r="G839" s="8"/>
    </row>
    <row r="840" spans="1:7" x14ac:dyDescent="0.45">
      <c r="A840" s="8" t="s">
        <v>1396</v>
      </c>
      <c r="B840" s="4">
        <v>1.65</v>
      </c>
      <c r="C840" s="8">
        <v>92.5</v>
      </c>
      <c r="D840" s="8">
        <v>92.5</v>
      </c>
      <c r="E840" s="8">
        <v>132</v>
      </c>
      <c r="F840" s="69">
        <f t="shared" si="54"/>
        <v>217.79999999999998</v>
      </c>
      <c r="G840" s="8"/>
    </row>
    <row r="841" spans="1:7" x14ac:dyDescent="0.45">
      <c r="A841" s="8" t="s">
        <v>1397</v>
      </c>
      <c r="B841" s="4">
        <v>2.15</v>
      </c>
      <c r="C841" s="8">
        <v>92.5</v>
      </c>
      <c r="D841" s="8">
        <v>92.5</v>
      </c>
      <c r="E841" s="8">
        <v>132</v>
      </c>
      <c r="F841" s="69">
        <f t="shared" si="54"/>
        <v>283.8</v>
      </c>
      <c r="G841" s="8"/>
    </row>
    <row r="842" spans="1:7" x14ac:dyDescent="0.45">
      <c r="A842" s="8" t="s">
        <v>1398</v>
      </c>
      <c r="B842" s="4">
        <v>1.85</v>
      </c>
      <c r="C842" s="8">
        <v>92.5</v>
      </c>
      <c r="D842" s="8">
        <v>92.5</v>
      </c>
      <c r="E842" s="8">
        <v>132</v>
      </c>
      <c r="F842" s="69">
        <f t="shared" si="54"/>
        <v>244.20000000000002</v>
      </c>
      <c r="G842" s="8"/>
    </row>
    <row r="843" spans="1:7" x14ac:dyDescent="0.45">
      <c r="A843" s="8" t="s">
        <v>1399</v>
      </c>
      <c r="B843" s="4">
        <v>1.7</v>
      </c>
      <c r="C843" s="8">
        <v>92.5</v>
      </c>
      <c r="D843" s="8">
        <v>92.5</v>
      </c>
      <c r="E843" s="8">
        <v>132</v>
      </c>
      <c r="F843" s="69">
        <f t="shared" si="54"/>
        <v>224.4</v>
      </c>
      <c r="G843" s="8"/>
    </row>
    <row r="844" spans="1:7" x14ac:dyDescent="0.45">
      <c r="A844" s="8" t="s">
        <v>1400</v>
      </c>
      <c r="B844" s="4">
        <v>2.1</v>
      </c>
      <c r="C844" s="8">
        <v>92.5</v>
      </c>
      <c r="D844" s="8">
        <v>92.5</v>
      </c>
      <c r="E844" s="8">
        <v>132</v>
      </c>
      <c r="F844" s="69">
        <f>B844*E844</f>
        <v>277.2</v>
      </c>
      <c r="G844" s="8"/>
    </row>
    <row r="845" spans="1:7" x14ac:dyDescent="0.45">
      <c r="A845" s="8" t="s">
        <v>1401</v>
      </c>
      <c r="B845" s="4">
        <v>2.65</v>
      </c>
      <c r="C845" s="8">
        <v>92.5</v>
      </c>
      <c r="D845" s="8">
        <v>92.5</v>
      </c>
      <c r="E845" s="8">
        <v>132</v>
      </c>
      <c r="F845" s="69">
        <f t="shared" si="54"/>
        <v>349.8</v>
      </c>
      <c r="G845" s="8"/>
    </row>
    <row r="846" spans="1:7" x14ac:dyDescent="0.45">
      <c r="A846" s="8" t="s">
        <v>1402</v>
      </c>
      <c r="B846" s="4">
        <v>1.5</v>
      </c>
      <c r="C846" s="8">
        <v>92.5</v>
      </c>
      <c r="D846" s="8">
        <v>92.5</v>
      </c>
      <c r="E846" s="8">
        <v>132</v>
      </c>
      <c r="F846" s="69">
        <f t="shared" si="54"/>
        <v>198</v>
      </c>
      <c r="G846" s="8"/>
    </row>
    <row r="847" spans="1:7" x14ac:dyDescent="0.45">
      <c r="A847" s="8" t="s">
        <v>1403</v>
      </c>
      <c r="B847" s="4">
        <v>2.1</v>
      </c>
      <c r="C847" s="8">
        <v>92.5</v>
      </c>
      <c r="D847" s="8">
        <v>92.5</v>
      </c>
      <c r="E847" s="8">
        <v>132</v>
      </c>
      <c r="F847" s="69">
        <f t="shared" si="54"/>
        <v>277.2</v>
      </c>
      <c r="G847" s="8"/>
    </row>
    <row r="848" spans="1:7" x14ac:dyDescent="0.45">
      <c r="A848" s="8" t="s">
        <v>1404</v>
      </c>
      <c r="B848" s="4">
        <v>2.2999999999999998</v>
      </c>
      <c r="C848" s="8">
        <v>92.5</v>
      </c>
      <c r="D848" s="8">
        <v>92.5</v>
      </c>
      <c r="E848" s="8">
        <v>132</v>
      </c>
      <c r="F848" s="69">
        <f t="shared" si="54"/>
        <v>303.59999999999997</v>
      </c>
      <c r="G848" s="8"/>
    </row>
    <row r="849" spans="1:7" x14ac:dyDescent="0.45">
      <c r="A849" s="8" t="s">
        <v>1405</v>
      </c>
      <c r="B849" s="4">
        <v>1.9</v>
      </c>
      <c r="C849" s="8">
        <v>92.5</v>
      </c>
      <c r="D849" s="8">
        <v>92.5</v>
      </c>
      <c r="E849" s="8">
        <v>132</v>
      </c>
      <c r="F849" s="69">
        <f t="shared" si="54"/>
        <v>250.79999999999998</v>
      </c>
      <c r="G849" s="8"/>
    </row>
    <row r="850" spans="1:7" x14ac:dyDescent="0.45">
      <c r="A850" s="8" t="s">
        <v>1406</v>
      </c>
      <c r="B850" s="4">
        <v>2.2000000000000002</v>
      </c>
      <c r="C850" s="8">
        <v>92.5</v>
      </c>
      <c r="D850" s="8">
        <v>92.5</v>
      </c>
      <c r="E850" s="8">
        <v>132</v>
      </c>
      <c r="F850" s="69">
        <f t="shared" si="54"/>
        <v>290.40000000000003</v>
      </c>
      <c r="G850" s="8"/>
    </row>
    <row r="851" spans="1:7" x14ac:dyDescent="0.45">
      <c r="A851" s="8" t="s">
        <v>1407</v>
      </c>
      <c r="B851" s="4">
        <v>1.85</v>
      </c>
      <c r="C851" s="8">
        <v>92.5</v>
      </c>
      <c r="D851" s="8">
        <v>92.5</v>
      </c>
      <c r="E851" s="8">
        <v>132</v>
      </c>
      <c r="F851" s="69">
        <f t="shared" si="54"/>
        <v>244.20000000000002</v>
      </c>
      <c r="G851" s="8"/>
    </row>
    <row r="852" spans="1:7" x14ac:dyDescent="0.45">
      <c r="A852" s="8" t="s">
        <v>1408</v>
      </c>
      <c r="B852" s="4">
        <v>1.95</v>
      </c>
      <c r="C852" s="8">
        <v>92.5</v>
      </c>
      <c r="D852" s="8">
        <v>92.5</v>
      </c>
      <c r="E852" s="8">
        <v>132</v>
      </c>
      <c r="F852" s="69">
        <f t="shared" si="54"/>
        <v>257.39999999999998</v>
      </c>
      <c r="G852" s="8"/>
    </row>
    <row r="853" spans="1:7" x14ac:dyDescent="0.45">
      <c r="A853" s="8" t="s">
        <v>1409</v>
      </c>
      <c r="B853" s="4">
        <v>2.2000000000000002</v>
      </c>
      <c r="C853" s="8">
        <v>92.5</v>
      </c>
      <c r="D853" s="8">
        <v>92.5</v>
      </c>
      <c r="E853" s="8">
        <v>132</v>
      </c>
      <c r="F853" s="69">
        <f t="shared" si="54"/>
        <v>290.40000000000003</v>
      </c>
      <c r="G853" s="8"/>
    </row>
    <row r="854" spans="1:7" x14ac:dyDescent="0.45">
      <c r="A854" s="8" t="s">
        <v>1410</v>
      </c>
      <c r="B854" s="4">
        <v>1.2</v>
      </c>
      <c r="C854" s="8">
        <v>92.5</v>
      </c>
      <c r="D854" s="8">
        <v>92.5</v>
      </c>
      <c r="E854" s="8">
        <v>132</v>
      </c>
      <c r="F854" s="69">
        <f t="shared" si="54"/>
        <v>158.4</v>
      </c>
      <c r="G854" s="8"/>
    </row>
    <row r="855" spans="1:7" x14ac:dyDescent="0.45">
      <c r="A855" s="8" t="s">
        <v>1411</v>
      </c>
      <c r="B855" s="4">
        <v>1.1499999999999999</v>
      </c>
      <c r="C855" s="8">
        <v>92.5</v>
      </c>
      <c r="D855" s="8">
        <v>92.5</v>
      </c>
      <c r="E855" s="8">
        <v>132</v>
      </c>
      <c r="F855" s="69">
        <f t="shared" si="54"/>
        <v>151.79999999999998</v>
      </c>
      <c r="G855" s="8"/>
    </row>
    <row r="856" spans="1:7" x14ac:dyDescent="0.45">
      <c r="A856" s="8" t="s">
        <v>1412</v>
      </c>
      <c r="B856" s="4">
        <v>2</v>
      </c>
      <c r="C856" s="8">
        <v>92.5</v>
      </c>
      <c r="D856" s="8">
        <v>92.5</v>
      </c>
      <c r="E856" s="8">
        <v>132</v>
      </c>
      <c r="F856" s="69">
        <f t="shared" si="54"/>
        <v>264</v>
      </c>
      <c r="G856" s="8"/>
    </row>
    <row r="857" spans="1:7" x14ac:dyDescent="0.45">
      <c r="A857" s="8" t="s">
        <v>1413</v>
      </c>
      <c r="B857" s="4">
        <v>1.9</v>
      </c>
      <c r="C857" s="8">
        <v>92.5</v>
      </c>
      <c r="D857" s="8">
        <v>92.5</v>
      </c>
      <c r="E857" s="8">
        <v>132</v>
      </c>
      <c r="F857" s="69">
        <f t="shared" si="54"/>
        <v>250.79999999999998</v>
      </c>
      <c r="G857" s="8"/>
    </row>
    <row r="858" spans="1:7" x14ac:dyDescent="0.45">
      <c r="A858" s="8" t="s">
        <v>1414</v>
      </c>
      <c r="B858" s="4">
        <v>1.6</v>
      </c>
      <c r="C858" s="8">
        <v>92.5</v>
      </c>
      <c r="D858" s="8">
        <v>92.5</v>
      </c>
      <c r="E858" s="8">
        <v>132</v>
      </c>
      <c r="F858" s="69">
        <f t="shared" si="54"/>
        <v>211.20000000000002</v>
      </c>
      <c r="G858" s="8"/>
    </row>
    <row r="859" spans="1:7" x14ac:dyDescent="0.45">
      <c r="A859" s="8" t="s">
        <v>1415</v>
      </c>
      <c r="B859" s="4">
        <v>2.4</v>
      </c>
      <c r="C859" s="8">
        <v>92.5</v>
      </c>
      <c r="D859" s="8">
        <v>92.5</v>
      </c>
      <c r="E859" s="8">
        <v>132</v>
      </c>
      <c r="F859" s="69">
        <f t="shared" si="54"/>
        <v>316.8</v>
      </c>
      <c r="G859" s="8"/>
    </row>
    <row r="860" spans="1:7" x14ac:dyDescent="0.45">
      <c r="A860" s="8" t="s">
        <v>1416</v>
      </c>
      <c r="B860" s="4">
        <v>1.65</v>
      </c>
      <c r="C860" s="8">
        <v>92.5</v>
      </c>
      <c r="D860" s="8">
        <v>92.5</v>
      </c>
      <c r="E860" s="8">
        <v>132</v>
      </c>
      <c r="F860" s="69">
        <f t="shared" si="54"/>
        <v>217.79999999999998</v>
      </c>
      <c r="G860" s="8"/>
    </row>
    <row r="861" spans="1:7" x14ac:dyDescent="0.45">
      <c r="A861" s="8" t="s">
        <v>1417</v>
      </c>
      <c r="B861" s="4">
        <v>1.9</v>
      </c>
      <c r="C861" s="8">
        <v>92.5</v>
      </c>
      <c r="D861" s="8">
        <v>92.5</v>
      </c>
      <c r="E861" s="8">
        <v>132</v>
      </c>
      <c r="F861" s="69">
        <f t="shared" si="54"/>
        <v>250.79999999999998</v>
      </c>
      <c r="G861" s="8"/>
    </row>
    <row r="862" spans="1:7" x14ac:dyDescent="0.45">
      <c r="A862" s="8" t="s">
        <v>1418</v>
      </c>
      <c r="B862" s="4">
        <v>1.8</v>
      </c>
      <c r="C862" s="8">
        <v>92.5</v>
      </c>
      <c r="D862" s="8">
        <v>92.5</v>
      </c>
      <c r="E862" s="8">
        <v>132</v>
      </c>
      <c r="F862" s="69">
        <f t="shared" si="54"/>
        <v>237.6</v>
      </c>
      <c r="G862" s="8"/>
    </row>
    <row r="863" spans="1:7" x14ac:dyDescent="0.45">
      <c r="A863" s="8" t="s">
        <v>1419</v>
      </c>
      <c r="B863" s="4">
        <v>2</v>
      </c>
      <c r="C863" s="8">
        <v>92.5</v>
      </c>
      <c r="D863" s="8">
        <v>92.5</v>
      </c>
      <c r="E863" s="8">
        <v>132</v>
      </c>
      <c r="F863" s="69">
        <f t="shared" si="54"/>
        <v>264</v>
      </c>
      <c r="G863" s="8"/>
    </row>
    <row r="864" spans="1:7" x14ac:dyDescent="0.45">
      <c r="A864" s="8" t="s">
        <v>1420</v>
      </c>
      <c r="B864" s="4">
        <v>1.7</v>
      </c>
      <c r="C864" s="8">
        <v>92.5</v>
      </c>
      <c r="D864" s="8">
        <v>92.5</v>
      </c>
      <c r="E864" s="8">
        <v>132</v>
      </c>
      <c r="F864" s="69">
        <f t="shared" si="54"/>
        <v>224.4</v>
      </c>
      <c r="G864" s="8"/>
    </row>
    <row r="865" spans="1:7" x14ac:dyDescent="0.45">
      <c r="A865" s="8" t="s">
        <v>1421</v>
      </c>
      <c r="B865" s="4">
        <v>1.25</v>
      </c>
      <c r="C865" s="8">
        <v>92.5</v>
      </c>
      <c r="D865" s="8">
        <v>92.5</v>
      </c>
      <c r="E865" s="8">
        <v>132</v>
      </c>
      <c r="F865" s="69">
        <f t="shared" si="54"/>
        <v>165</v>
      </c>
      <c r="G865" s="8"/>
    </row>
    <row r="866" spans="1:7" x14ac:dyDescent="0.45">
      <c r="A866" s="8" t="s">
        <v>1422</v>
      </c>
      <c r="B866" s="4">
        <v>1.6</v>
      </c>
      <c r="C866" s="8">
        <v>92.5</v>
      </c>
      <c r="D866" s="8">
        <v>92.5</v>
      </c>
      <c r="E866" s="8">
        <v>132</v>
      </c>
      <c r="F866" s="69">
        <f t="shared" si="54"/>
        <v>211.20000000000002</v>
      </c>
      <c r="G866" s="8"/>
    </row>
    <row r="867" spans="1:7" x14ac:dyDescent="0.45">
      <c r="A867" s="8" t="s">
        <v>1423</v>
      </c>
      <c r="B867" s="4">
        <v>2.2000000000000002</v>
      </c>
      <c r="C867" s="8">
        <v>92.5</v>
      </c>
      <c r="D867" s="8">
        <v>92.5</v>
      </c>
      <c r="E867" s="8">
        <v>132</v>
      </c>
      <c r="F867" s="69">
        <f t="shared" si="54"/>
        <v>290.40000000000003</v>
      </c>
      <c r="G867" s="8"/>
    </row>
    <row r="868" spans="1:7" x14ac:dyDescent="0.45">
      <c r="A868" s="8" t="s">
        <v>1424</v>
      </c>
      <c r="B868" s="4">
        <v>1.2</v>
      </c>
      <c r="C868" s="8">
        <v>92.5</v>
      </c>
      <c r="D868" s="8">
        <v>92.5</v>
      </c>
      <c r="E868" s="8">
        <v>132</v>
      </c>
      <c r="F868" s="69">
        <f t="shared" si="54"/>
        <v>158.4</v>
      </c>
      <c r="G868" s="8"/>
    </row>
    <row r="869" spans="1:7" x14ac:dyDescent="0.45">
      <c r="A869" s="8" t="s">
        <v>1425</v>
      </c>
      <c r="B869" s="4">
        <v>2.1</v>
      </c>
      <c r="C869" s="8">
        <v>92.5</v>
      </c>
      <c r="D869" s="8">
        <v>92.5</v>
      </c>
      <c r="E869" s="8">
        <v>132</v>
      </c>
      <c r="F869" s="69">
        <f t="shared" si="54"/>
        <v>277.2</v>
      </c>
      <c r="G869" s="8"/>
    </row>
    <row r="870" spans="1:7" x14ac:dyDescent="0.45">
      <c r="A870" s="8" t="s">
        <v>1426</v>
      </c>
      <c r="B870" s="4">
        <v>2.25</v>
      </c>
      <c r="C870" s="8">
        <v>92.5</v>
      </c>
      <c r="D870" s="8">
        <v>92.5</v>
      </c>
      <c r="E870" s="8">
        <v>132</v>
      </c>
      <c r="F870" s="69">
        <f t="shared" si="54"/>
        <v>297</v>
      </c>
      <c r="G870" s="8"/>
    </row>
    <row r="871" spans="1:7" x14ac:dyDescent="0.45">
      <c r="A871" s="8" t="s">
        <v>1427</v>
      </c>
      <c r="B871" s="4">
        <v>1.9</v>
      </c>
      <c r="C871" s="8">
        <v>92.5</v>
      </c>
      <c r="D871" s="8">
        <v>92.5</v>
      </c>
      <c r="E871" s="8">
        <v>132</v>
      </c>
      <c r="F871" s="69">
        <f t="shared" si="54"/>
        <v>250.79999999999998</v>
      </c>
      <c r="G871" s="8"/>
    </row>
    <row r="872" spans="1:7" x14ac:dyDescent="0.45">
      <c r="A872" s="8" t="s">
        <v>1428</v>
      </c>
      <c r="B872" s="4">
        <v>1.2</v>
      </c>
      <c r="C872" s="8">
        <v>92.5</v>
      </c>
      <c r="D872" s="8">
        <v>92.5</v>
      </c>
      <c r="E872" s="8">
        <v>132</v>
      </c>
      <c r="F872" s="69">
        <f t="shared" si="54"/>
        <v>158.4</v>
      </c>
      <c r="G872" s="8"/>
    </row>
    <row r="873" spans="1:7" x14ac:dyDescent="0.45">
      <c r="A873" s="8" t="s">
        <v>1429</v>
      </c>
      <c r="B873" s="4">
        <v>1.2</v>
      </c>
      <c r="C873" s="8">
        <v>92.5</v>
      </c>
      <c r="D873" s="8">
        <v>92.5</v>
      </c>
      <c r="E873" s="8">
        <v>132</v>
      </c>
      <c r="F873" s="69">
        <f t="shared" si="54"/>
        <v>158.4</v>
      </c>
      <c r="G873" s="8"/>
    </row>
    <row r="874" spans="1:7" x14ac:dyDescent="0.45">
      <c r="A874" s="8" t="s">
        <v>1430</v>
      </c>
      <c r="B874" s="4">
        <v>1</v>
      </c>
      <c r="C874" s="8">
        <v>92.5</v>
      </c>
      <c r="D874" s="8">
        <v>92.5</v>
      </c>
      <c r="E874" s="8">
        <v>132</v>
      </c>
      <c r="F874" s="69">
        <f t="shared" si="54"/>
        <v>132</v>
      </c>
      <c r="G874" s="8"/>
    </row>
    <row r="875" spans="1:7" x14ac:dyDescent="0.45">
      <c r="A875" s="8" t="s">
        <v>1431</v>
      </c>
      <c r="B875" s="4">
        <v>1.3</v>
      </c>
      <c r="C875" s="8">
        <v>92.5</v>
      </c>
      <c r="D875" s="8">
        <v>92.5</v>
      </c>
      <c r="E875" s="8">
        <v>132</v>
      </c>
      <c r="F875" s="69">
        <f t="shared" si="54"/>
        <v>171.6</v>
      </c>
      <c r="G875" s="8"/>
    </row>
    <row r="876" spans="1:7" x14ac:dyDescent="0.45">
      <c r="A876" s="8" t="s">
        <v>1432</v>
      </c>
      <c r="B876" s="4">
        <v>1</v>
      </c>
      <c r="C876" s="8">
        <v>92.5</v>
      </c>
      <c r="D876" s="8">
        <v>92.5</v>
      </c>
      <c r="E876" s="8">
        <v>132</v>
      </c>
      <c r="F876" s="69">
        <f t="shared" si="54"/>
        <v>132</v>
      </c>
      <c r="G876" s="8"/>
    </row>
    <row r="877" spans="1:7" x14ac:dyDescent="0.45">
      <c r="A877" s="8" t="s">
        <v>1433</v>
      </c>
      <c r="B877" s="4">
        <v>2</v>
      </c>
      <c r="C877" s="8">
        <v>92.5</v>
      </c>
      <c r="D877" s="8">
        <v>92.5</v>
      </c>
      <c r="E877" s="8">
        <v>132</v>
      </c>
      <c r="F877" s="69">
        <f t="shared" si="54"/>
        <v>264</v>
      </c>
      <c r="G877" s="8"/>
    </row>
    <row r="878" spans="1:7" x14ac:dyDescent="0.45">
      <c r="A878" s="8" t="s">
        <v>1434</v>
      </c>
      <c r="B878" s="4">
        <v>1.8</v>
      </c>
      <c r="C878" s="8">
        <v>92.5</v>
      </c>
      <c r="D878" s="8">
        <v>92.5</v>
      </c>
      <c r="E878" s="8">
        <v>132</v>
      </c>
      <c r="F878" s="69">
        <f t="shared" si="54"/>
        <v>237.6</v>
      </c>
      <c r="G878" s="8"/>
    </row>
    <row r="879" spans="1:7" x14ac:dyDescent="0.45">
      <c r="A879" s="8" t="s">
        <v>1435</v>
      </c>
      <c r="B879" s="4">
        <v>1.2</v>
      </c>
      <c r="C879" s="8">
        <v>92.5</v>
      </c>
      <c r="D879" s="8">
        <v>92.5</v>
      </c>
      <c r="E879" s="8">
        <v>132</v>
      </c>
      <c r="F879" s="69">
        <f t="shared" si="54"/>
        <v>158.4</v>
      </c>
      <c r="G879" s="8"/>
    </row>
    <row r="880" spans="1:7" x14ac:dyDescent="0.45">
      <c r="A880" s="8" t="s">
        <v>1436</v>
      </c>
      <c r="B880" s="4">
        <v>1.1000000000000001</v>
      </c>
      <c r="C880" s="8">
        <v>92.5</v>
      </c>
      <c r="D880" s="8">
        <v>92.5</v>
      </c>
      <c r="E880" s="8">
        <v>132</v>
      </c>
      <c r="F880" s="69">
        <f t="shared" si="54"/>
        <v>145.20000000000002</v>
      </c>
      <c r="G880" s="8"/>
    </row>
    <row r="881" spans="1:7" x14ac:dyDescent="0.45">
      <c r="A881" s="8" t="s">
        <v>1437</v>
      </c>
      <c r="B881" s="4">
        <v>1.7</v>
      </c>
      <c r="C881" s="8">
        <v>92.5</v>
      </c>
      <c r="D881" s="8">
        <v>92.5</v>
      </c>
      <c r="E881" s="8">
        <v>132</v>
      </c>
      <c r="F881" s="69">
        <f t="shared" si="54"/>
        <v>224.4</v>
      </c>
      <c r="G881" s="8"/>
    </row>
    <row r="882" spans="1:7" x14ac:dyDescent="0.45">
      <c r="A882" s="8" t="s">
        <v>1438</v>
      </c>
      <c r="B882" s="4">
        <v>2.9</v>
      </c>
      <c r="C882" s="8">
        <v>92.5</v>
      </c>
      <c r="D882" s="8">
        <v>92.5</v>
      </c>
      <c r="E882" s="8">
        <v>132</v>
      </c>
      <c r="F882" s="69">
        <f t="shared" si="54"/>
        <v>382.8</v>
      </c>
      <c r="G882" s="8"/>
    </row>
    <row r="883" spans="1:7" x14ac:dyDescent="0.45">
      <c r="A883" s="8" t="s">
        <v>1439</v>
      </c>
      <c r="B883" s="4">
        <v>4.5</v>
      </c>
      <c r="C883" s="8">
        <v>92.5</v>
      </c>
      <c r="D883" s="8">
        <v>92.5</v>
      </c>
      <c r="E883" s="8">
        <v>132</v>
      </c>
      <c r="F883" s="69">
        <f t="shared" si="54"/>
        <v>594</v>
      </c>
      <c r="G883" s="8"/>
    </row>
    <row r="884" spans="1:7" x14ac:dyDescent="0.45">
      <c r="A884" s="8" t="s">
        <v>1440</v>
      </c>
      <c r="B884" s="4">
        <v>3.2</v>
      </c>
      <c r="C884" s="8">
        <v>92.5</v>
      </c>
      <c r="D884" s="8">
        <v>92.5</v>
      </c>
      <c r="E884" s="8">
        <v>132</v>
      </c>
      <c r="F884" s="69">
        <f t="shared" si="54"/>
        <v>422.40000000000003</v>
      </c>
      <c r="G884" s="8"/>
    </row>
    <row r="885" spans="1:7" x14ac:dyDescent="0.45">
      <c r="A885" s="8" t="s">
        <v>1441</v>
      </c>
      <c r="B885" s="4">
        <v>4</v>
      </c>
      <c r="C885" s="8">
        <v>92.5</v>
      </c>
      <c r="D885" s="8">
        <v>92.5</v>
      </c>
      <c r="E885" s="8">
        <v>132</v>
      </c>
      <c r="F885" s="69">
        <f t="shared" si="54"/>
        <v>528</v>
      </c>
      <c r="G885" s="8"/>
    </row>
    <row r="886" spans="1:7" x14ac:dyDescent="0.45">
      <c r="A886" s="8" t="s">
        <v>1442</v>
      </c>
      <c r="B886" s="4">
        <v>2</v>
      </c>
      <c r="C886" s="8">
        <v>92.5</v>
      </c>
      <c r="D886" s="8">
        <v>92.5</v>
      </c>
      <c r="E886" s="8">
        <v>132</v>
      </c>
      <c r="F886" s="69">
        <f t="shared" si="54"/>
        <v>264</v>
      </c>
      <c r="G886" s="8"/>
    </row>
    <row r="887" spans="1:7" x14ac:dyDescent="0.45">
      <c r="A887" s="8" t="s">
        <v>1443</v>
      </c>
      <c r="B887" s="4">
        <v>3.5</v>
      </c>
      <c r="C887" s="8">
        <v>92.5</v>
      </c>
      <c r="D887" s="8">
        <v>92.5</v>
      </c>
      <c r="E887" s="8">
        <v>132</v>
      </c>
      <c r="F887" s="69">
        <f t="shared" si="54"/>
        <v>462</v>
      </c>
      <c r="G887" s="8"/>
    </row>
    <row r="888" spans="1:7" x14ac:dyDescent="0.45">
      <c r="A888" s="8" t="s">
        <v>1444</v>
      </c>
      <c r="B888" s="4">
        <v>2.5</v>
      </c>
      <c r="C888" s="8">
        <v>92.5</v>
      </c>
      <c r="D888" s="8">
        <v>92.5</v>
      </c>
      <c r="E888" s="8">
        <v>132</v>
      </c>
      <c r="F888" s="69">
        <f t="shared" si="54"/>
        <v>330</v>
      </c>
      <c r="G888" s="8"/>
    </row>
    <row r="889" spans="1:7" x14ac:dyDescent="0.45">
      <c r="A889" s="8" t="s">
        <v>1445</v>
      </c>
      <c r="B889" s="4">
        <v>2.2999999999999998</v>
      </c>
      <c r="C889" s="8">
        <v>92.5</v>
      </c>
      <c r="D889" s="8">
        <v>92.5</v>
      </c>
      <c r="E889" s="8">
        <v>132</v>
      </c>
      <c r="F889" s="69">
        <f t="shared" si="54"/>
        <v>303.59999999999997</v>
      </c>
      <c r="G889" s="8"/>
    </row>
    <row r="890" spans="1:7" x14ac:dyDescent="0.45">
      <c r="A890" s="8" t="s">
        <v>1446</v>
      </c>
      <c r="B890" s="4">
        <v>2.7</v>
      </c>
      <c r="C890" s="8">
        <v>92.5</v>
      </c>
      <c r="D890" s="8">
        <v>92.5</v>
      </c>
      <c r="E890" s="8">
        <v>132</v>
      </c>
      <c r="F890" s="69">
        <f t="shared" si="54"/>
        <v>356.40000000000003</v>
      </c>
      <c r="G890" s="8"/>
    </row>
    <row r="891" spans="1:7" x14ac:dyDescent="0.45">
      <c r="A891" s="8" t="s">
        <v>1447</v>
      </c>
      <c r="B891" s="4">
        <v>3.7</v>
      </c>
      <c r="C891" s="8">
        <v>92.5</v>
      </c>
      <c r="D891" s="8">
        <v>92.5</v>
      </c>
      <c r="E891" s="8">
        <v>132</v>
      </c>
      <c r="F891" s="69">
        <f t="shared" si="54"/>
        <v>488.40000000000003</v>
      </c>
      <c r="G891" s="8"/>
    </row>
    <row r="892" spans="1:7" x14ac:dyDescent="0.45">
      <c r="A892" s="8" t="s">
        <v>1448</v>
      </c>
      <c r="B892" s="4">
        <v>3.6</v>
      </c>
      <c r="C892" s="8">
        <v>92.5</v>
      </c>
      <c r="D892" s="8">
        <v>92.5</v>
      </c>
      <c r="E892" s="8">
        <v>132</v>
      </c>
      <c r="F892" s="69">
        <f t="shared" si="54"/>
        <v>475.2</v>
      </c>
      <c r="G892" s="8"/>
    </row>
    <row r="893" spans="1:7" x14ac:dyDescent="0.45">
      <c r="A893" s="8" t="s">
        <v>1449</v>
      </c>
      <c r="B893" s="4">
        <v>2.2999999999999998</v>
      </c>
      <c r="C893" s="8">
        <v>92.5</v>
      </c>
      <c r="D893" s="8">
        <v>92.5</v>
      </c>
      <c r="E893" s="8">
        <v>132</v>
      </c>
      <c r="F893" s="69">
        <f t="shared" si="54"/>
        <v>303.59999999999997</v>
      </c>
      <c r="G893" s="8"/>
    </row>
    <row r="894" spans="1:7" x14ac:dyDescent="0.45">
      <c r="A894" s="8" t="s">
        <v>1450</v>
      </c>
      <c r="B894" s="4">
        <v>2.5</v>
      </c>
      <c r="C894" s="8">
        <v>92.5</v>
      </c>
      <c r="D894" s="8">
        <v>92.5</v>
      </c>
      <c r="E894" s="8">
        <v>132</v>
      </c>
      <c r="F894" s="69">
        <f t="shared" si="54"/>
        <v>330</v>
      </c>
      <c r="G894" s="8"/>
    </row>
    <row r="895" spans="1:7" x14ac:dyDescent="0.45">
      <c r="A895" s="8" t="s">
        <v>1451</v>
      </c>
      <c r="B895" s="4">
        <v>2.8</v>
      </c>
      <c r="C895" s="8">
        <v>92.5</v>
      </c>
      <c r="D895" s="8">
        <v>92.5</v>
      </c>
      <c r="E895" s="8">
        <v>132</v>
      </c>
      <c r="F895" s="69">
        <f t="shared" si="54"/>
        <v>369.59999999999997</v>
      </c>
      <c r="G895" s="8"/>
    </row>
    <row r="896" spans="1:7" x14ac:dyDescent="0.45">
      <c r="A896" s="8" t="s">
        <v>1452</v>
      </c>
      <c r="B896" s="4">
        <v>2.25</v>
      </c>
      <c r="C896" s="8">
        <v>92.5</v>
      </c>
      <c r="D896" s="8">
        <v>92.5</v>
      </c>
      <c r="E896" s="8">
        <v>132</v>
      </c>
      <c r="F896" s="69">
        <f t="shared" si="54"/>
        <v>297</v>
      </c>
      <c r="G896" s="8"/>
    </row>
    <row r="897" spans="1:7" x14ac:dyDescent="0.45">
      <c r="A897" s="8" t="s">
        <v>1453</v>
      </c>
      <c r="B897" s="4">
        <v>2.0499999999999998</v>
      </c>
      <c r="C897" s="8">
        <v>92.5</v>
      </c>
      <c r="D897" s="8">
        <v>92.5</v>
      </c>
      <c r="E897" s="8">
        <v>132</v>
      </c>
      <c r="F897" s="69">
        <f t="shared" si="54"/>
        <v>270.59999999999997</v>
      </c>
      <c r="G897" s="8"/>
    </row>
    <row r="898" spans="1:7" x14ac:dyDescent="0.45">
      <c r="A898" s="8" t="s">
        <v>1454</v>
      </c>
      <c r="B898" s="4">
        <v>2.2999999999999998</v>
      </c>
      <c r="C898" s="8">
        <v>92.5</v>
      </c>
      <c r="D898" s="8">
        <v>92.5</v>
      </c>
      <c r="E898" s="8">
        <v>132</v>
      </c>
      <c r="F898" s="69">
        <f>B898*E898</f>
        <v>303.59999999999997</v>
      </c>
      <c r="G898" s="8"/>
    </row>
    <row r="899" spans="1:7" x14ac:dyDescent="0.45">
      <c r="A899" s="8" t="s">
        <v>1714</v>
      </c>
      <c r="B899" s="4">
        <v>3.88</v>
      </c>
      <c r="C899" s="8">
        <v>92.5</v>
      </c>
      <c r="D899" s="8">
        <v>92.5</v>
      </c>
      <c r="E899" s="8">
        <v>132</v>
      </c>
      <c r="F899" s="69">
        <f>(((B899*C899)/100)*E899)</f>
        <v>473.74799999999999</v>
      </c>
      <c r="G899" s="8"/>
    </row>
    <row r="900" spans="1:7" x14ac:dyDescent="0.45">
      <c r="A900" s="8" t="s">
        <v>562</v>
      </c>
      <c r="B900" s="4">
        <v>31.25</v>
      </c>
      <c r="C900" s="7">
        <v>86</v>
      </c>
      <c r="D900" s="7">
        <f>65-C900</f>
        <v>-21</v>
      </c>
      <c r="E900" s="6">
        <v>90</v>
      </c>
      <c r="F900" s="69">
        <f t="shared" ref="F900" si="55">(((B900*C900)/100)*E900)</f>
        <v>2418.75</v>
      </c>
      <c r="G900" s="8"/>
    </row>
    <row r="901" spans="1:7" x14ac:dyDescent="0.45">
      <c r="A901" s="8" t="s">
        <v>563</v>
      </c>
      <c r="B901" s="4">
        <v>11.6</v>
      </c>
      <c r="C901" s="7">
        <v>86</v>
      </c>
      <c r="D901" s="7">
        <f t="shared" ref="D901:D956" si="56">65-C901</f>
        <v>-21</v>
      </c>
      <c r="E901" s="6">
        <v>90</v>
      </c>
      <c r="F901" s="69">
        <f t="shared" ref="F901:F933" si="57">(((B901*C901)/100)*E901)</f>
        <v>897.84</v>
      </c>
      <c r="G901" s="8"/>
    </row>
    <row r="902" spans="1:7" x14ac:dyDescent="0.45">
      <c r="A902" s="8" t="s">
        <v>564</v>
      </c>
      <c r="B902" s="4">
        <v>21.75</v>
      </c>
      <c r="C902" s="7">
        <v>86</v>
      </c>
      <c r="D902" s="7">
        <f t="shared" si="56"/>
        <v>-21</v>
      </c>
      <c r="E902" s="6">
        <v>90</v>
      </c>
      <c r="F902" s="69">
        <f t="shared" si="57"/>
        <v>1683.4499999999998</v>
      </c>
      <c r="G902" s="8"/>
    </row>
    <row r="903" spans="1:7" x14ac:dyDescent="0.45">
      <c r="A903" s="8" t="s">
        <v>565</v>
      </c>
      <c r="B903" s="4">
        <v>16.649999999999999</v>
      </c>
      <c r="C903" s="7">
        <v>86</v>
      </c>
      <c r="D903" s="7">
        <f t="shared" si="56"/>
        <v>-21</v>
      </c>
      <c r="E903" s="6">
        <v>90</v>
      </c>
      <c r="F903" s="69">
        <f t="shared" si="57"/>
        <v>1288.7099999999998</v>
      </c>
      <c r="G903" s="8"/>
    </row>
    <row r="904" spans="1:7" x14ac:dyDescent="0.45">
      <c r="A904" s="8" t="s">
        <v>566</v>
      </c>
      <c r="B904" s="4">
        <v>14.15</v>
      </c>
      <c r="C904" s="7">
        <v>86</v>
      </c>
      <c r="D904" s="7">
        <f t="shared" si="56"/>
        <v>-21</v>
      </c>
      <c r="E904" s="6">
        <v>90</v>
      </c>
      <c r="F904" s="69">
        <f t="shared" si="57"/>
        <v>1095.21</v>
      </c>
      <c r="G904" s="8"/>
    </row>
    <row r="905" spans="1:7" x14ac:dyDescent="0.45">
      <c r="A905" s="8" t="s">
        <v>567</v>
      </c>
      <c r="B905" s="4">
        <v>15.6</v>
      </c>
      <c r="C905" s="7">
        <v>86</v>
      </c>
      <c r="D905" s="7">
        <f t="shared" si="56"/>
        <v>-21</v>
      </c>
      <c r="E905" s="6">
        <v>90</v>
      </c>
      <c r="F905" s="69">
        <f t="shared" si="57"/>
        <v>1207.4399999999998</v>
      </c>
      <c r="G905" s="8"/>
    </row>
    <row r="906" spans="1:7" x14ac:dyDescent="0.45">
      <c r="A906" s="8" t="s">
        <v>568</v>
      </c>
      <c r="B906" s="4">
        <v>13.25</v>
      </c>
      <c r="C906" s="7">
        <v>86</v>
      </c>
      <c r="D906" s="7">
        <f t="shared" si="56"/>
        <v>-21</v>
      </c>
      <c r="E906" s="6">
        <v>90</v>
      </c>
      <c r="F906" s="69">
        <f t="shared" si="57"/>
        <v>1025.55</v>
      </c>
      <c r="G906" s="8"/>
    </row>
    <row r="907" spans="1:7" x14ac:dyDescent="0.45">
      <c r="A907" s="8" t="s">
        <v>569</v>
      </c>
      <c r="B907" s="4">
        <v>12.45</v>
      </c>
      <c r="C907" s="7">
        <v>86</v>
      </c>
      <c r="D907" s="7">
        <f t="shared" si="56"/>
        <v>-21</v>
      </c>
      <c r="E907" s="6">
        <v>90</v>
      </c>
      <c r="F907" s="69">
        <f t="shared" si="57"/>
        <v>963.63000000000011</v>
      </c>
      <c r="G907" s="8"/>
    </row>
    <row r="908" spans="1:7" x14ac:dyDescent="0.45">
      <c r="A908" s="8" t="s">
        <v>570</v>
      </c>
      <c r="B908" s="4">
        <v>15.6</v>
      </c>
      <c r="C908" s="7">
        <v>86</v>
      </c>
      <c r="D908" s="7">
        <f t="shared" si="56"/>
        <v>-21</v>
      </c>
      <c r="E908" s="6">
        <v>90</v>
      </c>
      <c r="F908" s="69">
        <f t="shared" si="57"/>
        <v>1207.4399999999998</v>
      </c>
      <c r="G908" s="8"/>
    </row>
    <row r="909" spans="1:7" x14ac:dyDescent="0.45">
      <c r="A909" s="8" t="s">
        <v>571</v>
      </c>
      <c r="B909" s="4">
        <v>27.5</v>
      </c>
      <c r="C909" s="7">
        <v>86</v>
      </c>
      <c r="D909" s="7">
        <f t="shared" si="56"/>
        <v>-21</v>
      </c>
      <c r="E909" s="6">
        <v>90</v>
      </c>
      <c r="F909" s="69">
        <f t="shared" si="57"/>
        <v>2128.5</v>
      </c>
      <c r="G909" s="8"/>
    </row>
    <row r="910" spans="1:7" x14ac:dyDescent="0.45">
      <c r="A910" s="8" t="s">
        <v>572</v>
      </c>
      <c r="B910" s="4">
        <v>13.9</v>
      </c>
      <c r="C910" s="7">
        <v>86</v>
      </c>
      <c r="D910" s="7">
        <f t="shared" si="56"/>
        <v>-21</v>
      </c>
      <c r="E910" s="6">
        <v>90</v>
      </c>
      <c r="F910" s="69">
        <f t="shared" si="57"/>
        <v>1075.8600000000001</v>
      </c>
      <c r="G910" s="8"/>
    </row>
    <row r="911" spans="1:7" x14ac:dyDescent="0.45">
      <c r="A911" s="8" t="s">
        <v>573</v>
      </c>
      <c r="B911" s="4">
        <v>24.82</v>
      </c>
      <c r="C911" s="7">
        <v>86</v>
      </c>
      <c r="D911" s="7">
        <f t="shared" si="56"/>
        <v>-21</v>
      </c>
      <c r="E911" s="6">
        <v>90</v>
      </c>
      <c r="F911" s="69">
        <f t="shared" si="57"/>
        <v>1921.0679999999998</v>
      </c>
      <c r="G911" s="8"/>
    </row>
    <row r="912" spans="1:7" x14ac:dyDescent="0.45">
      <c r="A912" s="8" t="s">
        <v>574</v>
      </c>
      <c r="B912" s="4">
        <v>13.95</v>
      </c>
      <c r="C912" s="7">
        <v>86</v>
      </c>
      <c r="D912" s="7">
        <f t="shared" si="56"/>
        <v>-21</v>
      </c>
      <c r="E912" s="6">
        <v>90</v>
      </c>
      <c r="F912" s="69">
        <f t="shared" si="57"/>
        <v>1079.73</v>
      </c>
      <c r="G912" s="8"/>
    </row>
    <row r="913" spans="1:7" x14ac:dyDescent="0.45">
      <c r="A913" s="8" t="s">
        <v>575</v>
      </c>
      <c r="B913" s="4">
        <v>16.95</v>
      </c>
      <c r="C913" s="7">
        <v>86</v>
      </c>
      <c r="D913" s="7">
        <f t="shared" si="56"/>
        <v>-21</v>
      </c>
      <c r="E913" s="6">
        <v>90</v>
      </c>
      <c r="F913" s="69">
        <f t="shared" si="57"/>
        <v>1311.93</v>
      </c>
      <c r="G913" s="8"/>
    </row>
    <row r="914" spans="1:7" x14ac:dyDescent="0.45">
      <c r="A914" s="8" t="s">
        <v>576</v>
      </c>
      <c r="B914" s="4">
        <v>9.35</v>
      </c>
      <c r="C914" s="7">
        <v>86</v>
      </c>
      <c r="D914" s="7">
        <f t="shared" si="56"/>
        <v>-21</v>
      </c>
      <c r="E914" s="6">
        <v>90</v>
      </c>
      <c r="F914" s="69">
        <f t="shared" si="57"/>
        <v>723.69</v>
      </c>
      <c r="G914" s="8"/>
    </row>
    <row r="915" spans="1:7" x14ac:dyDescent="0.45">
      <c r="A915" s="8" t="s">
        <v>577</v>
      </c>
      <c r="B915" s="4">
        <v>17.3</v>
      </c>
      <c r="C915" s="7">
        <v>86</v>
      </c>
      <c r="D915" s="7">
        <f t="shared" si="56"/>
        <v>-21</v>
      </c>
      <c r="E915" s="6">
        <v>90</v>
      </c>
      <c r="F915" s="69">
        <f t="shared" si="57"/>
        <v>1339.02</v>
      </c>
      <c r="G915" s="8"/>
    </row>
    <row r="916" spans="1:7" x14ac:dyDescent="0.45">
      <c r="A916" s="8" t="s">
        <v>578</v>
      </c>
      <c r="B916" s="4">
        <v>12.05</v>
      </c>
      <c r="C916" s="7">
        <v>92.5</v>
      </c>
      <c r="D916" s="7">
        <f t="shared" si="56"/>
        <v>-27.5</v>
      </c>
      <c r="E916" s="6">
        <v>102.5</v>
      </c>
      <c r="F916" s="69">
        <f t="shared" si="57"/>
        <v>1142.4906249999999</v>
      </c>
      <c r="G916" s="8"/>
    </row>
    <row r="917" spans="1:7" x14ac:dyDescent="0.45">
      <c r="A917" s="8" t="s">
        <v>579</v>
      </c>
      <c r="B917" s="4">
        <v>7.66</v>
      </c>
      <c r="C917" s="7">
        <v>92.5</v>
      </c>
      <c r="D917" s="7">
        <f t="shared" si="56"/>
        <v>-27.5</v>
      </c>
      <c r="E917" s="6">
        <v>102.5</v>
      </c>
      <c r="F917" s="69">
        <f t="shared" si="57"/>
        <v>726.26375000000007</v>
      </c>
      <c r="G917" s="8"/>
    </row>
    <row r="918" spans="1:7" x14ac:dyDescent="0.45">
      <c r="A918" s="8" t="s">
        <v>580</v>
      </c>
      <c r="B918" s="4">
        <v>8.5</v>
      </c>
      <c r="C918" s="7">
        <v>92.5</v>
      </c>
      <c r="D918" s="7">
        <f t="shared" si="56"/>
        <v>-27.5</v>
      </c>
      <c r="E918" s="6">
        <v>102.5</v>
      </c>
      <c r="F918" s="69">
        <f t="shared" si="57"/>
        <v>805.90625</v>
      </c>
      <c r="G918" s="8"/>
    </row>
    <row r="919" spans="1:7" x14ac:dyDescent="0.45">
      <c r="A919" s="8" t="s">
        <v>581</v>
      </c>
      <c r="B919" s="4">
        <v>7.41</v>
      </c>
      <c r="C919" s="7">
        <v>92.5</v>
      </c>
      <c r="D919" s="7">
        <f t="shared" si="56"/>
        <v>-27.5</v>
      </c>
      <c r="E919" s="6">
        <v>102.5</v>
      </c>
      <c r="F919" s="69">
        <f t="shared" si="57"/>
        <v>702.56062500000007</v>
      </c>
      <c r="G919" s="8"/>
    </row>
    <row r="920" spans="1:7" x14ac:dyDescent="0.45">
      <c r="A920" s="8" t="s">
        <v>582</v>
      </c>
      <c r="B920" s="4">
        <v>8.4</v>
      </c>
      <c r="C920" s="7">
        <v>92.5</v>
      </c>
      <c r="D920" s="7">
        <f t="shared" si="56"/>
        <v>-27.5</v>
      </c>
      <c r="E920" s="6">
        <v>102.5</v>
      </c>
      <c r="F920" s="69">
        <f t="shared" si="57"/>
        <v>796.42499999999995</v>
      </c>
      <c r="G920" s="8"/>
    </row>
    <row r="921" spans="1:7" x14ac:dyDescent="0.45">
      <c r="A921" s="8" t="s">
        <v>583</v>
      </c>
      <c r="B921" s="4">
        <v>12.5</v>
      </c>
      <c r="C921" s="7">
        <v>92.5</v>
      </c>
      <c r="D921" s="7">
        <f t="shared" si="56"/>
        <v>-27.5</v>
      </c>
      <c r="E921" s="6">
        <v>102.5</v>
      </c>
      <c r="F921" s="69">
        <f t="shared" si="57"/>
        <v>1185.15625</v>
      </c>
      <c r="G921" s="8"/>
    </row>
    <row r="922" spans="1:7" x14ac:dyDescent="0.45">
      <c r="A922" s="8" t="s">
        <v>584</v>
      </c>
      <c r="B922" s="4">
        <v>14.5</v>
      </c>
      <c r="C922" s="7">
        <v>92.5</v>
      </c>
      <c r="D922" s="7">
        <f t="shared" si="56"/>
        <v>-27.5</v>
      </c>
      <c r="E922" s="6">
        <v>102.5</v>
      </c>
      <c r="F922" s="69">
        <f t="shared" si="57"/>
        <v>1374.78125</v>
      </c>
      <c r="G922" s="8"/>
    </row>
    <row r="923" spans="1:7" x14ac:dyDescent="0.45">
      <c r="A923" s="8" t="s">
        <v>585</v>
      </c>
      <c r="B923" s="4">
        <v>8.75</v>
      </c>
      <c r="C923" s="7">
        <v>92.5</v>
      </c>
      <c r="D923" s="7">
        <f t="shared" si="56"/>
        <v>-27.5</v>
      </c>
      <c r="E923" s="6">
        <v>102.5</v>
      </c>
      <c r="F923" s="69">
        <f t="shared" si="57"/>
        <v>829.609375</v>
      </c>
      <c r="G923" s="8"/>
    </row>
    <row r="924" spans="1:7" x14ac:dyDescent="0.45">
      <c r="A924" s="8" t="s">
        <v>586</v>
      </c>
      <c r="B924" s="4">
        <v>15.8</v>
      </c>
      <c r="C924" s="7">
        <v>92.5</v>
      </c>
      <c r="D924" s="7">
        <f t="shared" si="56"/>
        <v>-27.5</v>
      </c>
      <c r="E924" s="6">
        <v>102.5</v>
      </c>
      <c r="F924" s="69">
        <f t="shared" si="57"/>
        <v>1498.0374999999999</v>
      </c>
      <c r="G924" s="8"/>
    </row>
    <row r="925" spans="1:7" x14ac:dyDescent="0.45">
      <c r="A925" s="8" t="s">
        <v>587</v>
      </c>
      <c r="B925" s="4">
        <v>14</v>
      </c>
      <c r="C925" s="7">
        <v>92.5</v>
      </c>
      <c r="D925" s="7">
        <f t="shared" si="56"/>
        <v>-27.5</v>
      </c>
      <c r="E925" s="6">
        <v>102.5</v>
      </c>
      <c r="F925" s="69">
        <f t="shared" si="57"/>
        <v>1327.375</v>
      </c>
      <c r="G925" s="8"/>
    </row>
    <row r="926" spans="1:7" x14ac:dyDescent="0.45">
      <c r="A926" s="8" t="s">
        <v>588</v>
      </c>
      <c r="B926" s="4">
        <v>15.2</v>
      </c>
      <c r="C926" s="7">
        <v>90</v>
      </c>
      <c r="D926" s="7">
        <f t="shared" si="56"/>
        <v>-25</v>
      </c>
      <c r="E926" s="6">
        <v>91</v>
      </c>
      <c r="F926" s="69">
        <f t="shared" si="57"/>
        <v>1244.8799999999999</v>
      </c>
      <c r="G926" s="8"/>
    </row>
    <row r="927" spans="1:7" x14ac:dyDescent="0.45">
      <c r="A927" s="8" t="s">
        <v>589</v>
      </c>
      <c r="B927" s="4">
        <v>15.6</v>
      </c>
      <c r="C927" s="7">
        <v>90</v>
      </c>
      <c r="D927" s="7">
        <f t="shared" si="56"/>
        <v>-25</v>
      </c>
      <c r="E927" s="6">
        <v>91</v>
      </c>
      <c r="F927" s="69">
        <f t="shared" si="57"/>
        <v>1277.6399999999999</v>
      </c>
      <c r="G927" s="8"/>
    </row>
    <row r="928" spans="1:7" x14ac:dyDescent="0.45">
      <c r="A928" s="8" t="s">
        <v>590</v>
      </c>
      <c r="B928" s="4">
        <v>14.8</v>
      </c>
      <c r="C928" s="7">
        <v>86</v>
      </c>
      <c r="D928" s="7">
        <f t="shared" si="56"/>
        <v>-21</v>
      </c>
      <c r="E928" s="6">
        <v>89</v>
      </c>
      <c r="F928" s="69">
        <f t="shared" si="57"/>
        <v>1132.7919999999999</v>
      </c>
      <c r="G928" s="8"/>
    </row>
    <row r="929" spans="1:7" x14ac:dyDescent="0.45">
      <c r="A929" s="8" t="s">
        <v>591</v>
      </c>
      <c r="B929" s="4">
        <v>19.05</v>
      </c>
      <c r="C929" s="7">
        <v>86</v>
      </c>
      <c r="D929" s="7">
        <f t="shared" si="56"/>
        <v>-21</v>
      </c>
      <c r="E929" s="6">
        <v>89</v>
      </c>
      <c r="F929" s="69">
        <f t="shared" si="57"/>
        <v>1458.087</v>
      </c>
      <c r="G929" s="8"/>
    </row>
    <row r="930" spans="1:7" x14ac:dyDescent="0.45">
      <c r="A930" s="8" t="s">
        <v>592</v>
      </c>
      <c r="B930" s="4">
        <v>15.4</v>
      </c>
      <c r="C930" s="7">
        <v>86</v>
      </c>
      <c r="D930" s="7">
        <f t="shared" si="56"/>
        <v>-21</v>
      </c>
      <c r="E930" s="6">
        <v>89</v>
      </c>
      <c r="F930" s="69">
        <f t="shared" si="57"/>
        <v>1178.7160000000001</v>
      </c>
      <c r="G930" s="8"/>
    </row>
    <row r="931" spans="1:7" x14ac:dyDescent="0.45">
      <c r="A931" s="8" t="s">
        <v>593</v>
      </c>
      <c r="B931" s="4">
        <v>13.75</v>
      </c>
      <c r="C931" s="7">
        <v>86</v>
      </c>
      <c r="D931" s="7">
        <f t="shared" si="56"/>
        <v>-21</v>
      </c>
      <c r="E931" s="6">
        <v>89</v>
      </c>
      <c r="F931" s="69">
        <f t="shared" si="57"/>
        <v>1052.425</v>
      </c>
      <c r="G931" s="8"/>
    </row>
    <row r="932" spans="1:7" x14ac:dyDescent="0.45">
      <c r="A932" s="8" t="s">
        <v>594</v>
      </c>
      <c r="B932" s="4">
        <v>14.95</v>
      </c>
      <c r="C932" s="7">
        <v>86</v>
      </c>
      <c r="D932" s="7">
        <f t="shared" si="56"/>
        <v>-21</v>
      </c>
      <c r="E932" s="6">
        <v>89</v>
      </c>
      <c r="F932" s="69">
        <f t="shared" si="57"/>
        <v>1144.2730000000001</v>
      </c>
      <c r="G932" s="8"/>
    </row>
    <row r="933" spans="1:7" x14ac:dyDescent="0.45">
      <c r="A933" s="8" t="s">
        <v>595</v>
      </c>
      <c r="B933" s="4">
        <v>12.3</v>
      </c>
      <c r="C933" s="7">
        <v>87</v>
      </c>
      <c r="D933" s="7">
        <v>-21</v>
      </c>
      <c r="E933" s="6">
        <v>89</v>
      </c>
      <c r="F933" s="69">
        <f t="shared" si="57"/>
        <v>952.38900000000001</v>
      </c>
      <c r="G933" s="8"/>
    </row>
    <row r="934" spans="1:7" x14ac:dyDescent="0.45">
      <c r="A934" s="8" t="s">
        <v>596</v>
      </c>
      <c r="B934" s="4">
        <v>41.7</v>
      </c>
      <c r="C934" s="7">
        <v>92.5</v>
      </c>
      <c r="D934" s="7">
        <f t="shared" si="56"/>
        <v>-27.5</v>
      </c>
      <c r="E934" s="6">
        <v>90</v>
      </c>
      <c r="F934" s="69">
        <f>E934*B934</f>
        <v>3753.0000000000005</v>
      </c>
      <c r="G934" s="8"/>
    </row>
    <row r="935" spans="1:7" x14ac:dyDescent="0.45">
      <c r="A935" s="8" t="s">
        <v>597</v>
      </c>
      <c r="B935" s="4">
        <v>19</v>
      </c>
      <c r="C935" s="7">
        <v>92.5</v>
      </c>
      <c r="D935" s="7">
        <f t="shared" si="56"/>
        <v>-27.5</v>
      </c>
      <c r="E935" s="6">
        <v>90</v>
      </c>
      <c r="F935" s="69">
        <f t="shared" ref="F935:F942" si="58">E935*B935</f>
        <v>1710</v>
      </c>
      <c r="G935" s="8"/>
    </row>
    <row r="936" spans="1:7" x14ac:dyDescent="0.45">
      <c r="A936" s="8" t="s">
        <v>598</v>
      </c>
      <c r="B936" s="4">
        <v>10.75</v>
      </c>
      <c r="C936" s="7">
        <v>92.5</v>
      </c>
      <c r="D936" s="7">
        <f t="shared" si="56"/>
        <v>-27.5</v>
      </c>
      <c r="E936" s="6">
        <v>90</v>
      </c>
      <c r="F936" s="69">
        <f t="shared" si="58"/>
        <v>967.5</v>
      </c>
      <c r="G936" s="8"/>
    </row>
    <row r="937" spans="1:7" x14ac:dyDescent="0.45">
      <c r="A937" s="8" t="s">
        <v>599</v>
      </c>
      <c r="B937" s="4">
        <v>35.9</v>
      </c>
      <c r="C937" s="7">
        <v>92.5</v>
      </c>
      <c r="D937" s="7">
        <f t="shared" si="56"/>
        <v>-27.5</v>
      </c>
      <c r="E937" s="6">
        <v>90</v>
      </c>
      <c r="F937" s="69">
        <f t="shared" si="58"/>
        <v>3231</v>
      </c>
      <c r="G937" s="8"/>
    </row>
    <row r="938" spans="1:7" x14ac:dyDescent="0.45">
      <c r="A938" s="8" t="s">
        <v>600</v>
      </c>
      <c r="B938" s="4">
        <v>33.11</v>
      </c>
      <c r="C938" s="7">
        <v>92.5</v>
      </c>
      <c r="D938" s="7">
        <f t="shared" si="56"/>
        <v>-27.5</v>
      </c>
      <c r="E938" s="6">
        <v>90</v>
      </c>
      <c r="F938" s="69">
        <f t="shared" si="58"/>
        <v>2979.9</v>
      </c>
      <c r="G938" s="8"/>
    </row>
    <row r="939" spans="1:7" x14ac:dyDescent="0.45">
      <c r="A939" s="8" t="s">
        <v>601</v>
      </c>
      <c r="B939" s="4">
        <v>26.8</v>
      </c>
      <c r="C939" s="7">
        <v>92.5</v>
      </c>
      <c r="D939" s="7">
        <f t="shared" si="56"/>
        <v>-27.5</v>
      </c>
      <c r="E939" s="6">
        <v>90</v>
      </c>
      <c r="F939" s="69">
        <f t="shared" si="58"/>
        <v>2412</v>
      </c>
      <c r="G939" s="8"/>
    </row>
    <row r="940" spans="1:7" x14ac:dyDescent="0.45">
      <c r="A940" s="8" t="s">
        <v>602</v>
      </c>
      <c r="B940" s="4">
        <v>38.299999999999997</v>
      </c>
      <c r="C940" s="7">
        <v>92.5</v>
      </c>
      <c r="D940" s="7">
        <f t="shared" si="56"/>
        <v>-27.5</v>
      </c>
      <c r="E940" s="6">
        <v>90</v>
      </c>
      <c r="F940" s="69">
        <f t="shared" si="58"/>
        <v>3446.9999999999995</v>
      </c>
      <c r="G940" s="8"/>
    </row>
    <row r="941" spans="1:7" x14ac:dyDescent="0.45">
      <c r="A941" s="8" t="s">
        <v>603</v>
      </c>
      <c r="B941" s="4">
        <v>50.7</v>
      </c>
      <c r="C941" s="7">
        <v>92.5</v>
      </c>
      <c r="D941" s="7">
        <f t="shared" si="56"/>
        <v>-27.5</v>
      </c>
      <c r="E941" s="6">
        <v>100.5</v>
      </c>
      <c r="F941" s="69">
        <f t="shared" si="58"/>
        <v>5095.3500000000004</v>
      </c>
      <c r="G941" s="8"/>
    </row>
    <row r="942" spans="1:7" x14ac:dyDescent="0.45">
      <c r="A942" s="8" t="s">
        <v>604</v>
      </c>
      <c r="B942" s="4">
        <v>46</v>
      </c>
      <c r="C942" s="7">
        <v>92.5</v>
      </c>
      <c r="D942" s="7">
        <f t="shared" si="56"/>
        <v>-27.5</v>
      </c>
      <c r="E942" s="6">
        <v>150</v>
      </c>
      <c r="F942" s="69">
        <f t="shared" si="58"/>
        <v>6900</v>
      </c>
      <c r="G942" s="8"/>
    </row>
    <row r="943" spans="1:7" x14ac:dyDescent="0.45">
      <c r="A943" s="8" t="s">
        <v>605</v>
      </c>
      <c r="B943" s="4">
        <v>16</v>
      </c>
      <c r="C943" s="7">
        <v>86</v>
      </c>
      <c r="D943" s="7">
        <f t="shared" si="56"/>
        <v>-21</v>
      </c>
      <c r="E943" s="6">
        <v>94.8</v>
      </c>
      <c r="F943" s="69">
        <f>(((B943*C943)/100)*E943)</f>
        <v>1304.4479999999999</v>
      </c>
      <c r="G943" s="8"/>
    </row>
    <row r="944" spans="1:7" x14ac:dyDescent="0.45">
      <c r="A944" s="8" t="s">
        <v>606</v>
      </c>
      <c r="B944" s="4">
        <v>15.4</v>
      </c>
      <c r="C944" s="7">
        <v>86</v>
      </c>
      <c r="D944" s="7">
        <f t="shared" si="56"/>
        <v>-21</v>
      </c>
      <c r="E944" s="6">
        <v>94.8</v>
      </c>
      <c r="F944" s="69">
        <f t="shared" ref="F944:F956" si="59">(((B944*C944)/100)*E944)</f>
        <v>1255.5312000000001</v>
      </c>
      <c r="G944" s="8"/>
    </row>
    <row r="945" spans="1:7" x14ac:dyDescent="0.45">
      <c r="A945" s="8" t="s">
        <v>607</v>
      </c>
      <c r="B945" s="4">
        <v>16.3</v>
      </c>
      <c r="C945" s="7">
        <v>86</v>
      </c>
      <c r="D945" s="7">
        <f t="shared" si="56"/>
        <v>-21</v>
      </c>
      <c r="E945" s="6">
        <v>94.8</v>
      </c>
      <c r="F945" s="69">
        <f t="shared" si="59"/>
        <v>1328.9063999999998</v>
      </c>
      <c r="G945" s="8"/>
    </row>
    <row r="946" spans="1:7" x14ac:dyDescent="0.45">
      <c r="A946" s="8" t="s">
        <v>608</v>
      </c>
      <c r="B946" s="4">
        <v>15</v>
      </c>
      <c r="C946" s="7">
        <v>86</v>
      </c>
      <c r="D946" s="7">
        <f t="shared" si="56"/>
        <v>-21</v>
      </c>
      <c r="E946" s="6">
        <v>94.8</v>
      </c>
      <c r="F946" s="69">
        <f t="shared" si="59"/>
        <v>1222.92</v>
      </c>
      <c r="G946" s="8"/>
    </row>
    <row r="947" spans="1:7" x14ac:dyDescent="0.45">
      <c r="A947" s="8" t="s">
        <v>609</v>
      </c>
      <c r="B947" s="4">
        <v>12.7</v>
      </c>
      <c r="C947" s="7">
        <v>86</v>
      </c>
      <c r="D947" s="7">
        <f t="shared" si="56"/>
        <v>-21</v>
      </c>
      <c r="E947" s="6">
        <v>94.8</v>
      </c>
      <c r="F947" s="69">
        <f t="shared" si="59"/>
        <v>1035.4056</v>
      </c>
      <c r="G947" s="8"/>
    </row>
    <row r="948" spans="1:7" x14ac:dyDescent="0.45">
      <c r="A948" s="8" t="s">
        <v>610</v>
      </c>
      <c r="B948" s="4">
        <v>13</v>
      </c>
      <c r="C948" s="7">
        <v>86</v>
      </c>
      <c r="D948" s="7">
        <f t="shared" si="56"/>
        <v>-21</v>
      </c>
      <c r="E948" s="6">
        <v>94.8</v>
      </c>
      <c r="F948" s="69">
        <f t="shared" si="59"/>
        <v>1059.864</v>
      </c>
      <c r="G948" s="8"/>
    </row>
    <row r="949" spans="1:7" x14ac:dyDescent="0.45">
      <c r="A949" s="8" t="s">
        <v>611</v>
      </c>
      <c r="B949" s="4">
        <v>13</v>
      </c>
      <c r="C949" s="7">
        <v>86</v>
      </c>
      <c r="D949" s="7">
        <f t="shared" si="56"/>
        <v>-21</v>
      </c>
      <c r="E949" s="6">
        <v>94.8</v>
      </c>
      <c r="F949" s="69">
        <f t="shared" si="59"/>
        <v>1059.864</v>
      </c>
      <c r="G949" s="8"/>
    </row>
    <row r="950" spans="1:7" x14ac:dyDescent="0.45">
      <c r="A950" s="8" t="s">
        <v>612</v>
      </c>
      <c r="B950" s="4">
        <v>16.5</v>
      </c>
      <c r="C950" s="7">
        <v>86</v>
      </c>
      <c r="D950" s="7">
        <f t="shared" si="56"/>
        <v>-21</v>
      </c>
      <c r="E950" s="6">
        <v>94.8</v>
      </c>
      <c r="F950" s="69">
        <f t="shared" si="59"/>
        <v>1345.212</v>
      </c>
      <c r="G950" s="8"/>
    </row>
    <row r="951" spans="1:7" x14ac:dyDescent="0.45">
      <c r="A951" s="8" t="s">
        <v>613</v>
      </c>
      <c r="B951" s="4">
        <v>31.5</v>
      </c>
      <c r="C951" s="7">
        <v>86</v>
      </c>
      <c r="D951" s="7">
        <f t="shared" si="56"/>
        <v>-21</v>
      </c>
      <c r="E951" s="6">
        <v>94.8</v>
      </c>
      <c r="F951" s="69">
        <f t="shared" si="59"/>
        <v>2568.1320000000001</v>
      </c>
      <c r="G951" s="8"/>
    </row>
    <row r="952" spans="1:7" x14ac:dyDescent="0.45">
      <c r="A952" s="8" t="s">
        <v>614</v>
      </c>
      <c r="B952" s="4">
        <v>22</v>
      </c>
      <c r="C952" s="7">
        <v>86</v>
      </c>
      <c r="D952" s="7">
        <f t="shared" si="56"/>
        <v>-21</v>
      </c>
      <c r="E952" s="6">
        <v>94.8</v>
      </c>
      <c r="F952" s="69">
        <f t="shared" si="59"/>
        <v>1793.6160000000002</v>
      </c>
      <c r="G952" s="8"/>
    </row>
    <row r="953" spans="1:7" x14ac:dyDescent="0.45">
      <c r="A953" s="8" t="s">
        <v>615</v>
      </c>
      <c r="B953" s="4">
        <v>25</v>
      </c>
      <c r="C953" s="7">
        <v>86</v>
      </c>
      <c r="D953" s="7">
        <f t="shared" si="56"/>
        <v>-21</v>
      </c>
      <c r="E953" s="6">
        <v>94.8</v>
      </c>
      <c r="F953" s="69">
        <f t="shared" si="59"/>
        <v>2038.2</v>
      </c>
      <c r="G953" s="8"/>
    </row>
    <row r="954" spans="1:7" x14ac:dyDescent="0.45">
      <c r="A954" s="8" t="s">
        <v>616</v>
      </c>
      <c r="B954" s="4">
        <v>20</v>
      </c>
      <c r="C954" s="7">
        <v>86</v>
      </c>
      <c r="D954" s="7">
        <f t="shared" si="56"/>
        <v>-21</v>
      </c>
      <c r="E954" s="6">
        <v>94.8</v>
      </c>
      <c r="F954" s="69">
        <f t="shared" si="59"/>
        <v>1630.56</v>
      </c>
      <c r="G954" s="8"/>
    </row>
    <row r="955" spans="1:7" x14ac:dyDescent="0.45">
      <c r="A955" s="8" t="s">
        <v>617</v>
      </c>
      <c r="B955" s="4">
        <v>15.2</v>
      </c>
      <c r="C955" s="7">
        <v>86</v>
      </c>
      <c r="D955" s="7">
        <f t="shared" si="56"/>
        <v>-21</v>
      </c>
      <c r="E955" s="6">
        <v>94.8</v>
      </c>
      <c r="F955" s="69">
        <f t="shared" si="59"/>
        <v>1239.2256</v>
      </c>
      <c r="G955" s="8"/>
    </row>
    <row r="956" spans="1:7" x14ac:dyDescent="0.45">
      <c r="A956" s="8" t="s">
        <v>618</v>
      </c>
      <c r="B956" s="4">
        <v>18.2</v>
      </c>
      <c r="C956" s="7">
        <v>86</v>
      </c>
      <c r="D956" s="7">
        <f t="shared" si="56"/>
        <v>-21</v>
      </c>
      <c r="E956" s="6">
        <v>94.8</v>
      </c>
      <c r="F956" s="69">
        <f t="shared" si="59"/>
        <v>1483.8096</v>
      </c>
      <c r="G956" s="8"/>
    </row>
    <row r="957" spans="1:7" x14ac:dyDescent="0.45">
      <c r="A957" s="8" t="s">
        <v>619</v>
      </c>
      <c r="B957" s="4">
        <v>30</v>
      </c>
      <c r="C957" s="7">
        <v>92.5</v>
      </c>
      <c r="D957" s="7">
        <v>92.5</v>
      </c>
      <c r="E957" s="6">
        <v>115</v>
      </c>
      <c r="F957" s="69">
        <f>B957*E957</f>
        <v>3450</v>
      </c>
      <c r="G957" s="8"/>
    </row>
    <row r="958" spans="1:7" x14ac:dyDescent="0.45">
      <c r="A958" s="8" t="s">
        <v>620</v>
      </c>
      <c r="B958" s="4">
        <v>30</v>
      </c>
      <c r="C958" s="7">
        <v>92.5</v>
      </c>
      <c r="D958" s="7">
        <v>92.5</v>
      </c>
      <c r="E958" s="6">
        <v>115</v>
      </c>
      <c r="F958" s="69">
        <f>B958*E958</f>
        <v>3450</v>
      </c>
      <c r="G958" s="8"/>
    </row>
    <row r="959" spans="1:7" x14ac:dyDescent="0.45">
      <c r="A959" s="8" t="s">
        <v>621</v>
      </c>
      <c r="B959" s="4">
        <v>28.72</v>
      </c>
      <c r="C959" s="7">
        <v>92.5</v>
      </c>
      <c r="D959" s="7">
        <v>92.5</v>
      </c>
      <c r="E959" s="6">
        <v>103</v>
      </c>
      <c r="F959" s="69">
        <f>B959*E959</f>
        <v>2958.16</v>
      </c>
      <c r="G959" s="8"/>
    </row>
    <row r="960" spans="1:7" x14ac:dyDescent="0.45">
      <c r="A960" s="8" t="s">
        <v>622</v>
      </c>
      <c r="B960" s="4">
        <v>48.95</v>
      </c>
      <c r="C960" s="7">
        <v>85</v>
      </c>
      <c r="D960" s="7">
        <v>15</v>
      </c>
      <c r="E960" s="6">
        <v>83.18</v>
      </c>
      <c r="F960" s="69">
        <f t="shared" ref="F960:F1016" si="60">(((B960*C960)/100)*E960)</f>
        <v>3460.9118500000004</v>
      </c>
      <c r="G960" s="8"/>
    </row>
    <row r="961" spans="1:7" x14ac:dyDescent="0.45">
      <c r="A961" s="8" t="s">
        <v>623</v>
      </c>
      <c r="B961" s="4">
        <v>24.21</v>
      </c>
      <c r="C961" s="7">
        <v>85</v>
      </c>
      <c r="D961" s="7">
        <v>15</v>
      </c>
      <c r="E961" s="6">
        <v>83.18</v>
      </c>
      <c r="F961" s="69">
        <f t="shared" si="60"/>
        <v>1711.7196300000001</v>
      </c>
      <c r="G961" s="8"/>
    </row>
    <row r="962" spans="1:7" x14ac:dyDescent="0.45">
      <c r="A962" s="8" t="s">
        <v>905</v>
      </c>
      <c r="B962" s="4">
        <v>13.31</v>
      </c>
      <c r="C962" s="7">
        <v>85</v>
      </c>
      <c r="D962" s="7">
        <f>65-Table1[[#This Row],[MELTING]]</f>
        <v>-20</v>
      </c>
      <c r="E962" s="6">
        <v>84.5</v>
      </c>
      <c r="F962" s="69">
        <f t="shared" si="60"/>
        <v>955.99075000000005</v>
      </c>
      <c r="G962" s="8"/>
    </row>
    <row r="963" spans="1:7" x14ac:dyDescent="0.45">
      <c r="A963" s="8" t="s">
        <v>1037</v>
      </c>
      <c r="B963" s="4">
        <v>31.1</v>
      </c>
      <c r="C963" s="7">
        <v>77</v>
      </c>
      <c r="D963" s="7">
        <f>65-Table1[[#This Row],[MELTING]]</f>
        <v>-12</v>
      </c>
      <c r="E963" s="6">
        <v>91.5</v>
      </c>
      <c r="F963" s="69">
        <f t="shared" si="60"/>
        <v>2191.1505000000002</v>
      </c>
      <c r="G963" s="8"/>
    </row>
    <row r="964" spans="1:7" x14ac:dyDescent="0.45">
      <c r="A964" s="8" t="s">
        <v>1038</v>
      </c>
      <c r="B964" s="4">
        <v>8.3000000000000007</v>
      </c>
      <c r="C964" s="7">
        <v>77</v>
      </c>
      <c r="D964" s="7">
        <f>65-Table1[[#This Row],[MELTING]]</f>
        <v>-12</v>
      </c>
      <c r="E964" s="6">
        <v>91.5</v>
      </c>
      <c r="F964" s="69">
        <f t="shared" si="60"/>
        <v>584.77650000000006</v>
      </c>
      <c r="G964" s="8"/>
    </row>
    <row r="965" spans="1:7" x14ac:dyDescent="0.45">
      <c r="A965" s="8" t="s">
        <v>1039</v>
      </c>
      <c r="B965" s="4">
        <v>11.9</v>
      </c>
      <c r="C965" s="7">
        <v>77</v>
      </c>
      <c r="D965" s="7">
        <f>65-Table1[[#This Row],[MELTING]]</f>
        <v>-12</v>
      </c>
      <c r="E965" s="6">
        <v>91.5</v>
      </c>
      <c r="F965" s="69">
        <f t="shared" si="60"/>
        <v>838.41449999999998</v>
      </c>
      <c r="G965" s="8"/>
    </row>
    <row r="966" spans="1:7" x14ac:dyDescent="0.45">
      <c r="A966" s="8" t="s">
        <v>1040</v>
      </c>
      <c r="B966" s="4">
        <v>12.55</v>
      </c>
      <c r="C966" s="7">
        <v>77</v>
      </c>
      <c r="D966" s="7">
        <f>65-Table1[[#This Row],[MELTING]]</f>
        <v>-12</v>
      </c>
      <c r="E966" s="6">
        <v>91.5</v>
      </c>
      <c r="F966" s="69">
        <f t="shared" si="60"/>
        <v>884.21025000000009</v>
      </c>
      <c r="G966" s="8"/>
    </row>
    <row r="967" spans="1:7" x14ac:dyDescent="0.45">
      <c r="A967" s="8" t="s">
        <v>1041</v>
      </c>
      <c r="B967" s="4">
        <v>12.6</v>
      </c>
      <c r="C967" s="7">
        <v>77</v>
      </c>
      <c r="D967" s="7">
        <f>65-Table1[[#This Row],[MELTING]]</f>
        <v>-12</v>
      </c>
      <c r="E967" s="6">
        <v>91.5</v>
      </c>
      <c r="F967" s="69">
        <f t="shared" si="60"/>
        <v>887.73299999999995</v>
      </c>
      <c r="G967" s="8"/>
    </row>
    <row r="968" spans="1:7" x14ac:dyDescent="0.45">
      <c r="A968" s="8" t="s">
        <v>1042</v>
      </c>
      <c r="B968" s="4">
        <v>17.7</v>
      </c>
      <c r="C968" s="7">
        <v>77</v>
      </c>
      <c r="D968" s="7">
        <f>65-Table1[[#This Row],[MELTING]]</f>
        <v>-12</v>
      </c>
      <c r="E968" s="6">
        <v>91.5</v>
      </c>
      <c r="F968" s="69">
        <f t="shared" si="60"/>
        <v>1247.0534999999998</v>
      </c>
      <c r="G968" s="8"/>
    </row>
    <row r="969" spans="1:7" x14ac:dyDescent="0.45">
      <c r="A969" s="8" t="s">
        <v>1043</v>
      </c>
      <c r="B969" s="4">
        <v>15.7</v>
      </c>
      <c r="C969" s="7">
        <v>77</v>
      </c>
      <c r="D969" s="7">
        <f>65-Table1[[#This Row],[MELTING]]</f>
        <v>-12</v>
      </c>
      <c r="E969" s="6">
        <v>91.5</v>
      </c>
      <c r="F969" s="69">
        <f t="shared" si="60"/>
        <v>1106.1434999999999</v>
      </c>
      <c r="G969" s="8"/>
    </row>
    <row r="970" spans="1:7" x14ac:dyDescent="0.45">
      <c r="A970" s="8" t="s">
        <v>1044</v>
      </c>
      <c r="B970" s="4">
        <v>15</v>
      </c>
      <c r="C970" s="7">
        <v>77</v>
      </c>
      <c r="D970" s="7">
        <f>65-Table1[[#This Row],[MELTING]]</f>
        <v>-12</v>
      </c>
      <c r="E970" s="6">
        <v>91.5</v>
      </c>
      <c r="F970" s="69">
        <f t="shared" si="60"/>
        <v>1056.825</v>
      </c>
      <c r="G970" s="8"/>
    </row>
    <row r="971" spans="1:7" x14ac:dyDescent="0.45">
      <c r="A971" s="8" t="s">
        <v>1045</v>
      </c>
      <c r="B971" s="4">
        <v>14.5</v>
      </c>
      <c r="C971" s="7">
        <v>77</v>
      </c>
      <c r="D971" s="7">
        <f>65-Table1[[#This Row],[MELTING]]</f>
        <v>-12</v>
      </c>
      <c r="E971" s="6">
        <v>91.5</v>
      </c>
      <c r="F971" s="69">
        <f t="shared" si="60"/>
        <v>1021.5975</v>
      </c>
      <c r="G971" s="8"/>
    </row>
    <row r="972" spans="1:7" x14ac:dyDescent="0.45">
      <c r="A972" s="8" t="s">
        <v>1046</v>
      </c>
      <c r="B972" s="4">
        <v>10.6</v>
      </c>
      <c r="C972" s="7">
        <v>77</v>
      </c>
      <c r="D972" s="7">
        <f>65-Table1[[#This Row],[MELTING]]</f>
        <v>-12</v>
      </c>
      <c r="E972" s="6">
        <v>91.5</v>
      </c>
      <c r="F972" s="69">
        <f t="shared" si="60"/>
        <v>746.82299999999987</v>
      </c>
      <c r="G972" s="8"/>
    </row>
    <row r="973" spans="1:7" x14ac:dyDescent="0.45">
      <c r="A973" s="8" t="s">
        <v>1362</v>
      </c>
      <c r="B973" s="4">
        <v>48.85</v>
      </c>
      <c r="C973" s="7">
        <v>82</v>
      </c>
      <c r="D973" s="7">
        <f>65-Table1[[#This Row],[MELTING]]</f>
        <v>-17</v>
      </c>
      <c r="E973" s="6">
        <v>105.6</v>
      </c>
      <c r="F973" s="69">
        <f>Table1[[#This Row],[WEIGHT]]*Table1[[#This Row],[PURE-RATE]]</f>
        <v>5158.5599999999995</v>
      </c>
      <c r="G973" s="8"/>
    </row>
    <row r="974" spans="1:7" x14ac:dyDescent="0.45">
      <c r="A974" s="8" t="s">
        <v>1379</v>
      </c>
      <c r="B974" s="4">
        <v>41.9</v>
      </c>
      <c r="C974" s="7">
        <v>82</v>
      </c>
      <c r="D974" s="7">
        <f>65-Table1[[#This Row],[MELTING]]</f>
        <v>-17</v>
      </c>
      <c r="E974" s="6">
        <v>95</v>
      </c>
      <c r="F974" s="69">
        <f t="shared" ref="F974:F984" si="61">(((B974*C974)/100)*E974)</f>
        <v>3264.0099999999998</v>
      </c>
      <c r="G974" s="8"/>
    </row>
    <row r="975" spans="1:7" x14ac:dyDescent="0.45">
      <c r="A975" s="8" t="s">
        <v>1380</v>
      </c>
      <c r="B975" s="4">
        <v>14.7</v>
      </c>
      <c r="C975" s="7">
        <v>82</v>
      </c>
      <c r="D975" s="7">
        <f>65-Table1[[#This Row],[MELTING]]</f>
        <v>-17</v>
      </c>
      <c r="E975" s="6">
        <v>95</v>
      </c>
      <c r="F975" s="69">
        <f t="shared" si="61"/>
        <v>1145.1299999999999</v>
      </c>
      <c r="G975" s="8"/>
    </row>
    <row r="976" spans="1:7" x14ac:dyDescent="0.45">
      <c r="A976" s="8" t="s">
        <v>1381</v>
      </c>
      <c r="B976" s="4">
        <v>36.1</v>
      </c>
      <c r="C976" s="7">
        <v>82</v>
      </c>
      <c r="D976" s="7">
        <f>65-Table1[[#This Row],[MELTING]]</f>
        <v>-17</v>
      </c>
      <c r="E976" s="6">
        <v>95</v>
      </c>
      <c r="F976" s="69">
        <f t="shared" si="61"/>
        <v>2812.1900000000005</v>
      </c>
      <c r="G976" s="8"/>
    </row>
    <row r="977" spans="1:8" x14ac:dyDescent="0.45">
      <c r="A977" s="8" t="s">
        <v>1382</v>
      </c>
      <c r="B977" s="4">
        <v>47.3</v>
      </c>
      <c r="C977" s="7">
        <v>82</v>
      </c>
      <c r="D977" s="7">
        <f>65-Table1[[#This Row],[MELTING]]</f>
        <v>-17</v>
      </c>
      <c r="E977" s="6">
        <v>95</v>
      </c>
      <c r="F977" s="69">
        <f t="shared" si="61"/>
        <v>3684.67</v>
      </c>
      <c r="G977" s="8"/>
    </row>
    <row r="978" spans="1:8" x14ac:dyDescent="0.45">
      <c r="A978" s="8" t="s">
        <v>1383</v>
      </c>
      <c r="B978" s="4">
        <v>12.5</v>
      </c>
      <c r="C978" s="7">
        <v>82</v>
      </c>
      <c r="D978" s="7">
        <f>65-Table1[[#This Row],[MELTING]]</f>
        <v>-17</v>
      </c>
      <c r="E978" s="6">
        <v>95</v>
      </c>
      <c r="F978" s="69">
        <f t="shared" si="61"/>
        <v>973.75</v>
      </c>
      <c r="G978" s="8"/>
    </row>
    <row r="979" spans="1:8" x14ac:dyDescent="0.45">
      <c r="A979" s="8" t="s">
        <v>1384</v>
      </c>
      <c r="B979" s="4">
        <v>12.88</v>
      </c>
      <c r="C979" s="7">
        <v>82</v>
      </c>
      <c r="D979" s="7">
        <f>65-Table1[[#This Row],[MELTING]]</f>
        <v>-17</v>
      </c>
      <c r="E979" s="6">
        <v>95</v>
      </c>
      <c r="F979" s="69">
        <f t="shared" si="61"/>
        <v>1003.352</v>
      </c>
      <c r="G979" s="8"/>
    </row>
    <row r="980" spans="1:8" x14ac:dyDescent="0.45">
      <c r="A980" s="8" t="s">
        <v>1385</v>
      </c>
      <c r="B980" s="4">
        <v>7.6</v>
      </c>
      <c r="C980" s="7">
        <v>92.5</v>
      </c>
      <c r="D980" s="7">
        <v>92.5</v>
      </c>
      <c r="E980" s="6">
        <v>106</v>
      </c>
      <c r="F980" s="69">
        <f t="shared" si="61"/>
        <v>745.18000000000006</v>
      </c>
      <c r="G980" s="8"/>
    </row>
    <row r="981" spans="1:8" x14ac:dyDescent="0.45">
      <c r="A981" s="8" t="s">
        <v>1386</v>
      </c>
      <c r="B981" s="4">
        <v>7.5</v>
      </c>
      <c r="C981" s="7">
        <v>92.5</v>
      </c>
      <c r="D981" s="7">
        <v>92.5</v>
      </c>
      <c r="E981" s="6">
        <v>106</v>
      </c>
      <c r="F981" s="69">
        <f t="shared" si="61"/>
        <v>735.375</v>
      </c>
      <c r="G981" s="8"/>
    </row>
    <row r="982" spans="1:8" x14ac:dyDescent="0.45">
      <c r="A982" s="8" t="s">
        <v>1387</v>
      </c>
      <c r="B982" s="4">
        <v>15.7</v>
      </c>
      <c r="C982" s="7">
        <v>92.5</v>
      </c>
      <c r="D982" s="7">
        <v>92.5</v>
      </c>
      <c r="E982" s="6">
        <v>106</v>
      </c>
      <c r="F982" s="69">
        <f t="shared" si="61"/>
        <v>1539.385</v>
      </c>
      <c r="G982" s="8"/>
    </row>
    <row r="983" spans="1:8" x14ac:dyDescent="0.45">
      <c r="A983" s="8" t="s">
        <v>1388</v>
      </c>
      <c r="B983" s="4">
        <v>25.5</v>
      </c>
      <c r="C983" s="7">
        <v>92.5</v>
      </c>
      <c r="D983" s="7">
        <v>92.5</v>
      </c>
      <c r="E983" s="6">
        <v>106</v>
      </c>
      <c r="F983" s="69">
        <f t="shared" si="61"/>
        <v>2500.2749999999996</v>
      </c>
      <c r="G983" s="8"/>
    </row>
    <row r="984" spans="1:8" x14ac:dyDescent="0.45">
      <c r="A984" s="8" t="s">
        <v>1389</v>
      </c>
      <c r="B984" s="4">
        <v>39.6</v>
      </c>
      <c r="C984" s="7">
        <v>92.5</v>
      </c>
      <c r="D984" s="7">
        <v>92.5</v>
      </c>
      <c r="E984" s="6">
        <v>106</v>
      </c>
      <c r="F984" s="69">
        <f t="shared" si="61"/>
        <v>3882.78</v>
      </c>
      <c r="G984" s="8"/>
    </row>
    <row r="985" spans="1:8" customFormat="1" x14ac:dyDescent="0.45">
      <c r="A985" s="2" t="s">
        <v>1569</v>
      </c>
      <c r="B985" s="2">
        <v>19.600000000000001</v>
      </c>
      <c r="C985" s="2">
        <v>92.5</v>
      </c>
      <c r="D985" s="2">
        <v>92.5</v>
      </c>
      <c r="E985" s="2">
        <v>105.6</v>
      </c>
      <c r="F985" s="69">
        <f t="shared" ref="F985" si="62">B985*E985</f>
        <v>2069.7600000000002</v>
      </c>
      <c r="G985" s="302"/>
    </row>
    <row r="986" spans="1:8" customFormat="1" x14ac:dyDescent="0.45">
      <c r="A986" s="8" t="s">
        <v>1609</v>
      </c>
      <c r="B986" s="2">
        <v>8.1999999999999993</v>
      </c>
      <c r="C986" s="2">
        <v>82</v>
      </c>
      <c r="D986" s="2">
        <v>17</v>
      </c>
      <c r="E986" s="2">
        <v>92.18</v>
      </c>
      <c r="F986" s="69">
        <f t="shared" ref="F986:F1015" si="63">(((B986*C986)/100)*E986)</f>
        <v>619.81832000000009</v>
      </c>
      <c r="G986" s="302"/>
      <c r="H986" s="284"/>
    </row>
    <row r="987" spans="1:8" customFormat="1" x14ac:dyDescent="0.45">
      <c r="A987" s="8" t="s">
        <v>1610</v>
      </c>
      <c r="B987" s="2">
        <v>10</v>
      </c>
      <c r="C987" s="2">
        <v>82</v>
      </c>
      <c r="D987" s="2">
        <v>17</v>
      </c>
      <c r="E987" s="2">
        <v>92.18</v>
      </c>
      <c r="F987" s="69">
        <f t="shared" si="63"/>
        <v>755.87599999999998</v>
      </c>
      <c r="G987" s="302"/>
    </row>
    <row r="988" spans="1:8" customFormat="1" x14ac:dyDescent="0.45">
      <c r="A988" s="8" t="s">
        <v>1611</v>
      </c>
      <c r="B988" s="2">
        <v>11.7</v>
      </c>
      <c r="C988" s="2">
        <v>82</v>
      </c>
      <c r="D988" s="2">
        <v>17</v>
      </c>
      <c r="E988" s="2">
        <v>92.18</v>
      </c>
      <c r="F988" s="69">
        <f t="shared" si="63"/>
        <v>884.37491999999997</v>
      </c>
      <c r="G988" s="302"/>
    </row>
    <row r="989" spans="1:8" customFormat="1" x14ac:dyDescent="0.45">
      <c r="A989" s="8" t="s">
        <v>1612</v>
      </c>
      <c r="B989" s="2">
        <v>9.8000000000000007</v>
      </c>
      <c r="C989" s="2">
        <v>82</v>
      </c>
      <c r="D989" s="2">
        <v>17</v>
      </c>
      <c r="E989" s="2">
        <v>92.18</v>
      </c>
      <c r="F989" s="69">
        <f t="shared" si="63"/>
        <v>740.75847999999996</v>
      </c>
      <c r="G989" s="302"/>
    </row>
    <row r="990" spans="1:8" customFormat="1" x14ac:dyDescent="0.45">
      <c r="A990" s="8" t="s">
        <v>1613</v>
      </c>
      <c r="B990" s="2">
        <v>8.8000000000000007</v>
      </c>
      <c r="C990" s="2">
        <v>82</v>
      </c>
      <c r="D990" s="2">
        <v>17</v>
      </c>
      <c r="E990" s="2">
        <v>92.18</v>
      </c>
      <c r="F990" s="69">
        <f t="shared" si="63"/>
        <v>665.17088000000001</v>
      </c>
      <c r="G990" s="302"/>
    </row>
    <row r="991" spans="1:8" customFormat="1" x14ac:dyDescent="0.45">
      <c r="A991" s="8" t="s">
        <v>1614</v>
      </c>
      <c r="B991" s="2">
        <v>9.3000000000000007</v>
      </c>
      <c r="C991" s="2">
        <v>82</v>
      </c>
      <c r="D991" s="2">
        <v>17</v>
      </c>
      <c r="E991" s="2">
        <v>92.18</v>
      </c>
      <c r="F991" s="69">
        <f t="shared" si="63"/>
        <v>702.96468000000004</v>
      </c>
      <c r="G991" s="302"/>
    </row>
    <row r="992" spans="1:8" customFormat="1" x14ac:dyDescent="0.45">
      <c r="A992" s="8" t="s">
        <v>1615</v>
      </c>
      <c r="B992" s="2">
        <v>4.5999999999999996</v>
      </c>
      <c r="C992" s="2">
        <v>82</v>
      </c>
      <c r="D992" s="2">
        <v>17</v>
      </c>
      <c r="E992" s="2">
        <v>92.18</v>
      </c>
      <c r="F992" s="69">
        <f t="shared" si="63"/>
        <v>347.70296000000002</v>
      </c>
      <c r="G992" s="302"/>
    </row>
    <row r="993" spans="1:7" customFormat="1" x14ac:dyDescent="0.45">
      <c r="A993" s="8" t="s">
        <v>1616</v>
      </c>
      <c r="B993" s="2">
        <v>10.9</v>
      </c>
      <c r="C993" s="2">
        <v>82</v>
      </c>
      <c r="D993" s="2">
        <v>17</v>
      </c>
      <c r="E993" s="2">
        <v>92.18</v>
      </c>
      <c r="F993" s="69">
        <f t="shared" si="63"/>
        <v>823.90484000000015</v>
      </c>
      <c r="G993" s="302"/>
    </row>
    <row r="994" spans="1:7" customFormat="1" x14ac:dyDescent="0.45">
      <c r="A994" s="8" t="s">
        <v>1617</v>
      </c>
      <c r="B994" s="2">
        <v>6.6</v>
      </c>
      <c r="C994" s="2">
        <v>82</v>
      </c>
      <c r="D994" s="2">
        <v>17</v>
      </c>
      <c r="E994" s="2">
        <v>92.18</v>
      </c>
      <c r="F994" s="69">
        <f t="shared" si="63"/>
        <v>498.87815999999992</v>
      </c>
      <c r="G994" s="302"/>
    </row>
    <row r="995" spans="1:7" customFormat="1" x14ac:dyDescent="0.45">
      <c r="A995" s="8" t="s">
        <v>1618</v>
      </c>
      <c r="B995" s="2">
        <v>8.6</v>
      </c>
      <c r="C995" s="2">
        <v>82</v>
      </c>
      <c r="D995" s="2">
        <v>17</v>
      </c>
      <c r="E995" s="2">
        <v>92.18</v>
      </c>
      <c r="F995" s="69">
        <f t="shared" si="63"/>
        <v>650.05336</v>
      </c>
      <c r="G995" s="302"/>
    </row>
    <row r="996" spans="1:7" customFormat="1" x14ac:dyDescent="0.45">
      <c r="A996" s="8" t="s">
        <v>1619</v>
      </c>
      <c r="B996" s="2">
        <v>6.6</v>
      </c>
      <c r="C996" s="2">
        <v>82</v>
      </c>
      <c r="D996" s="2">
        <v>17</v>
      </c>
      <c r="E996" s="2">
        <v>92.18</v>
      </c>
      <c r="F996" s="69">
        <f t="shared" si="63"/>
        <v>498.87815999999992</v>
      </c>
      <c r="G996" s="302"/>
    </row>
    <row r="997" spans="1:7" customFormat="1" x14ac:dyDescent="0.45">
      <c r="A997" s="8" t="s">
        <v>1620</v>
      </c>
      <c r="B997" s="2">
        <v>11.1</v>
      </c>
      <c r="C997" s="2">
        <v>82</v>
      </c>
      <c r="D997" s="2">
        <v>17</v>
      </c>
      <c r="E997" s="2">
        <v>92.18</v>
      </c>
      <c r="F997" s="69">
        <f t="shared" si="63"/>
        <v>839.02235999999994</v>
      </c>
      <c r="G997" s="302"/>
    </row>
    <row r="998" spans="1:7" customFormat="1" x14ac:dyDescent="0.45">
      <c r="A998" s="8" t="s">
        <v>1621</v>
      </c>
      <c r="B998" s="2">
        <v>20.2</v>
      </c>
      <c r="C998" s="2">
        <v>82</v>
      </c>
      <c r="D998" s="2">
        <v>17</v>
      </c>
      <c r="E998" s="2">
        <v>92.18</v>
      </c>
      <c r="F998" s="69">
        <f t="shared" si="63"/>
        <v>1526.8695200000002</v>
      </c>
      <c r="G998" s="302"/>
    </row>
    <row r="999" spans="1:7" customFormat="1" x14ac:dyDescent="0.45">
      <c r="A999" s="8" t="s">
        <v>1622</v>
      </c>
      <c r="B999" s="2">
        <v>9.6999999999999993</v>
      </c>
      <c r="C999" s="2">
        <v>82</v>
      </c>
      <c r="D999" s="2">
        <v>17</v>
      </c>
      <c r="E999" s="2">
        <v>92.18</v>
      </c>
      <c r="F999" s="69">
        <f t="shared" si="63"/>
        <v>733.19972000000007</v>
      </c>
      <c r="G999" s="302"/>
    </row>
    <row r="1000" spans="1:7" customFormat="1" x14ac:dyDescent="0.45">
      <c r="A1000" s="8" t="s">
        <v>1623</v>
      </c>
      <c r="B1000" s="2">
        <v>10.8</v>
      </c>
      <c r="C1000" s="2">
        <v>82</v>
      </c>
      <c r="D1000" s="2">
        <v>17</v>
      </c>
      <c r="E1000" s="2">
        <v>92.18</v>
      </c>
      <c r="F1000" s="69">
        <f t="shared" si="63"/>
        <v>816.34608000000003</v>
      </c>
      <c r="G1000" s="302"/>
    </row>
    <row r="1001" spans="1:7" customFormat="1" x14ac:dyDescent="0.45">
      <c r="A1001" s="8" t="s">
        <v>1624</v>
      </c>
      <c r="B1001" s="2">
        <v>14.4</v>
      </c>
      <c r="C1001" s="2">
        <v>82</v>
      </c>
      <c r="D1001" s="2">
        <v>17</v>
      </c>
      <c r="E1001" s="2">
        <v>92.18</v>
      </c>
      <c r="F1001" s="69">
        <f t="shared" si="63"/>
        <v>1088.46144</v>
      </c>
      <c r="G1001" s="302"/>
    </row>
    <row r="1002" spans="1:7" customFormat="1" x14ac:dyDescent="0.45">
      <c r="A1002" s="8" t="s">
        <v>1625</v>
      </c>
      <c r="B1002" s="2">
        <v>12</v>
      </c>
      <c r="C1002" s="2">
        <v>82</v>
      </c>
      <c r="D1002" s="2">
        <v>17</v>
      </c>
      <c r="E1002" s="2">
        <v>92.18</v>
      </c>
      <c r="F1002" s="69">
        <f t="shared" si="63"/>
        <v>907.05120000000011</v>
      </c>
      <c r="G1002" s="302"/>
    </row>
    <row r="1003" spans="1:7" customFormat="1" x14ac:dyDescent="0.45">
      <c r="A1003" s="8" t="s">
        <v>1626</v>
      </c>
      <c r="B1003" s="2">
        <v>20.100000000000001</v>
      </c>
      <c r="C1003" s="2">
        <v>82</v>
      </c>
      <c r="D1003" s="2">
        <v>17</v>
      </c>
      <c r="E1003" s="2">
        <v>92.18</v>
      </c>
      <c r="F1003" s="69">
        <f t="shared" si="63"/>
        <v>1519.3107600000001</v>
      </c>
      <c r="G1003" s="302"/>
    </row>
    <row r="1004" spans="1:7" customFormat="1" x14ac:dyDescent="0.45">
      <c r="A1004" s="8" t="s">
        <v>1627</v>
      </c>
      <c r="B1004" s="2">
        <v>60</v>
      </c>
      <c r="C1004" s="2">
        <v>82</v>
      </c>
      <c r="D1004" s="2">
        <v>17</v>
      </c>
      <c r="E1004" s="2">
        <v>92.18</v>
      </c>
      <c r="F1004" s="69">
        <f t="shared" si="63"/>
        <v>4535.2560000000003</v>
      </c>
      <c r="G1004" s="302"/>
    </row>
    <row r="1005" spans="1:7" customFormat="1" x14ac:dyDescent="0.45">
      <c r="A1005" s="8" t="s">
        <v>1628</v>
      </c>
      <c r="B1005" s="2">
        <v>40.5</v>
      </c>
      <c r="C1005" s="2">
        <v>82</v>
      </c>
      <c r="D1005" s="2">
        <v>17</v>
      </c>
      <c r="E1005" s="2">
        <v>92.18</v>
      </c>
      <c r="F1005" s="69">
        <f t="shared" si="63"/>
        <v>3061.2978000000003</v>
      </c>
      <c r="G1005" s="302"/>
    </row>
    <row r="1006" spans="1:7" customFormat="1" x14ac:dyDescent="0.45">
      <c r="A1006" s="8" t="s">
        <v>1629</v>
      </c>
      <c r="B1006" s="2">
        <v>11.8</v>
      </c>
      <c r="C1006" s="2">
        <v>82</v>
      </c>
      <c r="D1006" s="2">
        <v>17</v>
      </c>
      <c r="E1006" s="2">
        <v>92.18</v>
      </c>
      <c r="F1006" s="69">
        <f t="shared" si="63"/>
        <v>891.93368000000009</v>
      </c>
      <c r="G1006" s="302"/>
    </row>
    <row r="1007" spans="1:7" customFormat="1" x14ac:dyDescent="0.45">
      <c r="A1007" s="8" t="s">
        <v>1630</v>
      </c>
      <c r="B1007" s="2">
        <v>16.100000000000001</v>
      </c>
      <c r="C1007" s="2">
        <v>82</v>
      </c>
      <c r="D1007" s="2">
        <v>17</v>
      </c>
      <c r="E1007" s="2">
        <v>92.18</v>
      </c>
      <c r="F1007" s="69">
        <f t="shared" si="63"/>
        <v>1216.96036</v>
      </c>
      <c r="G1007" s="302"/>
    </row>
    <row r="1008" spans="1:7" customFormat="1" x14ac:dyDescent="0.45">
      <c r="A1008" s="8" t="s">
        <v>1631</v>
      </c>
      <c r="B1008" s="2">
        <v>11.7</v>
      </c>
      <c r="C1008" s="2">
        <v>82</v>
      </c>
      <c r="D1008" s="2">
        <v>17</v>
      </c>
      <c r="E1008" s="2">
        <v>92.18</v>
      </c>
      <c r="F1008" s="69">
        <f t="shared" si="63"/>
        <v>884.37491999999997</v>
      </c>
      <c r="G1008" s="302"/>
    </row>
    <row r="1009" spans="1:7" customFormat="1" x14ac:dyDescent="0.45">
      <c r="A1009" s="8" t="s">
        <v>1632</v>
      </c>
      <c r="B1009" s="2">
        <v>14.3</v>
      </c>
      <c r="C1009" s="2">
        <v>82</v>
      </c>
      <c r="D1009" s="2">
        <v>17</v>
      </c>
      <c r="E1009" s="2">
        <v>92.18</v>
      </c>
      <c r="F1009" s="69">
        <f t="shared" si="63"/>
        <v>1080.9026800000001</v>
      </c>
      <c r="G1009" s="302"/>
    </row>
    <row r="1010" spans="1:7" customFormat="1" x14ac:dyDescent="0.45">
      <c r="A1010" s="8" t="s">
        <v>1633</v>
      </c>
      <c r="B1010" s="2">
        <v>20.2</v>
      </c>
      <c r="C1010" s="2">
        <v>82</v>
      </c>
      <c r="D1010" s="2">
        <v>17</v>
      </c>
      <c r="E1010" s="2">
        <v>92.18</v>
      </c>
      <c r="F1010" s="69">
        <f t="shared" si="63"/>
        <v>1526.8695200000002</v>
      </c>
      <c r="G1010" s="302"/>
    </row>
    <row r="1011" spans="1:7" customFormat="1" x14ac:dyDescent="0.45">
      <c r="A1011" s="8" t="s">
        <v>1634</v>
      </c>
      <c r="B1011" s="2">
        <v>23.4</v>
      </c>
      <c r="C1011" s="2">
        <v>82</v>
      </c>
      <c r="D1011" s="2">
        <v>17</v>
      </c>
      <c r="E1011" s="2">
        <v>92.18</v>
      </c>
      <c r="F1011" s="69">
        <f t="shared" si="63"/>
        <v>1768.7498399999999</v>
      </c>
      <c r="G1011" s="302"/>
    </row>
    <row r="1012" spans="1:7" customFormat="1" x14ac:dyDescent="0.45">
      <c r="A1012" s="8" t="s">
        <v>1635</v>
      </c>
      <c r="B1012" s="2">
        <v>14.9</v>
      </c>
      <c r="C1012" s="2">
        <v>82</v>
      </c>
      <c r="D1012" s="2">
        <v>17</v>
      </c>
      <c r="E1012" s="2">
        <v>92.18</v>
      </c>
      <c r="F1012" s="69">
        <f t="shared" si="63"/>
        <v>1126.2552400000002</v>
      </c>
      <c r="G1012" s="302"/>
    </row>
    <row r="1013" spans="1:7" customFormat="1" x14ac:dyDescent="0.45">
      <c r="A1013" s="8" t="s">
        <v>1636</v>
      </c>
      <c r="B1013" s="2">
        <v>19</v>
      </c>
      <c r="C1013" s="2">
        <v>82</v>
      </c>
      <c r="D1013" s="2">
        <v>17</v>
      </c>
      <c r="E1013" s="2">
        <v>92.18</v>
      </c>
      <c r="F1013" s="69">
        <f t="shared" si="63"/>
        <v>1436.1644000000001</v>
      </c>
      <c r="G1013" s="302"/>
    </row>
    <row r="1014" spans="1:7" customFormat="1" x14ac:dyDescent="0.45">
      <c r="A1014" s="8" t="s">
        <v>1637</v>
      </c>
      <c r="B1014" s="2">
        <v>24.2</v>
      </c>
      <c r="C1014" s="2">
        <v>82</v>
      </c>
      <c r="D1014" s="2">
        <v>17</v>
      </c>
      <c r="E1014" s="2">
        <v>92.18</v>
      </c>
      <c r="F1014" s="69">
        <f t="shared" si="63"/>
        <v>1829.21992</v>
      </c>
      <c r="G1014" s="302"/>
    </row>
    <row r="1015" spans="1:7" customFormat="1" x14ac:dyDescent="0.45">
      <c r="A1015" s="8" t="s">
        <v>1638</v>
      </c>
      <c r="B1015" s="2">
        <v>14.6</v>
      </c>
      <c r="C1015" s="2">
        <v>82</v>
      </c>
      <c r="D1015" s="2">
        <v>17</v>
      </c>
      <c r="E1015" s="2">
        <v>92.18</v>
      </c>
      <c r="F1015" s="69">
        <f t="shared" si="63"/>
        <v>1103.5789600000003</v>
      </c>
      <c r="G1015" s="302"/>
    </row>
    <row r="1016" spans="1:7" x14ac:dyDescent="0.45">
      <c r="A1016" s="8" t="s">
        <v>624</v>
      </c>
      <c r="B1016" s="4">
        <v>13.8</v>
      </c>
      <c r="C1016" s="7">
        <v>86</v>
      </c>
      <c r="D1016" s="7">
        <f>21-C1016</f>
        <v>-65</v>
      </c>
      <c r="E1016" s="6">
        <v>90</v>
      </c>
      <c r="F1016" s="69">
        <f t="shared" si="60"/>
        <v>1068.1200000000001</v>
      </c>
      <c r="G1016" s="8"/>
    </row>
    <row r="1017" spans="1:7" x14ac:dyDescent="0.45">
      <c r="A1017" s="8" t="s">
        <v>625</v>
      </c>
      <c r="B1017" s="4">
        <v>25.91</v>
      </c>
      <c r="C1017" s="7">
        <v>86</v>
      </c>
      <c r="D1017" s="7">
        <f t="shared" ref="D1017:D1114" si="64">21-C1017</f>
        <v>-65</v>
      </c>
      <c r="E1017" s="6">
        <v>90</v>
      </c>
      <c r="F1017" s="69">
        <f t="shared" ref="F1017:F1036" si="65">(((B1017*C1017)/100)*E1017)</f>
        <v>2005.4340000000002</v>
      </c>
      <c r="G1017" s="8"/>
    </row>
    <row r="1018" spans="1:7" x14ac:dyDescent="0.45">
      <c r="A1018" s="8" t="s">
        <v>626</v>
      </c>
      <c r="B1018" s="4">
        <v>10.15</v>
      </c>
      <c r="C1018" s="7">
        <v>86</v>
      </c>
      <c r="D1018" s="7">
        <f t="shared" si="64"/>
        <v>-65</v>
      </c>
      <c r="E1018" s="6">
        <v>90</v>
      </c>
      <c r="F1018" s="69">
        <f t="shared" si="65"/>
        <v>785.6099999999999</v>
      </c>
      <c r="G1018" s="8"/>
    </row>
    <row r="1019" spans="1:7" x14ac:dyDescent="0.45">
      <c r="A1019" s="8" t="s">
        <v>627</v>
      </c>
      <c r="B1019" s="4">
        <v>35</v>
      </c>
      <c r="C1019" s="7">
        <v>86</v>
      </c>
      <c r="D1019" s="7">
        <f t="shared" si="64"/>
        <v>-65</v>
      </c>
      <c r="E1019" s="6">
        <v>90</v>
      </c>
      <c r="F1019" s="69">
        <f t="shared" si="65"/>
        <v>2709</v>
      </c>
      <c r="G1019" s="8"/>
    </row>
    <row r="1020" spans="1:7" x14ac:dyDescent="0.45">
      <c r="A1020" s="8" t="s">
        <v>628</v>
      </c>
      <c r="B1020" s="4">
        <v>22.23</v>
      </c>
      <c r="C1020" s="7">
        <v>86</v>
      </c>
      <c r="D1020" s="7">
        <f t="shared" si="64"/>
        <v>-65</v>
      </c>
      <c r="E1020" s="6">
        <v>90</v>
      </c>
      <c r="F1020" s="69">
        <f t="shared" si="65"/>
        <v>1720.6019999999999</v>
      </c>
      <c r="G1020" s="8"/>
    </row>
    <row r="1021" spans="1:7" x14ac:dyDescent="0.45">
      <c r="A1021" s="8" t="s">
        <v>629</v>
      </c>
      <c r="B1021" s="4">
        <v>18.7</v>
      </c>
      <c r="C1021" s="7">
        <v>86</v>
      </c>
      <c r="D1021" s="7">
        <f t="shared" si="64"/>
        <v>-65</v>
      </c>
      <c r="E1021" s="6">
        <v>90</v>
      </c>
      <c r="F1021" s="69">
        <f t="shared" si="65"/>
        <v>1447.38</v>
      </c>
      <c r="G1021" s="8"/>
    </row>
    <row r="1022" spans="1:7" x14ac:dyDescent="0.45">
      <c r="A1022" s="8" t="s">
        <v>630</v>
      </c>
      <c r="B1022" s="4">
        <v>9.7200000000000006</v>
      </c>
      <c r="C1022" s="7">
        <v>86</v>
      </c>
      <c r="D1022" s="7">
        <f t="shared" si="64"/>
        <v>-65</v>
      </c>
      <c r="E1022" s="6">
        <v>90</v>
      </c>
      <c r="F1022" s="69">
        <f t="shared" si="65"/>
        <v>752.32800000000009</v>
      </c>
      <c r="G1022" s="8"/>
    </row>
    <row r="1023" spans="1:7" x14ac:dyDescent="0.45">
      <c r="A1023" s="8" t="s">
        <v>631</v>
      </c>
      <c r="B1023" s="4">
        <v>31.7</v>
      </c>
      <c r="C1023" s="7">
        <v>86</v>
      </c>
      <c r="D1023" s="7">
        <f t="shared" si="64"/>
        <v>-65</v>
      </c>
      <c r="E1023" s="6">
        <v>90</v>
      </c>
      <c r="F1023" s="69">
        <f t="shared" si="65"/>
        <v>2453.58</v>
      </c>
      <c r="G1023" s="8"/>
    </row>
    <row r="1024" spans="1:7" x14ac:dyDescent="0.45">
      <c r="A1024" s="8" t="s">
        <v>632</v>
      </c>
      <c r="B1024" s="4">
        <v>24.1</v>
      </c>
      <c r="C1024" s="7">
        <v>86</v>
      </c>
      <c r="D1024" s="7">
        <f t="shared" si="64"/>
        <v>-65</v>
      </c>
      <c r="E1024" s="6">
        <v>90</v>
      </c>
      <c r="F1024" s="69">
        <f t="shared" si="65"/>
        <v>1865.34</v>
      </c>
      <c r="G1024" s="8"/>
    </row>
    <row r="1025" spans="1:7" x14ac:dyDescent="0.45">
      <c r="A1025" s="8" t="s">
        <v>633</v>
      </c>
      <c r="B1025" s="4">
        <v>33.11</v>
      </c>
      <c r="C1025" s="7">
        <v>86</v>
      </c>
      <c r="D1025" s="7">
        <f t="shared" si="64"/>
        <v>-65</v>
      </c>
      <c r="E1025" s="6">
        <v>90</v>
      </c>
      <c r="F1025" s="69">
        <f t="shared" si="65"/>
        <v>2562.7139999999999</v>
      </c>
      <c r="G1025" s="8"/>
    </row>
    <row r="1026" spans="1:7" x14ac:dyDescent="0.45">
      <c r="A1026" s="8" t="s">
        <v>634</v>
      </c>
      <c r="B1026" s="4">
        <v>41.61</v>
      </c>
      <c r="C1026" s="7">
        <v>86</v>
      </c>
      <c r="D1026" s="7">
        <f t="shared" si="64"/>
        <v>-65</v>
      </c>
      <c r="E1026" s="6">
        <v>90</v>
      </c>
      <c r="F1026" s="69">
        <f t="shared" si="65"/>
        <v>3220.6139999999996</v>
      </c>
      <c r="G1026" s="8"/>
    </row>
    <row r="1027" spans="1:7" x14ac:dyDescent="0.45">
      <c r="A1027" s="8" t="s">
        <v>635</v>
      </c>
      <c r="B1027" s="4">
        <v>11.35</v>
      </c>
      <c r="C1027" s="7">
        <v>86</v>
      </c>
      <c r="D1027" s="7">
        <f t="shared" si="64"/>
        <v>-65</v>
      </c>
      <c r="E1027" s="6">
        <v>90</v>
      </c>
      <c r="F1027" s="69">
        <f t="shared" si="65"/>
        <v>878.49000000000012</v>
      </c>
      <c r="G1027" s="8"/>
    </row>
    <row r="1028" spans="1:7" x14ac:dyDescent="0.45">
      <c r="A1028" s="8" t="s">
        <v>636</v>
      </c>
      <c r="B1028" s="4">
        <v>6.75</v>
      </c>
      <c r="C1028" s="7">
        <v>86</v>
      </c>
      <c r="D1028" s="7">
        <f t="shared" si="64"/>
        <v>-65</v>
      </c>
      <c r="E1028" s="6">
        <v>90</v>
      </c>
      <c r="F1028" s="69">
        <f t="shared" si="65"/>
        <v>522.44999999999993</v>
      </c>
      <c r="G1028" s="8"/>
    </row>
    <row r="1029" spans="1:7" x14ac:dyDescent="0.45">
      <c r="A1029" s="8" t="s">
        <v>637</v>
      </c>
      <c r="B1029" s="4">
        <v>9.8000000000000007</v>
      </c>
      <c r="C1029" s="7">
        <v>86</v>
      </c>
      <c r="D1029" s="7">
        <f t="shared" si="64"/>
        <v>-65</v>
      </c>
      <c r="E1029" s="6">
        <v>90</v>
      </c>
      <c r="F1029" s="69">
        <f t="shared" si="65"/>
        <v>758.5200000000001</v>
      </c>
      <c r="G1029" s="8"/>
    </row>
    <row r="1030" spans="1:7" x14ac:dyDescent="0.45">
      <c r="A1030" s="8" t="s">
        <v>638</v>
      </c>
      <c r="B1030" s="4">
        <v>6.66</v>
      </c>
      <c r="C1030" s="7">
        <v>86</v>
      </c>
      <c r="D1030" s="7">
        <f t="shared" si="64"/>
        <v>-65</v>
      </c>
      <c r="E1030" s="6">
        <v>90</v>
      </c>
      <c r="F1030" s="69">
        <f t="shared" si="65"/>
        <v>515.48400000000004</v>
      </c>
      <c r="G1030" s="8"/>
    </row>
    <row r="1031" spans="1:7" x14ac:dyDescent="0.45">
      <c r="A1031" s="8" t="s">
        <v>639</v>
      </c>
      <c r="B1031" s="4">
        <v>5.27</v>
      </c>
      <c r="C1031" s="7">
        <v>86</v>
      </c>
      <c r="D1031" s="7">
        <f t="shared" si="64"/>
        <v>-65</v>
      </c>
      <c r="E1031" s="6">
        <v>90</v>
      </c>
      <c r="F1031" s="69">
        <f t="shared" si="65"/>
        <v>407.89799999999997</v>
      </c>
      <c r="G1031" s="8"/>
    </row>
    <row r="1032" spans="1:7" x14ac:dyDescent="0.45">
      <c r="A1032" s="8" t="s">
        <v>640</v>
      </c>
      <c r="B1032" s="4">
        <v>24.9</v>
      </c>
      <c r="C1032" s="7">
        <v>86</v>
      </c>
      <c r="D1032" s="7">
        <f t="shared" si="64"/>
        <v>-65</v>
      </c>
      <c r="E1032" s="6">
        <v>90</v>
      </c>
      <c r="F1032" s="69">
        <f t="shared" si="65"/>
        <v>1927.2600000000002</v>
      </c>
      <c r="G1032" s="8"/>
    </row>
    <row r="1033" spans="1:7" x14ac:dyDescent="0.45">
      <c r="A1033" s="8" t="s">
        <v>641</v>
      </c>
      <c r="B1033" s="4">
        <v>36</v>
      </c>
      <c r="C1033" s="7">
        <v>86</v>
      </c>
      <c r="D1033" s="7">
        <f t="shared" si="64"/>
        <v>-65</v>
      </c>
      <c r="E1033" s="6">
        <v>90</v>
      </c>
      <c r="F1033" s="69">
        <f t="shared" si="65"/>
        <v>2786.4</v>
      </c>
      <c r="G1033" s="8"/>
    </row>
    <row r="1034" spans="1:7" x14ac:dyDescent="0.45">
      <c r="A1034" s="8" t="s">
        <v>642</v>
      </c>
      <c r="B1034" s="4">
        <v>40.5</v>
      </c>
      <c r="C1034" s="7">
        <v>86</v>
      </c>
      <c r="D1034" s="7">
        <f t="shared" si="64"/>
        <v>-65</v>
      </c>
      <c r="E1034" s="6">
        <v>90</v>
      </c>
      <c r="F1034" s="69">
        <f t="shared" si="65"/>
        <v>3134.7</v>
      </c>
      <c r="G1034" s="8"/>
    </row>
    <row r="1035" spans="1:7" x14ac:dyDescent="0.45">
      <c r="A1035" s="8" t="s">
        <v>643</v>
      </c>
      <c r="B1035" s="4">
        <v>40.5</v>
      </c>
      <c r="C1035" s="7">
        <v>86</v>
      </c>
      <c r="D1035" s="7">
        <f t="shared" si="64"/>
        <v>-65</v>
      </c>
      <c r="E1035" s="6">
        <v>90</v>
      </c>
      <c r="F1035" s="69">
        <f t="shared" si="65"/>
        <v>3134.7</v>
      </c>
      <c r="G1035" s="8"/>
    </row>
    <row r="1036" spans="1:7" x14ac:dyDescent="0.45">
      <c r="A1036" s="8" t="s">
        <v>644</v>
      </c>
      <c r="B1036" s="4">
        <v>23.5</v>
      </c>
      <c r="C1036" s="7">
        <v>86</v>
      </c>
      <c r="D1036" s="7">
        <f t="shared" si="64"/>
        <v>-65</v>
      </c>
      <c r="E1036" s="6">
        <v>90</v>
      </c>
      <c r="F1036" s="69">
        <f t="shared" si="65"/>
        <v>1818.9</v>
      </c>
      <c r="G1036" s="8"/>
    </row>
    <row r="1037" spans="1:7" x14ac:dyDescent="0.45">
      <c r="A1037" s="8" t="s">
        <v>645</v>
      </c>
      <c r="B1037" s="4">
        <v>86.1</v>
      </c>
      <c r="C1037" s="7">
        <v>85</v>
      </c>
      <c r="D1037" s="7">
        <v>20</v>
      </c>
      <c r="E1037" s="6">
        <v>94</v>
      </c>
      <c r="F1037" s="69">
        <f>(((B1037*C1037)/100)*E1037)</f>
        <v>6879.3899999999985</v>
      </c>
      <c r="G1037" s="8"/>
    </row>
    <row r="1038" spans="1:7" x14ac:dyDescent="0.45">
      <c r="A1038" s="8" t="s">
        <v>646</v>
      </c>
      <c r="B1038" s="4">
        <v>10.51</v>
      </c>
      <c r="C1038" s="7">
        <v>85</v>
      </c>
      <c r="D1038" s="7">
        <v>20</v>
      </c>
      <c r="E1038" s="6">
        <v>95</v>
      </c>
      <c r="F1038" s="69">
        <v>950</v>
      </c>
      <c r="G1038" s="8"/>
    </row>
    <row r="1039" spans="1:7" x14ac:dyDescent="0.45">
      <c r="A1039" s="8" t="s">
        <v>1032</v>
      </c>
      <c r="B1039" s="4">
        <v>17.100000000000001</v>
      </c>
      <c r="C1039" s="7">
        <v>76</v>
      </c>
      <c r="D1039" s="7">
        <f>65-Table1[[#This Row],[MELTING]]</f>
        <v>-11</v>
      </c>
      <c r="E1039" s="6">
        <v>91.5</v>
      </c>
      <c r="F1039" s="69">
        <f t="shared" ref="F1039:F1045" si="66">(((B1039*C1039)/100)*E1039)</f>
        <v>1189.1340000000002</v>
      </c>
      <c r="G1039" s="8"/>
    </row>
    <row r="1040" spans="1:7" x14ac:dyDescent="0.45">
      <c r="A1040" s="8" t="s">
        <v>1033</v>
      </c>
      <c r="B1040" s="4">
        <v>8</v>
      </c>
      <c r="C1040" s="7">
        <v>77</v>
      </c>
      <c r="D1040" s="7">
        <f>65-Table1[[#This Row],[MELTING]]</f>
        <v>-12</v>
      </c>
      <c r="E1040" s="6">
        <v>91.5</v>
      </c>
      <c r="F1040" s="69">
        <f t="shared" si="66"/>
        <v>563.64</v>
      </c>
      <c r="G1040" s="8"/>
    </row>
    <row r="1041" spans="1:8" x14ac:dyDescent="0.45">
      <c r="A1041" s="8" t="s">
        <v>1034</v>
      </c>
      <c r="B1041" s="4">
        <v>12.7</v>
      </c>
      <c r="C1041" s="7">
        <v>77</v>
      </c>
      <c r="D1041" s="7">
        <f>65-Table1[[#This Row],[MELTING]]</f>
        <v>-12</v>
      </c>
      <c r="E1041" s="6">
        <v>91.5</v>
      </c>
      <c r="F1041" s="69">
        <f t="shared" si="66"/>
        <v>894.77850000000001</v>
      </c>
      <c r="G1041" s="8"/>
    </row>
    <row r="1042" spans="1:8" x14ac:dyDescent="0.45">
      <c r="A1042" s="8" t="s">
        <v>1035</v>
      </c>
      <c r="B1042" s="4">
        <v>9.3000000000000007</v>
      </c>
      <c r="C1042" s="7">
        <v>77</v>
      </c>
      <c r="D1042" s="7">
        <f>65-Table1[[#This Row],[MELTING]]</f>
        <v>-12</v>
      </c>
      <c r="E1042" s="6">
        <v>91.5</v>
      </c>
      <c r="F1042" s="69">
        <f t="shared" si="66"/>
        <v>655.2315000000001</v>
      </c>
      <c r="G1042" s="8"/>
    </row>
    <row r="1043" spans="1:8" x14ac:dyDescent="0.45">
      <c r="A1043" s="8" t="s">
        <v>1036</v>
      </c>
      <c r="B1043" s="4">
        <v>23.5</v>
      </c>
      <c r="C1043" s="7">
        <v>77</v>
      </c>
      <c r="D1043" s="7">
        <f>65-Table1[[#This Row],[MELTING]]</f>
        <v>-12</v>
      </c>
      <c r="E1043" s="6">
        <v>91.5</v>
      </c>
      <c r="F1043" s="69">
        <f t="shared" si="66"/>
        <v>1655.6924999999999</v>
      </c>
      <c r="G1043" s="8"/>
    </row>
    <row r="1044" spans="1:8" x14ac:dyDescent="0.45">
      <c r="A1044" s="8" t="s">
        <v>1258</v>
      </c>
      <c r="B1044" s="4">
        <v>66.8</v>
      </c>
      <c r="C1044" s="7">
        <v>82</v>
      </c>
      <c r="D1044" s="7">
        <f>65-Table1[[#This Row],[MELTING]]</f>
        <v>-17</v>
      </c>
      <c r="E1044" s="6">
        <v>95</v>
      </c>
      <c r="F1044" s="69">
        <f t="shared" si="66"/>
        <v>5203.7199999999993</v>
      </c>
      <c r="G1044" s="8"/>
    </row>
    <row r="1045" spans="1:8" x14ac:dyDescent="0.45">
      <c r="A1045" s="8" t="s">
        <v>1259</v>
      </c>
      <c r="B1045" s="4">
        <v>66.7</v>
      </c>
      <c r="C1045" s="7">
        <v>82</v>
      </c>
      <c r="D1045" s="7">
        <f>65-Table1[[#This Row],[MELTING]]</f>
        <v>-17</v>
      </c>
      <c r="E1045" s="6">
        <v>95</v>
      </c>
      <c r="F1045" s="69">
        <f t="shared" si="66"/>
        <v>5195.93</v>
      </c>
      <c r="G1045" s="8"/>
    </row>
    <row r="1046" spans="1:8" x14ac:dyDescent="0.45">
      <c r="A1046" s="8" t="s">
        <v>1544</v>
      </c>
      <c r="B1046" s="4">
        <v>24.6</v>
      </c>
      <c r="C1046" s="7">
        <v>82</v>
      </c>
      <c r="D1046" s="7">
        <f>65-Table1[[#This Row],[MELTING]]</f>
        <v>-17</v>
      </c>
      <c r="E1046" s="6">
        <v>90.6</v>
      </c>
      <c r="F1046" s="69">
        <f t="shared" ref="F1046:F1063" si="67">(((B1046*C1046)/100)*E1046)</f>
        <v>1827.5832</v>
      </c>
      <c r="G1046" s="8"/>
    </row>
    <row r="1047" spans="1:8" x14ac:dyDescent="0.45">
      <c r="A1047" s="8" t="s">
        <v>1545</v>
      </c>
      <c r="B1047" s="4">
        <v>9.1999999999999993</v>
      </c>
      <c r="C1047" s="7">
        <v>80.650000000000006</v>
      </c>
      <c r="D1047" s="7">
        <f>65-Table1[[#This Row],[MELTING]]</f>
        <v>-15.650000000000006</v>
      </c>
      <c r="E1047" s="6">
        <v>90</v>
      </c>
      <c r="F1047" s="69">
        <f t="shared" si="67"/>
        <v>667.78200000000004</v>
      </c>
      <c r="G1047" s="8"/>
    </row>
    <row r="1048" spans="1:8" x14ac:dyDescent="0.45">
      <c r="A1048" s="8" t="s">
        <v>1546</v>
      </c>
      <c r="B1048" s="4">
        <v>7.75</v>
      </c>
      <c r="C1048" s="7">
        <v>80.650000000000006</v>
      </c>
      <c r="D1048" s="7">
        <f>65-Table1[[#This Row],[MELTING]]</f>
        <v>-15.650000000000006</v>
      </c>
      <c r="E1048" s="6">
        <v>90</v>
      </c>
      <c r="F1048" s="69">
        <f t="shared" si="67"/>
        <v>562.53375000000005</v>
      </c>
      <c r="G1048" s="8"/>
    </row>
    <row r="1049" spans="1:8" x14ac:dyDescent="0.45">
      <c r="A1049" s="8" t="s">
        <v>1547</v>
      </c>
      <c r="B1049" s="4">
        <v>7.3</v>
      </c>
      <c r="C1049" s="7">
        <v>80.650000000000006</v>
      </c>
      <c r="D1049" s="7">
        <f>65-Table1[[#This Row],[MELTING]]</f>
        <v>-15.650000000000006</v>
      </c>
      <c r="E1049" s="6">
        <v>90</v>
      </c>
      <c r="F1049" s="69">
        <f t="shared" si="67"/>
        <v>529.87049999999999</v>
      </c>
      <c r="G1049" s="8"/>
    </row>
    <row r="1050" spans="1:8" x14ac:dyDescent="0.45">
      <c r="A1050" s="8" t="s">
        <v>1548</v>
      </c>
      <c r="B1050" s="4">
        <v>7.05</v>
      </c>
      <c r="C1050" s="7">
        <v>80.650000000000006</v>
      </c>
      <c r="D1050" s="7">
        <f>65-Table1[[#This Row],[MELTING]]</f>
        <v>-15.650000000000006</v>
      </c>
      <c r="E1050" s="6">
        <v>90</v>
      </c>
      <c r="F1050" s="69">
        <f t="shared" si="67"/>
        <v>511.72424999999993</v>
      </c>
      <c r="G1050" s="8"/>
    </row>
    <row r="1051" spans="1:8" x14ac:dyDescent="0.45">
      <c r="A1051" s="8" t="s">
        <v>1549</v>
      </c>
      <c r="B1051" s="4">
        <v>7.1</v>
      </c>
      <c r="C1051" s="7">
        <v>80.650000000000006</v>
      </c>
      <c r="D1051" s="7">
        <f>65-Table1[[#This Row],[MELTING]]</f>
        <v>-15.650000000000006</v>
      </c>
      <c r="E1051" s="6">
        <v>90</v>
      </c>
      <c r="F1051" s="69">
        <f t="shared" si="67"/>
        <v>515.35350000000005</v>
      </c>
      <c r="G1051" s="8"/>
    </row>
    <row r="1052" spans="1:8" x14ac:dyDescent="0.45">
      <c r="A1052" s="8" t="s">
        <v>1550</v>
      </c>
      <c r="B1052" s="4">
        <v>7.7</v>
      </c>
      <c r="C1052" s="7">
        <v>80.650000000000006</v>
      </c>
      <c r="D1052" s="7">
        <f>65-Table1[[#This Row],[MELTING]]</f>
        <v>-15.650000000000006</v>
      </c>
      <c r="E1052" s="6">
        <v>90</v>
      </c>
      <c r="F1052" s="69">
        <f t="shared" si="67"/>
        <v>558.9045000000001</v>
      </c>
      <c r="G1052" s="8"/>
    </row>
    <row r="1053" spans="1:8" x14ac:dyDescent="0.45">
      <c r="A1053" s="8" t="s">
        <v>1551</v>
      </c>
      <c r="B1053" s="4">
        <v>6.55</v>
      </c>
      <c r="C1053" s="7">
        <v>80.650000000000006</v>
      </c>
      <c r="D1053" s="7">
        <f>65-Table1[[#This Row],[MELTING]]</f>
        <v>-15.650000000000006</v>
      </c>
      <c r="E1053" s="6">
        <v>90</v>
      </c>
      <c r="F1053" s="69">
        <f t="shared" si="67"/>
        <v>475.43175000000002</v>
      </c>
      <c r="G1053" s="8"/>
    </row>
    <row r="1054" spans="1:8" x14ac:dyDescent="0.45">
      <c r="A1054" s="8" t="s">
        <v>1552</v>
      </c>
      <c r="B1054" s="4">
        <v>7.8</v>
      </c>
      <c r="C1054" s="7">
        <v>80.650000000000006</v>
      </c>
      <c r="D1054" s="7">
        <f>65-Table1[[#This Row],[MELTING]]</f>
        <v>-15.650000000000006</v>
      </c>
      <c r="E1054" s="6">
        <v>90</v>
      </c>
      <c r="F1054" s="69">
        <f t="shared" si="67"/>
        <v>566.16300000000001</v>
      </c>
      <c r="G1054" s="8"/>
    </row>
    <row r="1055" spans="1:8" x14ac:dyDescent="0.45">
      <c r="A1055" s="8" t="s">
        <v>1553</v>
      </c>
      <c r="B1055" s="4">
        <v>9.1</v>
      </c>
      <c r="C1055" s="7">
        <v>80.650000000000006</v>
      </c>
      <c r="D1055" s="7">
        <f>65-Table1[[#This Row],[MELTING]]</f>
        <v>-15.650000000000006</v>
      </c>
      <c r="E1055" s="6">
        <v>90</v>
      </c>
      <c r="F1055" s="69">
        <f t="shared" si="67"/>
        <v>660.52350000000013</v>
      </c>
      <c r="G1055" s="8"/>
    </row>
    <row r="1056" spans="1:8" x14ac:dyDescent="0.45">
      <c r="A1056" s="8" t="s">
        <v>1554</v>
      </c>
      <c r="B1056" s="4">
        <v>7.8</v>
      </c>
      <c r="C1056" s="7">
        <v>80.650000000000006</v>
      </c>
      <c r="D1056" s="7">
        <f>65-Table1[[#This Row],[MELTING]]</f>
        <v>-15.650000000000006</v>
      </c>
      <c r="E1056" s="6">
        <v>90</v>
      </c>
      <c r="F1056" s="69">
        <f t="shared" si="67"/>
        <v>566.16300000000001</v>
      </c>
      <c r="G1056" s="8"/>
      <c r="H1056" s="98"/>
    </row>
    <row r="1057" spans="1:7" x14ac:dyDescent="0.45">
      <c r="A1057" s="317" t="s">
        <v>1741</v>
      </c>
      <c r="B1057" s="107">
        <v>14.7</v>
      </c>
      <c r="C1057" s="27">
        <v>80</v>
      </c>
      <c r="D1057" s="27">
        <v>-31.75</v>
      </c>
      <c r="E1057" s="39">
        <v>95.8</v>
      </c>
      <c r="F1057" s="24">
        <f t="shared" si="67"/>
        <v>1126.6079999999999</v>
      </c>
    </row>
    <row r="1058" spans="1:7" x14ac:dyDescent="0.45">
      <c r="A1058" s="317" t="s">
        <v>1742</v>
      </c>
      <c r="B1058" s="107">
        <v>10</v>
      </c>
      <c r="C1058" s="27">
        <v>80</v>
      </c>
      <c r="D1058" s="27">
        <v>-31.75</v>
      </c>
      <c r="E1058" s="39">
        <v>95.8</v>
      </c>
      <c r="F1058" s="24">
        <f t="shared" si="67"/>
        <v>766.4</v>
      </c>
      <c r="G1058" s="98"/>
    </row>
    <row r="1059" spans="1:7" x14ac:dyDescent="0.45">
      <c r="A1059" s="317" t="s">
        <v>1743</v>
      </c>
      <c r="B1059" s="107">
        <v>10.4</v>
      </c>
      <c r="C1059" s="27">
        <v>80</v>
      </c>
      <c r="D1059" s="27">
        <v>-31.75</v>
      </c>
      <c r="E1059" s="39">
        <v>95.8</v>
      </c>
      <c r="F1059" s="24">
        <f t="shared" si="67"/>
        <v>797.05600000000004</v>
      </c>
    </row>
    <row r="1060" spans="1:7" x14ac:dyDescent="0.45">
      <c r="A1060" s="317" t="s">
        <v>1744</v>
      </c>
      <c r="B1060" s="107">
        <v>13.5</v>
      </c>
      <c r="C1060" s="27">
        <v>80</v>
      </c>
      <c r="D1060" s="27">
        <v>-31.75</v>
      </c>
      <c r="E1060" s="39">
        <v>95.8</v>
      </c>
      <c r="F1060" s="24">
        <f t="shared" si="67"/>
        <v>1034.6400000000001</v>
      </c>
    </row>
    <row r="1061" spans="1:7" x14ac:dyDescent="0.45">
      <c r="A1061" s="317" t="s">
        <v>1745</v>
      </c>
      <c r="B1061" s="107">
        <v>13.5</v>
      </c>
      <c r="C1061" s="27">
        <v>80</v>
      </c>
      <c r="D1061" s="27">
        <v>-31.75</v>
      </c>
      <c r="E1061" s="39">
        <v>95.8</v>
      </c>
      <c r="F1061" s="24">
        <f t="shared" si="67"/>
        <v>1034.6400000000001</v>
      </c>
    </row>
    <row r="1062" spans="1:7" x14ac:dyDescent="0.45">
      <c r="A1062" s="317" t="s">
        <v>1746</v>
      </c>
      <c r="B1062" s="107">
        <v>13.2</v>
      </c>
      <c r="C1062" s="27">
        <v>80</v>
      </c>
      <c r="D1062" s="27">
        <v>-31.75</v>
      </c>
      <c r="E1062" s="39">
        <v>95.8</v>
      </c>
      <c r="F1062" s="24">
        <f t="shared" si="67"/>
        <v>1011.648</v>
      </c>
    </row>
    <row r="1063" spans="1:7" x14ac:dyDescent="0.45">
      <c r="A1063" s="318" t="s">
        <v>1747</v>
      </c>
      <c r="B1063" s="319">
        <v>35</v>
      </c>
      <c r="C1063" s="27">
        <v>80</v>
      </c>
      <c r="D1063" s="27">
        <v>-31.75</v>
      </c>
      <c r="E1063" s="39">
        <v>95.8</v>
      </c>
      <c r="F1063" s="24">
        <f t="shared" si="67"/>
        <v>2682.4</v>
      </c>
    </row>
    <row r="1064" spans="1:7" x14ac:dyDescent="0.45">
      <c r="A1064" s="8" t="s">
        <v>647</v>
      </c>
      <c r="B1064" s="4">
        <v>10.5</v>
      </c>
      <c r="C1064" s="7">
        <v>92.5</v>
      </c>
      <c r="D1064" s="7">
        <f t="shared" si="64"/>
        <v>-71.5</v>
      </c>
      <c r="E1064" s="6">
        <v>127</v>
      </c>
      <c r="F1064" s="69">
        <f>B1064*E1064</f>
        <v>1333.5</v>
      </c>
      <c r="G1064" s="8"/>
    </row>
    <row r="1065" spans="1:7" x14ac:dyDescent="0.45">
      <c r="A1065" s="8" t="s">
        <v>648</v>
      </c>
      <c r="B1065" s="4">
        <v>7.81</v>
      </c>
      <c r="C1065" s="7">
        <v>92.5</v>
      </c>
      <c r="D1065" s="7">
        <f t="shared" si="64"/>
        <v>-71.5</v>
      </c>
      <c r="E1065" s="6">
        <v>127</v>
      </c>
      <c r="F1065" s="69">
        <f t="shared" ref="F1065:F1085" si="68">B1065*E1065</f>
        <v>991.87</v>
      </c>
      <c r="G1065" s="8"/>
    </row>
    <row r="1066" spans="1:7" x14ac:dyDescent="0.45">
      <c r="A1066" s="8" t="s">
        <v>649</v>
      </c>
      <c r="B1066" s="4">
        <v>7.52</v>
      </c>
      <c r="C1066" s="7">
        <v>92.5</v>
      </c>
      <c r="D1066" s="7">
        <f t="shared" si="64"/>
        <v>-71.5</v>
      </c>
      <c r="E1066" s="6">
        <v>127</v>
      </c>
      <c r="F1066" s="69">
        <f t="shared" si="68"/>
        <v>955.04</v>
      </c>
      <c r="G1066" s="8"/>
    </row>
    <row r="1067" spans="1:7" x14ac:dyDescent="0.45">
      <c r="A1067" s="8" t="s">
        <v>650</v>
      </c>
      <c r="B1067" s="4">
        <v>8.1</v>
      </c>
      <c r="C1067" s="7">
        <v>92.5</v>
      </c>
      <c r="D1067" s="7">
        <f t="shared" si="64"/>
        <v>-71.5</v>
      </c>
      <c r="E1067" s="6">
        <v>127</v>
      </c>
      <c r="F1067" s="69">
        <f t="shared" si="68"/>
        <v>1028.7</v>
      </c>
      <c r="G1067" s="8"/>
    </row>
    <row r="1068" spans="1:7" x14ac:dyDescent="0.45">
      <c r="A1068" s="8" t="s">
        <v>651</v>
      </c>
      <c r="B1068" s="4">
        <v>7.38</v>
      </c>
      <c r="C1068" s="7">
        <v>92.5</v>
      </c>
      <c r="D1068" s="7">
        <f t="shared" si="64"/>
        <v>-71.5</v>
      </c>
      <c r="E1068" s="6">
        <v>127</v>
      </c>
      <c r="F1068" s="69">
        <f t="shared" si="68"/>
        <v>937.26</v>
      </c>
      <c r="G1068" s="8"/>
    </row>
    <row r="1069" spans="1:7" x14ac:dyDescent="0.45">
      <c r="A1069" s="8" t="s">
        <v>652</v>
      </c>
      <c r="B1069" s="4">
        <v>6.79</v>
      </c>
      <c r="C1069" s="7">
        <v>92.5</v>
      </c>
      <c r="D1069" s="7">
        <f t="shared" si="64"/>
        <v>-71.5</v>
      </c>
      <c r="E1069" s="6">
        <v>127</v>
      </c>
      <c r="F1069" s="69">
        <f t="shared" si="68"/>
        <v>862.33</v>
      </c>
      <c r="G1069" s="8"/>
    </row>
    <row r="1070" spans="1:7" x14ac:dyDescent="0.45">
      <c r="A1070" s="8" t="s">
        <v>653</v>
      </c>
      <c r="B1070" s="4">
        <v>7.31</v>
      </c>
      <c r="C1070" s="7">
        <v>92.5</v>
      </c>
      <c r="D1070" s="7">
        <f t="shared" si="64"/>
        <v>-71.5</v>
      </c>
      <c r="E1070" s="6">
        <v>127</v>
      </c>
      <c r="F1070" s="69">
        <f t="shared" si="68"/>
        <v>928.37</v>
      </c>
      <c r="G1070" s="8"/>
    </row>
    <row r="1071" spans="1:7" x14ac:dyDescent="0.45">
      <c r="A1071" s="8" t="s">
        <v>654</v>
      </c>
      <c r="B1071" s="4">
        <v>7.4</v>
      </c>
      <c r="C1071" s="7">
        <v>92.5</v>
      </c>
      <c r="D1071" s="7">
        <f t="shared" si="64"/>
        <v>-71.5</v>
      </c>
      <c r="E1071" s="6">
        <v>127</v>
      </c>
      <c r="F1071" s="69">
        <f t="shared" si="68"/>
        <v>939.80000000000007</v>
      </c>
      <c r="G1071" s="8"/>
    </row>
    <row r="1072" spans="1:7" x14ac:dyDescent="0.45">
      <c r="A1072" s="8" t="s">
        <v>655</v>
      </c>
      <c r="B1072" s="4">
        <v>7.07</v>
      </c>
      <c r="C1072" s="7">
        <v>92.5</v>
      </c>
      <c r="D1072" s="7">
        <f t="shared" si="64"/>
        <v>-71.5</v>
      </c>
      <c r="E1072" s="6">
        <v>127</v>
      </c>
      <c r="F1072" s="69">
        <f t="shared" si="68"/>
        <v>897.89</v>
      </c>
      <c r="G1072" s="8"/>
    </row>
    <row r="1073" spans="1:7" x14ac:dyDescent="0.45">
      <c r="A1073" s="8" t="s">
        <v>656</v>
      </c>
      <c r="B1073" s="4">
        <v>6.52</v>
      </c>
      <c r="C1073" s="7">
        <v>92.5</v>
      </c>
      <c r="D1073" s="7">
        <f t="shared" si="64"/>
        <v>-71.5</v>
      </c>
      <c r="E1073" s="6">
        <v>127</v>
      </c>
      <c r="F1073" s="69">
        <f t="shared" si="68"/>
        <v>828.04</v>
      </c>
      <c r="G1073" s="8"/>
    </row>
    <row r="1074" spans="1:7" x14ac:dyDescent="0.45">
      <c r="A1074" s="8" t="s">
        <v>657</v>
      </c>
      <c r="B1074" s="4">
        <v>7.21</v>
      </c>
      <c r="C1074" s="7">
        <v>92.5</v>
      </c>
      <c r="D1074" s="7">
        <f t="shared" si="64"/>
        <v>-71.5</v>
      </c>
      <c r="E1074" s="6">
        <v>127</v>
      </c>
      <c r="F1074" s="69">
        <f t="shared" si="68"/>
        <v>915.67</v>
      </c>
      <c r="G1074" s="8"/>
    </row>
    <row r="1075" spans="1:7" x14ac:dyDescent="0.45">
      <c r="A1075" s="8" t="s">
        <v>658</v>
      </c>
      <c r="B1075" s="4">
        <v>6.37</v>
      </c>
      <c r="C1075" s="7">
        <v>92.5</v>
      </c>
      <c r="D1075" s="7">
        <f t="shared" si="64"/>
        <v>-71.5</v>
      </c>
      <c r="E1075" s="6">
        <v>127</v>
      </c>
      <c r="F1075" s="69">
        <f t="shared" si="68"/>
        <v>808.99</v>
      </c>
      <c r="G1075" s="8"/>
    </row>
    <row r="1076" spans="1:7" x14ac:dyDescent="0.45">
      <c r="A1076" s="8" t="s">
        <v>659</v>
      </c>
      <c r="B1076" s="4">
        <v>6.53</v>
      </c>
      <c r="C1076" s="7">
        <v>92.5</v>
      </c>
      <c r="D1076" s="7">
        <f t="shared" si="64"/>
        <v>-71.5</v>
      </c>
      <c r="E1076" s="6">
        <v>127</v>
      </c>
      <c r="F1076" s="69">
        <f t="shared" si="68"/>
        <v>829.31000000000006</v>
      </c>
      <c r="G1076" s="8"/>
    </row>
    <row r="1077" spans="1:7" x14ac:dyDescent="0.45">
      <c r="A1077" s="8" t="s">
        <v>660</v>
      </c>
      <c r="B1077" s="4">
        <v>6.71</v>
      </c>
      <c r="C1077" s="7">
        <v>92.5</v>
      </c>
      <c r="D1077" s="7">
        <f t="shared" si="64"/>
        <v>-71.5</v>
      </c>
      <c r="E1077" s="6">
        <v>127</v>
      </c>
      <c r="F1077" s="69">
        <f t="shared" si="68"/>
        <v>852.17</v>
      </c>
      <c r="G1077" s="8"/>
    </row>
    <row r="1078" spans="1:7" x14ac:dyDescent="0.45">
      <c r="A1078" s="8" t="s">
        <v>661</v>
      </c>
      <c r="B1078" s="4">
        <v>6.5</v>
      </c>
      <c r="C1078" s="7">
        <v>92.5</v>
      </c>
      <c r="D1078" s="7">
        <f t="shared" si="64"/>
        <v>-71.5</v>
      </c>
      <c r="E1078" s="6">
        <v>127</v>
      </c>
      <c r="F1078" s="69">
        <f t="shared" si="68"/>
        <v>825.5</v>
      </c>
      <c r="G1078" s="8"/>
    </row>
    <row r="1079" spans="1:7" x14ac:dyDescent="0.45">
      <c r="A1079" s="8" t="s">
        <v>662</v>
      </c>
      <c r="B1079" s="4">
        <v>6.76</v>
      </c>
      <c r="C1079" s="7">
        <v>92.5</v>
      </c>
      <c r="D1079" s="7">
        <f t="shared" si="64"/>
        <v>-71.5</v>
      </c>
      <c r="E1079" s="6">
        <v>127</v>
      </c>
      <c r="F1079" s="69">
        <f t="shared" si="68"/>
        <v>858.52</v>
      </c>
      <c r="G1079" s="8"/>
    </row>
    <row r="1080" spans="1:7" x14ac:dyDescent="0.45">
      <c r="A1080" s="8" t="s">
        <v>663</v>
      </c>
      <c r="B1080" s="4">
        <v>6.92</v>
      </c>
      <c r="C1080" s="7">
        <v>92.5</v>
      </c>
      <c r="D1080" s="7">
        <f t="shared" si="64"/>
        <v>-71.5</v>
      </c>
      <c r="E1080" s="6">
        <v>127</v>
      </c>
      <c r="F1080" s="69">
        <f t="shared" si="68"/>
        <v>878.84</v>
      </c>
      <c r="G1080" s="8"/>
    </row>
    <row r="1081" spans="1:7" x14ac:dyDescent="0.45">
      <c r="A1081" s="8" t="s">
        <v>664</v>
      </c>
      <c r="B1081" s="4">
        <v>6.69</v>
      </c>
      <c r="C1081" s="7">
        <v>92.5</v>
      </c>
      <c r="D1081" s="7">
        <f t="shared" si="64"/>
        <v>-71.5</v>
      </c>
      <c r="E1081" s="6">
        <v>127</v>
      </c>
      <c r="F1081" s="69">
        <f t="shared" si="68"/>
        <v>849.63</v>
      </c>
      <c r="G1081" s="8"/>
    </row>
    <row r="1082" spans="1:7" x14ac:dyDescent="0.45">
      <c r="A1082" s="8" t="s">
        <v>665</v>
      </c>
      <c r="B1082" s="4">
        <v>6.57</v>
      </c>
      <c r="C1082" s="7">
        <v>92.5</v>
      </c>
      <c r="D1082" s="7">
        <f t="shared" si="64"/>
        <v>-71.5</v>
      </c>
      <c r="E1082" s="6">
        <v>127</v>
      </c>
      <c r="F1082" s="69">
        <f t="shared" si="68"/>
        <v>834.39</v>
      </c>
      <c r="G1082" s="8"/>
    </row>
    <row r="1083" spans="1:7" x14ac:dyDescent="0.45">
      <c r="A1083" s="8" t="s">
        <v>666</v>
      </c>
      <c r="B1083" s="4">
        <v>6.3</v>
      </c>
      <c r="C1083" s="7">
        <v>92.5</v>
      </c>
      <c r="D1083" s="7">
        <f t="shared" si="64"/>
        <v>-71.5</v>
      </c>
      <c r="E1083" s="6">
        <v>127</v>
      </c>
      <c r="F1083" s="69">
        <f t="shared" si="68"/>
        <v>800.1</v>
      </c>
      <c r="G1083" s="8"/>
    </row>
    <row r="1084" spans="1:7" x14ac:dyDescent="0.45">
      <c r="A1084" s="8" t="s">
        <v>667</v>
      </c>
      <c r="B1084" s="4">
        <v>6.8</v>
      </c>
      <c r="C1084" s="7">
        <v>92.5</v>
      </c>
      <c r="D1084" s="7">
        <f t="shared" si="64"/>
        <v>-71.5</v>
      </c>
      <c r="E1084" s="6">
        <v>127</v>
      </c>
      <c r="F1084" s="69">
        <f t="shared" si="68"/>
        <v>863.6</v>
      </c>
      <c r="G1084" s="8"/>
    </row>
    <row r="1085" spans="1:7" x14ac:dyDescent="0.45">
      <c r="A1085" s="8" t="s">
        <v>668</v>
      </c>
      <c r="B1085" s="4">
        <v>10.5</v>
      </c>
      <c r="C1085" s="7">
        <v>92.5</v>
      </c>
      <c r="D1085" s="7">
        <f t="shared" si="64"/>
        <v>-71.5</v>
      </c>
      <c r="E1085" s="6">
        <v>165</v>
      </c>
      <c r="F1085" s="69">
        <f t="shared" si="68"/>
        <v>1732.5</v>
      </c>
      <c r="G1085" s="8"/>
    </row>
    <row r="1086" spans="1:7" x14ac:dyDescent="0.45">
      <c r="A1086" s="8" t="s">
        <v>669</v>
      </c>
      <c r="B1086" s="4">
        <v>7.02</v>
      </c>
      <c r="C1086" s="7">
        <v>92.5</v>
      </c>
      <c r="D1086" s="8">
        <v>92.5</v>
      </c>
      <c r="E1086" s="8">
        <v>121.28</v>
      </c>
      <c r="F1086" s="69">
        <f t="shared" ref="F1086:F1105" si="69">B1086*E1086</f>
        <v>851.38559999999995</v>
      </c>
      <c r="G1086" s="8"/>
    </row>
    <row r="1087" spans="1:7" x14ac:dyDescent="0.45">
      <c r="A1087" s="8" t="s">
        <v>670</v>
      </c>
      <c r="B1087" s="4">
        <v>8.14</v>
      </c>
      <c r="C1087" s="7">
        <v>92.5</v>
      </c>
      <c r="D1087" s="8">
        <v>92.5</v>
      </c>
      <c r="E1087" s="8">
        <v>121.28</v>
      </c>
      <c r="F1087" s="69">
        <f t="shared" si="69"/>
        <v>987.21920000000011</v>
      </c>
      <c r="G1087" s="8"/>
    </row>
    <row r="1088" spans="1:7" x14ac:dyDescent="0.45">
      <c r="A1088" s="8" t="s">
        <v>671</v>
      </c>
      <c r="B1088" s="4">
        <v>6.5</v>
      </c>
      <c r="C1088" s="7">
        <v>92.5</v>
      </c>
      <c r="D1088" s="8">
        <v>92.5</v>
      </c>
      <c r="E1088" s="8">
        <v>121.28</v>
      </c>
      <c r="F1088" s="69">
        <f t="shared" si="69"/>
        <v>788.32</v>
      </c>
      <c r="G1088" s="8"/>
    </row>
    <row r="1089" spans="1:7" x14ac:dyDescent="0.45">
      <c r="A1089" s="8" t="s">
        <v>672</v>
      </c>
      <c r="B1089" s="4">
        <v>6.6</v>
      </c>
      <c r="C1089" s="7">
        <v>92.5</v>
      </c>
      <c r="D1089" s="8">
        <v>92.5</v>
      </c>
      <c r="E1089" s="8">
        <v>121.28</v>
      </c>
      <c r="F1089" s="69">
        <f t="shared" si="69"/>
        <v>800.44799999999998</v>
      </c>
      <c r="G1089" s="8"/>
    </row>
    <row r="1090" spans="1:7" x14ac:dyDescent="0.45">
      <c r="A1090" s="8" t="s">
        <v>1049</v>
      </c>
      <c r="B1090" s="4">
        <v>8</v>
      </c>
      <c r="C1090" s="7">
        <v>76</v>
      </c>
      <c r="D1090" s="7">
        <f>65-Table1[[#This Row],[MELTING]]</f>
        <v>-11</v>
      </c>
      <c r="E1090" s="8">
        <v>91.5</v>
      </c>
      <c r="F1090" s="69">
        <f>(((B1090*C1090)/100)*E1090)</f>
        <v>556.32000000000005</v>
      </c>
      <c r="G1090" s="8"/>
    </row>
    <row r="1091" spans="1:7" x14ac:dyDescent="0.45">
      <c r="A1091" s="8" t="s">
        <v>1050</v>
      </c>
      <c r="B1091" s="4">
        <v>4</v>
      </c>
      <c r="C1091" s="7">
        <v>76</v>
      </c>
      <c r="D1091" s="7">
        <f>65-Table1[[#This Row],[MELTING]]</f>
        <v>-11</v>
      </c>
      <c r="E1091" s="8">
        <v>91.5</v>
      </c>
      <c r="F1091" s="69">
        <f>(((B1091*C1091)/100)*E1091)</f>
        <v>278.16000000000003</v>
      </c>
      <c r="G1091" s="8"/>
    </row>
    <row r="1092" spans="1:7" x14ac:dyDescent="0.45">
      <c r="A1092" s="8" t="s">
        <v>1051</v>
      </c>
      <c r="B1092" s="4">
        <v>6.4</v>
      </c>
      <c r="C1092" s="7">
        <v>76</v>
      </c>
      <c r="D1092" s="7">
        <f>65-Table1[[#This Row],[MELTING]]</f>
        <v>-11</v>
      </c>
      <c r="E1092" s="8">
        <v>91.5</v>
      </c>
      <c r="F1092" s="69">
        <f>(((B1092*C1092)/100)*E1092)</f>
        <v>445.0560000000001</v>
      </c>
      <c r="G1092" s="8"/>
    </row>
    <row r="1093" spans="1:7" x14ac:dyDescent="0.45">
      <c r="A1093" s="8" t="s">
        <v>1052</v>
      </c>
      <c r="B1093" s="4">
        <v>6.2</v>
      </c>
      <c r="C1093" s="7">
        <v>76</v>
      </c>
      <c r="D1093" s="7">
        <f>65-Table1[[#This Row],[MELTING]]</f>
        <v>-11</v>
      </c>
      <c r="E1093" s="8">
        <v>91.5</v>
      </c>
      <c r="F1093" s="69">
        <f>(((B1093*C1093)/100)*E1093)</f>
        <v>431.14799999999997</v>
      </c>
      <c r="G1093" s="8"/>
    </row>
    <row r="1094" spans="1:7" x14ac:dyDescent="0.45">
      <c r="A1094" s="8" t="s">
        <v>1053</v>
      </c>
      <c r="B1094" s="4">
        <v>11.4</v>
      </c>
      <c r="C1094" s="7">
        <v>76</v>
      </c>
      <c r="D1094" s="7">
        <f>65-Table1[[#This Row],[MELTING]]</f>
        <v>-11</v>
      </c>
      <c r="E1094" s="8">
        <v>91.5</v>
      </c>
      <c r="F1094" s="69">
        <f>(((B1094*C1094)/100)*E1094)</f>
        <v>792.75599999999997</v>
      </c>
      <c r="G1094" s="8"/>
    </row>
    <row r="1095" spans="1:7" x14ac:dyDescent="0.45">
      <c r="A1095" s="8" t="s">
        <v>1352</v>
      </c>
      <c r="B1095" s="4">
        <v>6.28</v>
      </c>
      <c r="C1095" s="7">
        <v>92.5</v>
      </c>
      <c r="D1095" s="7">
        <v>92.5</v>
      </c>
      <c r="E1095" s="8">
        <v>138</v>
      </c>
      <c r="F1095" s="69">
        <f>Table1[[#This Row],[WEIGHT]]*Table1[[#This Row],[PURE-RATE]]</f>
        <v>866.64</v>
      </c>
      <c r="G1095" s="8"/>
    </row>
    <row r="1096" spans="1:7" x14ac:dyDescent="0.45">
      <c r="A1096" s="8" t="s">
        <v>1353</v>
      </c>
      <c r="B1096" s="4">
        <v>6.65</v>
      </c>
      <c r="C1096" s="7">
        <v>92.5</v>
      </c>
      <c r="D1096" s="7">
        <v>92.5</v>
      </c>
      <c r="E1096" s="8">
        <v>138</v>
      </c>
      <c r="F1096" s="69">
        <f>Table1[[#This Row],[WEIGHT]]*Table1[[#This Row],[PURE-RATE]]</f>
        <v>917.7</v>
      </c>
      <c r="G1096" s="8"/>
    </row>
    <row r="1097" spans="1:7" x14ac:dyDescent="0.45">
      <c r="A1097" s="8" t="s">
        <v>1354</v>
      </c>
      <c r="B1097" s="4">
        <v>6.72</v>
      </c>
      <c r="C1097" s="7">
        <v>92.5</v>
      </c>
      <c r="D1097" s="7">
        <v>92.5</v>
      </c>
      <c r="E1097" s="8">
        <v>138</v>
      </c>
      <c r="F1097" s="69">
        <f>Table1[[#This Row],[WEIGHT]]*Table1[[#This Row],[PURE-RATE]]</f>
        <v>927.36</v>
      </c>
      <c r="G1097" s="8"/>
    </row>
    <row r="1098" spans="1:7" x14ac:dyDescent="0.45">
      <c r="A1098" s="8" t="s">
        <v>1355</v>
      </c>
      <c r="B1098" s="4">
        <v>7.87</v>
      </c>
      <c r="C1098" s="7">
        <v>92.5</v>
      </c>
      <c r="D1098" s="7">
        <v>92.5</v>
      </c>
      <c r="E1098" s="8">
        <v>138</v>
      </c>
      <c r="F1098" s="69">
        <f>Table1[[#This Row],[WEIGHT]]*Table1[[#This Row],[PURE-RATE]]</f>
        <v>1086.06</v>
      </c>
      <c r="G1098" s="8"/>
    </row>
    <row r="1099" spans="1:7" x14ac:dyDescent="0.45">
      <c r="A1099" s="8" t="s">
        <v>1356</v>
      </c>
      <c r="B1099" s="4">
        <v>6.3</v>
      </c>
      <c r="C1099" s="7">
        <v>92.5</v>
      </c>
      <c r="D1099" s="7">
        <v>92.5</v>
      </c>
      <c r="E1099" s="8">
        <v>138</v>
      </c>
      <c r="F1099" s="69">
        <f>Table1[[#This Row],[WEIGHT]]*Table1[[#This Row],[PURE-RATE]]</f>
        <v>869.4</v>
      </c>
      <c r="G1099" s="8"/>
    </row>
    <row r="1100" spans="1:7" x14ac:dyDescent="0.45">
      <c r="A1100" s="8" t="s">
        <v>1357</v>
      </c>
      <c r="B1100" s="4">
        <v>7.25</v>
      </c>
      <c r="C1100" s="7">
        <v>92.5</v>
      </c>
      <c r="D1100" s="7">
        <v>92.5</v>
      </c>
      <c r="E1100" s="8">
        <v>138</v>
      </c>
      <c r="F1100" s="69">
        <f>Table1[[#This Row],[WEIGHT]]*Table1[[#This Row],[PURE-RATE]]</f>
        <v>1000.5</v>
      </c>
      <c r="G1100" s="8"/>
    </row>
    <row r="1101" spans="1:7" x14ac:dyDescent="0.45">
      <c r="A1101" s="8" t="s">
        <v>1358</v>
      </c>
      <c r="B1101" s="4">
        <v>6.9</v>
      </c>
      <c r="C1101" s="7">
        <v>92.5</v>
      </c>
      <c r="D1101" s="7">
        <v>92.5</v>
      </c>
      <c r="E1101" s="8">
        <v>138</v>
      </c>
      <c r="F1101" s="69">
        <f>Table1[[#This Row],[WEIGHT]]*Table1[[#This Row],[PURE-RATE]]</f>
        <v>952.2</v>
      </c>
      <c r="G1101" s="8"/>
    </row>
    <row r="1102" spans="1:7" x14ac:dyDescent="0.45">
      <c r="A1102" s="8" t="s">
        <v>1359</v>
      </c>
      <c r="B1102" s="4">
        <v>7.4</v>
      </c>
      <c r="C1102" s="7">
        <v>92.5</v>
      </c>
      <c r="D1102" s="7">
        <v>92.5</v>
      </c>
      <c r="E1102" s="8">
        <v>138</v>
      </c>
      <c r="F1102" s="69">
        <f>Table1[[#This Row],[WEIGHT]]*Table1[[#This Row],[PURE-RATE]]</f>
        <v>1021.2</v>
      </c>
      <c r="G1102" s="8"/>
    </row>
    <row r="1103" spans="1:7" x14ac:dyDescent="0.45">
      <c r="A1103" s="8" t="s">
        <v>1360</v>
      </c>
      <c r="B1103" s="4">
        <v>7.45</v>
      </c>
      <c r="C1103" s="7">
        <v>92.5</v>
      </c>
      <c r="D1103" s="7">
        <v>92.5</v>
      </c>
      <c r="E1103" s="8">
        <v>138</v>
      </c>
      <c r="F1103" s="69">
        <f>Table1[[#This Row],[WEIGHT]]*Table1[[#This Row],[PURE-RATE]]</f>
        <v>1028.1000000000001</v>
      </c>
      <c r="G1103" s="8"/>
    </row>
    <row r="1104" spans="1:7" x14ac:dyDescent="0.45">
      <c r="A1104" s="8" t="s">
        <v>673</v>
      </c>
      <c r="B1104" s="4">
        <v>29.36</v>
      </c>
      <c r="C1104" s="7">
        <v>92.5</v>
      </c>
      <c r="D1104" s="7">
        <f>21-C1104</f>
        <v>-71.5</v>
      </c>
      <c r="E1104" s="6">
        <v>101</v>
      </c>
      <c r="F1104" s="69">
        <f>B1104*E1104</f>
        <v>2965.36</v>
      </c>
      <c r="G1104" s="8"/>
    </row>
    <row r="1105" spans="1:7" x14ac:dyDescent="0.45">
      <c r="A1105" s="8" t="s">
        <v>674</v>
      </c>
      <c r="B1105" s="4">
        <v>29.6</v>
      </c>
      <c r="C1105" s="7">
        <v>92.5</v>
      </c>
      <c r="D1105" s="7">
        <f t="shared" si="64"/>
        <v>-71.5</v>
      </c>
      <c r="E1105" s="6">
        <v>101</v>
      </c>
      <c r="F1105" s="69">
        <f t="shared" si="69"/>
        <v>2989.6000000000004</v>
      </c>
      <c r="G1105" s="8"/>
    </row>
    <row r="1106" spans="1:7" x14ac:dyDescent="0.45">
      <c r="A1106" s="8" t="s">
        <v>675</v>
      </c>
      <c r="B1106" s="4">
        <v>30.1</v>
      </c>
      <c r="C1106" s="7">
        <v>92.5</v>
      </c>
      <c r="D1106" s="7">
        <f t="shared" si="64"/>
        <v>-71.5</v>
      </c>
      <c r="E1106" s="6">
        <v>101</v>
      </c>
      <c r="F1106" s="69">
        <f t="shared" ref="F1106" si="70">B1106*E1106</f>
        <v>3040.1000000000004</v>
      </c>
      <c r="G1106" s="8"/>
    </row>
    <row r="1107" spans="1:7" x14ac:dyDescent="0.45">
      <c r="A1107" s="8" t="s">
        <v>676</v>
      </c>
      <c r="B1107" s="4">
        <v>26.8</v>
      </c>
      <c r="C1107" s="7">
        <v>85</v>
      </c>
      <c r="D1107" s="7">
        <f t="shared" si="64"/>
        <v>-64</v>
      </c>
      <c r="E1107" s="6">
        <v>89</v>
      </c>
      <c r="F1107" s="69">
        <f>(((B1107*C1107)/100)*E1107)</f>
        <v>2027.42</v>
      </c>
      <c r="G1107" s="8"/>
    </row>
    <row r="1108" spans="1:7" x14ac:dyDescent="0.45">
      <c r="A1108" s="8" t="s">
        <v>677</v>
      </c>
      <c r="B1108" s="4">
        <v>30.5</v>
      </c>
      <c r="C1108" s="7">
        <v>85</v>
      </c>
      <c r="D1108" s="7">
        <f t="shared" si="64"/>
        <v>-64</v>
      </c>
      <c r="E1108" s="6">
        <v>89</v>
      </c>
      <c r="F1108" s="69">
        <f t="shared" ref="F1108:F1114" si="71">(((B1108*C1108)/100)*E1108)</f>
        <v>2307.3250000000003</v>
      </c>
      <c r="G1108" s="8"/>
    </row>
    <row r="1109" spans="1:7" x14ac:dyDescent="0.45">
      <c r="A1109" s="8" t="s">
        <v>678</v>
      </c>
      <c r="B1109" s="4">
        <v>32.799999999999997</v>
      </c>
      <c r="C1109" s="7">
        <v>85</v>
      </c>
      <c r="D1109" s="7">
        <f t="shared" si="64"/>
        <v>-64</v>
      </c>
      <c r="E1109" s="6">
        <v>89</v>
      </c>
      <c r="F1109" s="69">
        <f>(((B1109*C1109)/100)*E1109)</f>
        <v>2481.3199999999997</v>
      </c>
      <c r="G1109" s="8"/>
    </row>
    <row r="1110" spans="1:7" x14ac:dyDescent="0.45">
      <c r="A1110" s="8" t="s">
        <v>679</v>
      </c>
      <c r="B1110" s="4">
        <v>13.9</v>
      </c>
      <c r="C1110" s="7">
        <v>85</v>
      </c>
      <c r="D1110" s="7">
        <f t="shared" si="64"/>
        <v>-64</v>
      </c>
      <c r="E1110" s="6">
        <v>89</v>
      </c>
      <c r="F1110" s="69">
        <f t="shared" si="71"/>
        <v>1051.5349999999999</v>
      </c>
      <c r="G1110" s="8"/>
    </row>
    <row r="1111" spans="1:7" x14ac:dyDescent="0.45">
      <c r="A1111" s="8" t="s">
        <v>680</v>
      </c>
      <c r="B1111" s="4">
        <v>20.350000000000001</v>
      </c>
      <c r="C1111" s="7">
        <v>85</v>
      </c>
      <c r="D1111" s="7">
        <f t="shared" si="64"/>
        <v>-64</v>
      </c>
      <c r="E1111" s="6">
        <v>89</v>
      </c>
      <c r="F1111" s="69">
        <f t="shared" si="71"/>
        <v>1539.4775000000002</v>
      </c>
      <c r="G1111" s="8"/>
    </row>
    <row r="1112" spans="1:7" x14ac:dyDescent="0.45">
      <c r="A1112" s="8" t="s">
        <v>681</v>
      </c>
      <c r="B1112" s="4">
        <v>23.15</v>
      </c>
      <c r="C1112" s="7">
        <v>85</v>
      </c>
      <c r="D1112" s="7">
        <f t="shared" si="64"/>
        <v>-64</v>
      </c>
      <c r="E1112" s="6">
        <v>89</v>
      </c>
      <c r="F1112" s="69">
        <f t="shared" si="71"/>
        <v>1751.2974999999999</v>
      </c>
      <c r="G1112" s="8"/>
    </row>
    <row r="1113" spans="1:7" x14ac:dyDescent="0.45">
      <c r="A1113" s="8" t="s">
        <v>682</v>
      </c>
      <c r="B1113" s="4">
        <v>14.75</v>
      </c>
      <c r="C1113" s="7">
        <v>85</v>
      </c>
      <c r="D1113" s="7">
        <f t="shared" si="64"/>
        <v>-64</v>
      </c>
      <c r="E1113" s="6">
        <v>89</v>
      </c>
      <c r="F1113" s="69">
        <f t="shared" si="71"/>
        <v>1115.8374999999999</v>
      </c>
      <c r="G1113" s="8"/>
    </row>
    <row r="1114" spans="1:7" x14ac:dyDescent="0.45">
      <c r="A1114" s="8" t="s">
        <v>683</v>
      </c>
      <c r="B1114" s="4">
        <v>10.42</v>
      </c>
      <c r="C1114" s="7">
        <v>85</v>
      </c>
      <c r="D1114" s="7">
        <f t="shared" si="64"/>
        <v>-64</v>
      </c>
      <c r="E1114" s="6">
        <v>89</v>
      </c>
      <c r="F1114" s="69">
        <f t="shared" si="71"/>
        <v>788.27300000000014</v>
      </c>
      <c r="G1114" s="8"/>
    </row>
    <row r="1115" spans="1:7" x14ac:dyDescent="0.45">
      <c r="A1115" s="8" t="s">
        <v>684</v>
      </c>
      <c r="B1115" s="4">
        <v>32.97</v>
      </c>
      <c r="C1115" s="7">
        <v>92.5</v>
      </c>
      <c r="D1115" s="7">
        <v>92.5</v>
      </c>
      <c r="E1115" s="6">
        <v>102</v>
      </c>
      <c r="F1115" s="69">
        <f>E1115*B1115</f>
        <v>3362.94</v>
      </c>
      <c r="G1115" s="8"/>
    </row>
    <row r="1116" spans="1:7" x14ac:dyDescent="0.45">
      <c r="A1116" s="8" t="s">
        <v>685</v>
      </c>
      <c r="B1116" s="4">
        <v>17.7</v>
      </c>
      <c r="C1116" s="7">
        <v>85</v>
      </c>
      <c r="D1116" s="7">
        <v>20</v>
      </c>
      <c r="E1116" s="6">
        <v>88</v>
      </c>
      <c r="F1116" s="69">
        <f t="shared" ref="F1116:F1127" si="72">(((B1116*C1116)/100)*E1116)</f>
        <v>1323.96</v>
      </c>
      <c r="G1116" s="8"/>
    </row>
    <row r="1117" spans="1:7" x14ac:dyDescent="0.45">
      <c r="A1117" s="8" t="s">
        <v>686</v>
      </c>
      <c r="B1117" s="4">
        <v>29.4</v>
      </c>
      <c r="C1117" s="7">
        <v>85</v>
      </c>
      <c r="D1117" s="7">
        <v>20</v>
      </c>
      <c r="E1117" s="6">
        <v>83.19</v>
      </c>
      <c r="F1117" s="69">
        <f t="shared" si="72"/>
        <v>2078.9180999999999</v>
      </c>
      <c r="G1117" s="8"/>
    </row>
    <row r="1118" spans="1:7" x14ac:dyDescent="0.45">
      <c r="A1118" s="8" t="s">
        <v>687</v>
      </c>
      <c r="B1118" s="4">
        <v>35.049999999999997</v>
      </c>
      <c r="C1118" s="7">
        <v>85</v>
      </c>
      <c r="D1118" s="7">
        <v>20</v>
      </c>
      <c r="E1118" s="6">
        <v>83.19</v>
      </c>
      <c r="F1118" s="69">
        <f t="shared" si="72"/>
        <v>2478.4380749999996</v>
      </c>
      <c r="G1118" s="8"/>
    </row>
    <row r="1119" spans="1:7" x14ac:dyDescent="0.45">
      <c r="A1119" s="8" t="s">
        <v>1199</v>
      </c>
      <c r="B1119" s="4">
        <f>33.95/2</f>
        <v>16.975000000000001</v>
      </c>
      <c r="C1119" s="7">
        <v>85</v>
      </c>
      <c r="D1119" s="7">
        <v>20</v>
      </c>
      <c r="E1119" s="6">
        <v>83.19</v>
      </c>
      <c r="F1119" s="69">
        <f t="shared" si="72"/>
        <v>1200.3277125000002</v>
      </c>
      <c r="G1119" s="8"/>
    </row>
    <row r="1120" spans="1:7" x14ac:dyDescent="0.45">
      <c r="A1120" s="8" t="s">
        <v>1200</v>
      </c>
      <c r="B1120" s="4">
        <f>33.95/2</f>
        <v>16.975000000000001</v>
      </c>
      <c r="C1120" s="7">
        <v>85</v>
      </c>
      <c r="D1120" s="7">
        <v>20</v>
      </c>
      <c r="E1120" s="6">
        <v>84.19</v>
      </c>
      <c r="F1120" s="69">
        <f t="shared" ref="F1120" si="73">(((B1120*C1120)/100)*E1120)</f>
        <v>1214.7564625000002</v>
      </c>
      <c r="G1120" s="8"/>
    </row>
    <row r="1121" spans="1:8" x14ac:dyDescent="0.45">
      <c r="A1121" s="8" t="s">
        <v>688</v>
      </c>
      <c r="B1121" s="4">
        <v>40.200000000000003</v>
      </c>
      <c r="C1121" s="7">
        <v>85</v>
      </c>
      <c r="D1121" s="7">
        <v>20</v>
      </c>
      <c r="E1121" s="6">
        <v>83.19</v>
      </c>
      <c r="F1121" s="69">
        <f t="shared" si="72"/>
        <v>2842.6023</v>
      </c>
      <c r="G1121" s="8"/>
    </row>
    <row r="1122" spans="1:8" x14ac:dyDescent="0.45">
      <c r="A1122" s="8" t="s">
        <v>689</v>
      </c>
      <c r="B1122" s="4">
        <v>11</v>
      </c>
      <c r="C1122" s="7">
        <v>85</v>
      </c>
      <c r="D1122" s="7">
        <v>20</v>
      </c>
      <c r="E1122" s="6">
        <v>83.19</v>
      </c>
      <c r="F1122" s="69">
        <f t="shared" si="72"/>
        <v>777.8264999999999</v>
      </c>
      <c r="G1122" s="8"/>
    </row>
    <row r="1123" spans="1:8" x14ac:dyDescent="0.45">
      <c r="A1123" s="8" t="s">
        <v>690</v>
      </c>
      <c r="B1123" s="4">
        <v>22.15</v>
      </c>
      <c r="C1123" s="7">
        <v>85</v>
      </c>
      <c r="D1123" s="7">
        <v>20</v>
      </c>
      <c r="E1123" s="6">
        <v>83.19</v>
      </c>
      <c r="F1123" s="69">
        <f t="shared" si="72"/>
        <v>1566.2597249999997</v>
      </c>
      <c r="G1123" s="8"/>
    </row>
    <row r="1124" spans="1:8" x14ac:dyDescent="0.45">
      <c r="A1124" s="8" t="s">
        <v>691</v>
      </c>
      <c r="B1124" s="4">
        <v>8.56</v>
      </c>
      <c r="C1124" s="7">
        <v>85</v>
      </c>
      <c r="D1124" s="7">
        <v>20</v>
      </c>
      <c r="E1124" s="6">
        <v>83.19</v>
      </c>
      <c r="F1124" s="69">
        <f t="shared" si="72"/>
        <v>605.29043999999999</v>
      </c>
      <c r="G1124" s="8"/>
    </row>
    <row r="1125" spans="1:8" x14ac:dyDescent="0.45">
      <c r="A1125" s="8" t="s">
        <v>692</v>
      </c>
      <c r="B1125" s="4">
        <v>40.799999999999997</v>
      </c>
      <c r="C1125" s="7">
        <v>85</v>
      </c>
      <c r="D1125" s="7">
        <v>20</v>
      </c>
      <c r="E1125" s="6">
        <v>83.19</v>
      </c>
      <c r="F1125" s="69">
        <f t="shared" si="72"/>
        <v>2885.0291999999995</v>
      </c>
      <c r="G1125" s="8"/>
    </row>
    <row r="1126" spans="1:8" x14ac:dyDescent="0.45">
      <c r="A1126" s="8" t="s">
        <v>693</v>
      </c>
      <c r="B1126" s="4">
        <v>11.9</v>
      </c>
      <c r="C1126" s="7">
        <v>85</v>
      </c>
      <c r="D1126" s="7">
        <v>20</v>
      </c>
      <c r="E1126" s="6">
        <v>83.19</v>
      </c>
      <c r="F1126" s="69">
        <f t="shared" si="72"/>
        <v>841.46685000000002</v>
      </c>
      <c r="G1126" s="8"/>
    </row>
    <row r="1127" spans="1:8" x14ac:dyDescent="0.45">
      <c r="A1127" s="8" t="s">
        <v>694</v>
      </c>
      <c r="B1127" s="4">
        <v>11.45</v>
      </c>
      <c r="C1127" s="7">
        <v>85</v>
      </c>
      <c r="D1127" s="7">
        <v>20</v>
      </c>
      <c r="E1127" s="6">
        <v>83.19</v>
      </c>
      <c r="F1127" s="69">
        <f t="shared" si="72"/>
        <v>809.64667499999985</v>
      </c>
      <c r="G1127" s="8" t="s">
        <v>862</v>
      </c>
    </row>
    <row r="1128" spans="1:8" x14ac:dyDescent="0.45">
      <c r="A1128" s="8" t="s">
        <v>947</v>
      </c>
      <c r="B1128" s="4">
        <v>30.91</v>
      </c>
      <c r="C1128" s="7">
        <v>82</v>
      </c>
      <c r="D1128" s="7">
        <v>7</v>
      </c>
      <c r="E1128" s="6">
        <v>88.6</v>
      </c>
      <c r="F1128" s="69">
        <f>(((B1128*C1128)/100)*E1128)+Table1[[#This Row],[Column1]]</f>
        <v>2285.6733199999999</v>
      </c>
      <c r="G1128" s="8">
        <v>40</v>
      </c>
    </row>
    <row r="1129" spans="1:8" x14ac:dyDescent="0.45">
      <c r="A1129" s="8" t="s">
        <v>1047</v>
      </c>
      <c r="B1129" s="4">
        <v>18.5</v>
      </c>
      <c r="C1129" s="7">
        <v>77</v>
      </c>
      <c r="D1129" s="7">
        <f>65-Table1[[#This Row],[MELTING]]</f>
        <v>-12</v>
      </c>
      <c r="E1129" s="6">
        <v>91.5</v>
      </c>
      <c r="F1129" s="69">
        <f>(((B1129*C1129)/100)*E1129)</f>
        <v>1303.4175</v>
      </c>
      <c r="G1129" s="8"/>
    </row>
    <row r="1130" spans="1:8" x14ac:dyDescent="0.45">
      <c r="A1130" s="8" t="s">
        <v>1048</v>
      </c>
      <c r="B1130" s="4">
        <v>27</v>
      </c>
      <c r="C1130" s="7">
        <v>77</v>
      </c>
      <c r="D1130" s="7">
        <f>65-Table1[[#This Row],[MELTING]]</f>
        <v>-12</v>
      </c>
      <c r="E1130" s="6">
        <v>91.5</v>
      </c>
      <c r="F1130" s="69">
        <f>(((B1130*C1130)/100)*E1130)</f>
        <v>1902.2849999999999</v>
      </c>
      <c r="G1130" s="8"/>
    </row>
    <row r="1131" spans="1:8" x14ac:dyDescent="0.45">
      <c r="A1131" s="8" t="s">
        <v>1528</v>
      </c>
      <c r="B1131" s="4">
        <v>22.22</v>
      </c>
      <c r="C1131" s="7">
        <v>80.650000000000006</v>
      </c>
      <c r="D1131" s="7">
        <f>65-Table1[[#This Row],[MELTING]]</f>
        <v>-15.650000000000006</v>
      </c>
      <c r="E1131" s="6">
        <v>90</v>
      </c>
      <c r="F1131" s="69">
        <f>((Table1[[#This Row],[MELTING]]*Table1[[#This Row],[PURE-RATE]]/100)+Table1[[#This Row],[Column1]])*Table1[[#This Row],[WEIGHT]]</f>
        <v>2390.5387000000001</v>
      </c>
      <c r="G1131" s="8">
        <v>35</v>
      </c>
    </row>
    <row r="1132" spans="1:8" x14ac:dyDescent="0.45">
      <c r="A1132" s="8" t="s">
        <v>1597</v>
      </c>
      <c r="B1132" s="4">
        <v>21.75</v>
      </c>
      <c r="C1132" s="7">
        <v>80</v>
      </c>
      <c r="D1132" s="7">
        <v>15</v>
      </c>
      <c r="E1132" s="6">
        <v>90</v>
      </c>
      <c r="F1132" s="69">
        <f>(((B1132*C1132)/100)*E1132)+Table1[[#This Row],[Column1]]</f>
        <v>1600.9999999999998</v>
      </c>
      <c r="G1132" s="8">
        <v>35</v>
      </c>
    </row>
    <row r="1133" spans="1:8" x14ac:dyDescent="0.45">
      <c r="A1133" s="8" t="s">
        <v>1598</v>
      </c>
      <c r="B1133" s="4">
        <v>21.7</v>
      </c>
      <c r="C1133" s="7">
        <v>80</v>
      </c>
      <c r="D1133" s="7">
        <v>15</v>
      </c>
      <c r="E1133" s="6">
        <v>90</v>
      </c>
      <c r="F1133" s="69">
        <f>(((B1133*C1133)/100)*E1133)+Table1[[#This Row],[Column1]]</f>
        <v>1597.3999999999999</v>
      </c>
      <c r="G1133" s="8">
        <v>35</v>
      </c>
    </row>
    <row r="1134" spans="1:8" x14ac:dyDescent="0.45">
      <c r="A1134" s="8" t="s">
        <v>1599</v>
      </c>
      <c r="B1134" s="4">
        <v>23.3</v>
      </c>
      <c r="C1134" s="7">
        <v>80</v>
      </c>
      <c r="D1134" s="7">
        <v>15</v>
      </c>
      <c r="E1134" s="6">
        <v>90</v>
      </c>
      <c r="F1134" s="69">
        <f>(((B1134*C1134)/100)*E1134)+Table1[[#This Row],[Column1]]</f>
        <v>1712.6000000000001</v>
      </c>
      <c r="G1134" s="8">
        <v>35</v>
      </c>
    </row>
    <row r="1135" spans="1:8" x14ac:dyDescent="0.45">
      <c r="A1135" s="8" t="s">
        <v>1639</v>
      </c>
      <c r="B1135" s="4">
        <v>17.2</v>
      </c>
      <c r="C1135" s="7">
        <v>80</v>
      </c>
      <c r="D1135" s="7">
        <v>17</v>
      </c>
      <c r="E1135" s="6">
        <v>90</v>
      </c>
      <c r="F1135" s="69">
        <f>(((B1135*C1135)/100)*E1135)+Table1[[#This Row],[Column1]]</f>
        <v>1273.4000000000001</v>
      </c>
      <c r="G1135" s="8">
        <v>35</v>
      </c>
      <c r="H1135" s="105">
        <f>SUM(F1135:F1146)</f>
        <v>20385.599999999999</v>
      </c>
    </row>
    <row r="1136" spans="1:8" x14ac:dyDescent="0.45">
      <c r="A1136" s="8" t="s">
        <v>1640</v>
      </c>
      <c r="B1136" s="4">
        <v>17.5</v>
      </c>
      <c r="C1136" s="7">
        <v>80</v>
      </c>
      <c r="D1136" s="7">
        <v>17</v>
      </c>
      <c r="E1136" s="6">
        <v>90</v>
      </c>
      <c r="F1136" s="69">
        <f>(((B1136*C1136)/100)*E1136)+Table1[[#This Row],[Column1]]</f>
        <v>1295</v>
      </c>
      <c r="G1136" s="8">
        <v>35</v>
      </c>
    </row>
    <row r="1137" spans="1:7" x14ac:dyDescent="0.45">
      <c r="A1137" s="8" t="s">
        <v>1641</v>
      </c>
      <c r="B1137" s="4">
        <v>20</v>
      </c>
      <c r="C1137" s="7">
        <v>80</v>
      </c>
      <c r="D1137" s="7">
        <v>17</v>
      </c>
      <c r="E1137" s="6">
        <v>90</v>
      </c>
      <c r="F1137" s="69">
        <f>(((B1137*C1137)/100)*E1137)+Table1[[#This Row],[Column1]]</f>
        <v>1475</v>
      </c>
      <c r="G1137" s="8">
        <v>35</v>
      </c>
    </row>
    <row r="1138" spans="1:7" x14ac:dyDescent="0.45">
      <c r="A1138" s="8" t="s">
        <v>1642</v>
      </c>
      <c r="B1138" s="4">
        <v>19</v>
      </c>
      <c r="C1138" s="7">
        <v>80</v>
      </c>
      <c r="D1138" s="7">
        <v>17</v>
      </c>
      <c r="E1138" s="6">
        <v>90</v>
      </c>
      <c r="F1138" s="69">
        <f>(((B1138*C1138)/100)*E1138)+Table1[[#This Row],[Column1]]</f>
        <v>1403</v>
      </c>
      <c r="G1138" s="8">
        <v>35</v>
      </c>
    </row>
    <row r="1139" spans="1:7" x14ac:dyDescent="0.45">
      <c r="A1139" s="8" t="s">
        <v>1643</v>
      </c>
      <c r="B1139" s="4">
        <v>23.1</v>
      </c>
      <c r="C1139" s="7">
        <v>80</v>
      </c>
      <c r="D1139" s="7">
        <v>17</v>
      </c>
      <c r="E1139" s="6">
        <v>90</v>
      </c>
      <c r="F1139" s="69">
        <f>(((B1139*C1139)/100)*E1139)+Table1[[#This Row],[Column1]]</f>
        <v>1698.2</v>
      </c>
      <c r="G1139" s="8">
        <v>35</v>
      </c>
    </row>
    <row r="1140" spans="1:7" x14ac:dyDescent="0.45">
      <c r="A1140" s="8" t="s">
        <v>1644</v>
      </c>
      <c r="B1140" s="4">
        <v>17.7</v>
      </c>
      <c r="C1140" s="7">
        <v>80</v>
      </c>
      <c r="D1140" s="7">
        <v>17</v>
      </c>
      <c r="E1140" s="6">
        <v>90</v>
      </c>
      <c r="F1140" s="69">
        <f>(((B1140*C1140)/100)*E1140)+Table1[[#This Row],[Column1]]</f>
        <v>1309.4000000000001</v>
      </c>
      <c r="G1140" s="8">
        <v>35</v>
      </c>
    </row>
    <row r="1141" spans="1:7" x14ac:dyDescent="0.45">
      <c r="A1141" s="8" t="s">
        <v>1645</v>
      </c>
      <c r="B1141" s="4">
        <v>24.7</v>
      </c>
      <c r="C1141" s="7">
        <v>80</v>
      </c>
      <c r="D1141" s="7">
        <v>17</v>
      </c>
      <c r="E1141" s="6">
        <v>90</v>
      </c>
      <c r="F1141" s="69">
        <f>(((B1141*C1141)/100)*E1141)+Table1[[#This Row],[Column1]]</f>
        <v>1813.4</v>
      </c>
      <c r="G1141" s="8">
        <v>35</v>
      </c>
    </row>
    <row r="1142" spans="1:7" x14ac:dyDescent="0.45">
      <c r="A1142" s="8" t="s">
        <v>1646</v>
      </c>
      <c r="B1142" s="4">
        <v>24.7</v>
      </c>
      <c r="C1142" s="7">
        <v>80</v>
      </c>
      <c r="D1142" s="7">
        <v>17</v>
      </c>
      <c r="E1142" s="6">
        <v>90</v>
      </c>
      <c r="F1142" s="69">
        <f>(((B1142*C1142)/100)*E1142)+Table1[[#This Row],[Column1]]</f>
        <v>1813.4</v>
      </c>
      <c r="G1142" s="8">
        <v>35</v>
      </c>
    </row>
    <row r="1143" spans="1:7" x14ac:dyDescent="0.45">
      <c r="A1143" s="8" t="s">
        <v>1647</v>
      </c>
      <c r="B1143" s="4">
        <v>28.2</v>
      </c>
      <c r="C1143" s="7">
        <v>80</v>
      </c>
      <c r="D1143" s="7">
        <v>17</v>
      </c>
      <c r="E1143" s="6">
        <v>90</v>
      </c>
      <c r="F1143" s="69">
        <f>(((B1143*C1143)/100)*E1143)+Table1[[#This Row],[Column1]]</f>
        <v>2065.3999999999996</v>
      </c>
      <c r="G1143" s="8">
        <v>35</v>
      </c>
    </row>
    <row r="1144" spans="1:7" x14ac:dyDescent="0.45">
      <c r="A1144" s="8" t="s">
        <v>1648</v>
      </c>
      <c r="B1144" s="4">
        <v>29.2</v>
      </c>
      <c r="C1144" s="7">
        <v>80</v>
      </c>
      <c r="D1144" s="7">
        <v>17</v>
      </c>
      <c r="E1144" s="6">
        <v>90</v>
      </c>
      <c r="F1144" s="69">
        <f>(((B1144*C1144)/100)*E1144)+Table1[[#This Row],[Column1]]</f>
        <v>2137.4</v>
      </c>
      <c r="G1144" s="8">
        <v>35</v>
      </c>
    </row>
    <row r="1145" spans="1:7" x14ac:dyDescent="0.45">
      <c r="A1145" s="8" t="s">
        <v>1649</v>
      </c>
      <c r="B1145" s="4">
        <v>26.3</v>
      </c>
      <c r="C1145" s="7">
        <v>80</v>
      </c>
      <c r="D1145" s="7">
        <v>17</v>
      </c>
      <c r="E1145" s="6">
        <v>90</v>
      </c>
      <c r="F1145" s="69">
        <f>(((B1145*C1145)/100)*E1145)+Table1[[#This Row],[Column1]]</f>
        <v>1928.6</v>
      </c>
      <c r="G1145" s="8">
        <v>35</v>
      </c>
    </row>
    <row r="1146" spans="1:7" x14ac:dyDescent="0.45">
      <c r="A1146" s="8" t="s">
        <v>1650</v>
      </c>
      <c r="B1146" s="4">
        <v>29.7</v>
      </c>
      <c r="C1146" s="7">
        <v>80</v>
      </c>
      <c r="D1146" s="7">
        <v>17</v>
      </c>
      <c r="E1146" s="6">
        <v>90</v>
      </c>
      <c r="F1146" s="69">
        <f>(((B1146*C1146)/100)*E1146)+Table1[[#This Row],[Column1]]</f>
        <v>2173.4</v>
      </c>
      <c r="G1146" s="8">
        <v>35</v>
      </c>
    </row>
    <row r="1147" spans="1:7" x14ac:dyDescent="0.45">
      <c r="A1147" s="8" t="s">
        <v>855</v>
      </c>
      <c r="B1147" s="4">
        <v>16.64</v>
      </c>
      <c r="C1147" s="7">
        <v>65</v>
      </c>
      <c r="D1147" s="7">
        <v>60.9</v>
      </c>
      <c r="E1147" s="6">
        <v>88.1</v>
      </c>
      <c r="F1147" s="69">
        <f>((Table1[[#This Row],[MELTING]]*Table1[[#This Row],[PURE-RATE]]/100)+Table1[[#This Row],[Column1]])*Table1[[#This Row],[WEIGHT]]</f>
        <v>1119.2896000000001</v>
      </c>
      <c r="G1147" s="8">
        <v>10</v>
      </c>
    </row>
    <row r="1148" spans="1:7" x14ac:dyDescent="0.45">
      <c r="A1148" s="8" t="s">
        <v>856</v>
      </c>
      <c r="B1148" s="4">
        <v>18.899999999999999</v>
      </c>
      <c r="C1148" s="7">
        <v>65</v>
      </c>
      <c r="D1148" s="7">
        <v>82</v>
      </c>
      <c r="E1148" s="6">
        <v>88.1</v>
      </c>
      <c r="F1148" s="69">
        <f>((Table1[[#This Row],[MELTING]]*Table1[[#This Row],[PURE-RATE]]/100)+Table1[[#This Row],[Column1]])*Table1[[#This Row],[WEIGHT]]</f>
        <v>1271.3084999999999</v>
      </c>
      <c r="G1148" s="8">
        <v>10</v>
      </c>
    </row>
    <row r="1149" spans="1:7" x14ac:dyDescent="0.45">
      <c r="A1149" s="8" t="s">
        <v>857</v>
      </c>
      <c r="B1149" s="4">
        <v>28.35</v>
      </c>
      <c r="C1149" s="7">
        <v>65</v>
      </c>
      <c r="D1149" s="7">
        <v>60.9</v>
      </c>
      <c r="E1149" s="6">
        <v>88.1</v>
      </c>
      <c r="F1149" s="69">
        <f>((Table1[[#This Row],[MELTING]]*Table1[[#This Row],[PURE-RATE]]/100)+Table1[[#This Row],[Column1]])*Table1[[#This Row],[WEIGHT]]</f>
        <v>1906.9627500000001</v>
      </c>
      <c r="G1149" s="8">
        <v>10</v>
      </c>
    </row>
    <row r="1150" spans="1:7" x14ac:dyDescent="0.45">
      <c r="A1150" s="8" t="s">
        <v>858</v>
      </c>
      <c r="B1150" s="4">
        <v>24.95</v>
      </c>
      <c r="C1150" s="7">
        <v>65</v>
      </c>
      <c r="D1150" s="7">
        <v>60.9</v>
      </c>
      <c r="E1150" s="6">
        <v>88.1</v>
      </c>
      <c r="F1150" s="69">
        <f>((Table1[[#This Row],[MELTING]]*Table1[[#This Row],[PURE-RATE]]/100)+Table1[[#This Row],[Column1]])*Table1[[#This Row],[WEIGHT]]</f>
        <v>1678.2617499999999</v>
      </c>
      <c r="G1150" s="8">
        <v>10</v>
      </c>
    </row>
    <row r="1151" spans="1:7" x14ac:dyDescent="0.45">
      <c r="A1151" s="8" t="s">
        <v>859</v>
      </c>
      <c r="B1151" s="4">
        <v>22.7</v>
      </c>
      <c r="C1151" s="7">
        <v>65</v>
      </c>
      <c r="D1151" s="7">
        <v>60.9</v>
      </c>
      <c r="E1151" s="6">
        <v>88.1</v>
      </c>
      <c r="F1151" s="69">
        <f>((Table1[[#This Row],[MELTING]]*Table1[[#This Row],[PURE-RATE]]/100)+Table1[[#This Row],[Column1]])*Table1[[#This Row],[WEIGHT]]</f>
        <v>1526.9155000000001</v>
      </c>
      <c r="G1151" s="8">
        <v>10</v>
      </c>
    </row>
    <row r="1152" spans="1:7" x14ac:dyDescent="0.45">
      <c r="A1152" s="8" t="s">
        <v>860</v>
      </c>
      <c r="B1152" s="4">
        <v>35.700000000000003</v>
      </c>
      <c r="C1152" s="7">
        <v>65</v>
      </c>
      <c r="D1152" s="7">
        <v>60.9</v>
      </c>
      <c r="E1152" s="6">
        <v>88.1</v>
      </c>
      <c r="F1152" s="69">
        <f>((Table1[[#This Row],[MELTING]]*Table1[[#This Row],[PURE-RATE]]/100)+Table1[[#This Row],[Column1]])*Table1[[#This Row],[WEIGHT]]</f>
        <v>2401.3605000000002</v>
      </c>
      <c r="G1152" s="8">
        <v>10</v>
      </c>
    </row>
    <row r="1153" spans="1:8" x14ac:dyDescent="0.45">
      <c r="A1153" s="8" t="s">
        <v>861</v>
      </c>
      <c r="B1153" s="4">
        <v>16.5</v>
      </c>
      <c r="C1153" s="7">
        <v>65</v>
      </c>
      <c r="D1153" s="7">
        <v>60.9</v>
      </c>
      <c r="E1153" s="6">
        <v>88.1</v>
      </c>
      <c r="F1153" s="69">
        <f>((Table1[[#This Row],[MELTING]]*Table1[[#This Row],[PURE-RATE]]/100)+Table1[[#This Row],[Column1]])*Table1[[#This Row],[WEIGHT]]</f>
        <v>1109.8724999999999</v>
      </c>
      <c r="G1153" s="8">
        <v>10</v>
      </c>
      <c r="H1153" s="98"/>
    </row>
    <row r="1154" spans="1:8" x14ac:dyDescent="0.45">
      <c r="A1154" s="8" t="s">
        <v>903</v>
      </c>
      <c r="B1154" s="4">
        <v>11.4</v>
      </c>
      <c r="C1154" s="7">
        <v>80</v>
      </c>
      <c r="D1154" s="7">
        <f>65-Table1[[#This Row],[MELTING]]</f>
        <v>-15</v>
      </c>
      <c r="E1154" s="6">
        <v>84.5</v>
      </c>
      <c r="F1154" s="69">
        <f>(((B1154*C1154)/100)*E1154)</f>
        <v>770.64</v>
      </c>
      <c r="G1154" s="8"/>
      <c r="H1154" s="98"/>
    </row>
    <row r="1155" spans="1:8" x14ac:dyDescent="0.45">
      <c r="A1155" s="8" t="s">
        <v>904</v>
      </c>
      <c r="B1155" s="4">
        <v>10.7</v>
      </c>
      <c r="C1155" s="7">
        <v>80</v>
      </c>
      <c r="D1155" s="7">
        <f>65-Table1[[#This Row],[MELTING]]</f>
        <v>-15</v>
      </c>
      <c r="E1155" s="6">
        <v>84.5</v>
      </c>
      <c r="F1155" s="69">
        <f t="shared" ref="F1155:F1162" si="74">(((B1155*C1155)/100)*E1155)</f>
        <v>723.32</v>
      </c>
      <c r="G1155" s="8"/>
      <c r="H1155" s="98"/>
    </row>
    <row r="1156" spans="1:8" x14ac:dyDescent="0.45">
      <c r="A1156" s="8" t="s">
        <v>1054</v>
      </c>
      <c r="B1156" s="4">
        <v>38.299999999999997</v>
      </c>
      <c r="C1156" s="7">
        <v>75</v>
      </c>
      <c r="D1156" s="7">
        <f>65-Table1[[#This Row],[MELTING]]</f>
        <v>-10</v>
      </c>
      <c r="E1156" s="6">
        <v>91.5</v>
      </c>
      <c r="F1156" s="69">
        <f>((Table1[[#This Row],[MELTING]]*Table1[[#This Row],[PURE-RATE]]/100)+Table1[[#This Row],[Column1]])*Table1[[#This Row],[WEIGHT]]</f>
        <v>3011.3374999999996</v>
      </c>
      <c r="G1156" s="8">
        <v>10</v>
      </c>
      <c r="H1156" s="98"/>
    </row>
    <row r="1157" spans="1:8" x14ac:dyDescent="0.45">
      <c r="A1157" s="8" t="s">
        <v>1055</v>
      </c>
      <c r="B1157" s="4">
        <v>17.5</v>
      </c>
      <c r="C1157" s="7">
        <v>75</v>
      </c>
      <c r="D1157" s="7">
        <f>65-Table1[[#This Row],[MELTING]]</f>
        <v>-10</v>
      </c>
      <c r="E1157" s="6">
        <v>91.5</v>
      </c>
      <c r="F1157" s="69">
        <f>((Table1[[#This Row],[MELTING]]*Table1[[#This Row],[PURE-RATE]]/100)+Table1[[#This Row],[Column1]])*Table1[[#This Row],[WEIGHT]]</f>
        <v>1375.9375</v>
      </c>
      <c r="G1157" s="8">
        <v>10</v>
      </c>
      <c r="H1157" s="98"/>
    </row>
    <row r="1158" spans="1:8" x14ac:dyDescent="0.45">
      <c r="A1158" s="8" t="s">
        <v>1056</v>
      </c>
      <c r="B1158" s="4">
        <v>16.100000000000001</v>
      </c>
      <c r="C1158" s="7">
        <v>75</v>
      </c>
      <c r="D1158" s="7">
        <f>65-Table1[[#This Row],[MELTING]]</f>
        <v>-10</v>
      </c>
      <c r="E1158" s="6">
        <v>91.5</v>
      </c>
      <c r="F1158" s="69">
        <f>((Table1[[#This Row],[MELTING]]*Table1[[#This Row],[PURE-RATE]]/100)+Table1[[#This Row],[Column1]])*Table1[[#This Row],[WEIGHT]]</f>
        <v>1265.8625000000002</v>
      </c>
      <c r="G1158" s="8">
        <v>10</v>
      </c>
      <c r="H1158" s="98"/>
    </row>
    <row r="1159" spans="1:8" x14ac:dyDescent="0.45">
      <c r="A1159" s="8" t="s">
        <v>1057</v>
      </c>
      <c r="B1159" s="4">
        <v>19.5</v>
      </c>
      <c r="C1159" s="7">
        <v>75</v>
      </c>
      <c r="D1159" s="7">
        <f>65-Table1[[#This Row],[MELTING]]</f>
        <v>-10</v>
      </c>
      <c r="E1159" s="6">
        <v>91.5</v>
      </c>
      <c r="F1159" s="69">
        <f>((Table1[[#This Row],[MELTING]]*Table1[[#This Row],[PURE-RATE]]/100)+Table1[[#This Row],[Column1]])*Table1[[#This Row],[WEIGHT]]</f>
        <v>1533.1875</v>
      </c>
      <c r="G1159" s="8">
        <v>10</v>
      </c>
      <c r="H1159" s="98"/>
    </row>
    <row r="1160" spans="1:8" x14ac:dyDescent="0.45">
      <c r="A1160" s="8" t="s">
        <v>1058</v>
      </c>
      <c r="B1160" s="4">
        <v>13.5</v>
      </c>
      <c r="C1160" s="7">
        <v>76</v>
      </c>
      <c r="D1160" s="7">
        <f>65-Table1[[#This Row],[MELTING]]</f>
        <v>-11</v>
      </c>
      <c r="E1160" s="6">
        <v>91.5</v>
      </c>
      <c r="F1160" s="69">
        <f t="shared" si="74"/>
        <v>938.79</v>
      </c>
      <c r="G1160" s="8"/>
      <c r="H1160" s="98"/>
    </row>
    <row r="1161" spans="1:8" x14ac:dyDescent="0.45">
      <c r="A1161" s="8" t="s">
        <v>1059</v>
      </c>
      <c r="B1161" s="4">
        <v>14.2</v>
      </c>
      <c r="C1161" s="7">
        <v>76</v>
      </c>
      <c r="D1161" s="7">
        <f>65-Table1[[#This Row],[MELTING]]</f>
        <v>-11</v>
      </c>
      <c r="E1161" s="6">
        <v>91.5</v>
      </c>
      <c r="F1161" s="69">
        <f>(((B1161*C1161)/100)*E1161)</f>
        <v>987.46799999999996</v>
      </c>
      <c r="G1161" s="8"/>
      <c r="H1161" s="98"/>
    </row>
    <row r="1162" spans="1:8" x14ac:dyDescent="0.45">
      <c r="A1162" s="8" t="s">
        <v>1060</v>
      </c>
      <c r="B1162" s="4">
        <v>17.600000000000001</v>
      </c>
      <c r="C1162" s="7">
        <v>76</v>
      </c>
      <c r="D1162" s="7">
        <f>65-Table1[[#This Row],[MELTING]]</f>
        <v>-11</v>
      </c>
      <c r="E1162" s="6">
        <v>91.5</v>
      </c>
      <c r="F1162" s="69">
        <f t="shared" si="74"/>
        <v>1223.9040000000002</v>
      </c>
      <c r="G1162" s="8"/>
      <c r="H1162" s="98"/>
    </row>
    <row r="1163" spans="1:8" customFormat="1" x14ac:dyDescent="0.45">
      <c r="A1163" s="2" t="s">
        <v>1061</v>
      </c>
      <c r="B1163" s="107">
        <v>10.8</v>
      </c>
      <c r="C1163" s="27">
        <v>76</v>
      </c>
      <c r="D1163" s="27">
        <v>-11</v>
      </c>
      <c r="E1163" s="39">
        <v>91.5</v>
      </c>
      <c r="F1163" s="69">
        <f>((C1163*E1163/100)+G1163)*B1163</f>
        <v>751.03200000000015</v>
      </c>
      <c r="G1163" s="2"/>
    </row>
    <row r="1164" spans="1:8" customFormat="1" x14ac:dyDescent="0.45">
      <c r="A1164" s="2" t="s">
        <v>1531</v>
      </c>
      <c r="B1164" s="107">
        <v>16.399999999999999</v>
      </c>
      <c r="C1164" s="27">
        <v>79.97</v>
      </c>
      <c r="D1164" s="27">
        <v>-31.75</v>
      </c>
      <c r="E1164" s="39">
        <v>90</v>
      </c>
      <c r="F1164" s="69">
        <f>(((B1164*C1164)/100)*E1164)</f>
        <v>1180.3571999999999</v>
      </c>
      <c r="G1164" s="2"/>
    </row>
    <row r="1165" spans="1:8" customFormat="1" x14ac:dyDescent="0.45">
      <c r="A1165" s="2" t="s">
        <v>1532</v>
      </c>
      <c r="B1165" s="107">
        <v>16</v>
      </c>
      <c r="C1165" s="27">
        <v>79.97</v>
      </c>
      <c r="D1165" s="27">
        <v>-31.75</v>
      </c>
      <c r="E1165" s="39">
        <v>90</v>
      </c>
      <c r="F1165" s="69">
        <f t="shared" ref="F1165:F1167" si="75">(((B1165*C1165)/100)*E1165)</f>
        <v>1151.568</v>
      </c>
      <c r="G1165" s="2"/>
    </row>
    <row r="1166" spans="1:8" customFormat="1" x14ac:dyDescent="0.45">
      <c r="A1166" s="2" t="s">
        <v>1533</v>
      </c>
      <c r="B1166" s="107">
        <v>7.5</v>
      </c>
      <c r="C1166" s="27">
        <v>79.97</v>
      </c>
      <c r="D1166" s="27">
        <v>-31.75</v>
      </c>
      <c r="E1166" s="39">
        <v>90</v>
      </c>
      <c r="F1166" s="69">
        <f t="shared" si="75"/>
        <v>539.79750000000001</v>
      </c>
      <c r="G1166" s="2"/>
    </row>
    <row r="1167" spans="1:8" customFormat="1" x14ac:dyDescent="0.45">
      <c r="A1167" s="2" t="s">
        <v>1534</v>
      </c>
      <c r="B1167" s="107">
        <v>7.1</v>
      </c>
      <c r="C1167" s="27">
        <v>79.97</v>
      </c>
      <c r="D1167" s="27">
        <v>-31.75</v>
      </c>
      <c r="E1167" s="39">
        <v>90</v>
      </c>
      <c r="F1167" s="69">
        <f t="shared" si="75"/>
        <v>511.00829999999996</v>
      </c>
      <c r="G1167" s="2"/>
    </row>
    <row r="1168" spans="1:8" x14ac:dyDescent="0.45">
      <c r="A1168" s="8" t="s">
        <v>1535</v>
      </c>
      <c r="B1168" s="4">
        <v>29.6</v>
      </c>
      <c r="C1168" s="7">
        <v>80.650000000000006</v>
      </c>
      <c r="D1168" s="27">
        <v>-31.75</v>
      </c>
      <c r="E1168" s="6">
        <v>90</v>
      </c>
      <c r="F1168" s="69">
        <f>(Table1[[#This Row],[MELTING]]*Table1[[#This Row],[PURE-RATE]]/100+Table1[[#This Row],[Column1]])*Table1[[#This Row],[WEIGHT]]</f>
        <v>2444.5160000000005</v>
      </c>
      <c r="G1168" s="8">
        <v>10</v>
      </c>
      <c r="H1168" s="98"/>
    </row>
    <row r="1169" spans="1:8" x14ac:dyDescent="0.45">
      <c r="A1169" s="8" t="s">
        <v>1536</v>
      </c>
      <c r="B1169" s="4">
        <v>31.25</v>
      </c>
      <c r="C1169" s="7">
        <v>80.650000000000006</v>
      </c>
      <c r="D1169" s="27">
        <v>-31.75</v>
      </c>
      <c r="E1169" s="6">
        <v>90</v>
      </c>
      <c r="F1169" s="69">
        <f>(Table1[[#This Row],[MELTING]]*Table1[[#This Row],[PURE-RATE]]/100+Table1[[#This Row],[Column1]])*Table1[[#This Row],[WEIGHT]]</f>
        <v>2580.7812500000005</v>
      </c>
      <c r="G1169" s="8">
        <v>10</v>
      </c>
      <c r="H1169" s="98"/>
    </row>
    <row r="1170" spans="1:8" x14ac:dyDescent="0.45">
      <c r="A1170" s="8" t="s">
        <v>1537</v>
      </c>
      <c r="B1170" s="4">
        <v>25.1</v>
      </c>
      <c r="C1170" s="7">
        <v>80.650000000000006</v>
      </c>
      <c r="D1170" s="27">
        <v>-31.75</v>
      </c>
      <c r="E1170" s="6">
        <v>90</v>
      </c>
      <c r="F1170" s="69">
        <f>(Table1[[#This Row],[MELTING]]*Table1[[#This Row],[PURE-RATE]]/100+Table1[[#This Row],[Column1]])*Table1[[#This Row],[WEIGHT]]</f>
        <v>2072.8835000000004</v>
      </c>
      <c r="G1170" s="8">
        <v>10</v>
      </c>
      <c r="H1170" s="98"/>
    </row>
    <row r="1171" spans="1:8" x14ac:dyDescent="0.45">
      <c r="A1171" s="8" t="s">
        <v>1538</v>
      </c>
      <c r="B1171" s="4">
        <v>23.6</v>
      </c>
      <c r="C1171" s="7">
        <v>80.650000000000006</v>
      </c>
      <c r="D1171" s="27">
        <v>-31.75</v>
      </c>
      <c r="E1171" s="6">
        <v>90</v>
      </c>
      <c r="F1171" s="69">
        <f>(Table1[[#This Row],[MELTING]]*Table1[[#This Row],[PURE-RATE]]/100+Table1[[#This Row],[Column1]])*Table1[[#This Row],[WEIGHT]]</f>
        <v>1760.2060000000004</v>
      </c>
      <c r="G1171" s="8">
        <v>2</v>
      </c>
      <c r="H1171" s="98"/>
    </row>
    <row r="1172" spans="1:8" x14ac:dyDescent="0.45">
      <c r="A1172" s="8" t="s">
        <v>1539</v>
      </c>
      <c r="B1172" s="4">
        <v>23.5</v>
      </c>
      <c r="C1172" s="7">
        <v>80.650000000000006</v>
      </c>
      <c r="D1172" s="27">
        <v>-31.75</v>
      </c>
      <c r="E1172" s="6">
        <v>90</v>
      </c>
      <c r="F1172" s="69">
        <f>(Table1[[#This Row],[MELTING]]*Table1[[#This Row],[PURE-RATE]]/100+Table1[[#This Row],[Column1]])*Table1[[#This Row],[WEIGHT]]</f>
        <v>1752.7475000000002</v>
      </c>
      <c r="G1172" s="8">
        <v>2</v>
      </c>
      <c r="H1172" s="98"/>
    </row>
    <row r="1173" spans="1:8" x14ac:dyDescent="0.45">
      <c r="A1173" s="8" t="s">
        <v>1540</v>
      </c>
      <c r="B1173" s="4">
        <v>19.100000000000001</v>
      </c>
      <c r="C1173" s="7">
        <v>80.650000000000006</v>
      </c>
      <c r="D1173" s="27">
        <v>-31.75</v>
      </c>
      <c r="E1173" s="6">
        <v>90</v>
      </c>
      <c r="F1173" s="69">
        <f>(Table1[[#This Row],[MELTING]]*Table1[[#This Row],[PURE-RATE]]/100+Table1[[#This Row],[Column1]])*Table1[[#This Row],[WEIGHT]]</f>
        <v>1424.5735000000002</v>
      </c>
      <c r="G1173" s="8">
        <v>2</v>
      </c>
      <c r="H1173" s="98"/>
    </row>
    <row r="1174" spans="1:8" x14ac:dyDescent="0.45">
      <c r="A1174" s="8" t="s">
        <v>1541</v>
      </c>
      <c r="B1174" s="4">
        <v>23.5</v>
      </c>
      <c r="C1174" s="7">
        <v>80.650000000000006</v>
      </c>
      <c r="D1174" s="27">
        <v>-31.75</v>
      </c>
      <c r="E1174" s="6">
        <v>90</v>
      </c>
      <c r="F1174" s="69">
        <f>(Table1[[#This Row],[MELTING]]*Table1[[#This Row],[PURE-RATE]]/100+Table1[[#This Row],[Column1]])*Table1[[#This Row],[WEIGHT]]</f>
        <v>1752.7475000000002</v>
      </c>
      <c r="G1174" s="8">
        <v>2</v>
      </c>
      <c r="H1174" s="98"/>
    </row>
    <row r="1175" spans="1:8" x14ac:dyDescent="0.45">
      <c r="A1175" s="8" t="s">
        <v>863</v>
      </c>
      <c r="B1175" s="4">
        <v>61.8</v>
      </c>
      <c r="C1175" s="7">
        <v>93</v>
      </c>
      <c r="D1175" s="7">
        <v>13</v>
      </c>
      <c r="E1175" s="6">
        <v>88.1</v>
      </c>
      <c r="F1175" s="69">
        <f>(((((Table1[[#This Row],[MELTING]]*Table1[[#This Row],[PURE-RATE]]/100)+Table1[[#This Row],[Column1]])*Table1[[#This Row],[WEIGHT]])))</f>
        <v>5140.7093999999997</v>
      </c>
      <c r="G1175" s="8">
        <v>1.25</v>
      </c>
    </row>
    <row r="1176" spans="1:8" x14ac:dyDescent="0.45">
      <c r="A1176" s="8" t="s">
        <v>1605</v>
      </c>
      <c r="B1176" s="4">
        <v>10.65</v>
      </c>
      <c r="C1176" s="7">
        <v>93</v>
      </c>
      <c r="D1176" s="7">
        <f>80-Table1[[#This Row],[MELTING]]</f>
        <v>-13</v>
      </c>
      <c r="E1176" s="6">
        <v>94.7</v>
      </c>
      <c r="F1176" s="69">
        <f>(((((Table1[[#This Row],[MELTING]]*Table1[[#This Row],[PURE-RATE]]/100)+Table1[[#This Row],[Column1]])*Table1[[#This Row],[WEIGHT]])))</f>
        <v>951.26864999999998</v>
      </c>
      <c r="G1176" s="8">
        <v>1.25</v>
      </c>
      <c r="H1176" s="98"/>
    </row>
    <row r="1177" spans="1:8" x14ac:dyDescent="0.45">
      <c r="A1177" s="8" t="s">
        <v>1606</v>
      </c>
      <c r="B1177" s="4">
        <v>20.25</v>
      </c>
      <c r="C1177" s="7">
        <v>93</v>
      </c>
      <c r="D1177" s="7">
        <f>80-Table1[[#This Row],[MELTING]]</f>
        <v>-13</v>
      </c>
      <c r="E1177" s="6">
        <v>94.7</v>
      </c>
      <c r="F1177" s="69">
        <f>(((((Table1[[#This Row],[MELTING]]*Table1[[#This Row],[PURE-RATE]]/100)+Table1[[#This Row],[Column1]])*Table1[[#This Row],[WEIGHT]])))</f>
        <v>1808.7502500000001</v>
      </c>
      <c r="G1177" s="8">
        <v>1.25</v>
      </c>
    </row>
    <row r="1178" spans="1:8" x14ac:dyDescent="0.45">
      <c r="A1178" s="8" t="s">
        <v>1607</v>
      </c>
      <c r="B1178" s="4">
        <v>61.65</v>
      </c>
      <c r="C1178" s="7">
        <v>93</v>
      </c>
      <c r="D1178" s="7">
        <f>80-Table1[[#This Row],[MELTING]]</f>
        <v>-13</v>
      </c>
      <c r="E1178" s="6">
        <v>94.7</v>
      </c>
      <c r="F1178" s="69">
        <f>(((((Table1[[#This Row],[MELTING]]*Table1[[#This Row],[PURE-RATE]]/100)+Table1[[#This Row],[Column1]])*Table1[[#This Row],[WEIGHT]])))</f>
        <v>5506.6396500000001</v>
      </c>
      <c r="G1178" s="8">
        <v>1.25</v>
      </c>
    </row>
    <row r="1179" spans="1:8" s="126" customFormat="1" x14ac:dyDescent="0.45">
      <c r="A1179" s="8" t="s">
        <v>1608</v>
      </c>
      <c r="B1179" s="4">
        <v>64.8</v>
      </c>
      <c r="C1179" s="7">
        <v>93</v>
      </c>
      <c r="D1179" s="7">
        <f>80-Table1[[#This Row],[MELTING]]</f>
        <v>-13</v>
      </c>
      <c r="E1179" s="6">
        <v>94.7</v>
      </c>
      <c r="F1179" s="69">
        <f>(((((Table1[[#This Row],[MELTING]]*Table1[[#This Row],[PURE-RATE]]/100)+Table1[[#This Row],[Column1]])*Table1[[#This Row],[WEIGHT]])))</f>
        <v>5788.0007999999998</v>
      </c>
      <c r="G1179" s="8">
        <v>1.25</v>
      </c>
    </row>
    <row r="1180" spans="1:8" s="126" customFormat="1" x14ac:dyDescent="0.45">
      <c r="A1180" s="295"/>
      <c r="B1180" s="296"/>
      <c r="C1180" s="297"/>
      <c r="D1180" s="297"/>
      <c r="E1180" s="298"/>
      <c r="F1180" s="299"/>
      <c r="G1180" s="23"/>
    </row>
    <row r="1181" spans="1:8" s="126" customFormat="1" x14ac:dyDescent="0.45">
      <c r="A1181" s="121" t="s">
        <v>894</v>
      </c>
      <c r="B1181" s="122">
        <v>3.5</v>
      </c>
      <c r="C1181" s="123">
        <v>65</v>
      </c>
      <c r="D1181" s="123"/>
      <c r="E1181" s="124">
        <v>85.5</v>
      </c>
      <c r="F1181" s="125">
        <f>(((B1181*C1181/100)*E1181))</f>
        <v>194.51249999999999</v>
      </c>
      <c r="G1181" s="121"/>
    </row>
    <row r="1182" spans="1:8" s="126" customFormat="1" x14ac:dyDescent="0.45">
      <c r="A1182" s="121" t="s">
        <v>1081</v>
      </c>
      <c r="B1182" s="122">
        <v>1</v>
      </c>
      <c r="C1182" s="123"/>
      <c r="D1182" s="123"/>
      <c r="E1182" s="124"/>
      <c r="F1182" s="125">
        <v>100</v>
      </c>
      <c r="G1182" s="121"/>
    </row>
    <row r="1183" spans="1:8" s="126" customFormat="1" x14ac:dyDescent="0.45">
      <c r="A1183" s="121" t="s">
        <v>1082</v>
      </c>
      <c r="B1183" s="122"/>
      <c r="C1183" s="123"/>
      <c r="D1183" s="123"/>
      <c r="E1183" s="124"/>
      <c r="F1183" s="125">
        <v>230</v>
      </c>
      <c r="G1183" s="121"/>
    </row>
    <row r="1184" spans="1:8" s="126" customFormat="1" x14ac:dyDescent="0.45">
      <c r="A1184" s="121" t="s">
        <v>1183</v>
      </c>
      <c r="B1184" s="122">
        <v>5.5</v>
      </c>
      <c r="C1184" s="123">
        <v>82</v>
      </c>
      <c r="D1184" s="123"/>
      <c r="E1184" s="124">
        <v>90</v>
      </c>
      <c r="F1184" s="125">
        <f>(((B1184*C1184)/100)*E1184)</f>
        <v>405.9</v>
      </c>
      <c r="G1184" s="121"/>
    </row>
    <row r="1185" spans="1:7" s="71" customFormat="1" x14ac:dyDescent="0.45">
      <c r="A1185" s="121" t="s">
        <v>1184</v>
      </c>
      <c r="B1185" s="122">
        <v>4.5</v>
      </c>
      <c r="C1185" s="123">
        <v>82</v>
      </c>
      <c r="D1185" s="123"/>
      <c r="E1185" s="124">
        <v>90</v>
      </c>
      <c r="F1185" s="125">
        <f>(((B1185*C1185)/100)*E1185)</f>
        <v>332.1</v>
      </c>
      <c r="G1185" s="121"/>
    </row>
    <row r="1186" spans="1:7" s="71" customFormat="1" x14ac:dyDescent="0.45">
      <c r="A1186" s="121" t="s">
        <v>1284</v>
      </c>
      <c r="B1186" s="122"/>
      <c r="C1186" s="123"/>
      <c r="D1186" s="123"/>
      <c r="E1186" s="124"/>
      <c r="F1186" s="125">
        <v>50</v>
      </c>
      <c r="G1186" s="121"/>
    </row>
    <row r="1187" spans="1:7" s="310" customFormat="1" x14ac:dyDescent="0.45">
      <c r="A1187" s="306" t="s">
        <v>1684</v>
      </c>
      <c r="B1187" s="307">
        <v>0</v>
      </c>
      <c r="C1187" s="308">
        <v>83</v>
      </c>
      <c r="D1187" s="308">
        <v>8</v>
      </c>
      <c r="E1187" s="309">
        <v>6480</v>
      </c>
      <c r="F1187" s="305">
        <f>B1187*C1187/100*E1187</f>
        <v>0</v>
      </c>
      <c r="G1187" s="306"/>
    </row>
    <row r="1188" spans="1:7" s="310" customFormat="1" x14ac:dyDescent="0.45">
      <c r="A1188" s="306" t="s">
        <v>1684</v>
      </c>
      <c r="B1188" s="307">
        <v>0</v>
      </c>
      <c r="C1188" s="308">
        <v>83</v>
      </c>
      <c r="D1188" s="308">
        <v>8</v>
      </c>
      <c r="E1188" s="309">
        <v>6480</v>
      </c>
      <c r="F1188" s="305">
        <f t="shared" ref="F1188" si="76">B1188*C1188/100*E1188</f>
        <v>0</v>
      </c>
      <c r="G1188" s="306"/>
    </row>
    <row r="1189" spans="1:7" s="310" customFormat="1" x14ac:dyDescent="0.45">
      <c r="A1189" s="306" t="s">
        <v>1684</v>
      </c>
      <c r="B1189" s="307">
        <v>0</v>
      </c>
      <c r="C1189" s="308">
        <v>83</v>
      </c>
      <c r="D1189" s="308">
        <v>8</v>
      </c>
      <c r="E1189" s="309">
        <v>6480</v>
      </c>
      <c r="F1189" s="305">
        <f>B1189*C1189/100*E1189</f>
        <v>0</v>
      </c>
      <c r="G1189" s="306"/>
    </row>
    <row r="1190" spans="1:7" s="310" customFormat="1" x14ac:dyDescent="0.45">
      <c r="A1190" s="306" t="s">
        <v>1725</v>
      </c>
      <c r="B1190" s="307">
        <v>0.4</v>
      </c>
      <c r="C1190" s="308">
        <v>66</v>
      </c>
      <c r="D1190" s="308">
        <v>8</v>
      </c>
      <c r="E1190" s="309">
        <v>8356</v>
      </c>
      <c r="F1190" s="305">
        <f t="shared" ref="F1190:F1192" si="77">B1190*C1190/100*E1190</f>
        <v>2205.9839999999999</v>
      </c>
      <c r="G1190" s="306"/>
    </row>
    <row r="1191" spans="1:7" s="310" customFormat="1" x14ac:dyDescent="0.45">
      <c r="A1191" s="306" t="s">
        <v>1724</v>
      </c>
      <c r="B1191" s="307">
        <v>0</v>
      </c>
      <c r="C1191" s="308">
        <v>66</v>
      </c>
      <c r="D1191" s="308">
        <v>8</v>
      </c>
      <c r="E1191" s="309">
        <v>8356</v>
      </c>
      <c r="F1191" s="305">
        <f t="shared" si="77"/>
        <v>0</v>
      </c>
      <c r="G1191" s="306"/>
    </row>
    <row r="1192" spans="1:7" s="310" customFormat="1" x14ac:dyDescent="0.45">
      <c r="A1192" s="306" t="s">
        <v>1724</v>
      </c>
      <c r="B1192" s="307">
        <v>0</v>
      </c>
      <c r="C1192" s="308">
        <v>66</v>
      </c>
      <c r="D1192" s="308">
        <v>8</v>
      </c>
      <c r="E1192" s="309">
        <v>8356</v>
      </c>
      <c r="F1192" s="305">
        <f t="shared" si="77"/>
        <v>0</v>
      </c>
      <c r="G1192" s="306"/>
    </row>
    <row r="1193" spans="1:7" s="71" customFormat="1" x14ac:dyDescent="0.45">
      <c r="A1193" s="23" t="s">
        <v>1726</v>
      </c>
      <c r="B1193" s="96">
        <v>4</v>
      </c>
      <c r="C1193" s="277">
        <v>80.650000000000006</v>
      </c>
      <c r="D1193" s="277"/>
      <c r="E1193" s="278">
        <v>90</v>
      </c>
      <c r="F1193" s="68">
        <f>B1193*C1193/100*E1193</f>
        <v>290.34000000000003</v>
      </c>
      <c r="G1193" s="23"/>
    </row>
    <row r="1194" spans="1:7" s="71" customFormat="1" x14ac:dyDescent="0.45">
      <c r="A1194" s="23" t="s">
        <v>1527</v>
      </c>
      <c r="B1194" s="96">
        <v>0</v>
      </c>
      <c r="C1194" s="277">
        <v>80.650000000000006</v>
      </c>
      <c r="D1194" s="277"/>
      <c r="E1194" s="278">
        <v>90</v>
      </c>
      <c r="F1194" s="68">
        <f>B1194*C1194/100*E1194</f>
        <v>0</v>
      </c>
      <c r="G1194" s="23"/>
    </row>
    <row r="1195" spans="1:7" x14ac:dyDescent="0.45">
      <c r="A1195" s="23" t="s">
        <v>1543</v>
      </c>
      <c r="B1195" s="96">
        <v>0</v>
      </c>
      <c r="C1195" s="277">
        <v>80.650000000000006</v>
      </c>
      <c r="D1195" s="277"/>
      <c r="E1195" s="278">
        <v>90</v>
      </c>
      <c r="F1195" s="68">
        <f>B1195*C1195/100*E1195</f>
        <v>0</v>
      </c>
      <c r="G1195" s="23"/>
    </row>
    <row r="1196" spans="1:7" x14ac:dyDescent="0.45">
      <c r="A1196" s="23" t="s">
        <v>1543</v>
      </c>
      <c r="B1196" s="96">
        <v>0</v>
      </c>
      <c r="C1196" s="277">
        <v>80.650000000000006</v>
      </c>
      <c r="D1196" s="277"/>
      <c r="E1196" s="278">
        <v>90</v>
      </c>
      <c r="F1196" s="68">
        <f>B1196*C1196/100*E1196</f>
        <v>0</v>
      </c>
      <c r="G1196" s="23"/>
    </row>
    <row r="1197" spans="1:7" x14ac:dyDescent="0.45">
      <c r="A1197" s="312" t="s">
        <v>803</v>
      </c>
      <c r="B1197" s="312"/>
      <c r="C1197" s="312"/>
      <c r="D1197" s="312"/>
      <c r="E1197" s="312"/>
      <c r="F1197" s="313">
        <v>135</v>
      </c>
    </row>
    <row r="1198" spans="1:7" x14ac:dyDescent="0.45">
      <c r="A1198" s="312" t="s">
        <v>804</v>
      </c>
      <c r="B1198" s="312"/>
      <c r="C1198" s="312"/>
      <c r="D1198" s="312"/>
      <c r="E1198" s="312"/>
      <c r="F1198" s="313">
        <v>242</v>
      </c>
    </row>
    <row r="1199" spans="1:7" x14ac:dyDescent="0.45">
      <c r="A1199" s="312" t="s">
        <v>805</v>
      </c>
      <c r="B1199" s="312"/>
      <c r="C1199" s="312"/>
      <c r="D1199" s="312"/>
      <c r="E1199" s="312"/>
      <c r="F1199" s="313">
        <v>500</v>
      </c>
    </row>
    <row r="1200" spans="1:7" x14ac:dyDescent="0.45">
      <c r="A1200" s="312" t="s">
        <v>806</v>
      </c>
      <c r="B1200" s="312"/>
      <c r="C1200" s="312"/>
      <c r="D1200" s="312"/>
      <c r="E1200" s="312"/>
      <c r="F1200" s="313">
        <v>110</v>
      </c>
    </row>
    <row r="1201" spans="1:6" x14ac:dyDescent="0.45">
      <c r="A1201" s="312" t="s">
        <v>807</v>
      </c>
      <c r="B1201" s="312"/>
      <c r="C1201" s="312"/>
      <c r="D1201" s="312"/>
      <c r="E1201" s="312"/>
      <c r="F1201" s="313">
        <v>300</v>
      </c>
    </row>
    <row r="1202" spans="1:6" x14ac:dyDescent="0.45">
      <c r="A1202" s="312" t="s">
        <v>1713</v>
      </c>
      <c r="B1202" s="312"/>
      <c r="C1202" s="312"/>
      <c r="D1202" s="312"/>
      <c r="E1202" s="312"/>
      <c r="F1202" s="313">
        <v>72.25</v>
      </c>
    </row>
    <row r="1203" spans="1:6" x14ac:dyDescent="0.45">
      <c r="A1203" s="311" t="s">
        <v>1721</v>
      </c>
      <c r="B1203" s="311"/>
      <c r="C1203" s="311"/>
      <c r="D1203" s="311"/>
      <c r="E1203" s="311"/>
      <c r="F1203" s="315">
        <v>450</v>
      </c>
    </row>
    <row r="1204" spans="1:6" x14ac:dyDescent="0.45">
      <c r="A1204" s="311" t="s">
        <v>1722</v>
      </c>
      <c r="B1204" s="311"/>
      <c r="C1204" s="311"/>
      <c r="D1204" s="311"/>
      <c r="E1204" s="311"/>
      <c r="F1204" s="315">
        <v>390</v>
      </c>
    </row>
    <row r="1205" spans="1:6" x14ac:dyDescent="0.45">
      <c r="A1205" s="23" t="s">
        <v>1003</v>
      </c>
      <c r="C1205" s="1">
        <v>74.03</v>
      </c>
      <c r="D1205" s="1">
        <f>60-C1205</f>
        <v>-14.030000000000001</v>
      </c>
      <c r="E1205" s="1">
        <v>90</v>
      </c>
      <c r="F1205" s="25">
        <f t="shared" ref="F1205:F1219" si="78">(B1205*C1205/100)*E1205</f>
        <v>0</v>
      </c>
    </row>
    <row r="1206" spans="1:6" x14ac:dyDescent="0.45">
      <c r="A1206" s="23" t="s">
        <v>1004</v>
      </c>
      <c r="B1206" s="1">
        <v>6.25</v>
      </c>
      <c r="C1206" s="1">
        <v>80</v>
      </c>
      <c r="D1206" s="1">
        <v>-15</v>
      </c>
      <c r="E1206" s="1">
        <v>93</v>
      </c>
      <c r="F1206" s="25">
        <f t="shared" si="78"/>
        <v>465</v>
      </c>
    </row>
    <row r="1207" spans="1:6" x14ac:dyDescent="0.45">
      <c r="A1207" s="23" t="s">
        <v>1007</v>
      </c>
      <c r="B1207" s="1">
        <v>6.07</v>
      </c>
      <c r="C1207" s="1">
        <v>80</v>
      </c>
      <c r="D1207" s="1">
        <v>-15</v>
      </c>
      <c r="E1207" s="1">
        <v>93</v>
      </c>
      <c r="F1207" s="25">
        <f t="shared" si="78"/>
        <v>451.608</v>
      </c>
    </row>
    <row r="1208" spans="1:6" x14ac:dyDescent="0.45">
      <c r="A1208" s="23" t="s">
        <v>1062</v>
      </c>
      <c r="B1208" s="1">
        <v>10.4</v>
      </c>
      <c r="C1208" s="1">
        <v>80</v>
      </c>
      <c r="D1208" s="1">
        <v>-15</v>
      </c>
      <c r="E1208" s="1">
        <v>93</v>
      </c>
      <c r="F1208" s="25">
        <f t="shared" si="78"/>
        <v>773.76</v>
      </c>
    </row>
    <row r="1209" spans="1:6" x14ac:dyDescent="0.45">
      <c r="A1209" s="23" t="s">
        <v>1092</v>
      </c>
      <c r="B1209" s="1">
        <v>9.0500000000000007</v>
      </c>
      <c r="C1209" s="1">
        <v>80</v>
      </c>
      <c r="D1209" s="1">
        <v>-15</v>
      </c>
      <c r="E1209" s="1">
        <v>93</v>
      </c>
      <c r="F1209" s="25">
        <f t="shared" si="78"/>
        <v>673.32</v>
      </c>
    </row>
    <row r="1210" spans="1:6" x14ac:dyDescent="0.45">
      <c r="A1210" s="23" t="s">
        <v>1203</v>
      </c>
      <c r="B1210" s="1">
        <v>8.5</v>
      </c>
      <c r="C1210" s="1">
        <v>80</v>
      </c>
      <c r="D1210" s="1">
        <v>-15</v>
      </c>
      <c r="E1210" s="1">
        <v>93</v>
      </c>
      <c r="F1210" s="25">
        <f t="shared" si="78"/>
        <v>632.4</v>
      </c>
    </row>
    <row r="1211" spans="1:6" x14ac:dyDescent="0.45">
      <c r="A1211" s="23" t="s">
        <v>1207</v>
      </c>
      <c r="B1211" s="1">
        <v>17</v>
      </c>
      <c r="C1211" s="1">
        <v>80</v>
      </c>
      <c r="D1211" s="1">
        <v>-15</v>
      </c>
      <c r="E1211" s="1">
        <v>93</v>
      </c>
      <c r="F1211" s="25">
        <f t="shared" si="78"/>
        <v>1264.8</v>
      </c>
    </row>
    <row r="1212" spans="1:6" x14ac:dyDescent="0.45">
      <c r="A1212" s="23" t="s">
        <v>1212</v>
      </c>
      <c r="B1212" s="1">
        <v>9.5</v>
      </c>
      <c r="C1212" s="1">
        <v>80</v>
      </c>
      <c r="D1212" s="1">
        <v>-15</v>
      </c>
      <c r="E1212" s="1">
        <v>93</v>
      </c>
      <c r="F1212" s="25">
        <f t="shared" ref="F1212" si="79">(B1212*C1212/100)*E1212</f>
        <v>706.8</v>
      </c>
    </row>
    <row r="1213" spans="1:6" x14ac:dyDescent="0.45">
      <c r="A1213" s="23" t="s">
        <v>1216</v>
      </c>
      <c r="B1213" s="1">
        <v>8.35</v>
      </c>
      <c r="C1213" s="1">
        <v>80</v>
      </c>
      <c r="D1213" s="1">
        <v>-15</v>
      </c>
      <c r="E1213" s="1">
        <v>93</v>
      </c>
      <c r="F1213" s="25">
        <f t="shared" ref="F1213:F1214" si="80">(B1213*C1213/100)*E1213</f>
        <v>621.24</v>
      </c>
    </row>
    <row r="1214" spans="1:6" x14ac:dyDescent="0.45">
      <c r="A1214" s="23" t="s">
        <v>1280</v>
      </c>
      <c r="B1214" s="1">
        <v>5.4</v>
      </c>
      <c r="C1214" s="1">
        <v>80</v>
      </c>
      <c r="D1214" s="1">
        <v>-15</v>
      </c>
      <c r="E1214" s="1">
        <v>93</v>
      </c>
      <c r="F1214" s="25">
        <f t="shared" si="80"/>
        <v>401.76000000000005</v>
      </c>
    </row>
    <row r="1215" spans="1:6" x14ac:dyDescent="0.45">
      <c r="A1215" s="23" t="s">
        <v>1281</v>
      </c>
      <c r="B1215" s="1">
        <v>12.3</v>
      </c>
      <c r="C1215" s="1">
        <v>80</v>
      </c>
      <c r="D1215" s="1">
        <v>-15</v>
      </c>
      <c r="E1215" s="1">
        <v>93</v>
      </c>
      <c r="F1215" s="25">
        <f t="shared" ref="F1215:F1218" si="81">(B1215*C1215/100)*E1215</f>
        <v>915.12</v>
      </c>
    </row>
    <row r="1216" spans="1:6" x14ac:dyDescent="0.45">
      <c r="A1216" s="23" t="s">
        <v>1285</v>
      </c>
      <c r="B1216" s="1">
        <v>8.6</v>
      </c>
      <c r="C1216" s="1">
        <v>80</v>
      </c>
      <c r="D1216" s="1">
        <v>-15</v>
      </c>
      <c r="E1216" s="1">
        <v>93</v>
      </c>
      <c r="F1216" s="25">
        <f t="shared" si="81"/>
        <v>639.84</v>
      </c>
    </row>
    <row r="1217" spans="1:6" x14ac:dyDescent="0.45">
      <c r="A1217" s="23" t="s">
        <v>1370</v>
      </c>
      <c r="B1217" s="1">
        <v>6.3</v>
      </c>
      <c r="C1217" s="1">
        <v>80</v>
      </c>
      <c r="D1217" s="1">
        <v>-15</v>
      </c>
      <c r="E1217" s="1">
        <v>93</v>
      </c>
      <c r="F1217" s="25">
        <f t="shared" si="81"/>
        <v>468.72</v>
      </c>
    </row>
    <row r="1218" spans="1:6" x14ac:dyDescent="0.45">
      <c r="A1218" s="23" t="s">
        <v>1374</v>
      </c>
      <c r="B1218" s="1">
        <v>5.7</v>
      </c>
      <c r="C1218" s="1">
        <v>80</v>
      </c>
      <c r="D1218" s="1">
        <v>-15</v>
      </c>
      <c r="E1218" s="1">
        <v>93</v>
      </c>
      <c r="F1218" s="25">
        <f t="shared" si="81"/>
        <v>424.08</v>
      </c>
    </row>
    <row r="1219" spans="1:6" x14ac:dyDescent="0.45">
      <c r="A1219" s="23" t="s">
        <v>1501</v>
      </c>
      <c r="B1219" s="1">
        <v>9.6</v>
      </c>
      <c r="C1219" s="1">
        <v>80</v>
      </c>
      <c r="D1219" s="1">
        <v>-15</v>
      </c>
      <c r="E1219" s="1">
        <v>93</v>
      </c>
      <c r="F1219" s="25">
        <f t="shared" si="78"/>
        <v>714.24</v>
      </c>
    </row>
    <row r="1220" spans="1:6" x14ac:dyDescent="0.45">
      <c r="A1220" s="23" t="s">
        <v>1506</v>
      </c>
      <c r="B1220" s="1">
        <v>7</v>
      </c>
      <c r="C1220" s="1">
        <v>80</v>
      </c>
      <c r="D1220" s="1">
        <v>-15</v>
      </c>
      <c r="E1220" s="1">
        <v>93</v>
      </c>
      <c r="F1220" s="25">
        <f t="shared" ref="F1220:F1221" si="82">(B1220*C1220/100)*E1220</f>
        <v>520.79999999999995</v>
      </c>
    </row>
    <row r="1221" spans="1:6" x14ac:dyDescent="0.45">
      <c r="A1221" s="23" t="s">
        <v>1514</v>
      </c>
      <c r="B1221" s="1">
        <v>7.25</v>
      </c>
      <c r="C1221" s="1">
        <v>80</v>
      </c>
      <c r="D1221" s="1">
        <v>-15</v>
      </c>
      <c r="E1221" s="1">
        <v>93</v>
      </c>
      <c r="F1221" s="25">
        <f t="shared" si="82"/>
        <v>539.4</v>
      </c>
    </row>
    <row r="1222" spans="1:6" x14ac:dyDescent="0.45">
      <c r="A1222" s="23" t="s">
        <v>1519</v>
      </c>
      <c r="B1222" s="1">
        <v>8.6999999999999993</v>
      </c>
      <c r="C1222" s="1">
        <v>80</v>
      </c>
      <c r="D1222" s="1">
        <v>-15</v>
      </c>
      <c r="E1222" s="1">
        <v>93</v>
      </c>
      <c r="F1222" s="25">
        <f t="shared" ref="F1222:F1224" si="83">(B1222*C1222/100)*E1222</f>
        <v>647.28</v>
      </c>
    </row>
    <row r="1223" spans="1:6" x14ac:dyDescent="0.45">
      <c r="A1223" s="23" t="s">
        <v>1566</v>
      </c>
      <c r="B1223" s="1">
        <v>6.85</v>
      </c>
      <c r="C1223" s="1">
        <v>80</v>
      </c>
      <c r="D1223" s="1">
        <v>-15</v>
      </c>
      <c r="E1223" s="1">
        <v>93</v>
      </c>
      <c r="F1223" s="25">
        <f t="shared" si="83"/>
        <v>509.64000000000004</v>
      </c>
    </row>
    <row r="1224" spans="1:6" x14ac:dyDescent="0.45">
      <c r="A1224" s="23" t="s">
        <v>1574</v>
      </c>
      <c r="B1224" s="1">
        <v>20.78</v>
      </c>
      <c r="C1224" s="1">
        <v>80</v>
      </c>
      <c r="D1224" s="1">
        <v>-15</v>
      </c>
      <c r="E1224" s="1">
        <v>93</v>
      </c>
      <c r="F1224" s="25">
        <f t="shared" si="83"/>
        <v>1546.0320000000002</v>
      </c>
    </row>
    <row r="1225" spans="1:6" x14ac:dyDescent="0.45">
      <c r="A1225" s="23" t="s">
        <v>1577</v>
      </c>
      <c r="B1225" s="1">
        <v>6.35</v>
      </c>
      <c r="C1225" s="1">
        <v>80</v>
      </c>
      <c r="D1225" s="1">
        <v>-15</v>
      </c>
      <c r="E1225" s="1">
        <v>93</v>
      </c>
      <c r="F1225" s="25">
        <f t="shared" ref="F1225:F1233" si="84">(B1225*C1225/100)*E1225</f>
        <v>472.44</v>
      </c>
    </row>
    <row r="1226" spans="1:6" x14ac:dyDescent="0.45">
      <c r="A1226" s="23" t="s">
        <v>1579</v>
      </c>
      <c r="B1226" s="1">
        <v>16.3</v>
      </c>
      <c r="C1226" s="1">
        <v>80</v>
      </c>
      <c r="D1226" s="1">
        <v>-15</v>
      </c>
      <c r="E1226" s="1">
        <v>93</v>
      </c>
      <c r="F1226" s="25">
        <f t="shared" si="84"/>
        <v>1212.72</v>
      </c>
    </row>
    <row r="1227" spans="1:6" x14ac:dyDescent="0.45">
      <c r="A1227" s="23" t="s">
        <v>1654</v>
      </c>
      <c r="B1227" s="1">
        <v>7</v>
      </c>
      <c r="C1227" s="1">
        <v>80</v>
      </c>
      <c r="D1227" s="1">
        <v>-15</v>
      </c>
      <c r="E1227" s="1">
        <v>93</v>
      </c>
      <c r="F1227" s="25">
        <f t="shared" si="84"/>
        <v>520.79999999999995</v>
      </c>
    </row>
    <row r="1228" spans="1:6" x14ac:dyDescent="0.45">
      <c r="A1228" s="23" t="s">
        <v>1665</v>
      </c>
      <c r="B1228" s="1">
        <v>9.86</v>
      </c>
      <c r="C1228" s="1">
        <v>80</v>
      </c>
      <c r="D1228" s="1">
        <v>-15</v>
      </c>
      <c r="E1228" s="1">
        <v>93</v>
      </c>
      <c r="F1228" s="25">
        <f t="shared" ref="F1228:F1229" si="85">(B1228*C1228/100)*E1228</f>
        <v>733.58399999999995</v>
      </c>
    </row>
    <row r="1229" spans="1:6" x14ac:dyDescent="0.45">
      <c r="A1229" s="23" t="s">
        <v>1669</v>
      </c>
      <c r="B1229" s="1">
        <v>12.5</v>
      </c>
      <c r="C1229" s="1">
        <v>80</v>
      </c>
      <c r="D1229" s="1">
        <v>-15</v>
      </c>
      <c r="E1229" s="1">
        <v>93</v>
      </c>
      <c r="F1229" s="25">
        <f t="shared" si="85"/>
        <v>930</v>
      </c>
    </row>
    <row r="1230" spans="1:6" x14ac:dyDescent="0.45">
      <c r="A1230" s="23" t="s">
        <v>1675</v>
      </c>
      <c r="B1230" s="1">
        <v>6</v>
      </c>
      <c r="C1230" s="1">
        <v>80</v>
      </c>
      <c r="D1230" s="1">
        <v>-15</v>
      </c>
      <c r="E1230" s="1">
        <v>93</v>
      </c>
      <c r="F1230" s="25">
        <f t="shared" ref="F1230:F1232" si="86">(B1230*C1230/100)*E1230</f>
        <v>446.4</v>
      </c>
    </row>
    <row r="1231" spans="1:6" x14ac:dyDescent="0.45">
      <c r="A1231" s="23" t="s">
        <v>1676</v>
      </c>
      <c r="B1231" s="1">
        <v>7.5</v>
      </c>
      <c r="C1231" s="1">
        <v>80</v>
      </c>
      <c r="D1231" s="1">
        <v>-15</v>
      </c>
      <c r="E1231" s="1">
        <v>93</v>
      </c>
      <c r="F1231" s="25">
        <f t="shared" si="86"/>
        <v>558</v>
      </c>
    </row>
    <row r="1232" spans="1:6" x14ac:dyDescent="0.45">
      <c r="A1232" s="23" t="s">
        <v>1681</v>
      </c>
      <c r="B1232" s="1">
        <v>11.5</v>
      </c>
      <c r="C1232" s="1">
        <v>80</v>
      </c>
      <c r="D1232" s="1">
        <v>-15</v>
      </c>
      <c r="E1232" s="1">
        <v>93</v>
      </c>
      <c r="F1232" s="25">
        <f t="shared" si="86"/>
        <v>855.59999999999991</v>
      </c>
    </row>
    <row r="1233" spans="1:6" x14ac:dyDescent="0.45">
      <c r="A1233" s="23" t="s">
        <v>1682</v>
      </c>
      <c r="B1233" s="1">
        <v>10.9</v>
      </c>
      <c r="C1233" s="1">
        <v>80</v>
      </c>
      <c r="D1233" s="1">
        <v>-15</v>
      </c>
      <c r="E1233" s="1">
        <v>93</v>
      </c>
      <c r="F1233" s="25">
        <f t="shared" si="84"/>
        <v>810.96</v>
      </c>
    </row>
    <row r="1234" spans="1:6" x14ac:dyDescent="0.45">
      <c r="A1234" s="23" t="s">
        <v>1688</v>
      </c>
      <c r="B1234" s="1">
        <v>13</v>
      </c>
      <c r="C1234" s="1">
        <v>80</v>
      </c>
      <c r="D1234" s="1">
        <v>-15</v>
      </c>
      <c r="E1234" s="1">
        <v>93</v>
      </c>
      <c r="F1234" s="25">
        <f t="shared" ref="F1234:F1238" si="87">(B1234*C1234/100)*E1234</f>
        <v>967.2</v>
      </c>
    </row>
    <row r="1235" spans="1:6" x14ac:dyDescent="0.45">
      <c r="A1235" s="23" t="s">
        <v>1692</v>
      </c>
      <c r="B1235" s="1">
        <v>8.5</v>
      </c>
      <c r="C1235" s="1">
        <v>80</v>
      </c>
      <c r="D1235" s="1">
        <v>-15</v>
      </c>
      <c r="E1235" s="1">
        <v>93</v>
      </c>
      <c r="F1235" s="25">
        <f t="shared" si="87"/>
        <v>632.4</v>
      </c>
    </row>
    <row r="1236" spans="1:6" x14ac:dyDescent="0.45">
      <c r="A1236" s="23" t="s">
        <v>1699</v>
      </c>
      <c r="B1236" s="1">
        <v>6.25</v>
      </c>
      <c r="C1236" s="1">
        <v>80</v>
      </c>
      <c r="D1236" s="1">
        <v>-15</v>
      </c>
      <c r="E1236" s="1">
        <v>93</v>
      </c>
      <c r="F1236" s="25">
        <f t="shared" si="87"/>
        <v>465</v>
      </c>
    </row>
    <row r="1237" spans="1:6" x14ac:dyDescent="0.45">
      <c r="A1237" s="23" t="s">
        <v>1700</v>
      </c>
      <c r="B1237" s="1">
        <v>5.2</v>
      </c>
      <c r="C1237" s="1">
        <v>80</v>
      </c>
      <c r="D1237" s="1">
        <v>-15</v>
      </c>
      <c r="E1237" s="1">
        <v>93</v>
      </c>
      <c r="F1237" s="25">
        <f t="shared" si="87"/>
        <v>386.88</v>
      </c>
    </row>
    <row r="1238" spans="1:6" x14ac:dyDescent="0.45">
      <c r="A1238" s="23" t="s">
        <v>1707</v>
      </c>
      <c r="B1238" s="1">
        <v>10</v>
      </c>
      <c r="C1238" s="1">
        <v>80</v>
      </c>
      <c r="D1238" s="1">
        <v>-15</v>
      </c>
      <c r="E1238" s="1">
        <v>93</v>
      </c>
      <c r="F1238" s="25">
        <f t="shared" si="87"/>
        <v>744</v>
      </c>
    </row>
    <row r="1239" spans="1:6" x14ac:dyDescent="0.45">
      <c r="A1239" s="23" t="s">
        <v>1715</v>
      </c>
      <c r="B1239" s="1">
        <v>3.5</v>
      </c>
      <c r="C1239" s="1">
        <v>80</v>
      </c>
      <c r="D1239" s="1">
        <v>-15</v>
      </c>
      <c r="E1239" s="1">
        <v>93</v>
      </c>
      <c r="F1239" s="25">
        <f t="shared" ref="F1239:F1255" si="88">(B1239*C1239/100)*E1239</f>
        <v>260.39999999999998</v>
      </c>
    </row>
    <row r="1240" spans="1:6" x14ac:dyDescent="0.45">
      <c r="A1240" s="23" t="s">
        <v>1716</v>
      </c>
      <c r="B1240" s="1">
        <v>11.5</v>
      </c>
      <c r="C1240" s="1">
        <v>80</v>
      </c>
      <c r="D1240" s="1">
        <v>-15</v>
      </c>
      <c r="E1240" s="1">
        <v>93</v>
      </c>
      <c r="F1240" s="25">
        <f t="shared" si="88"/>
        <v>855.59999999999991</v>
      </c>
    </row>
    <row r="1241" spans="1:6" x14ac:dyDescent="0.45">
      <c r="A1241" s="23" t="s">
        <v>1729</v>
      </c>
      <c r="B1241" s="1">
        <v>6.31</v>
      </c>
      <c r="C1241" s="1">
        <v>80</v>
      </c>
      <c r="D1241" s="1">
        <v>-15</v>
      </c>
      <c r="E1241" s="1">
        <v>93</v>
      </c>
      <c r="F1241" s="25">
        <f t="shared" si="88"/>
        <v>469.46399999999994</v>
      </c>
    </row>
    <row r="1242" spans="1:6" x14ac:dyDescent="0.45">
      <c r="A1242" s="23" t="s">
        <v>1740</v>
      </c>
      <c r="B1242" s="1">
        <v>5.85</v>
      </c>
      <c r="C1242" s="1">
        <v>80</v>
      </c>
      <c r="D1242" s="1">
        <v>-15</v>
      </c>
      <c r="E1242" s="1">
        <v>93</v>
      </c>
      <c r="F1242" s="25">
        <f t="shared" si="88"/>
        <v>435.23999999999995</v>
      </c>
    </row>
    <row r="1243" spans="1:6" x14ac:dyDescent="0.45">
      <c r="A1243" s="23" t="s">
        <v>740</v>
      </c>
      <c r="B1243" s="1">
        <v>0</v>
      </c>
      <c r="C1243" s="1">
        <v>80</v>
      </c>
      <c r="D1243" s="1">
        <v>-15</v>
      </c>
      <c r="E1243" s="1">
        <v>93</v>
      </c>
      <c r="F1243" s="25">
        <f t="shared" si="88"/>
        <v>0</v>
      </c>
    </row>
    <row r="1244" spans="1:6" x14ac:dyDescent="0.45">
      <c r="A1244" s="23" t="s">
        <v>740</v>
      </c>
      <c r="B1244" s="1">
        <v>0</v>
      </c>
      <c r="C1244" s="1">
        <v>80</v>
      </c>
      <c r="D1244" s="1">
        <v>-15</v>
      </c>
      <c r="E1244" s="1">
        <v>93</v>
      </c>
      <c r="F1244" s="25">
        <f t="shared" si="88"/>
        <v>0</v>
      </c>
    </row>
    <row r="1245" spans="1:6" x14ac:dyDescent="0.45">
      <c r="A1245" s="23" t="s">
        <v>740</v>
      </c>
      <c r="B1245" s="1">
        <v>0</v>
      </c>
      <c r="C1245" s="1">
        <v>80</v>
      </c>
      <c r="D1245" s="1">
        <v>-15</v>
      </c>
      <c r="E1245" s="1">
        <v>93</v>
      </c>
      <c r="F1245" s="25">
        <f t="shared" si="88"/>
        <v>0</v>
      </c>
    </row>
    <row r="1246" spans="1:6" x14ac:dyDescent="0.45">
      <c r="A1246" s="23" t="s">
        <v>740</v>
      </c>
      <c r="B1246" s="1">
        <v>0</v>
      </c>
      <c r="C1246" s="1">
        <v>80</v>
      </c>
      <c r="D1246" s="1">
        <v>-15</v>
      </c>
      <c r="E1246" s="1">
        <v>93</v>
      </c>
      <c r="F1246" s="25">
        <f t="shared" si="88"/>
        <v>0</v>
      </c>
    </row>
    <row r="1247" spans="1:6" x14ac:dyDescent="0.45">
      <c r="A1247" s="23" t="s">
        <v>740</v>
      </c>
      <c r="B1247" s="1">
        <v>0</v>
      </c>
      <c r="C1247" s="1">
        <v>80</v>
      </c>
      <c r="D1247" s="1">
        <v>-15</v>
      </c>
      <c r="E1247" s="1">
        <v>93</v>
      </c>
      <c r="F1247" s="25">
        <f t="shared" si="88"/>
        <v>0</v>
      </c>
    </row>
    <row r="1248" spans="1:6" x14ac:dyDescent="0.45">
      <c r="A1248" s="23" t="s">
        <v>740</v>
      </c>
      <c r="B1248" s="1">
        <v>0</v>
      </c>
      <c r="C1248" s="1">
        <v>80</v>
      </c>
      <c r="D1248" s="1">
        <v>-15</v>
      </c>
      <c r="E1248" s="1">
        <v>93</v>
      </c>
      <c r="F1248" s="25">
        <f t="shared" si="88"/>
        <v>0</v>
      </c>
    </row>
    <row r="1249" spans="1:6" x14ac:dyDescent="0.45">
      <c r="A1249" s="23" t="s">
        <v>740</v>
      </c>
      <c r="B1249" s="1">
        <v>0</v>
      </c>
      <c r="C1249" s="1">
        <v>80</v>
      </c>
      <c r="D1249" s="1">
        <v>-15</v>
      </c>
      <c r="E1249" s="1">
        <v>93</v>
      </c>
      <c r="F1249" s="25">
        <f t="shared" si="88"/>
        <v>0</v>
      </c>
    </row>
    <row r="1250" spans="1:6" x14ac:dyDescent="0.45">
      <c r="A1250" s="23" t="s">
        <v>740</v>
      </c>
      <c r="B1250" s="1">
        <v>0</v>
      </c>
      <c r="C1250" s="1">
        <v>80</v>
      </c>
      <c r="D1250" s="1">
        <v>-15</v>
      </c>
      <c r="E1250" s="1">
        <v>93</v>
      </c>
      <c r="F1250" s="25">
        <f t="shared" si="88"/>
        <v>0</v>
      </c>
    </row>
    <row r="1251" spans="1:6" x14ac:dyDescent="0.45">
      <c r="A1251" s="23" t="s">
        <v>740</v>
      </c>
      <c r="B1251" s="1">
        <v>0</v>
      </c>
      <c r="C1251" s="1">
        <v>80</v>
      </c>
      <c r="D1251" s="1">
        <v>-15</v>
      </c>
      <c r="E1251" s="1">
        <v>93</v>
      </c>
      <c r="F1251" s="25">
        <f t="shared" si="88"/>
        <v>0</v>
      </c>
    </row>
    <row r="1252" spans="1:6" x14ac:dyDescent="0.45">
      <c r="A1252" s="23" t="s">
        <v>740</v>
      </c>
      <c r="B1252" s="1">
        <v>0</v>
      </c>
      <c r="C1252" s="1">
        <v>80</v>
      </c>
      <c r="D1252" s="1">
        <v>-15</v>
      </c>
      <c r="E1252" s="1">
        <v>93</v>
      </c>
      <c r="F1252" s="25">
        <f t="shared" si="88"/>
        <v>0</v>
      </c>
    </row>
    <row r="1253" spans="1:6" x14ac:dyDescent="0.45">
      <c r="A1253" s="23" t="s">
        <v>740</v>
      </c>
      <c r="B1253" s="1">
        <v>0</v>
      </c>
      <c r="C1253" s="1">
        <v>80</v>
      </c>
      <c r="D1253" s="1">
        <v>-15</v>
      </c>
      <c r="E1253" s="1">
        <v>93</v>
      </c>
      <c r="F1253" s="25">
        <f t="shared" si="88"/>
        <v>0</v>
      </c>
    </row>
    <row r="1254" spans="1:6" x14ac:dyDescent="0.45">
      <c r="A1254" s="23" t="s">
        <v>740</v>
      </c>
      <c r="B1254" s="1">
        <v>0</v>
      </c>
      <c r="C1254" s="1">
        <v>80</v>
      </c>
      <c r="D1254" s="1">
        <v>-15</v>
      </c>
      <c r="E1254" s="1">
        <v>93</v>
      </c>
      <c r="F1254" s="25">
        <f t="shared" si="88"/>
        <v>0</v>
      </c>
    </row>
    <row r="1255" spans="1:6" x14ac:dyDescent="0.45">
      <c r="A1255" s="23" t="s">
        <v>740</v>
      </c>
      <c r="B1255" s="1">
        <v>0</v>
      </c>
      <c r="C1255" s="1">
        <v>80</v>
      </c>
      <c r="D1255" s="1">
        <v>-15</v>
      </c>
      <c r="E1255" s="1">
        <v>93</v>
      </c>
      <c r="F1255" s="25">
        <f t="shared" si="88"/>
        <v>0</v>
      </c>
    </row>
    <row r="1256" spans="1:6" x14ac:dyDescent="0.45">
      <c r="A1256" s="23" t="s">
        <v>1211</v>
      </c>
      <c r="B1256" s="1">
        <v>2.75</v>
      </c>
      <c r="C1256" s="1">
        <v>82</v>
      </c>
      <c r="E1256" s="1">
        <v>86.4</v>
      </c>
      <c r="F1256" s="25">
        <f>(B1256*C1256/100)*E1256</f>
        <v>194.83199999999999</v>
      </c>
    </row>
    <row r="1257" spans="1:6" x14ac:dyDescent="0.45">
      <c r="A1257" s="23" t="s">
        <v>1256</v>
      </c>
      <c r="B1257" s="1">
        <v>4</v>
      </c>
      <c r="C1257" s="1">
        <v>82</v>
      </c>
      <c r="E1257" s="1">
        <v>86.4</v>
      </c>
      <c r="F1257" s="25">
        <f>(B1257*C1257/100)*E1257</f>
        <v>283.392</v>
      </c>
    </row>
    <row r="1258" spans="1:6" x14ac:dyDescent="0.45">
      <c r="A1258" s="23" t="s">
        <v>1763</v>
      </c>
      <c r="B1258" s="1">
        <v>10.8</v>
      </c>
      <c r="C1258" s="1">
        <v>80</v>
      </c>
      <c r="D1258" s="1">
        <f>55-C1258</f>
        <v>-25</v>
      </c>
      <c r="E1258" s="1">
        <v>95</v>
      </c>
      <c r="F1258" s="25">
        <f>(B1258*C1258/100)*E1258</f>
        <v>820.80000000000007</v>
      </c>
    </row>
    <row r="1259" spans="1:6" x14ac:dyDescent="0.45">
      <c r="A1259" s="23" t="s">
        <v>1257</v>
      </c>
      <c r="C1259" s="1">
        <v>80</v>
      </c>
      <c r="D1259" s="1">
        <f t="shared" ref="D1259:D1261" si="89">55-C1259</f>
        <v>-25</v>
      </c>
      <c r="E1259" s="1">
        <v>95</v>
      </c>
      <c r="F1259" s="25">
        <f t="shared" ref="F1259:F1261" si="90">(B1259*C1259/100)*E1259</f>
        <v>0</v>
      </c>
    </row>
    <row r="1260" spans="1:6" x14ac:dyDescent="0.45">
      <c r="A1260" s="23" t="s">
        <v>1257</v>
      </c>
      <c r="C1260" s="1">
        <v>80</v>
      </c>
      <c r="D1260" s="1">
        <f t="shared" si="89"/>
        <v>-25</v>
      </c>
      <c r="E1260" s="1">
        <v>95</v>
      </c>
      <c r="F1260" s="25">
        <f t="shared" si="90"/>
        <v>0</v>
      </c>
    </row>
    <row r="1261" spans="1:6" x14ac:dyDescent="0.45">
      <c r="A1261" s="23" t="s">
        <v>1257</v>
      </c>
      <c r="C1261" s="1">
        <v>80</v>
      </c>
      <c r="D1261" s="1">
        <f t="shared" si="89"/>
        <v>-25</v>
      </c>
      <c r="E1261" s="1">
        <v>95</v>
      </c>
      <c r="F1261" s="25">
        <f t="shared" si="90"/>
        <v>0</v>
      </c>
    </row>
    <row r="1262" spans="1:6" x14ac:dyDescent="0.45">
      <c r="A1262" s="23"/>
    </row>
    <row r="1263" spans="1:6" x14ac:dyDescent="0.45">
      <c r="A1263" s="23"/>
    </row>
    <row r="1264" spans="1:6" x14ac:dyDescent="0.45">
      <c r="A1264" s="8" t="s">
        <v>771</v>
      </c>
      <c r="B1264" s="4">
        <v>24.16</v>
      </c>
      <c r="C1264" s="8">
        <v>97.5</v>
      </c>
      <c r="D1264" s="8">
        <v>5.5</v>
      </c>
      <c r="E1264" s="8">
        <v>7059</v>
      </c>
      <c r="F1264" s="69">
        <f t="shared" ref="F1264:F1266" si="91">(((B1264*C1264)/100)*E1264)</f>
        <v>166281.80399999997</v>
      </c>
    </row>
    <row r="1265" spans="1:6" x14ac:dyDescent="0.45">
      <c r="A1265" s="8" t="s">
        <v>802</v>
      </c>
      <c r="B1265" s="4">
        <v>0.39</v>
      </c>
      <c r="C1265" s="8">
        <v>79</v>
      </c>
      <c r="D1265" s="8">
        <v>14</v>
      </c>
      <c r="E1265" s="8">
        <v>7300</v>
      </c>
      <c r="F1265" s="69">
        <f t="shared" si="91"/>
        <v>2249.13</v>
      </c>
    </row>
    <row r="1266" spans="1:6" x14ac:dyDescent="0.45">
      <c r="A1266" s="10" t="s">
        <v>808</v>
      </c>
      <c r="B1266" s="9">
        <v>4.07</v>
      </c>
      <c r="C1266" s="10">
        <v>100</v>
      </c>
      <c r="D1266" s="10">
        <v>8</v>
      </c>
      <c r="E1266" s="10">
        <v>7024.65</v>
      </c>
      <c r="F1266" s="6">
        <f t="shared" si="91"/>
        <v>28590.325499999999</v>
      </c>
    </row>
    <row r="1267" spans="1:6" x14ac:dyDescent="0.45">
      <c r="A1267" s="8" t="s">
        <v>809</v>
      </c>
      <c r="B1267" s="4">
        <v>9.34</v>
      </c>
      <c r="C1267" s="7">
        <v>73.5</v>
      </c>
      <c r="D1267" s="7">
        <v>73.5</v>
      </c>
      <c r="E1267" s="6">
        <v>92.4</v>
      </c>
      <c r="F1267" s="6">
        <f t="shared" ref="F1267:F1274" si="92">(B1267*C1267/100)*E1267</f>
        <v>634.31676000000004</v>
      </c>
    </row>
    <row r="1268" spans="1:6" x14ac:dyDescent="0.45">
      <c r="A1268" s="8" t="s">
        <v>810</v>
      </c>
      <c r="B1268" s="4">
        <v>7.4</v>
      </c>
      <c r="C1268" s="8">
        <v>80</v>
      </c>
      <c r="D1268" s="8"/>
      <c r="E1268" s="8">
        <v>85</v>
      </c>
      <c r="F1268" s="6">
        <f t="shared" si="92"/>
        <v>503.2</v>
      </c>
    </row>
    <row r="1269" spans="1:6" x14ac:dyDescent="0.45">
      <c r="A1269" s="8" t="s">
        <v>853</v>
      </c>
      <c r="B1269" s="96">
        <v>13.08</v>
      </c>
      <c r="C1269" s="8">
        <v>80</v>
      </c>
      <c r="D1269" s="8"/>
      <c r="E1269" s="8">
        <v>84</v>
      </c>
      <c r="F1269" s="6">
        <f t="shared" si="92"/>
        <v>878.976</v>
      </c>
    </row>
    <row r="1270" spans="1:6" x14ac:dyDescent="0.45">
      <c r="A1270" s="23" t="s">
        <v>831</v>
      </c>
      <c r="B1270" s="23">
        <v>9.5299999999999994</v>
      </c>
      <c r="C1270" s="8">
        <v>80</v>
      </c>
      <c r="D1270" s="8"/>
      <c r="E1270" s="8">
        <v>84</v>
      </c>
      <c r="F1270" s="6">
        <f t="shared" si="92"/>
        <v>640.41599999999994</v>
      </c>
    </row>
    <row r="1271" spans="1:6" x14ac:dyDescent="0.45">
      <c r="A1271" s="23" t="s">
        <v>890</v>
      </c>
      <c r="B1271" s="23">
        <v>8.9</v>
      </c>
      <c r="C1271" s="8">
        <v>80</v>
      </c>
      <c r="D1271" s="8"/>
      <c r="E1271" s="8">
        <v>83</v>
      </c>
      <c r="F1271" s="6">
        <v>650</v>
      </c>
    </row>
    <row r="1272" spans="1:6" x14ac:dyDescent="0.45">
      <c r="A1272" s="23" t="s">
        <v>916</v>
      </c>
      <c r="B1272" s="23">
        <v>3.9</v>
      </c>
      <c r="C1272" s="8">
        <v>80</v>
      </c>
      <c r="E1272" s="8">
        <v>90</v>
      </c>
      <c r="F1272" s="6">
        <f t="shared" si="92"/>
        <v>280.8</v>
      </c>
    </row>
    <row r="1273" spans="1:6" x14ac:dyDescent="0.45">
      <c r="A1273" s="23" t="s">
        <v>973</v>
      </c>
      <c r="B1273" s="23">
        <v>6.05</v>
      </c>
      <c r="C1273" s="23">
        <v>80</v>
      </c>
      <c r="E1273" s="23">
        <v>90</v>
      </c>
      <c r="F1273" s="6">
        <f t="shared" si="92"/>
        <v>435.59999999999997</v>
      </c>
    </row>
    <row r="1274" spans="1:6" x14ac:dyDescent="0.45">
      <c r="A1274" s="1" t="s">
        <v>921</v>
      </c>
      <c r="B1274" s="1">
        <v>1.8</v>
      </c>
      <c r="C1274" s="1">
        <v>63</v>
      </c>
      <c r="E1274" s="1">
        <v>84</v>
      </c>
      <c r="F1274" s="6">
        <f t="shared" si="92"/>
        <v>95.256000000000014</v>
      </c>
    </row>
    <row r="1275" spans="1:6" x14ac:dyDescent="0.45">
      <c r="A1275" s="8" t="s">
        <v>811</v>
      </c>
      <c r="B1275" s="4">
        <v>61</v>
      </c>
      <c r="C1275" s="8">
        <v>86.27</v>
      </c>
      <c r="D1275" s="8">
        <v>31.27</v>
      </c>
      <c r="E1275" s="8">
        <v>84</v>
      </c>
      <c r="F1275" s="6">
        <f t="shared" ref="F1275" si="93">(((B1275*C1275)/100)*E1275)</f>
        <v>4420.474799999999</v>
      </c>
    </row>
    <row r="1276" spans="1:6" x14ac:dyDescent="0.45">
      <c r="A1276" s="8" t="s">
        <v>812</v>
      </c>
      <c r="B1276" s="4">
        <v>14.95</v>
      </c>
      <c r="C1276" s="8">
        <v>96</v>
      </c>
      <c r="D1276" s="8">
        <v>4</v>
      </c>
      <c r="E1276" s="8">
        <v>7265</v>
      </c>
      <c r="F1276" s="70">
        <v>104300</v>
      </c>
    </row>
    <row r="1277" spans="1:6" x14ac:dyDescent="0.45">
      <c r="A1277" s="1" t="s">
        <v>833</v>
      </c>
      <c r="B1277" s="1">
        <v>1.97</v>
      </c>
      <c r="C1277" s="23">
        <v>87</v>
      </c>
      <c r="D1277" s="23">
        <v>10</v>
      </c>
      <c r="E1277" s="23">
        <v>7352</v>
      </c>
      <c r="F1277" s="68">
        <f>(B1277*C1277/100)*E1277</f>
        <v>12600.592799999999</v>
      </c>
    </row>
    <row r="1278" spans="1:6" x14ac:dyDescent="0.45">
      <c r="A1278" s="1" t="s">
        <v>845</v>
      </c>
      <c r="F1278" s="25">
        <v>500</v>
      </c>
    </row>
    <row r="1279" spans="1:6" x14ac:dyDescent="0.45">
      <c r="A1279" s="1" t="s">
        <v>848</v>
      </c>
      <c r="D1279" s="1">
        <v>250</v>
      </c>
      <c r="E1279" s="1">
        <v>250</v>
      </c>
      <c r="F1279" s="25">
        <f>D1279+E1279</f>
        <v>500</v>
      </c>
    </row>
    <row r="1280" spans="1:6" x14ac:dyDescent="0.45">
      <c r="A1280" s="85" t="s">
        <v>847</v>
      </c>
      <c r="B1280" s="1">
        <v>1.3</v>
      </c>
      <c r="C1280" s="1">
        <v>79</v>
      </c>
      <c r="D1280" s="1">
        <v>1.2</v>
      </c>
      <c r="E1280" s="1">
        <v>7200</v>
      </c>
      <c r="F1280" s="25">
        <v>5500</v>
      </c>
    </row>
    <row r="1281" spans="1:6" x14ac:dyDescent="0.45">
      <c r="A1281" s="101" t="s">
        <v>865</v>
      </c>
      <c r="B1281" s="1">
        <v>56.89</v>
      </c>
      <c r="F1281" s="25">
        <v>2800</v>
      </c>
    </row>
    <row r="1282" spans="1:6" x14ac:dyDescent="0.45">
      <c r="A1282" s="102" t="s">
        <v>852</v>
      </c>
      <c r="B1282" s="1">
        <v>29.89</v>
      </c>
      <c r="F1282" s="25">
        <v>700</v>
      </c>
    </row>
    <row r="1283" spans="1:6" x14ac:dyDescent="0.45">
      <c r="A1283" s="103" t="s">
        <v>851</v>
      </c>
      <c r="B1283" s="1">
        <v>0.67</v>
      </c>
      <c r="F1283" s="25">
        <v>1750</v>
      </c>
    </row>
    <row r="1284" spans="1:6" x14ac:dyDescent="0.45">
      <c r="A1284" s="100" t="s">
        <v>813</v>
      </c>
      <c r="B1284" s="99">
        <v>4</v>
      </c>
      <c r="F1284" s="25">
        <v>200</v>
      </c>
    </row>
    <row r="1285" spans="1:6" x14ac:dyDescent="0.45">
      <c r="A1285" s="1" t="s">
        <v>885</v>
      </c>
      <c r="B1285" s="1">
        <v>1</v>
      </c>
      <c r="F1285" s="25">
        <v>85350</v>
      </c>
    </row>
    <row r="1286" spans="1:6" x14ac:dyDescent="0.45">
      <c r="A1286" s="1" t="s">
        <v>886</v>
      </c>
      <c r="B1286" s="1">
        <v>1.5</v>
      </c>
      <c r="F1286" s="25">
        <v>120</v>
      </c>
    </row>
    <row r="1287" spans="1:6" x14ac:dyDescent="0.45">
      <c r="A1287" s="128" t="s">
        <v>896</v>
      </c>
      <c r="B1287" s="129">
        <v>0.97</v>
      </c>
      <c r="F1287" s="130">
        <v>2300</v>
      </c>
    </row>
    <row r="1288" spans="1:6" x14ac:dyDescent="0.45">
      <c r="A1288" s="1" t="s">
        <v>923</v>
      </c>
      <c r="F1288" s="25">
        <v>3300</v>
      </c>
    </row>
    <row r="1289" spans="1:6" x14ac:dyDescent="0.45">
      <c r="A1289" s="1" t="s">
        <v>924</v>
      </c>
      <c r="F1289" s="25">
        <v>900</v>
      </c>
    </row>
    <row r="1290" spans="1:6" x14ac:dyDescent="0.45">
      <c r="A1290" s="1" t="s">
        <v>939</v>
      </c>
      <c r="B1290" s="1">
        <v>23.45</v>
      </c>
      <c r="C1290" s="1">
        <v>91.71</v>
      </c>
      <c r="F1290" s="25">
        <v>124000</v>
      </c>
    </row>
    <row r="1292" spans="1:6" x14ac:dyDescent="0.45">
      <c r="A1292" s="1" t="s">
        <v>1010</v>
      </c>
      <c r="B1292" s="1">
        <v>2.08</v>
      </c>
      <c r="C1292" s="1">
        <v>89.5</v>
      </c>
      <c r="E1292" s="1">
        <v>7685</v>
      </c>
      <c r="F1292" s="25">
        <v>14400</v>
      </c>
    </row>
    <row r="1293" spans="1:6" x14ac:dyDescent="0.45">
      <c r="A1293" s="1" t="s">
        <v>1011</v>
      </c>
      <c r="B1293" s="1">
        <v>8.65</v>
      </c>
      <c r="C1293" s="1">
        <v>85</v>
      </c>
      <c r="E1293" s="1">
        <v>93.5</v>
      </c>
      <c r="F1293" s="25">
        <v>700</v>
      </c>
    </row>
    <row r="1294" spans="1:6" x14ac:dyDescent="0.45">
      <c r="A1294" s="1" t="s">
        <v>1012</v>
      </c>
      <c r="B1294" s="1">
        <v>23.5</v>
      </c>
      <c r="F1294" s="25">
        <f>(1460+600+300+50)-150</f>
        <v>2260</v>
      </c>
    </row>
    <row r="1295" spans="1:6" x14ac:dyDescent="0.45">
      <c r="A1295" s="1" t="s">
        <v>1025</v>
      </c>
      <c r="B1295" s="1">
        <v>8.01</v>
      </c>
      <c r="C1295" s="1">
        <v>92</v>
      </c>
      <c r="E1295" s="1">
        <v>7735</v>
      </c>
      <c r="F1295" s="25">
        <v>58300</v>
      </c>
    </row>
    <row r="1296" spans="1:6" x14ac:dyDescent="0.45">
      <c r="A1296" s="1" t="s">
        <v>1079</v>
      </c>
      <c r="B1296" s="1">
        <v>2.17</v>
      </c>
      <c r="E1296" s="1">
        <v>123</v>
      </c>
      <c r="F1296" s="25">
        <f>B1296*E1296</f>
        <v>266.90999999999997</v>
      </c>
    </row>
    <row r="1297" spans="1:8" x14ac:dyDescent="0.45">
      <c r="A1297" s="1" t="s">
        <v>1080</v>
      </c>
      <c r="B1297" s="1">
        <v>24.83</v>
      </c>
      <c r="C1297" s="1">
        <v>92</v>
      </c>
      <c r="D1297" s="1">
        <v>57</v>
      </c>
      <c r="F1297" s="25">
        <v>3695</v>
      </c>
      <c r="H1297" s="25"/>
    </row>
    <row r="1298" spans="1:8" x14ac:dyDescent="0.45">
      <c r="A1298" s="1" t="s">
        <v>1091</v>
      </c>
      <c r="B1298" s="1">
        <v>0.05</v>
      </c>
      <c r="C1298" s="1">
        <v>80</v>
      </c>
      <c r="E1298" s="1">
        <v>7400</v>
      </c>
      <c r="F1298" s="25">
        <f>(B1298*C1298/100)*E1298</f>
        <v>296</v>
      </c>
    </row>
    <row r="1299" spans="1:8" x14ac:dyDescent="0.45">
      <c r="A1299" s="85" t="s">
        <v>1009</v>
      </c>
      <c r="B1299" s="1">
        <v>0</v>
      </c>
      <c r="C1299" s="1">
        <v>0</v>
      </c>
      <c r="D1299" s="1">
        <v>0</v>
      </c>
      <c r="E1299" s="1">
        <v>0</v>
      </c>
      <c r="F1299" s="25">
        <v>0</v>
      </c>
    </row>
    <row r="1300" spans="1:8" x14ac:dyDescent="0.45">
      <c r="A1300" s="1" t="s">
        <v>1109</v>
      </c>
      <c r="B1300" s="1">
        <v>1.04</v>
      </c>
      <c r="C1300" s="1">
        <v>92</v>
      </c>
      <c r="D1300" s="1">
        <v>102</v>
      </c>
      <c r="E1300" s="1">
        <v>7770</v>
      </c>
      <c r="F1300" s="25">
        <v>8330</v>
      </c>
    </row>
    <row r="1301" spans="1:8" x14ac:dyDescent="0.45">
      <c r="A1301" s="1" t="s">
        <v>1110</v>
      </c>
      <c r="B1301" s="1">
        <v>1.6</v>
      </c>
      <c r="D1301" s="1">
        <v>200</v>
      </c>
      <c r="E1301" s="1">
        <v>130</v>
      </c>
      <c r="F1301" s="25">
        <v>130</v>
      </c>
    </row>
    <row r="1302" spans="1:8" x14ac:dyDescent="0.45">
      <c r="A1302" s="1" t="s">
        <v>1221</v>
      </c>
      <c r="B1302" s="1">
        <v>48.85</v>
      </c>
      <c r="C1302" s="1">
        <v>82</v>
      </c>
      <c r="E1302" s="1">
        <v>95</v>
      </c>
      <c r="F1302" s="25">
        <v>3810</v>
      </c>
    </row>
    <row r="1303" spans="1:8" x14ac:dyDescent="0.45">
      <c r="A1303" s="1" t="s">
        <v>1262</v>
      </c>
      <c r="B1303" s="1">
        <v>106.6</v>
      </c>
      <c r="C1303" s="1">
        <v>82</v>
      </c>
      <c r="E1303" s="1">
        <v>94</v>
      </c>
      <c r="F1303" s="25">
        <v>8016</v>
      </c>
    </row>
    <row r="1304" spans="1:8" x14ac:dyDescent="0.45">
      <c r="A1304" s="1" t="s">
        <v>1264</v>
      </c>
      <c r="B1304" s="1">
        <v>5</v>
      </c>
      <c r="C1304" s="1">
        <v>999</v>
      </c>
      <c r="E1304" s="1">
        <v>4718</v>
      </c>
      <c r="F1304" s="25">
        <v>23566</v>
      </c>
    </row>
    <row r="1305" spans="1:8" x14ac:dyDescent="0.45">
      <c r="A1305" s="1" t="s">
        <v>1291</v>
      </c>
      <c r="B1305" s="1">
        <v>0.22</v>
      </c>
      <c r="C1305" s="1">
        <v>79</v>
      </c>
      <c r="E1305" s="1">
        <v>8000</v>
      </c>
      <c r="F1305" s="25">
        <v>1400</v>
      </c>
    </row>
    <row r="1306" spans="1:8" x14ac:dyDescent="0.45">
      <c r="A1306" s="1" t="s">
        <v>1361</v>
      </c>
      <c r="B1306" s="1">
        <v>29.27</v>
      </c>
      <c r="E1306" s="1">
        <v>105.6</v>
      </c>
      <c r="F1306" s="25">
        <f>B1306*E1306</f>
        <v>3090.9119999999998</v>
      </c>
    </row>
    <row r="1307" spans="1:8" x14ac:dyDescent="0.45">
      <c r="A1307" s="1" t="s">
        <v>1363</v>
      </c>
      <c r="B1307" s="1">
        <v>24.55</v>
      </c>
      <c r="C1307" s="1">
        <v>82</v>
      </c>
      <c r="E1307" s="1">
        <v>90.6</v>
      </c>
      <c r="F1307" s="25">
        <f>(((B1307*C1307)/100)*E1307)</f>
        <v>1823.8686</v>
      </c>
    </row>
    <row r="1308" spans="1:8" x14ac:dyDescent="0.45">
      <c r="A1308" s="1" t="s">
        <v>1364</v>
      </c>
      <c r="B1308" s="1">
        <v>0.27</v>
      </c>
      <c r="C1308" s="1">
        <v>79</v>
      </c>
      <c r="E1308" s="1">
        <v>8000</v>
      </c>
      <c r="F1308" s="25">
        <v>1850</v>
      </c>
    </row>
    <row r="1309" spans="1:8" x14ac:dyDescent="0.45">
      <c r="A1309" s="1" t="s">
        <v>1368</v>
      </c>
      <c r="B1309" s="1">
        <v>3.96</v>
      </c>
      <c r="C1309" s="1">
        <v>89</v>
      </c>
      <c r="E1309" s="1">
        <v>6016</v>
      </c>
      <c r="F1309" s="25">
        <v>21280</v>
      </c>
    </row>
    <row r="1310" spans="1:8" x14ac:dyDescent="0.45">
      <c r="A1310" s="1" t="s">
        <v>1373</v>
      </c>
      <c r="B1310" s="1">
        <v>3.82</v>
      </c>
      <c r="C1310" s="1">
        <v>99.9</v>
      </c>
      <c r="F1310" s="25">
        <v>23000</v>
      </c>
    </row>
    <row r="1311" spans="1:8" x14ac:dyDescent="0.45">
      <c r="A1311" s="1" t="s">
        <v>1375</v>
      </c>
      <c r="B1311" s="1">
        <v>16</v>
      </c>
      <c r="D1311" s="1">
        <v>300</v>
      </c>
      <c r="E1311" s="1">
        <v>1100</v>
      </c>
      <c r="F1311" s="25">
        <f>D1311+E1311</f>
        <v>1400</v>
      </c>
    </row>
    <row r="1312" spans="1:8" x14ac:dyDescent="0.45">
      <c r="A1312" s="1" t="s">
        <v>1376</v>
      </c>
      <c r="B1312" s="1">
        <v>8.1</v>
      </c>
      <c r="F1312" s="25">
        <v>51500</v>
      </c>
    </row>
    <row r="1313" spans="1:8" x14ac:dyDescent="0.45">
      <c r="A1313" s="1" t="s">
        <v>1504</v>
      </c>
      <c r="B1313" s="1">
        <v>23</v>
      </c>
      <c r="F1313" s="25">
        <v>1750</v>
      </c>
    </row>
    <row r="1314" spans="1:8" x14ac:dyDescent="0.45">
      <c r="A1314" s="1" t="s">
        <v>1513</v>
      </c>
      <c r="B1314" s="1">
        <v>2.08</v>
      </c>
      <c r="F1314" s="25">
        <v>15100</v>
      </c>
    </row>
    <row r="1315" spans="1:8" x14ac:dyDescent="0.45">
      <c r="A1315" s="1" t="s">
        <v>1517</v>
      </c>
      <c r="B1315" s="1">
        <v>0.74</v>
      </c>
      <c r="F1315" s="25">
        <v>5700</v>
      </c>
    </row>
    <row r="1316" spans="1:8" x14ac:dyDescent="0.45">
      <c r="A1316" s="1" t="s">
        <v>1518</v>
      </c>
      <c r="B1316" s="1">
        <v>42</v>
      </c>
      <c r="F1316" s="25">
        <v>3450</v>
      </c>
    </row>
    <row r="1317" spans="1:8" x14ac:dyDescent="0.45">
      <c r="A1317" s="1" t="s">
        <v>1521</v>
      </c>
      <c r="B1317" s="1">
        <v>0.21</v>
      </c>
      <c r="F1317" s="25">
        <v>0</v>
      </c>
    </row>
    <row r="1318" spans="1:8" x14ac:dyDescent="0.45">
      <c r="A1318" s="1" t="s">
        <v>1522</v>
      </c>
      <c r="B1318" s="1">
        <v>69.5</v>
      </c>
      <c r="F1318" s="25">
        <v>5300</v>
      </c>
    </row>
    <row r="1319" spans="1:8" x14ac:dyDescent="0.45">
      <c r="A1319" s="1" t="s">
        <v>1530</v>
      </c>
      <c r="B1319" s="1">
        <v>81</v>
      </c>
      <c r="C1319" s="1">
        <v>80.650000000000006</v>
      </c>
      <c r="E1319" s="1">
        <v>90</v>
      </c>
      <c r="F1319" s="25">
        <f>B1319*C1319/100*E1319</f>
        <v>5879.3850000000011</v>
      </c>
      <c r="H1319" s="98"/>
    </row>
    <row r="1320" spans="1:8" x14ac:dyDescent="0.45">
      <c r="A1320" s="1" t="s">
        <v>1529</v>
      </c>
      <c r="B1320" s="1">
        <v>46.38</v>
      </c>
      <c r="C1320" s="1">
        <v>80.650000000000006</v>
      </c>
      <c r="D1320" s="1">
        <v>35</v>
      </c>
      <c r="E1320" s="1">
        <v>90</v>
      </c>
      <c r="F1320" s="25">
        <f>(C1320*E1320/100+D1320)*B1320</f>
        <v>4989.792300000001</v>
      </c>
    </row>
    <row r="1321" spans="1:8" x14ac:dyDescent="0.45">
      <c r="A1321" s="12" t="s">
        <v>1542</v>
      </c>
      <c r="B1321" s="13">
        <v>60.45</v>
      </c>
      <c r="C1321" s="14">
        <v>80.650000000000006</v>
      </c>
      <c r="D1321" s="37">
        <v>-31.75</v>
      </c>
      <c r="E1321" s="15">
        <v>90</v>
      </c>
      <c r="F1321" s="24">
        <f>(C1321*E1321/100+G1321)*B1321</f>
        <v>4992.2632500000009</v>
      </c>
      <c r="G1321" s="71">
        <v>10</v>
      </c>
    </row>
    <row r="1322" spans="1:8" x14ac:dyDescent="0.45">
      <c r="A1322" s="1" t="s">
        <v>1555</v>
      </c>
      <c r="B1322" s="1">
        <v>9.85</v>
      </c>
      <c r="C1322" s="14">
        <v>80.650000000000006</v>
      </c>
      <c r="E1322" s="15">
        <v>90</v>
      </c>
      <c r="F1322" s="25">
        <f>C1322*E1322/100*B1322</f>
        <v>714.96225000000004</v>
      </c>
    </row>
    <row r="1323" spans="1:8" x14ac:dyDescent="0.45">
      <c r="A1323" s="1" t="s">
        <v>1570</v>
      </c>
      <c r="B1323" s="1">
        <v>55.2</v>
      </c>
      <c r="F1323" s="25">
        <v>2600</v>
      </c>
    </row>
    <row r="1324" spans="1:8" x14ac:dyDescent="0.45">
      <c r="A1324" s="1" t="s">
        <v>1596</v>
      </c>
      <c r="B1324" s="1">
        <v>19.899999999999999</v>
      </c>
      <c r="C1324" s="1">
        <v>1000</v>
      </c>
      <c r="E1324" s="1">
        <v>94.7</v>
      </c>
      <c r="F1324" s="25">
        <v>1935</v>
      </c>
      <c r="G1324" s="1">
        <v>2.5</v>
      </c>
    </row>
    <row r="1325" spans="1:8" x14ac:dyDescent="0.45">
      <c r="A1325" s="1" t="s">
        <v>1659</v>
      </c>
      <c r="B1325" s="1">
        <v>139</v>
      </c>
      <c r="F1325" s="25">
        <v>11700</v>
      </c>
    </row>
    <row r="1326" spans="1:8" x14ac:dyDescent="0.45">
      <c r="A1326" s="1" t="s">
        <v>1666</v>
      </c>
      <c r="B1326" s="1">
        <v>1.9</v>
      </c>
      <c r="F1326" s="25">
        <v>9700</v>
      </c>
    </row>
    <row r="1327" spans="1:8" x14ac:dyDescent="0.45">
      <c r="A1327" s="1" t="s">
        <v>1674</v>
      </c>
      <c r="B1327" s="1">
        <v>59.74</v>
      </c>
      <c r="F1327" s="25">
        <v>354345</v>
      </c>
    </row>
    <row r="1328" spans="1:8" x14ac:dyDescent="0.45">
      <c r="A1328" s="1" t="s">
        <v>1678</v>
      </c>
      <c r="B1328" s="1">
        <v>1.1399999999999999</v>
      </c>
      <c r="F1328" s="25">
        <v>3200</v>
      </c>
    </row>
    <row r="1329" spans="1:6" x14ac:dyDescent="0.45">
      <c r="A1329" s="1" t="s">
        <v>1687</v>
      </c>
      <c r="B1329" s="1">
        <v>4</v>
      </c>
      <c r="C1329" s="1">
        <v>92</v>
      </c>
      <c r="E1329" s="1">
        <v>8835</v>
      </c>
      <c r="F1329" s="25">
        <v>35280</v>
      </c>
    </row>
    <row r="1330" spans="1:6" x14ac:dyDescent="0.45">
      <c r="A1330" s="1" t="s">
        <v>1689</v>
      </c>
      <c r="B1330" s="1">
        <v>3.7</v>
      </c>
      <c r="C1330" s="1">
        <v>60</v>
      </c>
      <c r="E1330" s="1">
        <v>6050</v>
      </c>
      <c r="F1330" s="25">
        <v>13431</v>
      </c>
    </row>
    <row r="1331" spans="1:6" x14ac:dyDescent="0.45">
      <c r="A1331" s="1" t="s">
        <v>1693</v>
      </c>
      <c r="F1331" s="25">
        <v>0</v>
      </c>
    </row>
    <row r="1332" spans="1:6" x14ac:dyDescent="0.45">
      <c r="A1332" s="1" t="s">
        <v>1694</v>
      </c>
      <c r="B1332" s="1">
        <v>2.165</v>
      </c>
      <c r="C1332" s="1">
        <v>92</v>
      </c>
      <c r="E1332" s="1">
        <v>8700</v>
      </c>
      <c r="F1332" s="25">
        <v>15000</v>
      </c>
    </row>
    <row r="1333" spans="1:6" x14ac:dyDescent="0.45">
      <c r="A1333" s="1" t="s">
        <v>1695</v>
      </c>
      <c r="B1333" s="1">
        <v>45.7</v>
      </c>
      <c r="E1333" s="1">
        <v>6418</v>
      </c>
      <c r="F1333" s="25">
        <v>270000</v>
      </c>
    </row>
    <row r="1334" spans="1:6" x14ac:dyDescent="0.45">
      <c r="A1334" s="1" t="s">
        <v>1697</v>
      </c>
      <c r="B1334" s="1">
        <v>18.059999999999999</v>
      </c>
      <c r="F1334" s="25">
        <v>114260</v>
      </c>
    </row>
    <row r="1335" spans="1:6" x14ac:dyDescent="0.45">
      <c r="A1335" s="1" t="s">
        <v>1696</v>
      </c>
      <c r="B1335" s="1">
        <v>16.05</v>
      </c>
      <c r="F1335" s="25">
        <v>118000</v>
      </c>
    </row>
    <row r="1336" spans="1:6" x14ac:dyDescent="0.45">
      <c r="A1336" s="1" t="s">
        <v>1708</v>
      </c>
      <c r="B1336" s="1">
        <v>2.2200000000000002</v>
      </c>
      <c r="E1336" s="1">
        <v>8356</v>
      </c>
      <c r="F1336" s="25">
        <f>B1336*E1336</f>
        <v>18550.320000000003</v>
      </c>
    </row>
    <row r="1337" spans="1:6" x14ac:dyDescent="0.45">
      <c r="A1337" s="1" t="s">
        <v>1723</v>
      </c>
      <c r="F1337" s="25">
        <v>515</v>
      </c>
    </row>
    <row r="1338" spans="1:6" x14ac:dyDescent="0.45">
      <c r="A1338" s="1" t="s">
        <v>1728</v>
      </c>
      <c r="B1338" s="1">
        <v>57</v>
      </c>
      <c r="F1338" s="25">
        <v>4430</v>
      </c>
    </row>
    <row r="1339" spans="1:6" x14ac:dyDescent="0.45">
      <c r="A1339" s="1" t="s">
        <v>1749</v>
      </c>
      <c r="B1339" s="1">
        <v>2.1</v>
      </c>
      <c r="C1339" s="1">
        <v>90</v>
      </c>
      <c r="E1339" s="1">
        <v>8990</v>
      </c>
      <c r="F1339" s="25">
        <v>17350</v>
      </c>
    </row>
    <row r="1340" spans="1:6" x14ac:dyDescent="0.45">
      <c r="A1340" s="1" t="s">
        <v>1750</v>
      </c>
      <c r="B1340" s="1">
        <v>2</v>
      </c>
      <c r="C1340" s="1">
        <v>999</v>
      </c>
      <c r="E1340" s="1">
        <v>9250</v>
      </c>
      <c r="F1340" s="25">
        <v>18500</v>
      </c>
    </row>
    <row r="1341" spans="1:6" x14ac:dyDescent="0.45">
      <c r="A1341" s="1" t="s">
        <v>1767</v>
      </c>
      <c r="B1341" s="1">
        <v>16.27</v>
      </c>
      <c r="F1341" s="25">
        <v>117000</v>
      </c>
    </row>
    <row r="1342" spans="1:6" x14ac:dyDescent="0.45">
      <c r="A1342" s="1" t="s">
        <v>1771</v>
      </c>
      <c r="B1342" s="1">
        <v>1.7</v>
      </c>
      <c r="F1342" s="25">
        <v>10300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sheetPr codeName="Sheet2"/>
  <dimension ref="A1:AM538"/>
  <sheetViews>
    <sheetView tabSelected="1" topLeftCell="A520" zoomScale="85" zoomScaleNormal="85" workbookViewId="0">
      <selection activeCell="L539" sqref="L539"/>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18" customWidth="1"/>
    <col min="5" max="5" width="12.33203125" style="22" customWidth="1"/>
    <col min="6" max="6" width="10.88671875" style="1" customWidth="1"/>
    <col min="7" max="7" width="9.77734375" style="1" customWidth="1"/>
    <col min="8" max="8" width="15.88671875" style="19" bestFit="1" customWidth="1"/>
    <col min="9" max="9" width="21.88671875" style="19" customWidth="1"/>
    <col min="10" max="10" width="14.88671875" style="1" customWidth="1"/>
    <col min="11" max="11" width="11" style="1" customWidth="1"/>
    <col min="12" max="12" width="18.5546875" style="71"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2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05"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37" bestFit="1" customWidth="1"/>
    <col min="32" max="32" width="12.5546875" style="1" bestFit="1" customWidth="1"/>
    <col min="33" max="33" width="17.21875" style="1" bestFit="1" customWidth="1"/>
    <col min="34" max="34" width="8.5546875" style="1"/>
    <col min="35" max="35" width="30.88671875"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21" t="s">
        <v>695</v>
      </c>
      <c r="B1" s="28" t="s">
        <v>696</v>
      </c>
      <c r="C1" s="28" t="s">
        <v>697</v>
      </c>
      <c r="D1" s="29" t="s">
        <v>698</v>
      </c>
      <c r="E1" s="30" t="s">
        <v>1</v>
      </c>
      <c r="F1" s="28" t="s">
        <v>2</v>
      </c>
      <c r="G1" s="28" t="s">
        <v>3</v>
      </c>
      <c r="H1" s="31" t="s">
        <v>699</v>
      </c>
      <c r="I1" s="31" t="s">
        <v>700</v>
      </c>
      <c r="J1" s="32" t="s">
        <v>701</v>
      </c>
      <c r="K1" s="33" t="s">
        <v>702</v>
      </c>
      <c r="L1" s="34" t="s">
        <v>703</v>
      </c>
      <c r="M1" s="35" t="s">
        <v>704</v>
      </c>
      <c r="N1" s="28" t="s">
        <v>705</v>
      </c>
      <c r="O1" s="28" t="s">
        <v>706</v>
      </c>
      <c r="P1" s="28" t="s">
        <v>707</v>
      </c>
      <c r="Q1" s="28" t="s">
        <v>708</v>
      </c>
      <c r="R1" s="61" t="s">
        <v>709</v>
      </c>
      <c r="S1" s="66"/>
      <c r="T1" s="67" t="s">
        <v>710</v>
      </c>
      <c r="U1" s="63" t="s">
        <v>711</v>
      </c>
      <c r="V1" s="63" t="s">
        <v>712</v>
      </c>
      <c r="W1" s="63" t="s">
        <v>713</v>
      </c>
      <c r="X1" s="63" t="s">
        <v>714</v>
      </c>
      <c r="Y1" s="63" t="s">
        <v>715</v>
      </c>
      <c r="Z1" s="64" t="s">
        <v>716</v>
      </c>
    </row>
    <row r="2" spans="1:39" x14ac:dyDescent="0.45">
      <c r="A2" s="16">
        <v>45507</v>
      </c>
      <c r="B2" s="2" t="str">
        <f>C2&amp;D2</f>
        <v>G-RING-B7</v>
      </c>
      <c r="C2" s="2" t="s">
        <v>719</v>
      </c>
      <c r="D2" s="49">
        <v>7</v>
      </c>
      <c r="E2" s="50">
        <f>VLOOKUP(B2,'ALL-DATA'!A:F,2,FALSE)</f>
        <v>4.03</v>
      </c>
      <c r="F2" s="2">
        <f>VLOOKUP(B2,'ALL-DATA'!A:F,3,FALSE)</f>
        <v>95.5</v>
      </c>
      <c r="G2" s="2">
        <f>VLOOKUP(B2,'ALL-DATA'!A:F,4,FALSE)</f>
        <v>-3.5</v>
      </c>
      <c r="H2" s="39">
        <f>VLOOKUP(B2,'ALL-DATA'!A:F,5,FALSE)</f>
        <v>7218.2</v>
      </c>
      <c r="I2" s="39">
        <f>VLOOKUP(B2,'ALL-DATA'!A:F,6,FALSE)</f>
        <v>27780.325430000001</v>
      </c>
      <c r="J2" s="2">
        <v>29100</v>
      </c>
      <c r="K2" s="45"/>
      <c r="L2" s="51">
        <f>((J2+R2)-I2)</f>
        <v>1288.4889699999985</v>
      </c>
      <c r="M2" s="27">
        <v>11.4</v>
      </c>
      <c r="N2" s="2">
        <v>63</v>
      </c>
      <c r="O2" s="2">
        <v>80</v>
      </c>
      <c r="P2" s="27">
        <f>(((M2-(M2*1%))*N2)/100)*O2</f>
        <v>568.81440000000009</v>
      </c>
      <c r="Q2" s="2">
        <v>600</v>
      </c>
      <c r="R2" s="62">
        <f>(P2-Q2)</f>
        <v>-31.185599999999909</v>
      </c>
      <c r="S2" s="36"/>
      <c r="T2" s="146">
        <f>SUM(J2:J532)</f>
        <v>4371205</v>
      </c>
      <c r="U2" s="146">
        <f>SUM(J2:J532)</f>
        <v>4371205</v>
      </c>
      <c r="V2" s="147">
        <f>SUM(L2:L32)</f>
        <v>42959.546115000026</v>
      </c>
      <c r="W2" s="147">
        <f>SUM(W5:W13)</f>
        <v>446781</v>
      </c>
      <c r="X2" s="147">
        <f>Table10[[#This Row],[CUST TO GIVE]]-Table10[[#This Row],[SELAVU ]]</f>
        <v>3924424</v>
      </c>
      <c r="Y2" s="303" t="s">
        <v>1661</v>
      </c>
      <c r="Z2" s="304">
        <v>80750</v>
      </c>
      <c r="AA2" s="71"/>
      <c r="AB2" s="59" t="s">
        <v>819</v>
      </c>
      <c r="AC2" s="59">
        <v>123000</v>
      </c>
      <c r="AE2" s="60" t="s">
        <v>850</v>
      </c>
      <c r="AF2" s="107">
        <v>1.3</v>
      </c>
      <c r="AG2" s="60">
        <v>5500</v>
      </c>
      <c r="AI2" s="153" t="s">
        <v>976</v>
      </c>
      <c r="AJ2" s="234">
        <v>15392</v>
      </c>
    </row>
    <row r="3" spans="1:39" x14ac:dyDescent="0.45">
      <c r="A3" s="17">
        <v>45507</v>
      </c>
      <c r="B3" s="2" t="str">
        <f>C3&amp;D3</f>
        <v>G-CHAIN-ORDER-03-08</v>
      </c>
      <c r="C3" s="2" t="s">
        <v>743</v>
      </c>
      <c r="D3" s="49" t="s">
        <v>772</v>
      </c>
      <c r="E3" s="50">
        <f>VLOOKUP(B3,'ALL-DATA'!A:F,2,FALSE)</f>
        <v>24.16</v>
      </c>
      <c r="F3" s="2">
        <f>VLOOKUP(B3,'ALL-DATA'!A:F,3,FALSE)</f>
        <v>97.5</v>
      </c>
      <c r="G3" s="2">
        <f>VLOOKUP(B3,'ALL-DATA'!A:F,4,FALSE)</f>
        <v>5.5</v>
      </c>
      <c r="H3" s="39">
        <f>VLOOKUP(B3,'ALL-DATA'!A:F,5,FALSE)</f>
        <v>7059</v>
      </c>
      <c r="I3" s="39">
        <f>VLOOKUP(B3,'ALL-DATA'!A:F,6,FALSE)</f>
        <v>166281.80399999997</v>
      </c>
      <c r="J3" s="133">
        <v>176460</v>
      </c>
      <c r="K3" s="46"/>
      <c r="L3" s="51">
        <f t="shared" ref="L3:L25" si="0">((J3+R3)-I3)</f>
        <v>10178.196000000025</v>
      </c>
      <c r="M3" s="27"/>
      <c r="N3" s="2">
        <v>63</v>
      </c>
      <c r="O3" s="2"/>
      <c r="P3" s="27">
        <f t="shared" ref="P3:P50" si="1">(((M3-(M3*1%))*N3)/100)*O3</f>
        <v>0</v>
      </c>
      <c r="Q3" s="2"/>
      <c r="R3" s="62">
        <f t="shared" ref="R3:R50" si="2">(P3-Q3)</f>
        <v>0</v>
      </c>
      <c r="S3" s="36"/>
      <c r="T3" s="148"/>
      <c r="U3" s="149"/>
      <c r="V3" s="149"/>
      <c r="W3" s="149"/>
      <c r="X3" s="149"/>
      <c r="Y3" s="129"/>
      <c r="Z3" s="130"/>
      <c r="AA3" s="71"/>
      <c r="AB3" s="58" t="s">
        <v>820</v>
      </c>
      <c r="AC3" s="58">
        <v>86800</v>
      </c>
      <c r="AE3" s="130" t="s">
        <v>813</v>
      </c>
      <c r="AF3" s="129">
        <v>4</v>
      </c>
      <c r="AG3" s="130">
        <v>200</v>
      </c>
      <c r="AI3" s="56" t="s">
        <v>1157</v>
      </c>
      <c r="AJ3" s="56">
        <v>20381</v>
      </c>
      <c r="AL3" s="139" t="s">
        <v>977</v>
      </c>
      <c r="AM3" s="141">
        <v>400554.4</v>
      </c>
    </row>
    <row r="4" spans="1:39" ht="21.6" customHeight="1" x14ac:dyDescent="0.45">
      <c r="A4" s="16">
        <v>45508</v>
      </c>
      <c r="B4" s="2" t="str">
        <f t="shared" ref="B4:B32" si="3">C4&amp;D4</f>
        <v>S-KAPPU-N-4</v>
      </c>
      <c r="C4" s="2" t="s">
        <v>739</v>
      </c>
      <c r="D4" s="49" t="s">
        <v>773</v>
      </c>
      <c r="E4" s="50">
        <f>VLOOKUP(B4,'ALL-DATA'!A:F,2,FALSE)</f>
        <v>26.8</v>
      </c>
      <c r="F4" s="2">
        <f>VLOOKUP(B4,'ALL-DATA'!A:F,3,FALSE)</f>
        <v>85</v>
      </c>
      <c r="G4" s="2">
        <f>VLOOKUP(B4,'ALL-DATA'!A:F,4,FALSE)</f>
        <v>-64</v>
      </c>
      <c r="H4" s="39">
        <f>VLOOKUP(B4,'ALL-DATA'!A:F,5,FALSE)</f>
        <v>89</v>
      </c>
      <c r="I4" s="39">
        <f>VLOOKUP(B4,'ALL-DATA'!A:F,6,FALSE)</f>
        <v>2027.42</v>
      </c>
      <c r="J4" s="2">
        <v>2550</v>
      </c>
      <c r="K4" s="45"/>
      <c r="L4" s="51">
        <f t="shared" si="0"/>
        <v>522.57999999999993</v>
      </c>
      <c r="M4" s="27"/>
      <c r="N4" s="2">
        <v>63</v>
      </c>
      <c r="O4" s="2"/>
      <c r="P4" s="27">
        <f t="shared" si="1"/>
        <v>0</v>
      </c>
      <c r="Q4" s="2"/>
      <c r="R4" s="62">
        <f t="shared" si="2"/>
        <v>0</v>
      </c>
      <c r="S4" s="36"/>
      <c r="T4" s="150"/>
      <c r="U4" s="151"/>
      <c r="V4" s="151"/>
      <c r="W4" s="151"/>
      <c r="X4" s="151"/>
      <c r="Y4" s="129"/>
      <c r="Z4" s="130"/>
      <c r="AA4" s="71"/>
      <c r="AB4" s="72" t="s">
        <v>821</v>
      </c>
      <c r="AC4" s="57">
        <v>9000</v>
      </c>
      <c r="AE4" s="2" t="s">
        <v>851</v>
      </c>
      <c r="AF4" s="107">
        <v>0.67</v>
      </c>
      <c r="AG4" s="58">
        <v>1750</v>
      </c>
      <c r="AL4" s="140" t="s">
        <v>983</v>
      </c>
      <c r="AM4" s="141">
        <v>453830</v>
      </c>
    </row>
    <row r="5" spans="1:39" ht="24" customHeight="1" x14ac:dyDescent="0.45">
      <c r="A5" s="17">
        <v>45508</v>
      </c>
      <c r="B5" s="2" t="str">
        <f t="shared" si="3"/>
        <v>S-RING-15</v>
      </c>
      <c r="C5" s="2" t="s">
        <v>731</v>
      </c>
      <c r="D5" s="49" t="s">
        <v>774</v>
      </c>
      <c r="E5" s="50">
        <f>VLOOKUP(B5,'ALL-DATA'!A:F,2,FALSE)</f>
        <v>2.2999999999999998</v>
      </c>
      <c r="F5" s="2">
        <f>VLOOKUP(B5,'ALL-DATA'!A:F,3,FALSE)</f>
        <v>92.5</v>
      </c>
      <c r="G5" s="2">
        <f>VLOOKUP(B5,'ALL-DATA'!A:F,4,FALSE)</f>
        <v>92.5</v>
      </c>
      <c r="H5" s="39">
        <f>VLOOKUP(B5,'ALL-DATA'!A:F,5,FALSE)</f>
        <v>140</v>
      </c>
      <c r="I5" s="39">
        <f>VLOOKUP(B5,'ALL-DATA'!A:F,6,FALSE)</f>
        <v>322</v>
      </c>
      <c r="J5" s="2">
        <v>500</v>
      </c>
      <c r="K5" s="45"/>
      <c r="L5" s="51">
        <f t="shared" si="0"/>
        <v>178</v>
      </c>
      <c r="M5" s="27"/>
      <c r="N5" s="2">
        <v>63</v>
      </c>
      <c r="O5" s="2"/>
      <c r="P5" s="27">
        <f t="shared" si="1"/>
        <v>0</v>
      </c>
      <c r="Q5" s="2"/>
      <c r="R5" s="62">
        <f t="shared" si="2"/>
        <v>0</v>
      </c>
      <c r="S5" s="36"/>
      <c r="T5" s="152" t="s">
        <v>814</v>
      </c>
      <c r="U5" s="56" t="s">
        <v>815</v>
      </c>
      <c r="V5" s="56" t="s">
        <v>817</v>
      </c>
      <c r="W5" s="56">
        <v>20381</v>
      </c>
      <c r="Y5" s="129"/>
      <c r="Z5" s="130"/>
      <c r="AA5" s="71"/>
      <c r="AB5" s="58" t="s">
        <v>822</v>
      </c>
      <c r="AC5" s="58">
        <v>18530</v>
      </c>
      <c r="AE5" s="128" t="s">
        <v>852</v>
      </c>
      <c r="AF5" s="129">
        <v>29.98</v>
      </c>
      <c r="AG5" s="130">
        <v>700</v>
      </c>
      <c r="AL5" s="139" t="s">
        <v>978</v>
      </c>
      <c r="AM5" s="141">
        <v>54295.11</v>
      </c>
    </row>
    <row r="6" spans="1:39" x14ac:dyDescent="0.45">
      <c r="A6" s="16">
        <v>45508</v>
      </c>
      <c r="B6" s="2" t="str">
        <f t="shared" si="3"/>
        <v>S-RING-203</v>
      </c>
      <c r="C6" s="2" t="s">
        <v>731</v>
      </c>
      <c r="D6" s="49" t="s">
        <v>775</v>
      </c>
      <c r="E6" s="50">
        <f>VLOOKUP(B6,'ALL-DATA'!A:F,2,FALSE)</f>
        <v>1.25</v>
      </c>
      <c r="F6" s="2">
        <f>VLOOKUP(B6,'ALL-DATA'!A:F,3,FALSE)</f>
        <v>92.5</v>
      </c>
      <c r="G6" s="2">
        <f>VLOOKUP(B6,'ALL-DATA'!A:F,4,FALSE)</f>
        <v>92.5</v>
      </c>
      <c r="H6" s="39">
        <f>VLOOKUP(B6,'ALL-DATA'!A:F,5,FALSE)</f>
        <v>131.65</v>
      </c>
      <c r="I6" s="39">
        <f>VLOOKUP(B6,'ALL-DATA'!A:F,6,FALSE)</f>
        <v>164.5625</v>
      </c>
      <c r="J6" s="2">
        <v>300</v>
      </c>
      <c r="K6" s="45"/>
      <c r="L6" s="51">
        <f t="shared" si="0"/>
        <v>135.4375</v>
      </c>
      <c r="M6" s="27"/>
      <c r="N6" s="2">
        <v>63</v>
      </c>
      <c r="O6" s="2"/>
      <c r="P6" s="27">
        <f t="shared" si="1"/>
        <v>0</v>
      </c>
      <c r="Q6" s="2"/>
      <c r="R6" s="62">
        <f t="shared" si="2"/>
        <v>0</v>
      </c>
      <c r="S6" s="36"/>
      <c r="T6" s="154" t="s">
        <v>878</v>
      </c>
      <c r="U6" s="155">
        <v>400</v>
      </c>
      <c r="V6" s="56" t="s">
        <v>814</v>
      </c>
      <c r="W6" s="56">
        <f>SUM(U5:U14)</f>
        <v>27550</v>
      </c>
      <c r="Y6" s="129"/>
      <c r="Z6" s="130"/>
      <c r="AA6" s="71"/>
      <c r="AB6" s="57" t="s">
        <v>823</v>
      </c>
      <c r="AC6" s="57">
        <v>28700</v>
      </c>
      <c r="AE6" s="108" t="s">
        <v>865</v>
      </c>
      <c r="AF6" s="107">
        <v>56.89</v>
      </c>
      <c r="AG6" s="58">
        <v>2800</v>
      </c>
      <c r="AL6" s="139" t="s">
        <v>979</v>
      </c>
      <c r="AM6" s="142">
        <v>15392</v>
      </c>
    </row>
    <row r="7" spans="1:39" x14ac:dyDescent="0.45">
      <c r="A7" s="17">
        <v>45508</v>
      </c>
      <c r="B7" s="2" t="str">
        <f t="shared" si="3"/>
        <v>S-CHAIN-N-50</v>
      </c>
      <c r="C7" s="2" t="s">
        <v>732</v>
      </c>
      <c r="D7" s="49" t="s">
        <v>776</v>
      </c>
      <c r="E7" s="50">
        <f>VLOOKUP(B7,'ALL-DATA'!A:F,2,FALSE)</f>
        <v>16.5</v>
      </c>
      <c r="F7" s="2">
        <f>VLOOKUP(B7,'ALL-DATA'!A:F,3,FALSE)</f>
        <v>86</v>
      </c>
      <c r="G7" s="2">
        <f>VLOOKUP(B7,'ALL-DATA'!A:F,4,FALSE)</f>
        <v>-21</v>
      </c>
      <c r="H7" s="39">
        <f>VLOOKUP(B7,'ALL-DATA'!A:F,5,FALSE)</f>
        <v>94.8</v>
      </c>
      <c r="I7" s="39">
        <f>VLOOKUP(B7,'ALL-DATA'!A:F,6,FALSE)</f>
        <v>1345.212</v>
      </c>
      <c r="J7" s="133">
        <v>1700</v>
      </c>
      <c r="K7" s="46"/>
      <c r="L7" s="51">
        <f t="shared" si="0"/>
        <v>354.78800000000001</v>
      </c>
      <c r="M7" s="27"/>
      <c r="N7" s="2">
        <v>63</v>
      </c>
      <c r="O7" s="2"/>
      <c r="P7" s="27">
        <f t="shared" si="1"/>
        <v>0</v>
      </c>
      <c r="Q7" s="2"/>
      <c r="R7" s="62">
        <f t="shared" si="2"/>
        <v>0</v>
      </c>
      <c r="S7" s="36"/>
      <c r="T7" s="150" t="s">
        <v>880</v>
      </c>
      <c r="U7" s="167">
        <v>600</v>
      </c>
      <c r="V7" s="56" t="s">
        <v>716</v>
      </c>
      <c r="W7" s="56">
        <f>SUM(Z:Z)</f>
        <v>124550</v>
      </c>
      <c r="X7" s="149"/>
      <c r="Y7" s="129"/>
      <c r="Z7" s="130"/>
      <c r="AA7" s="71"/>
      <c r="AB7" s="60" t="s">
        <v>824</v>
      </c>
      <c r="AC7" s="60">
        <v>27300</v>
      </c>
      <c r="AE7" s="128" t="s">
        <v>870</v>
      </c>
      <c r="AF7" s="129">
        <v>0.97</v>
      </c>
      <c r="AG7" s="130">
        <v>2300</v>
      </c>
      <c r="AL7" s="139" t="s">
        <v>980</v>
      </c>
      <c r="AM7" s="142">
        <v>16800</v>
      </c>
    </row>
    <row r="8" spans="1:39" x14ac:dyDescent="0.45">
      <c r="A8" s="16">
        <v>45508</v>
      </c>
      <c r="B8" s="2" t="s">
        <v>802</v>
      </c>
      <c r="C8" s="2"/>
      <c r="D8" s="49"/>
      <c r="E8" s="50">
        <f>VLOOKUP(B8,'ALL-DATA'!A:F,2,FALSE)</f>
        <v>0.39</v>
      </c>
      <c r="F8" s="2">
        <f>VLOOKUP(B8,'ALL-DATA'!A:F,3,FALSE)</f>
        <v>79</v>
      </c>
      <c r="G8" s="2">
        <f>VLOOKUP(B8,'ALL-DATA'!A:F,4,FALSE)</f>
        <v>14</v>
      </c>
      <c r="H8" s="39">
        <f>VLOOKUP(B8,'ALL-DATA'!A:F,5,FALSE)</f>
        <v>7300</v>
      </c>
      <c r="I8" s="39">
        <f>VLOOKUP(B8,'ALL-DATA'!A:F,6,FALSE)</f>
        <v>2249.13</v>
      </c>
      <c r="J8" s="2">
        <v>2990</v>
      </c>
      <c r="K8" s="45"/>
      <c r="L8" s="51">
        <f t="shared" si="0"/>
        <v>740.86999999999989</v>
      </c>
      <c r="M8" s="27"/>
      <c r="N8" s="2">
        <v>63</v>
      </c>
      <c r="O8" s="2"/>
      <c r="P8" s="27">
        <f t="shared" si="1"/>
        <v>0</v>
      </c>
      <c r="Q8" s="2"/>
      <c r="R8" s="62">
        <f t="shared" si="2"/>
        <v>0</v>
      </c>
      <c r="S8" s="36"/>
      <c r="T8" s="166" t="s">
        <v>1026</v>
      </c>
      <c r="U8" s="167">
        <v>6000</v>
      </c>
      <c r="V8" s="56" t="s">
        <v>818</v>
      </c>
      <c r="W8" s="56">
        <f>21000+3300</f>
        <v>24300</v>
      </c>
      <c r="X8" s="151"/>
      <c r="Y8" s="129"/>
      <c r="Z8" s="130"/>
      <c r="AA8" s="71"/>
      <c r="AB8" s="156" t="s">
        <v>825</v>
      </c>
      <c r="AC8" s="156">
        <v>12700</v>
      </c>
      <c r="AE8" s="108" t="s">
        <v>871</v>
      </c>
      <c r="AF8" s="107">
        <v>1.04</v>
      </c>
      <c r="AG8" s="58">
        <v>5800</v>
      </c>
      <c r="AL8" s="139" t="s">
        <v>981</v>
      </c>
      <c r="AM8" s="142">
        <v>17100</v>
      </c>
    </row>
    <row r="9" spans="1:39" x14ac:dyDescent="0.45">
      <c r="A9" s="17">
        <v>45509</v>
      </c>
      <c r="B9" s="2" t="str">
        <f t="shared" si="3"/>
        <v>G-STUD-20</v>
      </c>
      <c r="C9" s="2" t="s">
        <v>720</v>
      </c>
      <c r="D9" s="49" t="s">
        <v>777</v>
      </c>
      <c r="E9" s="50">
        <f>VLOOKUP(B9,'ALL-DATA'!A:F,2,FALSE)</f>
        <v>2.11</v>
      </c>
      <c r="F9" s="2">
        <f>VLOOKUP(B9,'ALL-DATA'!A:F,3,FALSE)</f>
        <v>97</v>
      </c>
      <c r="G9" s="2">
        <f>VLOOKUP(B9,'ALL-DATA'!A:F,4,FALSE)</f>
        <v>-5</v>
      </c>
      <c r="H9" s="39">
        <f>VLOOKUP(B9,'ALL-DATA'!A:F,5,FALSE)</f>
        <v>7218.2</v>
      </c>
      <c r="I9" s="39">
        <f>VLOOKUP(B9,'ALL-DATA'!A:F,6,FALSE)</f>
        <v>14773.489939999999</v>
      </c>
      <c r="J9" s="2">
        <v>15600</v>
      </c>
      <c r="K9" s="45"/>
      <c r="L9" s="51">
        <f t="shared" si="0"/>
        <v>826.51006000000052</v>
      </c>
      <c r="M9" s="27"/>
      <c r="N9" s="2">
        <v>63</v>
      </c>
      <c r="O9" s="2"/>
      <c r="P9" s="27">
        <f t="shared" si="1"/>
        <v>0</v>
      </c>
      <c r="Q9" s="2"/>
      <c r="R9" s="62">
        <f t="shared" si="2"/>
        <v>0</v>
      </c>
      <c r="S9" s="36"/>
      <c r="T9" s="150" t="s">
        <v>1090</v>
      </c>
      <c r="U9" s="151">
        <v>100</v>
      </c>
      <c r="V9" s="149"/>
      <c r="W9" s="149"/>
      <c r="X9" s="149"/>
      <c r="Y9" s="129"/>
      <c r="Z9" s="130"/>
      <c r="AA9" s="71"/>
      <c r="AB9" s="59" t="s">
        <v>826</v>
      </c>
      <c r="AC9" s="57">
        <v>4420</v>
      </c>
      <c r="AE9" s="151" t="s">
        <v>877</v>
      </c>
      <c r="AF9" s="159">
        <v>201.99</v>
      </c>
      <c r="AG9" s="160">
        <v>9300</v>
      </c>
      <c r="AL9" s="139" t="s">
        <v>982</v>
      </c>
      <c r="AM9" s="142">
        <v>470450</v>
      </c>
    </row>
    <row r="10" spans="1:39" x14ac:dyDescent="0.45">
      <c r="A10" s="16">
        <v>45509</v>
      </c>
      <c r="B10" s="2" t="str">
        <f t="shared" si="3"/>
        <v>S-CHAIN-N-53</v>
      </c>
      <c r="C10" s="2" t="s">
        <v>732</v>
      </c>
      <c r="D10" s="49" t="s">
        <v>778</v>
      </c>
      <c r="E10" s="50">
        <f>VLOOKUP(B10,'ALL-DATA'!A:F,2,FALSE)</f>
        <v>25</v>
      </c>
      <c r="F10" s="2">
        <f>VLOOKUP(B10,'ALL-DATA'!A:F,3,FALSE)</f>
        <v>86</v>
      </c>
      <c r="G10" s="2">
        <f>VLOOKUP(B10,'ALL-DATA'!A:F,4,FALSE)</f>
        <v>-21</v>
      </c>
      <c r="H10" s="39">
        <f>VLOOKUP(B10,'ALL-DATA'!A:F,5,FALSE)</f>
        <v>94.8</v>
      </c>
      <c r="I10" s="39">
        <f>VLOOKUP(B10,'ALL-DATA'!A:F,6,FALSE)</f>
        <v>2038.2</v>
      </c>
      <c r="J10" s="41">
        <v>2600</v>
      </c>
      <c r="K10" s="46">
        <v>600</v>
      </c>
      <c r="L10" s="51">
        <f t="shared" si="0"/>
        <v>561.79999999999995</v>
      </c>
      <c r="M10" s="27"/>
      <c r="N10" s="2">
        <v>63</v>
      </c>
      <c r="O10" s="2"/>
      <c r="P10" s="27">
        <f t="shared" si="1"/>
        <v>0</v>
      </c>
      <c r="Q10" s="2"/>
      <c r="R10" s="62">
        <f t="shared" si="2"/>
        <v>0</v>
      </c>
      <c r="S10" s="36"/>
      <c r="T10" s="150" t="s">
        <v>1161</v>
      </c>
      <c r="U10" s="151">
        <v>600</v>
      </c>
      <c r="V10" s="151"/>
      <c r="W10" s="151"/>
      <c r="X10" s="151"/>
      <c r="Y10" s="129"/>
      <c r="Z10" s="130"/>
      <c r="AA10" s="71"/>
      <c r="AB10" s="156" t="s">
        <v>849</v>
      </c>
      <c r="AC10" s="130">
        <v>12600</v>
      </c>
      <c r="AE10" s="149" t="s">
        <v>1085</v>
      </c>
      <c r="AF10" s="129">
        <v>3</v>
      </c>
      <c r="AG10" s="130">
        <v>16500</v>
      </c>
      <c r="AL10" s="139" t="s">
        <v>984</v>
      </c>
      <c r="AM10" s="142">
        <v>65869</v>
      </c>
    </row>
    <row r="11" spans="1:39" ht="24" customHeight="1" x14ac:dyDescent="0.45">
      <c r="A11" s="17">
        <v>45509</v>
      </c>
      <c r="B11" s="2" t="str">
        <f t="shared" si="3"/>
        <v>S-S-KOLUSU-74</v>
      </c>
      <c r="C11" s="2" t="s">
        <v>726</v>
      </c>
      <c r="D11" s="49" t="s">
        <v>779</v>
      </c>
      <c r="E11" s="50">
        <f>VLOOKUP(B11,'ALL-DATA'!A:F,2,FALSE)</f>
        <v>107.35</v>
      </c>
      <c r="F11" s="2">
        <f>VLOOKUP(B11,'ALL-DATA'!A:F,3,FALSE)</f>
        <v>82</v>
      </c>
      <c r="G11" s="2">
        <f>VLOOKUP(B11,'ALL-DATA'!A:F,4,FALSE)</f>
        <v>-17</v>
      </c>
      <c r="H11" s="39">
        <f>VLOOKUP(B11,'ALL-DATA'!A:F,5,FALSE)</f>
        <v>92</v>
      </c>
      <c r="I11" s="39">
        <f>VLOOKUP(B11,'ALL-DATA'!A:F,6,FALSE)</f>
        <v>8098.4839999999986</v>
      </c>
      <c r="J11" s="42">
        <v>10150</v>
      </c>
      <c r="K11" s="45"/>
      <c r="L11" s="51">
        <f t="shared" si="0"/>
        <v>2051.5160000000014</v>
      </c>
      <c r="M11" s="27"/>
      <c r="N11" s="2">
        <v>63</v>
      </c>
      <c r="O11" s="2"/>
      <c r="P11" s="27">
        <f t="shared" si="1"/>
        <v>0</v>
      </c>
      <c r="Q11" s="2"/>
      <c r="R11" s="62">
        <f t="shared" si="2"/>
        <v>0</v>
      </c>
      <c r="S11" s="36"/>
      <c r="T11" s="150" t="s">
        <v>1267</v>
      </c>
      <c r="U11" s="151">
        <v>300</v>
      </c>
      <c r="V11" s="236" t="s">
        <v>1214</v>
      </c>
      <c r="W11" s="237">
        <v>190000</v>
      </c>
      <c r="X11" s="149"/>
      <c r="Y11" s="129"/>
      <c r="Z11" s="130"/>
      <c r="AA11" s="71"/>
      <c r="AB11" s="117" t="s">
        <v>816</v>
      </c>
      <c r="AC11" s="118">
        <v>500</v>
      </c>
      <c r="AE11" s="151" t="s">
        <v>1088</v>
      </c>
      <c r="AF11" s="129">
        <v>1.04</v>
      </c>
      <c r="AG11" s="130">
        <v>5500</v>
      </c>
      <c r="AL11" s="144" t="s">
        <v>985</v>
      </c>
      <c r="AM11" s="145">
        <v>125823</v>
      </c>
    </row>
    <row r="12" spans="1:39" x14ac:dyDescent="0.45">
      <c r="A12" s="16">
        <v>45509</v>
      </c>
      <c r="B12" s="2" t="str">
        <f t="shared" si="3"/>
        <v>S-S-KOLUSU-11</v>
      </c>
      <c r="C12" s="2" t="s">
        <v>726</v>
      </c>
      <c r="D12" s="49" t="s">
        <v>780</v>
      </c>
      <c r="E12" s="50">
        <f>VLOOKUP(B12,'ALL-DATA'!A:F,2,FALSE)</f>
        <v>76.7</v>
      </c>
      <c r="F12" s="2">
        <f>VLOOKUP(B12,'ALL-DATA'!A:F,3,FALSE)</f>
        <v>76.5</v>
      </c>
      <c r="G12" s="2">
        <f>VLOOKUP(B12,'ALL-DATA'!A:F,4,FALSE)</f>
        <v>-11.5</v>
      </c>
      <c r="H12" s="39">
        <f>VLOOKUP(B12,'ALL-DATA'!A:F,5,FALSE)</f>
        <v>89.9</v>
      </c>
      <c r="I12" s="39">
        <f>VLOOKUP(B12,'ALL-DATA'!A:F,6,FALSE)</f>
        <v>5274.9274500000001</v>
      </c>
      <c r="J12" s="134">
        <v>7750</v>
      </c>
      <c r="K12" s="46"/>
      <c r="L12" s="51">
        <f>((J12+R12)-I12)-J13</f>
        <v>1093.0426600000001</v>
      </c>
      <c r="M12" s="27">
        <v>58.85</v>
      </c>
      <c r="N12" s="2">
        <v>63</v>
      </c>
      <c r="O12" s="2">
        <v>78</v>
      </c>
      <c r="P12" s="27">
        <f t="shared" si="1"/>
        <v>2862.9701099999997</v>
      </c>
      <c r="Q12" s="2">
        <v>3910</v>
      </c>
      <c r="R12" s="62">
        <f t="shared" si="2"/>
        <v>-1047.0298900000003</v>
      </c>
      <c r="S12" s="36"/>
      <c r="T12" s="148" t="s">
        <v>1268</v>
      </c>
      <c r="U12" s="149">
        <v>6850</v>
      </c>
      <c r="V12" s="236" t="s">
        <v>1214</v>
      </c>
      <c r="W12" s="237">
        <v>60000</v>
      </c>
      <c r="X12" s="151"/>
      <c r="Y12" s="129"/>
      <c r="Z12" s="130"/>
      <c r="AA12" s="71"/>
      <c r="AB12" s="130" t="s">
        <v>864</v>
      </c>
      <c r="AC12" s="130">
        <v>15960</v>
      </c>
      <c r="AE12" s="149" t="s">
        <v>1273</v>
      </c>
      <c r="AF12" s="129">
        <v>6.93</v>
      </c>
      <c r="AG12" s="130">
        <v>38200</v>
      </c>
    </row>
    <row r="13" spans="1:39" x14ac:dyDescent="0.45">
      <c r="A13" s="17">
        <v>45509</v>
      </c>
      <c r="B13" s="2" t="str">
        <f t="shared" si="3"/>
        <v>S-RING-117</v>
      </c>
      <c r="C13" s="2" t="s">
        <v>731</v>
      </c>
      <c r="D13" s="49" t="s">
        <v>781</v>
      </c>
      <c r="E13" s="50">
        <f>VLOOKUP(B13,'ALL-DATA'!A:F,2,FALSE)</f>
        <v>2.63</v>
      </c>
      <c r="F13" s="2">
        <f>VLOOKUP(B13,'ALL-DATA'!A:F,3,FALSE)</f>
        <v>92.5</v>
      </c>
      <c r="G13" s="2">
        <f>VLOOKUP(B13,'ALL-DATA'!A:F,4,FALSE)</f>
        <v>92.5</v>
      </c>
      <c r="H13" s="39">
        <f>VLOOKUP(B13,'ALL-DATA'!A:F,5,FALSE)</f>
        <v>127</v>
      </c>
      <c r="I13" s="39">
        <f>VLOOKUP(B13,'ALL-DATA'!A:F,6,FALSE)</f>
        <v>334.01</v>
      </c>
      <c r="J13" s="134">
        <v>335</v>
      </c>
      <c r="K13" s="47"/>
      <c r="L13" s="51">
        <f t="shared" si="0"/>
        <v>0.99000000000000909</v>
      </c>
      <c r="M13" s="27"/>
      <c r="N13" s="2">
        <v>63</v>
      </c>
      <c r="O13" s="2"/>
      <c r="P13" s="27">
        <f t="shared" si="1"/>
        <v>0</v>
      </c>
      <c r="Q13" s="2"/>
      <c r="R13" s="62">
        <f t="shared" si="2"/>
        <v>0</v>
      </c>
      <c r="S13" s="36"/>
      <c r="T13" s="150" t="s">
        <v>1269</v>
      </c>
      <c r="U13" s="151">
        <v>10500</v>
      </c>
      <c r="V13" s="149"/>
      <c r="W13" s="149"/>
      <c r="X13" s="149"/>
      <c r="Y13" s="129"/>
      <c r="Z13" s="130"/>
      <c r="AA13" s="71"/>
      <c r="AB13" s="57" t="s">
        <v>873</v>
      </c>
      <c r="AC13" s="57">
        <v>85350</v>
      </c>
      <c r="AE13" s="151" t="s">
        <v>1213</v>
      </c>
      <c r="AF13" s="129">
        <v>40.03</v>
      </c>
      <c r="AG13" s="130">
        <f>224000+34100</f>
        <v>258100</v>
      </c>
    </row>
    <row r="14" spans="1:39" x14ac:dyDescent="0.45">
      <c r="A14" s="16">
        <v>45511</v>
      </c>
      <c r="B14" s="2" t="str">
        <f t="shared" si="3"/>
        <v>S-RING-86</v>
      </c>
      <c r="C14" s="2" t="s">
        <v>731</v>
      </c>
      <c r="D14" s="49" t="s">
        <v>782</v>
      </c>
      <c r="E14" s="50">
        <f>VLOOKUP(B14,'ALL-DATA'!A:F,2,FALSE)</f>
        <v>4.25</v>
      </c>
      <c r="F14" s="2">
        <f>VLOOKUP(B14,'ALL-DATA'!A:F,3,FALSE)</f>
        <v>92.5</v>
      </c>
      <c r="G14" s="2">
        <f>VLOOKUP(B14,'ALL-DATA'!A:F,4,FALSE)</f>
        <v>92.5</v>
      </c>
      <c r="H14" s="39">
        <f>VLOOKUP(B14,'ALL-DATA'!A:F,5,FALSE)</f>
        <v>127</v>
      </c>
      <c r="I14" s="39">
        <f>VLOOKUP(B14,'ALL-DATA'!A:F,6,FALSE)</f>
        <v>539.75</v>
      </c>
      <c r="J14" s="42">
        <v>970</v>
      </c>
      <c r="K14" s="45"/>
      <c r="L14" s="51">
        <f t="shared" si="0"/>
        <v>430.25</v>
      </c>
      <c r="M14" s="27"/>
      <c r="N14" s="2">
        <v>63</v>
      </c>
      <c r="O14" s="2"/>
      <c r="P14" s="27">
        <f t="shared" si="1"/>
        <v>0</v>
      </c>
      <c r="Q14" s="2"/>
      <c r="R14" s="62">
        <f t="shared" si="2"/>
        <v>0</v>
      </c>
      <c r="S14" s="36"/>
      <c r="T14" s="148" t="s">
        <v>1295</v>
      </c>
      <c r="U14" s="149">
        <v>2200</v>
      </c>
      <c r="V14" s="151"/>
      <c r="W14" s="151"/>
      <c r="X14" s="151"/>
      <c r="Y14" s="129"/>
      <c r="Z14" s="130"/>
      <c r="AA14" s="71"/>
      <c r="AB14" s="59" t="s">
        <v>874</v>
      </c>
      <c r="AC14" s="57">
        <v>750</v>
      </c>
      <c r="AE14" s="153" t="s">
        <v>1263</v>
      </c>
      <c r="AF14" s="129">
        <v>24.46</v>
      </c>
      <c r="AG14" s="130">
        <v>137000</v>
      </c>
    </row>
    <row r="15" spans="1:39" x14ac:dyDescent="0.45">
      <c r="A15" s="17">
        <v>45511</v>
      </c>
      <c r="B15" s="2" t="str">
        <f t="shared" si="3"/>
        <v>S-RING-113</v>
      </c>
      <c r="C15" s="2" t="s">
        <v>731</v>
      </c>
      <c r="D15" s="49" t="s">
        <v>783</v>
      </c>
      <c r="E15" s="50">
        <f>VLOOKUP(B15,'ALL-DATA'!A:F,2,FALSE)</f>
        <v>1.1100000000000001</v>
      </c>
      <c r="F15" s="2">
        <f>VLOOKUP(B15,'ALL-DATA'!A:F,3,FALSE)</f>
        <v>92.5</v>
      </c>
      <c r="G15" s="2">
        <f>VLOOKUP(B15,'ALL-DATA'!A:F,4,FALSE)</f>
        <v>92.5</v>
      </c>
      <c r="H15" s="39">
        <f>VLOOKUP(B15,'ALL-DATA'!A:F,5,FALSE)</f>
        <v>127</v>
      </c>
      <c r="I15" s="39">
        <f>VLOOKUP(B15,'ALL-DATA'!A:F,6,FALSE)</f>
        <v>140.97</v>
      </c>
      <c r="J15" s="42">
        <v>250</v>
      </c>
      <c r="K15" s="45"/>
      <c r="L15" s="51">
        <f t="shared" si="0"/>
        <v>109.03</v>
      </c>
      <c r="M15" s="27"/>
      <c r="N15" s="2">
        <v>63</v>
      </c>
      <c r="O15" s="2"/>
      <c r="P15" s="27">
        <f t="shared" si="1"/>
        <v>0</v>
      </c>
      <c r="Q15" s="2"/>
      <c r="R15" s="62">
        <f t="shared" si="2"/>
        <v>0</v>
      </c>
      <c r="S15" s="36"/>
      <c r="T15" s="171" t="s">
        <v>1272</v>
      </c>
      <c r="U15" s="151">
        <v>5900</v>
      </c>
      <c r="V15" s="149"/>
      <c r="W15" s="149"/>
      <c r="X15" s="149"/>
      <c r="Y15" s="129"/>
      <c r="Z15" s="130"/>
      <c r="AA15" s="71"/>
      <c r="AB15" s="59" t="s">
        <v>892</v>
      </c>
      <c r="AC15" s="58">
        <v>590</v>
      </c>
      <c r="AE15" s="149" t="s">
        <v>1319</v>
      </c>
      <c r="AF15" s="129">
        <v>2.09</v>
      </c>
      <c r="AG15" s="130">
        <v>12000</v>
      </c>
    </row>
    <row r="16" spans="1:39" x14ac:dyDescent="0.45">
      <c r="A16" s="16">
        <v>45511</v>
      </c>
      <c r="B16" s="2" t="str">
        <f t="shared" si="3"/>
        <v>S-RING-171</v>
      </c>
      <c r="C16" s="2" t="s">
        <v>731</v>
      </c>
      <c r="D16" s="49" t="s">
        <v>784</v>
      </c>
      <c r="E16" s="50">
        <f>VLOOKUP(B16,'ALL-DATA'!A:F,2,FALSE)</f>
        <v>1.31</v>
      </c>
      <c r="F16" s="2">
        <f>VLOOKUP(B16,'ALL-DATA'!A:F,3,FALSE)</f>
        <v>92.5</v>
      </c>
      <c r="G16" s="2">
        <f>VLOOKUP(B16,'ALL-DATA'!A:F,4,FALSE)</f>
        <v>92.5</v>
      </c>
      <c r="H16" s="39">
        <f>VLOOKUP(B16,'ALL-DATA'!A:F,5,FALSE)</f>
        <v>131.65</v>
      </c>
      <c r="I16" s="39">
        <f>VLOOKUP(B16,'ALL-DATA'!A:F,6,FALSE)</f>
        <v>172.4615</v>
      </c>
      <c r="J16" s="42">
        <v>280</v>
      </c>
      <c r="K16" s="45"/>
      <c r="L16" s="51">
        <f t="shared" si="0"/>
        <v>107.5385</v>
      </c>
      <c r="M16" s="27"/>
      <c r="N16" s="2">
        <v>63</v>
      </c>
      <c r="O16" s="2"/>
      <c r="P16" s="27">
        <f t="shared" si="1"/>
        <v>0</v>
      </c>
      <c r="Q16" s="2"/>
      <c r="R16" s="62">
        <f t="shared" si="2"/>
        <v>0</v>
      </c>
      <c r="S16" s="36"/>
      <c r="T16" s="150" t="s">
        <v>1296</v>
      </c>
      <c r="U16" s="151">
        <v>2000</v>
      </c>
      <c r="V16" s="151"/>
      <c r="W16" s="151"/>
      <c r="X16" s="151"/>
      <c r="Y16" s="129"/>
      <c r="Z16" s="130"/>
      <c r="AA16" s="71"/>
      <c r="AB16" s="128" t="s">
        <v>920</v>
      </c>
      <c r="AC16" s="130">
        <v>5100</v>
      </c>
      <c r="AE16" s="151" t="s">
        <v>1320</v>
      </c>
      <c r="AF16" s="129">
        <v>4</v>
      </c>
      <c r="AG16" s="130">
        <v>17800</v>
      </c>
    </row>
    <row r="17" spans="1:33" x14ac:dyDescent="0.45">
      <c r="A17" s="17">
        <v>45511</v>
      </c>
      <c r="B17" s="2" t="str">
        <f t="shared" si="3"/>
        <v>S-B-KOLUSU--33</v>
      </c>
      <c r="C17" s="2" t="s">
        <v>727</v>
      </c>
      <c r="D17" s="49" t="s">
        <v>785</v>
      </c>
      <c r="E17" s="50">
        <f>VLOOKUP(B17,'ALL-DATA'!A:F,2,FALSE)</f>
        <v>49.8</v>
      </c>
      <c r="F17" s="2">
        <f>VLOOKUP(B17,'ALL-DATA'!A:F,3,FALSE)</f>
        <v>82</v>
      </c>
      <c r="G17" s="2">
        <f>VLOOKUP(B17,'ALL-DATA'!A:F,4,FALSE)</f>
        <v>-17</v>
      </c>
      <c r="H17" s="39">
        <f>VLOOKUP(B17,'ALL-DATA'!A:F,5,FALSE)</f>
        <v>90</v>
      </c>
      <c r="I17" s="39">
        <f>VLOOKUP(B17,'ALL-DATA'!A:F,6,FALSE)</f>
        <v>3675.24</v>
      </c>
      <c r="J17" s="42">
        <v>5240</v>
      </c>
      <c r="K17" s="45"/>
      <c r="L17" s="51">
        <f t="shared" si="0"/>
        <v>1564.7600000000002</v>
      </c>
      <c r="M17" s="27"/>
      <c r="N17" s="2">
        <v>63</v>
      </c>
      <c r="O17" s="2"/>
      <c r="P17" s="27">
        <f t="shared" si="1"/>
        <v>0</v>
      </c>
      <c r="Q17" s="2"/>
      <c r="R17" s="62">
        <f t="shared" si="2"/>
        <v>0</v>
      </c>
      <c r="S17" s="36"/>
      <c r="T17" s="150"/>
      <c r="U17" s="151"/>
      <c r="V17" s="149"/>
      <c r="W17" s="149"/>
      <c r="X17" s="149"/>
      <c r="Y17" s="129"/>
      <c r="Z17" s="130"/>
      <c r="AA17" s="71"/>
      <c r="AB17" s="2" t="s">
        <v>936</v>
      </c>
      <c r="AC17" s="58">
        <v>1800</v>
      </c>
      <c r="AE17" s="149" t="s">
        <v>1322</v>
      </c>
      <c r="AF17" s="129">
        <v>10</v>
      </c>
      <c r="AG17" s="130">
        <v>56000</v>
      </c>
    </row>
    <row r="18" spans="1:33" x14ac:dyDescent="0.45">
      <c r="A18" s="16">
        <v>45511</v>
      </c>
      <c r="B18" s="2" t="str">
        <f t="shared" si="3"/>
        <v>S-S-KOLUSU-81</v>
      </c>
      <c r="C18" s="2" t="s">
        <v>726</v>
      </c>
      <c r="D18" s="49" t="s">
        <v>786</v>
      </c>
      <c r="E18" s="50">
        <f>VLOOKUP(B18,'ALL-DATA'!A:F,2,FALSE)</f>
        <v>152</v>
      </c>
      <c r="F18" s="2">
        <f>VLOOKUP(B18,'ALL-DATA'!A:F,3,FALSE)</f>
        <v>80</v>
      </c>
      <c r="G18" s="2">
        <f>VLOOKUP(B18,'ALL-DATA'!A:F,4,FALSE)</f>
        <v>15</v>
      </c>
      <c r="H18" s="39">
        <f>VLOOKUP(B18,'ALL-DATA'!A:F,5,FALSE)</f>
        <v>82</v>
      </c>
      <c r="I18" s="39">
        <f>VLOOKUP(B18,'ALL-DATA'!A:F,6,FALSE)</f>
        <v>9971.1999999999989</v>
      </c>
      <c r="J18" s="43">
        <v>15530</v>
      </c>
      <c r="K18" s="46">
        <v>3800</v>
      </c>
      <c r="L18" s="51">
        <f t="shared" si="0"/>
        <v>4470.4879999999994</v>
      </c>
      <c r="M18" s="27">
        <v>128</v>
      </c>
      <c r="N18" s="2">
        <v>63</v>
      </c>
      <c r="O18" s="2">
        <v>80</v>
      </c>
      <c r="P18" s="27">
        <f t="shared" si="1"/>
        <v>6386.6879999999992</v>
      </c>
      <c r="Q18" s="2">
        <v>7475</v>
      </c>
      <c r="R18" s="62">
        <f t="shared" si="2"/>
        <v>-1088.3120000000008</v>
      </c>
      <c r="S18" s="36"/>
      <c r="T18" s="150"/>
      <c r="U18" s="151"/>
      <c r="V18" s="151"/>
      <c r="W18" s="151"/>
      <c r="X18" s="151"/>
      <c r="Y18" s="129"/>
      <c r="Z18" s="130"/>
      <c r="AB18" s="128" t="s">
        <v>937</v>
      </c>
      <c r="AC18" s="130">
        <v>2500</v>
      </c>
      <c r="AE18" s="151" t="s">
        <v>1365</v>
      </c>
      <c r="AF18" s="129">
        <v>0.99</v>
      </c>
      <c r="AG18" s="130">
        <v>5000</v>
      </c>
    </row>
    <row r="19" spans="1:33" x14ac:dyDescent="0.45">
      <c r="A19" s="17">
        <v>45512</v>
      </c>
      <c r="B19" s="2" t="str">
        <f t="shared" si="3"/>
        <v>S-STUD-KRJ-1</v>
      </c>
      <c r="C19" s="2" t="s">
        <v>747</v>
      </c>
      <c r="D19" s="49" t="s">
        <v>787</v>
      </c>
      <c r="E19" s="50">
        <f>VLOOKUP(B19,'ALL-DATA'!A:F,2,FALSE)</f>
        <v>0</v>
      </c>
      <c r="F19" s="2">
        <f>VLOOKUP(B19,'ALL-DATA'!A:F,3,FALSE)</f>
        <v>0</v>
      </c>
      <c r="G19" s="2">
        <f>VLOOKUP(B19,'ALL-DATA'!A:F,4,FALSE)</f>
        <v>0</v>
      </c>
      <c r="H19" s="39">
        <f>VLOOKUP(B19,'ALL-DATA'!A:F,5,FALSE)</f>
        <v>0</v>
      </c>
      <c r="I19" s="39">
        <f>VLOOKUP(B19,'ALL-DATA'!A:F,6,FALSE)</f>
        <v>135</v>
      </c>
      <c r="J19" s="42">
        <v>500</v>
      </c>
      <c r="K19" s="45"/>
      <c r="L19" s="51">
        <f t="shared" si="0"/>
        <v>365</v>
      </c>
      <c r="M19" s="27"/>
      <c r="N19" s="2">
        <v>63</v>
      </c>
      <c r="O19" s="2"/>
      <c r="P19" s="27">
        <f t="shared" si="1"/>
        <v>0</v>
      </c>
      <c r="Q19" s="2"/>
      <c r="R19" s="62">
        <f t="shared" si="2"/>
        <v>0</v>
      </c>
      <c r="S19" s="36"/>
      <c r="T19" s="150"/>
      <c r="U19" s="151"/>
      <c r="V19" s="149"/>
      <c r="W19" s="149"/>
      <c r="X19" s="149"/>
      <c r="Y19" s="129"/>
      <c r="Z19" s="130"/>
      <c r="AB19" s="2" t="s">
        <v>938</v>
      </c>
      <c r="AC19" s="58">
        <v>6500</v>
      </c>
      <c r="AE19" s="149" t="s">
        <v>1458</v>
      </c>
      <c r="AF19" s="129">
        <v>2</v>
      </c>
      <c r="AG19" s="130">
        <v>10600</v>
      </c>
    </row>
    <row r="20" spans="1:33" x14ac:dyDescent="0.45">
      <c r="A20" s="16">
        <v>45513</v>
      </c>
      <c r="B20" s="2" t="str">
        <f t="shared" si="3"/>
        <v>G-STUD-26-07</v>
      </c>
      <c r="C20" s="2" t="s">
        <v>720</v>
      </c>
      <c r="D20" s="49" t="s">
        <v>788</v>
      </c>
      <c r="E20" s="50">
        <f>VLOOKUP(B20,'ALL-DATA'!A:F,2,FALSE)</f>
        <v>4.07</v>
      </c>
      <c r="F20" s="2">
        <f>VLOOKUP(B20,'ALL-DATA'!A:F,3,FALSE)</f>
        <v>100</v>
      </c>
      <c r="G20" s="2">
        <f>VLOOKUP(B20,'ALL-DATA'!A:F,4,FALSE)</f>
        <v>8</v>
      </c>
      <c r="H20" s="39">
        <f>VLOOKUP(B20,'ALL-DATA'!A:F,5,FALSE)</f>
        <v>7024.65</v>
      </c>
      <c r="I20" s="39">
        <f>VLOOKUP(B20,'ALL-DATA'!A:F,6,FALSE)</f>
        <v>28590.325499999999</v>
      </c>
      <c r="J20" s="52">
        <v>30140</v>
      </c>
      <c r="K20" s="53"/>
      <c r="L20" s="51">
        <f t="shared" si="0"/>
        <v>2455.3644999999997</v>
      </c>
      <c r="M20" s="27">
        <v>3.48</v>
      </c>
      <c r="N20" s="2">
        <v>75</v>
      </c>
      <c r="O20" s="2">
        <v>7100</v>
      </c>
      <c r="P20" s="27">
        <f t="shared" si="1"/>
        <v>18345.689999999999</v>
      </c>
      <c r="Q20" s="2">
        <v>17440</v>
      </c>
      <c r="R20" s="62">
        <f t="shared" si="2"/>
        <v>905.68999999999869</v>
      </c>
      <c r="S20" s="36"/>
      <c r="T20" s="150" t="s">
        <v>940</v>
      </c>
      <c r="U20" s="151" t="s">
        <v>941</v>
      </c>
      <c r="V20" s="151"/>
      <c r="W20" s="151"/>
      <c r="X20" s="110" t="s">
        <v>827</v>
      </c>
      <c r="Y20" s="111" t="s">
        <v>1</v>
      </c>
      <c r="Z20" s="110" t="s">
        <v>5</v>
      </c>
      <c r="AB20" s="232" t="s">
        <v>1024</v>
      </c>
      <c r="AC20" s="233">
        <v>6000</v>
      </c>
      <c r="AE20" s="151" t="s">
        <v>1372</v>
      </c>
      <c r="AF20" s="129">
        <v>150.69999999999999</v>
      </c>
      <c r="AG20" s="130">
        <v>8700</v>
      </c>
    </row>
    <row r="21" spans="1:33" x14ac:dyDescent="0.45">
      <c r="A21" s="17">
        <v>45513</v>
      </c>
      <c r="B21" s="2" t="str">
        <f t="shared" si="3"/>
        <v>S-S-KOLUSU-52</v>
      </c>
      <c r="C21" s="2" t="s">
        <v>726</v>
      </c>
      <c r="D21" s="49" t="s">
        <v>789</v>
      </c>
      <c r="E21" s="50">
        <f>VLOOKUP(B21,'ALL-DATA'!A:F,2,FALSE)</f>
        <v>97.19</v>
      </c>
      <c r="F21" s="2">
        <f>VLOOKUP(B21,'ALL-DATA'!A:F,3,FALSE)</f>
        <v>76.5</v>
      </c>
      <c r="G21" s="2">
        <f>VLOOKUP(B21,'ALL-DATA'!A:F,4,FALSE)</f>
        <v>-11.5</v>
      </c>
      <c r="H21" s="39">
        <f>VLOOKUP(B21,'ALL-DATA'!A:F,5,FALSE)</f>
        <v>89.9</v>
      </c>
      <c r="I21" s="39">
        <f>VLOOKUP(B21,'ALL-DATA'!A:F,6,FALSE)</f>
        <v>6684.0964649999996</v>
      </c>
      <c r="J21" s="42">
        <v>9200</v>
      </c>
      <c r="K21" s="45"/>
      <c r="L21" s="51">
        <f t="shared" si="0"/>
        <v>2001.9675350000007</v>
      </c>
      <c r="M21" s="27">
        <v>134</v>
      </c>
      <c r="N21" s="2">
        <v>63</v>
      </c>
      <c r="O21" s="2">
        <v>80</v>
      </c>
      <c r="P21" s="27">
        <f t="shared" si="1"/>
        <v>6686.0640000000003</v>
      </c>
      <c r="Q21" s="2">
        <v>7200</v>
      </c>
      <c r="R21" s="62">
        <f t="shared" si="2"/>
        <v>-513.93599999999969</v>
      </c>
      <c r="S21" s="36"/>
      <c r="T21" s="157">
        <v>0</v>
      </c>
      <c r="U21" s="158">
        <v>0</v>
      </c>
      <c r="V21" s="149"/>
      <c r="W21" s="149"/>
      <c r="X21" s="1" t="s">
        <v>1667</v>
      </c>
      <c r="Y21" s="129">
        <v>1.9</v>
      </c>
      <c r="Z21" s="130">
        <v>9700</v>
      </c>
      <c r="AB21" s="129" t="s">
        <v>1023</v>
      </c>
      <c r="AC21" s="130">
        <v>3675</v>
      </c>
      <c r="AE21" s="149" t="s">
        <v>1464</v>
      </c>
      <c r="AF21" s="129">
        <v>7.99</v>
      </c>
      <c r="AG21" s="130">
        <v>54000</v>
      </c>
    </row>
    <row r="22" spans="1:33" ht="27.6" customHeight="1" x14ac:dyDescent="0.45">
      <c r="A22" s="16">
        <v>45516</v>
      </c>
      <c r="B22" s="2" t="str">
        <f t="shared" si="3"/>
        <v>S-RING-135</v>
      </c>
      <c r="C22" s="2" t="s">
        <v>731</v>
      </c>
      <c r="D22" s="49" t="s">
        <v>790</v>
      </c>
      <c r="E22" s="50">
        <f>VLOOKUP(B22,'ALL-DATA'!A:F,2,FALSE)</f>
        <v>5.42</v>
      </c>
      <c r="F22" s="2">
        <f>VLOOKUP(B22,'ALL-DATA'!A:F,3,FALSE)</f>
        <v>92.5</v>
      </c>
      <c r="G22" s="2">
        <f>VLOOKUP(B22,'ALL-DATA'!A:F,4,FALSE)</f>
        <v>92.5</v>
      </c>
      <c r="H22" s="39">
        <f>VLOOKUP(B22,'ALL-DATA'!A:F,5,FALSE)</f>
        <v>127</v>
      </c>
      <c r="I22" s="39">
        <f>VLOOKUP(B22,'ALL-DATA'!A:F,6,FALSE)</f>
        <v>688.34</v>
      </c>
      <c r="J22" s="42">
        <v>1250</v>
      </c>
      <c r="K22" s="45"/>
      <c r="L22" s="51">
        <f>((J22+R22)-I22)</f>
        <v>511.03599999999994</v>
      </c>
      <c r="M22" s="27">
        <v>6</v>
      </c>
      <c r="N22" s="2">
        <v>63</v>
      </c>
      <c r="O22" s="2">
        <v>80</v>
      </c>
      <c r="P22" s="27">
        <f t="shared" si="1"/>
        <v>299.37600000000003</v>
      </c>
      <c r="Q22" s="2">
        <v>350</v>
      </c>
      <c r="R22" s="62">
        <f t="shared" si="2"/>
        <v>-50.623999999999967</v>
      </c>
      <c r="S22" s="36"/>
      <c r="T22" s="150" t="s">
        <v>942</v>
      </c>
      <c r="U22" s="151"/>
      <c r="V22" s="151"/>
      <c r="W22" s="151"/>
      <c r="X22" s="1" t="s">
        <v>1668</v>
      </c>
      <c r="Y22" s="129">
        <v>5.25</v>
      </c>
      <c r="Z22" s="130">
        <v>31500</v>
      </c>
      <c r="AB22" s="164" t="s">
        <v>1022</v>
      </c>
      <c r="AC22" s="130">
        <f>1460+600+300+50</f>
        <v>2410</v>
      </c>
      <c r="AE22" s="151" t="s">
        <v>1465</v>
      </c>
      <c r="AF22" s="129">
        <v>8.09</v>
      </c>
      <c r="AG22" s="130">
        <v>55000</v>
      </c>
    </row>
    <row r="23" spans="1:33" x14ac:dyDescent="0.45">
      <c r="A23" s="17">
        <v>45516</v>
      </c>
      <c r="B23" s="2" t="str">
        <f t="shared" si="3"/>
        <v>S-S-KOLUSU-51</v>
      </c>
      <c r="C23" s="2" t="s">
        <v>726</v>
      </c>
      <c r="D23" s="49" t="s">
        <v>791</v>
      </c>
      <c r="E23" s="50">
        <f>VLOOKUP(B23,'ALL-DATA'!A:F,2,FALSE)</f>
        <v>104.02</v>
      </c>
      <c r="F23" s="2">
        <f>VLOOKUP(B23,'ALL-DATA'!A:F,3,FALSE)</f>
        <v>76.5</v>
      </c>
      <c r="G23" s="2">
        <f>VLOOKUP(B23,'ALL-DATA'!A:F,4,FALSE)</f>
        <v>-11.5</v>
      </c>
      <c r="H23" s="39">
        <f>VLOOKUP(B23,'ALL-DATA'!A:F,5,FALSE)</f>
        <v>89.9</v>
      </c>
      <c r="I23" s="39">
        <f>VLOOKUP(B23,'ALL-DATA'!A:F,6,FALSE)</f>
        <v>7153.8194700000004</v>
      </c>
      <c r="J23" s="42">
        <v>9750</v>
      </c>
      <c r="K23" s="45"/>
      <c r="L23" s="51">
        <f t="shared" si="0"/>
        <v>1988.3701299999993</v>
      </c>
      <c r="M23" s="27">
        <v>75.099999999999994</v>
      </c>
      <c r="N23" s="2">
        <v>63</v>
      </c>
      <c r="O23" s="2">
        <v>80</v>
      </c>
      <c r="P23" s="27">
        <f t="shared" si="1"/>
        <v>3747.1895999999992</v>
      </c>
      <c r="Q23" s="2">
        <v>4355</v>
      </c>
      <c r="R23" s="62">
        <f t="shared" si="2"/>
        <v>-607.81040000000075</v>
      </c>
      <c r="S23" s="36"/>
      <c r="T23" s="157">
        <v>18.09</v>
      </c>
      <c r="U23" s="149"/>
      <c r="V23" s="149"/>
      <c r="W23" s="149"/>
      <c r="Y23" s="129"/>
      <c r="Z23" s="130"/>
      <c r="AB23" s="129" t="s">
        <v>1086</v>
      </c>
      <c r="AC23" s="130">
        <v>15100</v>
      </c>
      <c r="AE23" s="149" t="s">
        <v>1377</v>
      </c>
      <c r="AF23" s="129">
        <v>8.1</v>
      </c>
      <c r="AG23" s="130">
        <v>132000</v>
      </c>
    </row>
    <row r="24" spans="1:33" x14ac:dyDescent="0.45">
      <c r="A24" s="16">
        <v>45517</v>
      </c>
      <c r="B24" s="2" t="str">
        <f t="shared" si="3"/>
        <v>S-AARUNA-10</v>
      </c>
      <c r="C24" s="2" t="s">
        <v>729</v>
      </c>
      <c r="D24" s="49" t="s">
        <v>792</v>
      </c>
      <c r="E24" s="50">
        <f>VLOOKUP(B24,'ALL-DATA'!A:F,2,FALSE)</f>
        <v>50.25</v>
      </c>
      <c r="F24" s="2">
        <f>VLOOKUP(B24,'ALL-DATA'!A:F,3,FALSE)</f>
        <v>82</v>
      </c>
      <c r="G24" s="2">
        <f>VLOOKUP(B24,'ALL-DATA'!A:F,4,FALSE)</f>
        <v>-27</v>
      </c>
      <c r="H24" s="39">
        <f>VLOOKUP(B24,'ALL-DATA'!A:F,5,FALSE)</f>
        <v>92</v>
      </c>
      <c r="I24" s="39">
        <f>VLOOKUP(B24,'ALL-DATA'!A:F,6,FALSE)</f>
        <v>3790.8599999999997</v>
      </c>
      <c r="J24" s="42">
        <v>5100</v>
      </c>
      <c r="K24" s="45"/>
      <c r="L24" s="51">
        <f t="shared" si="0"/>
        <v>1309.1400000000003</v>
      </c>
      <c r="M24" s="27"/>
      <c r="N24" s="2">
        <v>63</v>
      </c>
      <c r="O24" s="2"/>
      <c r="P24" s="27">
        <f t="shared" si="1"/>
        <v>0</v>
      </c>
      <c r="Q24" s="2"/>
      <c r="R24" s="62">
        <f t="shared" si="2"/>
        <v>0</v>
      </c>
      <c r="S24" s="36"/>
      <c r="T24" s="150" t="s">
        <v>943</v>
      </c>
      <c r="U24" s="151" t="s">
        <v>944</v>
      </c>
      <c r="V24" s="151"/>
      <c r="W24" s="151"/>
      <c r="Y24" s="129"/>
      <c r="Z24" s="130"/>
      <c r="AB24" s="172" t="s">
        <v>1021</v>
      </c>
      <c r="AC24" s="173">
        <v>58300</v>
      </c>
      <c r="AE24" s="151" t="s">
        <v>1377</v>
      </c>
      <c r="AF24" s="159">
        <v>23.98</v>
      </c>
      <c r="AG24" s="160">
        <v>136100</v>
      </c>
    </row>
    <row r="25" spans="1:33" x14ac:dyDescent="0.45">
      <c r="A25" s="17">
        <v>45517</v>
      </c>
      <c r="B25" s="2" t="str">
        <f t="shared" si="3"/>
        <v>S-NAGASU-13-08</v>
      </c>
      <c r="C25" s="2" t="s">
        <v>746</v>
      </c>
      <c r="D25" s="49" t="s">
        <v>793</v>
      </c>
      <c r="E25" s="50">
        <f>VLOOKUP(B25,'ALL-DATA'!A:F,2,FALSE)</f>
        <v>9.34</v>
      </c>
      <c r="F25" s="2">
        <f>VLOOKUP(B25,'ALL-DATA'!A:F,3,FALSE)</f>
        <v>73.5</v>
      </c>
      <c r="G25" s="2">
        <f>VLOOKUP(B25,'ALL-DATA'!A:F,4,FALSE)</f>
        <v>73.5</v>
      </c>
      <c r="H25" s="39">
        <f>VLOOKUP(B25,'ALL-DATA'!A:F,5,FALSE)</f>
        <v>92.4</v>
      </c>
      <c r="I25" s="39">
        <f>VLOOKUP(B25,'ALL-DATA'!A:F,6,FALSE)</f>
        <v>634.31676000000004</v>
      </c>
      <c r="J25" s="42">
        <v>945</v>
      </c>
      <c r="K25" s="45"/>
      <c r="L25" s="51">
        <f t="shared" si="0"/>
        <v>310.68323999999996</v>
      </c>
      <c r="M25" s="27"/>
      <c r="N25" s="2">
        <v>63</v>
      </c>
      <c r="O25" s="2"/>
      <c r="P25" s="27">
        <f t="shared" si="1"/>
        <v>0</v>
      </c>
      <c r="Q25" s="2"/>
      <c r="R25" s="62">
        <f t="shared" si="2"/>
        <v>0</v>
      </c>
      <c r="S25" s="36"/>
      <c r="T25" s="157">
        <f>T21+T23</f>
        <v>18.09</v>
      </c>
      <c r="U25" s="158">
        <f>U21+Table10[[#This Row],[ORIGINAL COST]]</f>
        <v>18.09</v>
      </c>
      <c r="V25" s="149"/>
      <c r="W25" s="149"/>
      <c r="Y25" s="129"/>
      <c r="Z25" s="130"/>
      <c r="AB25" s="129" t="s">
        <v>1028</v>
      </c>
      <c r="AC25" s="130">
        <v>6500</v>
      </c>
      <c r="AE25" s="149" t="s">
        <v>1466</v>
      </c>
      <c r="AF25" s="159">
        <v>2.0299999999999998</v>
      </c>
      <c r="AG25" s="160">
        <v>11900</v>
      </c>
    </row>
    <row r="26" spans="1:33" x14ac:dyDescent="0.45">
      <c r="A26" s="17">
        <v>45518</v>
      </c>
      <c r="B26" s="2" t="str">
        <f t="shared" si="3"/>
        <v>S-S-KOLUSU-54</v>
      </c>
      <c r="C26" s="2" t="s">
        <v>726</v>
      </c>
      <c r="D26" s="49" t="s">
        <v>794</v>
      </c>
      <c r="E26" s="50">
        <f>VLOOKUP(B26,'ALL-DATA'!A:F,2,FALSE)</f>
        <v>152.72999999999999</v>
      </c>
      <c r="F26" s="2">
        <f>VLOOKUP(B26,'ALL-DATA'!A:F,3,FALSE)</f>
        <v>76.5</v>
      </c>
      <c r="G26" s="2">
        <f>VLOOKUP(B26,'ALL-DATA'!A:F,4,FALSE)</f>
        <v>-11.5</v>
      </c>
      <c r="H26" s="39">
        <f>VLOOKUP(B26,'ALL-DATA'!A:F,5,FALSE)</f>
        <v>89.9</v>
      </c>
      <c r="I26" s="39">
        <f>VLOOKUP(B26,'ALL-DATA'!A:F,6,FALSE)</f>
        <v>10503.776655</v>
      </c>
      <c r="J26" s="42">
        <v>14750</v>
      </c>
      <c r="K26" s="45"/>
      <c r="L26" s="51">
        <f>((J26+R26)-I26)</f>
        <v>4242.5833450000009</v>
      </c>
      <c r="M26" s="27">
        <v>35</v>
      </c>
      <c r="N26" s="2">
        <v>63</v>
      </c>
      <c r="O26" s="2">
        <v>80</v>
      </c>
      <c r="P26" s="27">
        <f t="shared" si="1"/>
        <v>1746.36</v>
      </c>
      <c r="Q26" s="2">
        <v>1750</v>
      </c>
      <c r="R26" s="62">
        <f t="shared" si="2"/>
        <v>-3.6400000000001</v>
      </c>
      <c r="S26" s="36"/>
      <c r="T26" s="150"/>
      <c r="U26" s="151"/>
      <c r="V26" s="151"/>
      <c r="W26" s="151"/>
      <c r="Y26" s="129"/>
      <c r="Z26" s="130"/>
      <c r="AB26" s="129" t="s">
        <v>1029</v>
      </c>
      <c r="AC26" s="130">
        <v>47695</v>
      </c>
    </row>
    <row r="27" spans="1:33" x14ac:dyDescent="0.45">
      <c r="A27" s="16">
        <v>45518</v>
      </c>
      <c r="B27" s="2" t="str">
        <f t="shared" si="3"/>
        <v>S-S-KOLUSU-66</v>
      </c>
      <c r="C27" s="2" t="s">
        <v>726</v>
      </c>
      <c r="D27" s="49" t="s">
        <v>795</v>
      </c>
      <c r="E27" s="50">
        <f>VLOOKUP(B27,'ALL-DATA'!A:F,2,FALSE)</f>
        <v>74.3</v>
      </c>
      <c r="F27" s="2">
        <f>VLOOKUP(B27,'ALL-DATA'!A:F,3,FALSE)</f>
        <v>82</v>
      </c>
      <c r="G27" s="2">
        <f>VLOOKUP(B27,'ALL-DATA'!A:F,4,FALSE)</f>
        <v>-17</v>
      </c>
      <c r="H27" s="39">
        <f>VLOOKUP(B27,'ALL-DATA'!A:F,5,FALSE)</f>
        <v>90</v>
      </c>
      <c r="I27" s="39">
        <f>VLOOKUP(B27,'ALL-DATA'!A:F,6,FALSE)</f>
        <v>5483.3399999999992</v>
      </c>
      <c r="J27" s="42">
        <v>7380</v>
      </c>
      <c r="K27" s="45"/>
      <c r="L27" s="51">
        <f t="shared" ref="L27:L33" si="4">((J27+R27)-I27)</f>
        <v>1896.6600000000008</v>
      </c>
      <c r="M27" s="27"/>
      <c r="N27" s="2">
        <v>63</v>
      </c>
      <c r="O27" s="2"/>
      <c r="P27" s="27">
        <f t="shared" si="1"/>
        <v>0</v>
      </c>
      <c r="Q27" s="2"/>
      <c r="R27" s="62">
        <f t="shared" si="2"/>
        <v>0</v>
      </c>
      <c r="S27" s="36"/>
      <c r="T27" s="148"/>
      <c r="U27" s="149"/>
      <c r="V27" s="149"/>
      <c r="W27" s="149"/>
      <c r="Y27" s="129"/>
      <c r="Z27" s="130"/>
      <c r="AB27" s="129" t="s">
        <v>1087</v>
      </c>
      <c r="AC27" s="130">
        <v>1000</v>
      </c>
    </row>
    <row r="28" spans="1:33" x14ac:dyDescent="0.45">
      <c r="A28" s="17">
        <v>45518</v>
      </c>
      <c r="B28" s="2" t="str">
        <f t="shared" si="3"/>
        <v>S-AARUNA-2</v>
      </c>
      <c r="C28" s="2" t="s">
        <v>729</v>
      </c>
      <c r="D28" s="49" t="s">
        <v>796</v>
      </c>
      <c r="E28" s="50">
        <f>VLOOKUP(B28,'ALL-DATA'!A:F,2,FALSE)</f>
        <v>48.5</v>
      </c>
      <c r="F28" s="2">
        <f>VLOOKUP(B28,'ALL-DATA'!A:F,3,FALSE)</f>
        <v>76.5</v>
      </c>
      <c r="G28" s="2">
        <f>VLOOKUP(B28,'ALL-DATA'!A:F,4,FALSE)</f>
        <v>-21.5</v>
      </c>
      <c r="H28" s="39">
        <f>VLOOKUP(B28,'ALL-DATA'!A:F,5,FALSE)</f>
        <v>89.9</v>
      </c>
      <c r="I28" s="39">
        <f>VLOOKUP(B28,'ALL-DATA'!A:F,6,FALSE)</f>
        <v>3335.5147500000003</v>
      </c>
      <c r="J28" s="42">
        <v>4820</v>
      </c>
      <c r="K28" s="45"/>
      <c r="L28" s="51">
        <f t="shared" si="4"/>
        <v>1484.4852499999997</v>
      </c>
      <c r="M28" s="27"/>
      <c r="N28" s="2">
        <v>63</v>
      </c>
      <c r="O28" s="2"/>
      <c r="P28" s="27">
        <f t="shared" si="1"/>
        <v>0</v>
      </c>
      <c r="Q28" s="2"/>
      <c r="R28" s="62">
        <f t="shared" si="2"/>
        <v>0</v>
      </c>
      <c r="S28" s="36"/>
      <c r="T28" s="150"/>
      <c r="U28" s="151"/>
      <c r="V28" s="151"/>
      <c r="W28" s="151"/>
      <c r="Y28" s="129"/>
      <c r="Z28" s="130"/>
      <c r="AB28" s="129" t="s">
        <v>1089</v>
      </c>
      <c r="AC28" s="130">
        <v>74500</v>
      </c>
    </row>
    <row r="29" spans="1:33" x14ac:dyDescent="0.45">
      <c r="A29" s="16">
        <v>45518</v>
      </c>
      <c r="B29" s="2" t="str">
        <f t="shared" si="3"/>
        <v>S-KAPPU-N-15</v>
      </c>
      <c r="C29" s="2" t="s">
        <v>739</v>
      </c>
      <c r="D29" s="49" t="s">
        <v>774</v>
      </c>
      <c r="E29" s="50">
        <f>VLOOKUP(B29,'ALL-DATA'!A:F,2,FALSE)</f>
        <v>35.049999999999997</v>
      </c>
      <c r="F29" s="2">
        <f>VLOOKUP(B29,'ALL-DATA'!A:F,3,FALSE)</f>
        <v>85</v>
      </c>
      <c r="G29" s="2">
        <f>VLOOKUP(B29,'ALL-DATA'!A:F,4,FALSE)</f>
        <v>20</v>
      </c>
      <c r="H29" s="39">
        <f>VLOOKUP(B29,'ALL-DATA'!A:F,5,FALSE)</f>
        <v>83.19</v>
      </c>
      <c r="I29" s="39">
        <f>VLOOKUP(B29,'ALL-DATA'!A:F,6,FALSE)</f>
        <v>2478.4380749999996</v>
      </c>
      <c r="J29" s="42">
        <v>3340</v>
      </c>
      <c r="K29" s="45"/>
      <c r="L29" s="51">
        <f t="shared" si="4"/>
        <v>861.56192500000043</v>
      </c>
      <c r="M29" s="27"/>
      <c r="N29" s="2">
        <v>63</v>
      </c>
      <c r="O29" s="2"/>
      <c r="P29" s="27">
        <f t="shared" si="1"/>
        <v>0</v>
      </c>
      <c r="Q29" s="2"/>
      <c r="R29" s="62">
        <f t="shared" si="2"/>
        <v>0</v>
      </c>
      <c r="S29" s="36"/>
      <c r="T29" s="257"/>
      <c r="U29" s="194"/>
      <c r="V29" s="194"/>
      <c r="W29" s="194"/>
      <c r="Y29" s="129"/>
      <c r="Z29" s="130"/>
      <c r="AB29" s="259" t="s">
        <v>1260</v>
      </c>
      <c r="AC29" s="260">
        <v>8016</v>
      </c>
    </row>
    <row r="30" spans="1:33" x14ac:dyDescent="0.45">
      <c r="A30" s="17">
        <v>45518</v>
      </c>
      <c r="B30" s="2" t="str">
        <f t="shared" si="3"/>
        <v>S-RING-44</v>
      </c>
      <c r="C30" s="2" t="s">
        <v>731</v>
      </c>
      <c r="D30" s="49" t="s">
        <v>797</v>
      </c>
      <c r="E30" s="50">
        <f>VLOOKUP(B30,'ALL-DATA'!A:F,2,FALSE)</f>
        <v>1.6</v>
      </c>
      <c r="F30" s="2">
        <f>VLOOKUP(B30,'ALL-DATA'!A:F,3,FALSE)</f>
        <v>92.5</v>
      </c>
      <c r="G30" s="2">
        <f>VLOOKUP(B30,'ALL-DATA'!A:F,4,FALSE)</f>
        <v>92.5</v>
      </c>
      <c r="H30" s="39">
        <f>VLOOKUP(B30,'ALL-DATA'!A:F,5,FALSE)</f>
        <v>140</v>
      </c>
      <c r="I30" s="39">
        <f>VLOOKUP(B30,'ALL-DATA'!A:F,6,FALSE)</f>
        <v>224</v>
      </c>
      <c r="J30" s="42">
        <v>400</v>
      </c>
      <c r="K30" s="45"/>
      <c r="L30" s="51">
        <f t="shared" si="4"/>
        <v>176</v>
      </c>
      <c r="M30" s="27"/>
      <c r="N30" s="2">
        <v>63</v>
      </c>
      <c r="O30" s="2"/>
      <c r="P30" s="27">
        <f t="shared" si="1"/>
        <v>0</v>
      </c>
      <c r="Q30" s="2"/>
      <c r="R30" s="62">
        <f t="shared" si="2"/>
        <v>0</v>
      </c>
      <c r="S30" s="36"/>
      <c r="T30" s="257"/>
      <c r="U30" s="194"/>
      <c r="V30" s="194"/>
      <c r="W30" s="194"/>
      <c r="Y30" s="129"/>
      <c r="Z30" s="130"/>
      <c r="AB30" s="261" t="s">
        <v>1275</v>
      </c>
      <c r="AC30" s="262" t="s">
        <v>1276</v>
      </c>
    </row>
    <row r="31" spans="1:33" x14ac:dyDescent="0.45">
      <c r="A31" s="16">
        <v>45518</v>
      </c>
      <c r="B31" s="2" t="str">
        <f t="shared" si="3"/>
        <v>S-RING-77</v>
      </c>
      <c r="C31" s="2" t="s">
        <v>731</v>
      </c>
      <c r="D31" s="49" t="s">
        <v>798</v>
      </c>
      <c r="E31" s="50">
        <f>VLOOKUP(B31,'ALL-DATA'!A:F,2,FALSE)</f>
        <v>4.4000000000000004</v>
      </c>
      <c r="F31" s="2">
        <f>VLOOKUP(B31,'ALL-DATA'!A:F,3,FALSE)</f>
        <v>92.5</v>
      </c>
      <c r="G31" s="2">
        <f>VLOOKUP(B31,'ALL-DATA'!A:F,4,FALSE)</f>
        <v>92.5</v>
      </c>
      <c r="H31" s="39">
        <f>VLOOKUP(B31,'ALL-DATA'!A:F,5,FALSE)</f>
        <v>127</v>
      </c>
      <c r="I31" s="39">
        <f>VLOOKUP(B31,'ALL-DATA'!A:F,6,FALSE)</f>
        <v>558.80000000000007</v>
      </c>
      <c r="J31" s="42">
        <v>1100</v>
      </c>
      <c r="K31" s="45"/>
      <c r="L31" s="51">
        <f t="shared" si="4"/>
        <v>541.19999999999993</v>
      </c>
      <c r="M31" s="27"/>
      <c r="N31" s="2">
        <v>63</v>
      </c>
      <c r="O31" s="2"/>
      <c r="P31" s="27">
        <f t="shared" si="1"/>
        <v>0</v>
      </c>
      <c r="Q31" s="2"/>
      <c r="R31" s="62">
        <f t="shared" si="2"/>
        <v>0</v>
      </c>
      <c r="S31" s="36"/>
      <c r="T31" s="257"/>
      <c r="U31" s="194"/>
      <c r="V31" s="194"/>
      <c r="W31" s="194"/>
      <c r="Y31" s="162"/>
      <c r="Z31" s="163"/>
      <c r="AB31" s="261" t="s">
        <v>1277</v>
      </c>
      <c r="AC31" s="262" t="s">
        <v>1278</v>
      </c>
    </row>
    <row r="32" spans="1:33" x14ac:dyDescent="0.45">
      <c r="A32" s="17">
        <v>45518</v>
      </c>
      <c r="B32" s="2" t="str">
        <f t="shared" si="3"/>
        <v>S-RING-184</v>
      </c>
      <c r="C32" s="2" t="s">
        <v>731</v>
      </c>
      <c r="D32" s="49" t="s">
        <v>799</v>
      </c>
      <c r="E32" s="50">
        <f>VLOOKUP(B32,'ALL-DATA'!A:F,2,FALSE)</f>
        <v>1.51</v>
      </c>
      <c r="F32" s="2">
        <f>VLOOKUP(B32,'ALL-DATA'!A:F,3,FALSE)</f>
        <v>92.5</v>
      </c>
      <c r="G32" s="2">
        <f>VLOOKUP(B32,'ALL-DATA'!A:F,4,FALSE)</f>
        <v>92.5</v>
      </c>
      <c r="H32" s="39">
        <f>VLOOKUP(B32,'ALL-DATA'!A:F,5,FALSE)</f>
        <v>131.65</v>
      </c>
      <c r="I32" s="39">
        <f>VLOOKUP(B32,'ALL-DATA'!A:F,6,FALSE)</f>
        <v>198.79150000000001</v>
      </c>
      <c r="J32" s="42">
        <v>400</v>
      </c>
      <c r="K32" s="45"/>
      <c r="L32" s="51">
        <f t="shared" si="4"/>
        <v>201.20849999999999</v>
      </c>
      <c r="M32" s="27"/>
      <c r="N32" s="2">
        <v>63</v>
      </c>
      <c r="O32" s="2"/>
      <c r="P32" s="27">
        <f t="shared" si="1"/>
        <v>0</v>
      </c>
      <c r="Q32" s="2"/>
      <c r="R32" s="62">
        <f t="shared" si="2"/>
        <v>0</v>
      </c>
      <c r="S32" s="36"/>
      <c r="AB32" s="261" t="s">
        <v>1277</v>
      </c>
      <c r="AC32" s="262">
        <v>5308</v>
      </c>
    </row>
    <row r="33" spans="1:31" x14ac:dyDescent="0.45">
      <c r="A33" s="16">
        <v>45521</v>
      </c>
      <c r="B33" s="2" t="str">
        <f>C33&amp;D33</f>
        <v>G-CHAIN-ORDER-16-08</v>
      </c>
      <c r="C33" s="2" t="s">
        <v>743</v>
      </c>
      <c r="D33" s="49" t="s">
        <v>801</v>
      </c>
      <c r="E33" s="50">
        <f>VLOOKUP(B33,'ALL-DATA'!A:F,2,FALSE)</f>
        <v>14.95</v>
      </c>
      <c r="F33" s="2">
        <f>VLOOKUP(B33,'ALL-DATA'!A:F,3,FALSE)</f>
        <v>96</v>
      </c>
      <c r="G33" s="2">
        <f>VLOOKUP(B33,'ALL-DATA'!A:F,4,FALSE)</f>
        <v>4</v>
      </c>
      <c r="H33" s="39">
        <f>VLOOKUP(B33,'ALL-DATA'!A:F,5,FALSE)</f>
        <v>7265</v>
      </c>
      <c r="I33" s="39">
        <f>VLOOKUP(B33,'ALL-DATA'!A:F,6,FALSE)</f>
        <v>104300</v>
      </c>
      <c r="J33" s="42">
        <v>104800</v>
      </c>
      <c r="K33" s="45"/>
      <c r="L33" s="51">
        <f t="shared" si="4"/>
        <v>500</v>
      </c>
      <c r="M33" s="27"/>
      <c r="N33" s="2">
        <v>63</v>
      </c>
      <c r="O33" s="2"/>
      <c r="P33" s="27">
        <f t="shared" si="1"/>
        <v>0</v>
      </c>
      <c r="Q33" s="2"/>
      <c r="R33" s="62">
        <f t="shared" si="2"/>
        <v>0</v>
      </c>
      <c r="S33" s="36"/>
      <c r="X33" s="1" t="s">
        <v>1472</v>
      </c>
      <c r="Y33" s="105">
        <v>55.2</v>
      </c>
      <c r="Z33" s="1">
        <v>2600</v>
      </c>
      <c r="AB33" s="261" t="s">
        <v>1292</v>
      </c>
      <c r="AC33" s="262">
        <v>37700</v>
      </c>
    </row>
    <row r="34" spans="1:31" s="26" customFormat="1" x14ac:dyDescent="0.45">
      <c r="A34" s="86">
        <v>45521</v>
      </c>
      <c r="B34" s="87" t="s">
        <v>847</v>
      </c>
      <c r="C34" s="87"/>
      <c r="D34" s="88"/>
      <c r="E34" s="89">
        <f>VLOOKUP(B34,'ALL-DATA'!A:F,2,FALSE)</f>
        <v>1.3</v>
      </c>
      <c r="F34" s="87">
        <f>VLOOKUP(B34,'ALL-DATA'!A:F,3,FALSE)</f>
        <v>79</v>
      </c>
      <c r="G34" s="87">
        <f>VLOOKUP(B34,'ALL-DATA'!A:F,4,FALSE)</f>
        <v>1.2</v>
      </c>
      <c r="H34" s="90">
        <f>VLOOKUP(B34,'ALL-DATA'!A:F,5,FALSE)</f>
        <v>7200</v>
      </c>
      <c r="I34" s="90">
        <f>VLOOKUP(B34,'ALL-DATA'!A:F,6,FALSE)</f>
        <v>5500</v>
      </c>
      <c r="J34" s="91">
        <v>6800</v>
      </c>
      <c r="K34" s="92"/>
      <c r="L34" s="93">
        <f t="shared" ref="L34:L45" si="5">((J34+R34)-I34)</f>
        <v>1300</v>
      </c>
      <c r="M34" s="93"/>
      <c r="N34" s="54"/>
      <c r="O34" s="87"/>
      <c r="P34" s="55"/>
      <c r="Q34" s="87"/>
      <c r="R34" s="65"/>
      <c r="S34" s="40"/>
      <c r="Y34" s="106"/>
      <c r="AB34" s="129" t="s">
        <v>1323</v>
      </c>
      <c r="AC34" s="130">
        <v>1040</v>
      </c>
      <c r="AE34" s="143"/>
    </row>
    <row r="35" spans="1:31" x14ac:dyDescent="0.45">
      <c r="A35" s="73">
        <v>45523</v>
      </c>
      <c r="B35" s="38" t="str">
        <f>C35&amp;D35</f>
        <v>S-RING-151</v>
      </c>
      <c r="C35" s="38" t="s">
        <v>731</v>
      </c>
      <c r="D35" s="74" t="s">
        <v>828</v>
      </c>
      <c r="E35" s="75">
        <f>VLOOKUP(B35,'ALL-DATA'!A:F,2,FALSE)</f>
        <v>3.55</v>
      </c>
      <c r="F35" s="38">
        <f>VLOOKUP(B35,'ALL-DATA'!A:F,3,FALSE)</f>
        <v>92.5</v>
      </c>
      <c r="G35" s="38">
        <f>VLOOKUP(B35,'ALL-DATA'!A:F,4,FALSE)</f>
        <v>92.5</v>
      </c>
      <c r="H35" s="76">
        <f>VLOOKUP(B35,'ALL-DATA'!A:F,5,FALSE)</f>
        <v>131.65</v>
      </c>
      <c r="I35" s="76">
        <f>VLOOKUP(B35,'ALL-DATA'!A:F,6,FALSE)</f>
        <v>467.35750000000002</v>
      </c>
      <c r="J35" s="44">
        <v>750</v>
      </c>
      <c r="K35" s="48"/>
      <c r="L35" s="77">
        <f t="shared" si="5"/>
        <v>282.64249999999998</v>
      </c>
      <c r="M35" s="37"/>
      <c r="N35" s="2">
        <v>63</v>
      </c>
      <c r="O35" s="38"/>
      <c r="P35" s="27">
        <f t="shared" si="1"/>
        <v>0</v>
      </c>
      <c r="Q35" s="38"/>
      <c r="R35" s="62">
        <f t="shared" si="2"/>
        <v>0</v>
      </c>
      <c r="AB35" s="129" t="s">
        <v>1455</v>
      </c>
      <c r="AC35" s="130">
        <v>3000</v>
      </c>
    </row>
    <row r="36" spans="1:31" x14ac:dyDescent="0.45">
      <c r="A36" s="73">
        <v>45524</v>
      </c>
      <c r="B36" s="38" t="str">
        <f>C36&amp;D36</f>
        <v>S-CHAIN-N-45</v>
      </c>
      <c r="C36" s="38" t="s">
        <v>732</v>
      </c>
      <c r="D36" s="74" t="s">
        <v>829</v>
      </c>
      <c r="E36" s="75">
        <f>VLOOKUP(B36,'ALL-DATA'!A:F,2,FALSE)</f>
        <v>16.3</v>
      </c>
      <c r="F36" s="38">
        <f>VLOOKUP(B36,'ALL-DATA'!A:F,3,FALSE)</f>
        <v>86</v>
      </c>
      <c r="G36" s="38">
        <f>VLOOKUP(B36,'ALL-DATA'!A:F,4,FALSE)</f>
        <v>-21</v>
      </c>
      <c r="H36" s="76">
        <f>VLOOKUP(B36,'ALL-DATA'!A:F,5,FALSE)</f>
        <v>94.8</v>
      </c>
      <c r="I36" s="76">
        <f>VLOOKUP(B36,'ALL-DATA'!A:F,6,FALSE)</f>
        <v>1328.9063999999998</v>
      </c>
      <c r="J36" s="44">
        <v>2040</v>
      </c>
      <c r="K36" s="48"/>
      <c r="L36" s="77">
        <f t="shared" si="5"/>
        <v>711.09360000000015</v>
      </c>
      <c r="M36" s="37"/>
      <c r="N36" s="2">
        <v>63</v>
      </c>
      <c r="O36" s="38"/>
      <c r="P36" s="27">
        <f t="shared" si="1"/>
        <v>0</v>
      </c>
      <c r="Q36" s="38"/>
      <c r="R36" s="62">
        <f t="shared" si="2"/>
        <v>0</v>
      </c>
      <c r="AB36" s="129" t="s">
        <v>1457</v>
      </c>
      <c r="AC36" s="130">
        <v>26000</v>
      </c>
    </row>
    <row r="37" spans="1:31" x14ac:dyDescent="0.45">
      <c r="A37" s="73">
        <v>45524</v>
      </c>
      <c r="B37" s="38" t="str">
        <f>C37&amp;D37</f>
        <v>S-BARACELET-G-92.5-17</v>
      </c>
      <c r="C37" s="38" t="s">
        <v>738</v>
      </c>
      <c r="D37" s="74" t="s">
        <v>830</v>
      </c>
      <c r="E37" s="75">
        <f>VLOOKUP(B37,'ALL-DATA'!A:F,2,FALSE)</f>
        <v>6.92</v>
      </c>
      <c r="F37" s="38">
        <f>VLOOKUP(B37,'ALL-DATA'!A:F,3,FALSE)</f>
        <v>92.5</v>
      </c>
      <c r="G37" s="38">
        <f>VLOOKUP(B37,'ALL-DATA'!A:F,4,FALSE)</f>
        <v>-71.5</v>
      </c>
      <c r="H37" s="76">
        <f>VLOOKUP(B37,'ALL-DATA'!A:F,5,FALSE)</f>
        <v>127</v>
      </c>
      <c r="I37" s="76">
        <f>VLOOKUP(B37,'ALL-DATA'!A:F,6,FALSE)</f>
        <v>878.84</v>
      </c>
      <c r="J37" s="44">
        <v>1750</v>
      </c>
      <c r="K37" s="48"/>
      <c r="L37" s="77">
        <f t="shared" si="5"/>
        <v>871.16</v>
      </c>
      <c r="M37" s="37"/>
      <c r="N37" s="2">
        <v>63</v>
      </c>
      <c r="O37" s="38"/>
      <c r="P37" s="27">
        <f t="shared" si="1"/>
        <v>0</v>
      </c>
      <c r="Q37" s="38"/>
      <c r="R37" s="62">
        <f t="shared" si="2"/>
        <v>0</v>
      </c>
      <c r="AB37" s="274" t="s">
        <v>1460</v>
      </c>
      <c r="AC37" s="275">
        <v>163770</v>
      </c>
    </row>
    <row r="38" spans="1:31" x14ac:dyDescent="0.45">
      <c r="A38" s="73">
        <v>45525</v>
      </c>
      <c r="B38" s="38" t="str">
        <f>C38&amp;D38</f>
        <v>S-METTI-21-08</v>
      </c>
      <c r="C38" s="38" t="s">
        <v>740</v>
      </c>
      <c r="D38" s="74" t="s">
        <v>832</v>
      </c>
      <c r="E38" s="75">
        <f>VLOOKUP(B38,'ALL-DATA'!A:F,2,FALSE)</f>
        <v>9.5299999999999994</v>
      </c>
      <c r="F38" s="38">
        <f>VLOOKUP(B38,'ALL-DATA'!A:F,3,FALSE)</f>
        <v>80</v>
      </c>
      <c r="G38" s="38">
        <f>VLOOKUP(B38,'ALL-DATA'!A:F,4,FALSE)</f>
        <v>0</v>
      </c>
      <c r="H38" s="76">
        <f>VLOOKUP(B38,'ALL-DATA'!A:F,5,FALSE)</f>
        <v>84</v>
      </c>
      <c r="I38" s="76">
        <f>VLOOKUP(B38,'ALL-DATA'!A:F,6,FALSE)</f>
        <v>640.41599999999994</v>
      </c>
      <c r="J38" s="44">
        <v>1000</v>
      </c>
      <c r="K38" s="48"/>
      <c r="L38" s="77">
        <f t="shared" si="5"/>
        <v>359.58400000000006</v>
      </c>
      <c r="M38" s="37"/>
      <c r="N38" s="2">
        <v>63</v>
      </c>
      <c r="O38" s="38"/>
      <c r="P38" s="27">
        <f t="shared" si="1"/>
        <v>0</v>
      </c>
      <c r="Q38" s="38"/>
      <c r="R38" s="62">
        <f t="shared" si="2"/>
        <v>0</v>
      </c>
      <c r="AB38" s="129" t="s">
        <v>1461</v>
      </c>
      <c r="AC38" s="130">
        <v>6970</v>
      </c>
    </row>
    <row r="39" spans="1:31" x14ac:dyDescent="0.45">
      <c r="A39" s="73">
        <v>45525</v>
      </c>
      <c r="B39" s="1" t="s">
        <v>833</v>
      </c>
      <c r="C39" s="38"/>
      <c r="D39" s="74"/>
      <c r="E39" s="75">
        <f>VLOOKUP(B39,'ALL-DATA'!A:F,2,FALSE)</f>
        <v>1.97</v>
      </c>
      <c r="F39" s="38">
        <f>VLOOKUP(B39,'ALL-DATA'!A:F,3,FALSE)</f>
        <v>87</v>
      </c>
      <c r="G39" s="38">
        <f>VLOOKUP(B39,'ALL-DATA'!A:F,4,FALSE)</f>
        <v>10</v>
      </c>
      <c r="H39" s="76">
        <f>VLOOKUP(B39,'ALL-DATA'!A:F,5,FALSE)</f>
        <v>7352</v>
      </c>
      <c r="I39" s="76">
        <f>VLOOKUP(B39,'ALL-DATA'!A:F,6,FALSE)</f>
        <v>12600.592799999999</v>
      </c>
      <c r="J39" s="44">
        <v>13400</v>
      </c>
      <c r="K39" s="48"/>
      <c r="L39" s="77">
        <f t="shared" si="5"/>
        <v>799.40720000000147</v>
      </c>
      <c r="M39" s="37"/>
      <c r="N39" s="2">
        <v>63</v>
      </c>
      <c r="O39" s="38"/>
      <c r="P39" s="27">
        <f t="shared" si="1"/>
        <v>0</v>
      </c>
      <c r="Q39" s="38"/>
      <c r="R39" s="62">
        <f t="shared" si="2"/>
        <v>0</v>
      </c>
      <c r="AB39" s="274" t="s">
        <v>1462</v>
      </c>
      <c r="AC39" s="275">
        <v>169130</v>
      </c>
    </row>
    <row r="40" spans="1:31" s="26" customFormat="1" x14ac:dyDescent="0.45">
      <c r="A40" s="86">
        <v>45525</v>
      </c>
      <c r="B40" s="94" t="s">
        <v>848</v>
      </c>
      <c r="C40" s="87"/>
      <c r="D40" s="88"/>
      <c r="E40" s="89">
        <f>VLOOKUP(B40,'ALL-DATA'!A:F,2,FALSE)</f>
        <v>0</v>
      </c>
      <c r="F40" s="87">
        <f>VLOOKUP(B40,'ALL-DATA'!A:F,3,FALSE)</f>
        <v>0</v>
      </c>
      <c r="G40" s="87">
        <f>VLOOKUP(B40,'ALL-DATA'!A:F,4,FALSE)</f>
        <v>250</v>
      </c>
      <c r="H40" s="90">
        <f>VLOOKUP(B40,'ALL-DATA'!A:F,5,FALSE)</f>
        <v>250</v>
      </c>
      <c r="I40" s="90">
        <f>VLOOKUP(B40,'ALL-DATA'!A:F,6,FALSE)</f>
        <v>500</v>
      </c>
      <c r="J40" s="91">
        <v>1100</v>
      </c>
      <c r="K40" s="92"/>
      <c r="L40" s="90">
        <f t="shared" si="5"/>
        <v>685.11999999999989</v>
      </c>
      <c r="M40" s="93">
        <v>4</v>
      </c>
      <c r="N40" s="54">
        <v>90</v>
      </c>
      <c r="O40" s="87">
        <v>80</v>
      </c>
      <c r="P40" s="27">
        <f t="shared" si="1"/>
        <v>285.11999999999995</v>
      </c>
      <c r="Q40" s="87">
        <v>200</v>
      </c>
      <c r="R40" s="62">
        <f t="shared" si="2"/>
        <v>85.119999999999948</v>
      </c>
      <c r="S40" s="95"/>
      <c r="Y40" s="106"/>
      <c r="AB40" s="274" t="s">
        <v>1459</v>
      </c>
      <c r="AC40" s="275">
        <v>21280</v>
      </c>
      <c r="AE40" s="143"/>
    </row>
    <row r="41" spans="1:31" x14ac:dyDescent="0.45">
      <c r="A41" s="73">
        <v>45526</v>
      </c>
      <c r="B41" s="38" t="str">
        <f t="shared" ref="B41:B42" si="6">C41&amp;D41</f>
        <v>S-RING-89</v>
      </c>
      <c r="C41" s="38" t="s">
        <v>731</v>
      </c>
      <c r="D41" s="74" t="s">
        <v>843</v>
      </c>
      <c r="E41" s="75">
        <f>VLOOKUP(B41,'ALL-DATA'!A:F,2,FALSE)</f>
        <v>4.1100000000000003</v>
      </c>
      <c r="F41" s="38">
        <f>VLOOKUP(B41,'ALL-DATA'!A:F,3,FALSE)</f>
        <v>92.5</v>
      </c>
      <c r="G41" s="38">
        <f>VLOOKUP(B41,'ALL-DATA'!A:F,4,FALSE)</f>
        <v>92.5</v>
      </c>
      <c r="H41" s="76">
        <f>VLOOKUP(B41,'ALL-DATA'!A:F,5,FALSE)</f>
        <v>127</v>
      </c>
      <c r="I41" s="76">
        <f>VLOOKUP(B41,'ALL-DATA'!A:F,6,FALSE)</f>
        <v>521.97</v>
      </c>
      <c r="J41" s="44">
        <v>950</v>
      </c>
      <c r="K41" s="48"/>
      <c r="L41" s="77">
        <f t="shared" si="5"/>
        <v>428.03</v>
      </c>
      <c r="M41" s="37"/>
      <c r="N41" s="2">
        <v>63</v>
      </c>
      <c r="O41" s="38"/>
      <c r="P41" s="27">
        <f t="shared" si="1"/>
        <v>0</v>
      </c>
      <c r="Q41" s="38"/>
      <c r="R41" s="62">
        <f t="shared" si="2"/>
        <v>0</v>
      </c>
      <c r="AB41" s="129" t="s">
        <v>1463</v>
      </c>
      <c r="AC41" s="130">
        <v>600</v>
      </c>
    </row>
    <row r="42" spans="1:31" x14ac:dyDescent="0.45">
      <c r="A42" s="73">
        <v>45526</v>
      </c>
      <c r="B42" s="38" t="str">
        <f t="shared" si="6"/>
        <v>S-RING-132</v>
      </c>
      <c r="C42" s="38" t="s">
        <v>731</v>
      </c>
      <c r="D42" s="74" t="s">
        <v>844</v>
      </c>
      <c r="E42" s="75">
        <f>VLOOKUP(B42,'ALL-DATA'!A:F,2,FALSE)</f>
        <v>1.25</v>
      </c>
      <c r="F42" s="38">
        <f>VLOOKUP(B42,'ALL-DATA'!A:F,3,FALSE)</f>
        <v>92.5</v>
      </c>
      <c r="G42" s="38">
        <f>VLOOKUP(B42,'ALL-DATA'!A:F,4,FALSE)</f>
        <v>92.5</v>
      </c>
      <c r="H42" s="76">
        <f>VLOOKUP(B42,'ALL-DATA'!A:F,5,FALSE)</f>
        <v>127</v>
      </c>
      <c r="I42" s="76">
        <f>VLOOKUP(B42,'ALL-DATA'!A:F,6,FALSE)</f>
        <v>158.75</v>
      </c>
      <c r="J42" s="44">
        <v>250</v>
      </c>
      <c r="K42" s="48"/>
      <c r="L42" s="77">
        <f t="shared" si="5"/>
        <v>91.25</v>
      </c>
      <c r="M42" s="37"/>
      <c r="N42" s="2">
        <v>63</v>
      </c>
      <c r="O42" s="38"/>
      <c r="P42" s="27">
        <f t="shared" si="1"/>
        <v>0</v>
      </c>
      <c r="Q42" s="38"/>
      <c r="R42" s="62">
        <f t="shared" si="2"/>
        <v>0</v>
      </c>
      <c r="AB42" s="129"/>
      <c r="AC42" s="130"/>
    </row>
    <row r="43" spans="1:31" x14ac:dyDescent="0.45">
      <c r="A43" s="73">
        <v>45526</v>
      </c>
      <c r="B43" s="1" t="s">
        <v>845</v>
      </c>
      <c r="C43" s="38"/>
      <c r="D43" s="74"/>
      <c r="E43" s="75">
        <f>VLOOKUP(B43,'ALL-DATA'!A:F,2,FALSE)</f>
        <v>0</v>
      </c>
      <c r="F43" s="38">
        <f>VLOOKUP(B43,'ALL-DATA'!A:F,3,FALSE)</f>
        <v>0</v>
      </c>
      <c r="G43" s="38">
        <f>VLOOKUP(B43,'ALL-DATA'!A:F,4,FALSE)</f>
        <v>0</v>
      </c>
      <c r="H43" s="76">
        <f>VLOOKUP(B43,'ALL-DATA'!A:F,5,FALSE)</f>
        <v>0</v>
      </c>
      <c r="I43" s="76">
        <f>VLOOKUP(B43,'ALL-DATA'!A:F,6,FALSE)</f>
        <v>500</v>
      </c>
      <c r="J43" s="44">
        <v>700</v>
      </c>
      <c r="K43" s="48"/>
      <c r="L43" s="77">
        <f t="shared" si="5"/>
        <v>200</v>
      </c>
      <c r="M43" s="37"/>
      <c r="N43" s="2">
        <v>63</v>
      </c>
      <c r="O43" s="38"/>
      <c r="P43" s="27">
        <f t="shared" si="1"/>
        <v>0</v>
      </c>
      <c r="Q43" s="38"/>
      <c r="R43" s="62">
        <f t="shared" si="2"/>
        <v>0</v>
      </c>
      <c r="AB43" s="274" t="s">
        <v>1476</v>
      </c>
      <c r="AC43" s="275">
        <v>3700</v>
      </c>
    </row>
    <row r="44" spans="1:31" x14ac:dyDescent="0.45">
      <c r="A44" s="73">
        <v>45526</v>
      </c>
      <c r="B44" s="1" t="str">
        <f t="shared" ref="B44:B49" si="7">C44&amp;D44</f>
        <v>S-RING-229</v>
      </c>
      <c r="C44" s="38" t="s">
        <v>731</v>
      </c>
      <c r="D44" s="74" t="s">
        <v>846</v>
      </c>
      <c r="E44" s="75">
        <f>VLOOKUP(B44,'ALL-DATA'!A:F,2,FALSE)</f>
        <v>3.87</v>
      </c>
      <c r="F44" s="38">
        <f>VLOOKUP(B44,'ALL-DATA'!A:F,3,FALSE)</f>
        <v>92.5</v>
      </c>
      <c r="G44" s="38">
        <f>VLOOKUP(B44,'ALL-DATA'!A:F,4,FALSE)</f>
        <v>92.5</v>
      </c>
      <c r="H44" s="76">
        <f>VLOOKUP(B44,'ALL-DATA'!A:F,5,FALSE)</f>
        <v>125.57</v>
      </c>
      <c r="I44" s="76">
        <f>VLOOKUP(B44,'ALL-DATA'!A:F,6,FALSE)</f>
        <v>485.95589999999999</v>
      </c>
      <c r="J44" s="44">
        <v>860</v>
      </c>
      <c r="K44" s="48"/>
      <c r="L44" s="77">
        <f t="shared" si="5"/>
        <v>458.85210000000001</v>
      </c>
      <c r="M44" s="37">
        <v>6.1</v>
      </c>
      <c r="N44" s="2">
        <v>90</v>
      </c>
      <c r="O44" s="38">
        <v>80</v>
      </c>
      <c r="P44" s="27">
        <f t="shared" si="1"/>
        <v>434.80799999999999</v>
      </c>
      <c r="Q44" s="38">
        <v>350</v>
      </c>
      <c r="R44" s="62">
        <f t="shared" si="2"/>
        <v>84.807999999999993</v>
      </c>
    </row>
    <row r="45" spans="1:31" x14ac:dyDescent="0.45">
      <c r="A45" s="73">
        <v>45527</v>
      </c>
      <c r="B45" s="38" t="str">
        <f t="shared" si="7"/>
        <v>G-STUD-1</v>
      </c>
      <c r="C45" s="38" t="s">
        <v>720</v>
      </c>
      <c r="D45" s="74" t="s">
        <v>787</v>
      </c>
      <c r="E45" s="75">
        <f>VLOOKUP(B45,'ALL-DATA'!A:F,2,FALSE)</f>
        <v>2.11</v>
      </c>
      <c r="F45" s="38">
        <f>VLOOKUP(B45,'ALL-DATA'!A:F,3,FALSE)</f>
        <v>97</v>
      </c>
      <c r="G45" s="38">
        <f>VLOOKUP(B45,'ALL-DATA'!A:F,4,FALSE)</f>
        <v>-5</v>
      </c>
      <c r="H45" s="76">
        <f>VLOOKUP(B45,'ALL-DATA'!A:F,5,FALSE)</f>
        <v>7218.2</v>
      </c>
      <c r="I45" s="76">
        <f>VLOOKUP(B45,'ALL-DATA'!A:F,6,FALSE)</f>
        <v>14773.489939999999</v>
      </c>
      <c r="J45" s="44">
        <v>15550</v>
      </c>
      <c r="K45" s="48"/>
      <c r="L45" s="77">
        <f t="shared" si="5"/>
        <v>776.51006000000052</v>
      </c>
      <c r="M45" s="37"/>
      <c r="N45" s="2">
        <v>63</v>
      </c>
      <c r="O45" s="38"/>
      <c r="P45" s="27">
        <f t="shared" si="1"/>
        <v>0</v>
      </c>
      <c r="Q45" s="38"/>
      <c r="R45" s="62">
        <f t="shared" si="2"/>
        <v>0</v>
      </c>
    </row>
    <row r="46" spans="1:31" x14ac:dyDescent="0.45">
      <c r="A46" s="73">
        <v>45527</v>
      </c>
      <c r="B46" s="38" t="str">
        <f t="shared" si="7"/>
        <v>S-STUD-PRI-2</v>
      </c>
      <c r="C46" s="38" t="s">
        <v>748</v>
      </c>
      <c r="D46" s="74" t="s">
        <v>796</v>
      </c>
      <c r="E46" s="75">
        <f>VLOOKUP(B46,'ALL-DATA'!A:F,2,FALSE)</f>
        <v>0</v>
      </c>
      <c r="F46" s="38">
        <f>VLOOKUP(B46,'ALL-DATA'!A:F,3,FALSE)</f>
        <v>0</v>
      </c>
      <c r="G46" s="38">
        <f>VLOOKUP(B46,'ALL-DATA'!A:F,4,FALSE)</f>
        <v>0</v>
      </c>
      <c r="H46" s="76">
        <f>VLOOKUP(B46,'ALL-DATA'!A:F,5,FALSE)</f>
        <v>0</v>
      </c>
      <c r="I46" s="76">
        <f>VLOOKUP(B46,'ALL-DATA'!A:F,6,FALSE)</f>
        <v>242</v>
      </c>
      <c r="J46" s="44">
        <v>700</v>
      </c>
      <c r="K46" s="48"/>
      <c r="L46" s="77">
        <f t="shared" ref="L46:L52" si="8">((J46+R46)-I46)</f>
        <v>458</v>
      </c>
      <c r="M46" s="37"/>
      <c r="N46" s="38"/>
      <c r="O46" s="38"/>
      <c r="P46" s="27">
        <f t="shared" si="1"/>
        <v>0</v>
      </c>
      <c r="Q46" s="38"/>
      <c r="R46" s="62">
        <f t="shared" si="2"/>
        <v>0</v>
      </c>
    </row>
    <row r="47" spans="1:31" x14ac:dyDescent="0.45">
      <c r="A47" s="73">
        <v>45529</v>
      </c>
      <c r="B47" s="38" t="str">
        <f t="shared" si="7"/>
        <v>S-BARACELET-B-23</v>
      </c>
      <c r="C47" s="38" t="s">
        <v>737</v>
      </c>
      <c r="D47" s="74" t="s">
        <v>800</v>
      </c>
      <c r="E47" s="75">
        <f>VLOOKUP(B47,'ALL-DATA'!A:F,2,FALSE)</f>
        <v>10.51</v>
      </c>
      <c r="F47" s="38">
        <f>VLOOKUP(B47,'ALL-DATA'!A:F,3,FALSE)</f>
        <v>85</v>
      </c>
      <c r="G47" s="38">
        <f>VLOOKUP(B47,'ALL-DATA'!A:F,4,FALSE)</f>
        <v>20</v>
      </c>
      <c r="H47" s="76">
        <f>VLOOKUP(B47,'ALL-DATA'!A:F,5,FALSE)</f>
        <v>95</v>
      </c>
      <c r="I47" s="76">
        <f>VLOOKUP(B47,'ALL-DATA'!A:F,6,FALSE)</f>
        <v>950</v>
      </c>
      <c r="J47" s="44">
        <v>1500</v>
      </c>
      <c r="K47" s="48"/>
      <c r="L47" s="77">
        <f t="shared" si="8"/>
        <v>550</v>
      </c>
      <c r="M47" s="37"/>
      <c r="N47" s="38"/>
      <c r="O47" s="38"/>
      <c r="P47" s="27">
        <f t="shared" si="1"/>
        <v>0</v>
      </c>
      <c r="Q47" s="38"/>
      <c r="R47" s="62">
        <f t="shared" si="2"/>
        <v>0</v>
      </c>
    </row>
    <row r="48" spans="1:31" x14ac:dyDescent="0.45">
      <c r="A48" s="73">
        <v>45530</v>
      </c>
      <c r="B48" s="38" t="str">
        <f t="shared" si="7"/>
        <v>S-METTI-26-08</v>
      </c>
      <c r="C48" s="38" t="s">
        <v>740</v>
      </c>
      <c r="D48" s="74" t="s">
        <v>854</v>
      </c>
      <c r="E48" s="75">
        <f>VLOOKUP(B48,'ALL-DATA'!A:F,2,FALSE)</f>
        <v>13.08</v>
      </c>
      <c r="F48" s="38">
        <f>VLOOKUP(B48,'ALL-DATA'!A:F,3,FALSE)</f>
        <v>80</v>
      </c>
      <c r="G48" s="38">
        <f>VLOOKUP(B48,'ALL-DATA'!A:F,4,FALSE)</f>
        <v>0</v>
      </c>
      <c r="H48" s="76">
        <f>VLOOKUP(B48,'ALL-DATA'!A:F,5,FALSE)</f>
        <v>84</v>
      </c>
      <c r="I48" s="76">
        <f>VLOOKUP(B48,'ALL-DATA'!A:F,6,FALSE)</f>
        <v>878.976</v>
      </c>
      <c r="J48" s="44">
        <v>880</v>
      </c>
      <c r="K48" s="48"/>
      <c r="L48" s="77">
        <f t="shared" si="8"/>
        <v>14.054011999999943</v>
      </c>
      <c r="M48" s="37">
        <v>22.39</v>
      </c>
      <c r="N48" s="38">
        <v>63</v>
      </c>
      <c r="O48" s="38">
        <v>84</v>
      </c>
      <c r="P48" s="27">
        <f t="shared" si="1"/>
        <v>1173.0300119999999</v>
      </c>
      <c r="Q48" s="38">
        <v>1160</v>
      </c>
      <c r="R48" s="62">
        <f t="shared" si="2"/>
        <v>13.030011999999942</v>
      </c>
    </row>
    <row r="49" spans="1:18" x14ac:dyDescent="0.45">
      <c r="A49" s="73">
        <v>45530</v>
      </c>
      <c r="B49" s="38" t="str">
        <f t="shared" si="7"/>
        <v>S-STUD-PRI-2</v>
      </c>
      <c r="C49" s="38" t="s">
        <v>748</v>
      </c>
      <c r="D49" s="74" t="s">
        <v>796</v>
      </c>
      <c r="E49" s="75">
        <f>VLOOKUP(B49,'ALL-DATA'!A:F,2,FALSE)</f>
        <v>0</v>
      </c>
      <c r="F49" s="38">
        <f>VLOOKUP(B49,'ALL-DATA'!A:F,3,FALSE)</f>
        <v>0</v>
      </c>
      <c r="G49" s="38">
        <f>VLOOKUP(B49,'ALL-DATA'!A:F,4,FALSE)</f>
        <v>0</v>
      </c>
      <c r="H49" s="76">
        <f>VLOOKUP(B49,'ALL-DATA'!A:F,5,FALSE)</f>
        <v>0</v>
      </c>
      <c r="I49" s="76">
        <f>VLOOKUP(B49,'ALL-DATA'!A:F,6,FALSE)</f>
        <v>242</v>
      </c>
      <c r="J49" s="44">
        <v>280</v>
      </c>
      <c r="K49" s="48"/>
      <c r="L49" s="77">
        <f t="shared" si="8"/>
        <v>38</v>
      </c>
      <c r="M49" s="37"/>
      <c r="N49" s="38"/>
      <c r="O49" s="38"/>
      <c r="P49" s="27">
        <f t="shared" si="1"/>
        <v>0</v>
      </c>
      <c r="Q49" s="38"/>
      <c r="R49" s="62">
        <f t="shared" si="2"/>
        <v>0</v>
      </c>
    </row>
    <row r="50" spans="1:18" x14ac:dyDescent="0.45">
      <c r="A50" s="73">
        <v>45530</v>
      </c>
      <c r="B50" s="38" t="s">
        <v>863</v>
      </c>
      <c r="C50" s="38"/>
      <c r="D50" s="74"/>
      <c r="E50" s="75">
        <f>VLOOKUP(B50,'ALL-DATA'!A:F,2,FALSE)</f>
        <v>61.8</v>
      </c>
      <c r="F50" s="38">
        <f>VLOOKUP(B50,'ALL-DATA'!A:F,3,FALSE)</f>
        <v>93</v>
      </c>
      <c r="G50" s="38">
        <f>VLOOKUP(B50,'ALL-DATA'!A:F,4,FALSE)</f>
        <v>13</v>
      </c>
      <c r="H50" s="76">
        <f>VLOOKUP(B50,'ALL-DATA'!A:F,5,FALSE)</f>
        <v>88.1</v>
      </c>
      <c r="I50" s="76">
        <f>VLOOKUP(B50,'ALL-DATA'!A:F,6,FALSE)</f>
        <v>5140.7093999999997</v>
      </c>
      <c r="J50" s="44">
        <v>6000</v>
      </c>
      <c r="K50" s="48"/>
      <c r="L50" s="77">
        <f t="shared" si="8"/>
        <v>859.29060000000027</v>
      </c>
      <c r="M50" s="37"/>
      <c r="N50" s="38"/>
      <c r="O50" s="38"/>
      <c r="P50" s="27">
        <f t="shared" si="1"/>
        <v>0</v>
      </c>
      <c r="Q50" s="38"/>
      <c r="R50" s="62">
        <f t="shared" si="2"/>
        <v>0</v>
      </c>
    </row>
    <row r="51" spans="1:18" x14ac:dyDescent="0.45">
      <c r="A51" s="73">
        <v>45532</v>
      </c>
      <c r="B51" s="38" t="str">
        <f t="shared" ref="B51:B55" si="9">C51&amp;D51</f>
        <v>S-RING-53</v>
      </c>
      <c r="C51" s="38" t="s">
        <v>731</v>
      </c>
      <c r="D51" s="74" t="s">
        <v>778</v>
      </c>
      <c r="E51" s="75">
        <f>VLOOKUP(B51,'ALL-DATA'!A:F,2,FALSE)</f>
        <v>1.51</v>
      </c>
      <c r="F51" s="38">
        <f>VLOOKUP(B51,'ALL-DATA'!A:F,3,FALSE)</f>
        <v>92.5</v>
      </c>
      <c r="G51" s="38">
        <f>VLOOKUP(B51,'ALL-DATA'!A:F,4,FALSE)</f>
        <v>92.5</v>
      </c>
      <c r="H51" s="76">
        <f>VLOOKUP(B51,'ALL-DATA'!A:F,5,FALSE)</f>
        <v>140</v>
      </c>
      <c r="I51" s="76">
        <f>VLOOKUP(B51,'ALL-DATA'!A:F,6,FALSE)</f>
        <v>211.4</v>
      </c>
      <c r="J51" s="104">
        <v>300</v>
      </c>
      <c r="K51" s="48"/>
      <c r="L51" s="77">
        <f>((J51+R51)-I51)</f>
        <v>199.15991999999991</v>
      </c>
      <c r="M51" s="37">
        <v>25.7</v>
      </c>
      <c r="N51" s="38">
        <v>63</v>
      </c>
      <c r="O51" s="38">
        <v>88</v>
      </c>
      <c r="P51" s="27">
        <f>(((M51-(M51*1%))*N51)/100)*O51</f>
        <v>1410.5599199999999</v>
      </c>
      <c r="Q51" s="38">
        <v>1300</v>
      </c>
      <c r="R51" s="62">
        <f>(P51-Q51)</f>
        <v>110.55991999999992</v>
      </c>
    </row>
    <row r="52" spans="1:18" x14ac:dyDescent="0.45">
      <c r="A52" s="73">
        <v>45532</v>
      </c>
      <c r="B52" s="38" t="str">
        <f t="shared" si="9"/>
        <v>S-STUD-MAS-4</v>
      </c>
      <c r="C52" s="38" t="s">
        <v>749</v>
      </c>
      <c r="D52" s="74" t="s">
        <v>773</v>
      </c>
      <c r="E52" s="75">
        <f>VLOOKUP(B52,'ALL-DATA'!A:F,2,FALSE)</f>
        <v>0</v>
      </c>
      <c r="F52" s="38">
        <f>VLOOKUP(B52,'ALL-DATA'!A:F,3,FALSE)</f>
        <v>0</v>
      </c>
      <c r="G52" s="38">
        <f>VLOOKUP(B52,'ALL-DATA'!A:F,4,FALSE)</f>
        <v>0</v>
      </c>
      <c r="H52" s="76">
        <f>VLOOKUP(B52,'ALL-DATA'!A:F,5,FALSE)</f>
        <v>0</v>
      </c>
      <c r="I52" s="76">
        <f>VLOOKUP(B52,'ALL-DATA'!A:F,6,FALSE)</f>
        <v>110</v>
      </c>
      <c r="J52" s="104">
        <v>700</v>
      </c>
      <c r="K52" s="48"/>
      <c r="L52" s="77">
        <f t="shared" si="8"/>
        <v>590</v>
      </c>
      <c r="M52" s="37"/>
      <c r="N52" s="38"/>
      <c r="O52" s="38"/>
      <c r="P52" s="27">
        <f t="shared" ref="P52:P54" si="10">(((M52-(M52*1%))*N52)/100)*O52</f>
        <v>0</v>
      </c>
      <c r="Q52" s="38"/>
      <c r="R52" s="62">
        <f t="shared" ref="R52:R109" si="11">(P52-Q52)</f>
        <v>0</v>
      </c>
    </row>
    <row r="53" spans="1:18" x14ac:dyDescent="0.45">
      <c r="A53" s="73">
        <v>45532</v>
      </c>
      <c r="B53" s="38" t="str">
        <f t="shared" si="9"/>
        <v>S-RING-109</v>
      </c>
      <c r="C53" s="38" t="s">
        <v>731</v>
      </c>
      <c r="D53" s="74" t="s">
        <v>868</v>
      </c>
      <c r="E53" s="75">
        <f>VLOOKUP(B53,'ALL-DATA'!A:F,2,FALSE)</f>
        <v>2.48</v>
      </c>
      <c r="F53" s="38">
        <f>VLOOKUP(B53,'ALL-DATA'!A:F,3,FALSE)</f>
        <v>92.5</v>
      </c>
      <c r="G53" s="38">
        <f>VLOOKUP(B53,'ALL-DATA'!A:F,4,FALSE)</f>
        <v>92.5</v>
      </c>
      <c r="H53" s="76">
        <f>VLOOKUP(B53,'ALL-DATA'!A:F,5,FALSE)</f>
        <v>127</v>
      </c>
      <c r="I53" s="76">
        <f>VLOOKUP(B53,'ALL-DATA'!A:F,6,FALSE)</f>
        <v>314.95999999999998</v>
      </c>
      <c r="J53" s="44">
        <v>550</v>
      </c>
      <c r="K53" s="48"/>
      <c r="L53" s="77">
        <f t="shared" ref="L53:L60" si="12">((J53+R53)-I53)</f>
        <v>235.04000000000002</v>
      </c>
      <c r="M53" s="37"/>
      <c r="N53" s="38"/>
      <c r="O53" s="38"/>
      <c r="P53" s="27">
        <f t="shared" si="10"/>
        <v>0</v>
      </c>
      <c r="Q53" s="38"/>
      <c r="R53" s="62">
        <f t="shared" si="11"/>
        <v>0</v>
      </c>
    </row>
    <row r="54" spans="1:18" x14ac:dyDescent="0.45">
      <c r="A54" s="73">
        <v>45532</v>
      </c>
      <c r="B54" s="38" t="str">
        <f t="shared" si="9"/>
        <v>S-RING-187</v>
      </c>
      <c r="C54" s="38" t="s">
        <v>731</v>
      </c>
      <c r="D54" s="74" t="s">
        <v>869</v>
      </c>
      <c r="E54" s="75">
        <f>VLOOKUP(B54,'ALL-DATA'!A:F,2,FALSE)</f>
        <v>1.5</v>
      </c>
      <c r="F54" s="38">
        <f>VLOOKUP(B54,'ALL-DATA'!A:F,3,FALSE)</f>
        <v>92.5</v>
      </c>
      <c r="G54" s="38">
        <f>VLOOKUP(B54,'ALL-DATA'!A:F,4,FALSE)</f>
        <v>92.5</v>
      </c>
      <c r="H54" s="76">
        <f>VLOOKUP(B54,'ALL-DATA'!A:F,5,FALSE)</f>
        <v>131.65</v>
      </c>
      <c r="I54" s="76">
        <f>VLOOKUP(B54,'ALL-DATA'!A:F,6,FALSE)</f>
        <v>197.47500000000002</v>
      </c>
      <c r="J54" s="44">
        <v>300</v>
      </c>
      <c r="K54" s="48"/>
      <c r="L54" s="77">
        <f t="shared" si="12"/>
        <v>102.52499999999998</v>
      </c>
      <c r="M54" s="37"/>
      <c r="N54" s="38"/>
      <c r="O54" s="38"/>
      <c r="P54" s="27">
        <f t="shared" si="10"/>
        <v>0</v>
      </c>
      <c r="Q54" s="38"/>
      <c r="R54" s="62">
        <f t="shared" si="11"/>
        <v>0</v>
      </c>
    </row>
    <row r="55" spans="1:18" x14ac:dyDescent="0.45">
      <c r="A55" s="73">
        <v>45532</v>
      </c>
      <c r="B55" s="38" t="str">
        <f t="shared" si="9"/>
        <v>G-TLI-MNI-THAYTH-2</v>
      </c>
      <c r="C55" s="38" t="s">
        <v>723</v>
      </c>
      <c r="D55" s="74" t="s">
        <v>796</v>
      </c>
      <c r="E55" s="75">
        <f>VLOOKUP(B55,'ALL-DATA'!A:F,2,FALSE)</f>
        <v>1.08</v>
      </c>
      <c r="F55" s="38">
        <f>VLOOKUP(B55,'ALL-DATA'!A:F,3,FALSE)</f>
        <v>84</v>
      </c>
      <c r="G55" s="38">
        <f>VLOOKUP(B55,'ALL-DATA'!A:F,4,FALSE)</f>
        <v>-7</v>
      </c>
      <c r="H55" s="76">
        <f>VLOOKUP(B55,'ALL-DATA'!A:F,5,FALSE)</f>
        <v>7218.2</v>
      </c>
      <c r="I55" s="76">
        <f>VLOOKUP(B55,'ALL-DATA'!A:F,6,FALSE)</f>
        <v>6548.3510399999996</v>
      </c>
      <c r="J55" s="44">
        <v>7600</v>
      </c>
      <c r="K55" s="48"/>
      <c r="L55" s="77">
        <f t="shared" si="12"/>
        <v>1745.6489600000004</v>
      </c>
      <c r="M55" s="37">
        <v>1.32</v>
      </c>
      <c r="N55" s="38">
        <v>65</v>
      </c>
      <c r="O55" s="38">
        <v>7300</v>
      </c>
      <c r="P55" s="27">
        <f>(((Table8[[#This Row],[OLD-WT]]-0.12)*Table8[[#This Row],[MELTING2]]/100)*Table8[[#This Row],[P-RATE3]])</f>
        <v>5694.0000000000009</v>
      </c>
      <c r="Q55" s="38">
        <v>5000</v>
      </c>
      <c r="R55" s="62">
        <f t="shared" si="11"/>
        <v>694.00000000000091</v>
      </c>
    </row>
    <row r="56" spans="1:18" x14ac:dyDescent="0.45">
      <c r="A56" s="73">
        <v>45538</v>
      </c>
      <c r="B56" s="1" t="s">
        <v>885</v>
      </c>
      <c r="C56" s="38"/>
      <c r="D56" s="74"/>
      <c r="E56" s="75">
        <f>VLOOKUP(B56,'ALL-DATA'!A:F,2,FALSE)</f>
        <v>1</v>
      </c>
      <c r="F56" s="38">
        <f>VLOOKUP(B56,'ALL-DATA'!A:F,3,FALSE)</f>
        <v>0</v>
      </c>
      <c r="G56" s="38">
        <f>VLOOKUP(B56,'ALL-DATA'!A:F,4,FALSE)</f>
        <v>0</v>
      </c>
      <c r="H56" s="76">
        <f>VLOOKUP(B56,'ALL-DATA'!A:F,5,FALSE)</f>
        <v>0</v>
      </c>
      <c r="I56" s="76">
        <f>VLOOKUP(B56,'ALL-DATA'!A:F,6,FALSE)</f>
        <v>85350</v>
      </c>
      <c r="J56" s="44">
        <v>86500</v>
      </c>
      <c r="K56" s="48"/>
      <c r="L56" s="77">
        <f>((J56+R56)-I56)</f>
        <v>1150</v>
      </c>
      <c r="M56" s="37"/>
      <c r="N56" s="38"/>
      <c r="O56" s="38"/>
      <c r="P56" s="27">
        <f>(((Table8[[#This Row],[OLD-WT]]-0.12)*Table8[[#This Row],[MELTING2]]/100)*Table8[[#This Row],[P-RATE3]])</f>
        <v>0</v>
      </c>
      <c r="Q56" s="38"/>
      <c r="R56" s="62">
        <f t="shared" si="11"/>
        <v>0</v>
      </c>
    </row>
    <row r="57" spans="1:18" x14ac:dyDescent="0.45">
      <c r="A57" s="73">
        <v>45539</v>
      </c>
      <c r="B57" s="38" t="str">
        <f>C57&amp;D57</f>
        <v>S-RING-196</v>
      </c>
      <c r="C57" s="38" t="s">
        <v>731</v>
      </c>
      <c r="D57" s="74" t="s">
        <v>872</v>
      </c>
      <c r="E57" s="75">
        <f>VLOOKUP(B57,'ALL-DATA'!A:F,2,FALSE)</f>
        <v>1.31</v>
      </c>
      <c r="F57" s="38">
        <f>VLOOKUP(B57,'ALL-DATA'!A:F,3,FALSE)</f>
        <v>92.5</v>
      </c>
      <c r="G57" s="38">
        <f>VLOOKUP(B57,'ALL-DATA'!A:F,4,FALSE)</f>
        <v>92.5</v>
      </c>
      <c r="H57" s="76">
        <f>VLOOKUP(B57,'ALL-DATA'!A:F,5,FALSE)</f>
        <v>131.65</v>
      </c>
      <c r="I57" s="76">
        <f>VLOOKUP(B57,'ALL-DATA'!A:F,6,FALSE)</f>
        <v>172.4615</v>
      </c>
      <c r="J57" s="44">
        <v>350</v>
      </c>
      <c r="K57" s="48"/>
      <c r="L57" s="77">
        <f t="shared" si="12"/>
        <v>177.5385</v>
      </c>
      <c r="M57" s="37"/>
      <c r="N57" s="38"/>
      <c r="O57" s="38"/>
      <c r="P57" s="27">
        <f>(((Table8[[#This Row],[OLD-WT]]-0.12)*Table8[[#This Row],[MELTING2]]/100)*Table8[[#This Row],[P-RATE3]])</f>
        <v>0</v>
      </c>
      <c r="Q57" s="38"/>
      <c r="R57" s="62">
        <f t="shared" si="11"/>
        <v>0</v>
      </c>
    </row>
    <row r="58" spans="1:18" x14ac:dyDescent="0.45">
      <c r="A58" s="73">
        <v>45539</v>
      </c>
      <c r="B58" s="38" t="s">
        <v>886</v>
      </c>
      <c r="C58" s="38"/>
      <c r="D58" s="74"/>
      <c r="E58" s="75">
        <f>VLOOKUP(B58,'ALL-DATA'!A:F,2,FALSE)</f>
        <v>1.5</v>
      </c>
      <c r="F58" s="38">
        <f>VLOOKUP(B58,'ALL-DATA'!A:F,3,FALSE)</f>
        <v>0</v>
      </c>
      <c r="G58" s="38">
        <f>VLOOKUP(B58,'ALL-DATA'!A:F,4,FALSE)</f>
        <v>0</v>
      </c>
      <c r="H58" s="76">
        <f>VLOOKUP(B58,'ALL-DATA'!A:F,5,FALSE)</f>
        <v>0</v>
      </c>
      <c r="I58" s="76">
        <f>VLOOKUP(B58,'ALL-DATA'!A:F,6,FALSE)</f>
        <v>120</v>
      </c>
      <c r="J58" s="44">
        <v>200</v>
      </c>
      <c r="K58" s="48"/>
      <c r="L58" s="77">
        <f>((J58+R58)-I58)</f>
        <v>80</v>
      </c>
      <c r="M58" s="37"/>
      <c r="N58" s="38"/>
      <c r="O58" s="38"/>
      <c r="P58" s="27">
        <f>(((Table8[[#This Row],[OLD-WT]]-0.12)*Table8[[#This Row],[MELTING2]]/100)*Table8[[#This Row],[P-RATE3]])</f>
        <v>0</v>
      </c>
      <c r="Q58" s="38"/>
      <c r="R58" s="62">
        <f t="shared" si="11"/>
        <v>0</v>
      </c>
    </row>
    <row r="59" spans="1:18" x14ac:dyDescent="0.45">
      <c r="A59" s="73">
        <v>45540</v>
      </c>
      <c r="B59" s="38" t="str">
        <f t="shared" ref="B59:B65" si="13">C59&amp;D59</f>
        <v>S-STUD-MAS-5</v>
      </c>
      <c r="C59" s="38" t="s">
        <v>749</v>
      </c>
      <c r="D59" s="74" t="s">
        <v>875</v>
      </c>
      <c r="E59" s="75">
        <f>VLOOKUP(B59,'ALL-DATA'!A:F,2,FALSE)</f>
        <v>0</v>
      </c>
      <c r="F59" s="38">
        <f>VLOOKUP(B59,'ALL-DATA'!A:F,3,FALSE)</f>
        <v>0</v>
      </c>
      <c r="G59" s="38">
        <f>VLOOKUP(B59,'ALL-DATA'!A:F,4,FALSE)</f>
        <v>0</v>
      </c>
      <c r="H59" s="76">
        <f>VLOOKUP(B59,'ALL-DATA'!A:F,5,FALSE)</f>
        <v>0</v>
      </c>
      <c r="I59" s="76">
        <f>VLOOKUP(B59,'ALL-DATA'!A:F,6,FALSE)</f>
        <v>300</v>
      </c>
      <c r="J59" s="44">
        <v>700</v>
      </c>
      <c r="K59" s="48"/>
      <c r="L59" s="77">
        <f t="shared" si="12"/>
        <v>400</v>
      </c>
      <c r="M59" s="37"/>
      <c r="N59" s="38"/>
      <c r="O59" s="38"/>
      <c r="P59" s="27">
        <f>(((Table8[[#This Row],[OLD-WT]]-0.12)*Table8[[#This Row],[MELTING2]]/100)*Table8[[#This Row],[P-RATE3]])</f>
        <v>0</v>
      </c>
      <c r="Q59" s="38"/>
      <c r="R59" s="62">
        <f t="shared" si="11"/>
        <v>0</v>
      </c>
    </row>
    <row r="60" spans="1:18" x14ac:dyDescent="0.45">
      <c r="A60" s="73">
        <v>45540</v>
      </c>
      <c r="B60" s="38" t="str">
        <f t="shared" si="13"/>
        <v>S-THANDA-K7</v>
      </c>
      <c r="C60" s="38" t="s">
        <v>728</v>
      </c>
      <c r="D60" s="74" t="s">
        <v>876</v>
      </c>
      <c r="E60" s="75">
        <f>VLOOKUP(B60,'ALL-DATA'!A:F,2,FALSE)</f>
        <v>31.98</v>
      </c>
      <c r="F60" s="38">
        <f>VLOOKUP(B60,'ALL-DATA'!A:F,3,FALSE)</f>
        <v>65</v>
      </c>
      <c r="G60" s="38">
        <f>VLOOKUP(B60,'ALL-DATA'!A:F,4,FALSE)</f>
        <v>-10</v>
      </c>
      <c r="H60" s="76">
        <f>VLOOKUP(B60,'ALL-DATA'!A:F,5,FALSE)</f>
        <v>89</v>
      </c>
      <c r="I60" s="76">
        <f>VLOOKUP(B60,'ALL-DATA'!A:F,6,FALSE)</f>
        <v>1850.0429999999999</v>
      </c>
      <c r="J60" s="44">
        <v>2200</v>
      </c>
      <c r="K60" s="48"/>
      <c r="L60" s="77">
        <f t="shared" si="12"/>
        <v>349.95700000000011</v>
      </c>
      <c r="M60" s="37"/>
      <c r="N60" s="38"/>
      <c r="O60" s="38"/>
      <c r="P60" s="27">
        <f>(((Table8[[#This Row],[OLD-WT]]-0.12)*Table8[[#This Row],[MELTING2]]/100)*Table8[[#This Row],[P-RATE3]])</f>
        <v>0</v>
      </c>
      <c r="Q60" s="38"/>
      <c r="R60" s="62">
        <f t="shared" si="11"/>
        <v>0</v>
      </c>
    </row>
    <row r="61" spans="1:18" x14ac:dyDescent="0.45">
      <c r="A61" s="73">
        <v>45541</v>
      </c>
      <c r="B61" s="38" t="str">
        <f t="shared" si="13"/>
        <v>S-RING-185</v>
      </c>
      <c r="C61" s="38" t="s">
        <v>731</v>
      </c>
      <c r="D61" s="74" t="s">
        <v>882</v>
      </c>
      <c r="E61" s="75">
        <f>VLOOKUP(B61,'ALL-DATA'!A:F,2,FALSE)</f>
        <v>1.25</v>
      </c>
      <c r="F61" s="38">
        <f>VLOOKUP(B61,'ALL-DATA'!A:F,3,FALSE)</f>
        <v>92.5</v>
      </c>
      <c r="G61" s="38">
        <f>VLOOKUP(B61,'ALL-DATA'!A:F,4,FALSE)</f>
        <v>92.5</v>
      </c>
      <c r="H61" s="76">
        <f>VLOOKUP(B61,'ALL-DATA'!A:F,5,FALSE)</f>
        <v>131.65</v>
      </c>
      <c r="I61" s="76">
        <f>VLOOKUP(B61,'ALL-DATA'!A:F,6,FALSE)</f>
        <v>164.5625</v>
      </c>
      <c r="J61" s="44">
        <v>250</v>
      </c>
      <c r="K61" s="48"/>
      <c r="L61" s="77">
        <f>((J61+R61)-I61)</f>
        <v>85.4375</v>
      </c>
      <c r="M61" s="37"/>
      <c r="N61" s="38"/>
      <c r="O61" s="38"/>
      <c r="P61" s="27">
        <f>(((Table8[[#This Row],[OLD-WT]]-0.12)*Table8[[#This Row],[MELTING2]]/100)*Table8[[#This Row],[P-RATE3]])</f>
        <v>0</v>
      </c>
      <c r="Q61" s="38"/>
      <c r="R61" s="62">
        <f t="shared" si="11"/>
        <v>0</v>
      </c>
    </row>
    <row r="62" spans="1:18" x14ac:dyDescent="0.45">
      <c r="A62" s="73">
        <v>45541</v>
      </c>
      <c r="B62" s="38" t="str">
        <f t="shared" si="13"/>
        <v>S-RING-195</v>
      </c>
      <c r="C62" s="38" t="s">
        <v>731</v>
      </c>
      <c r="D62" s="74" t="s">
        <v>883</v>
      </c>
      <c r="E62" s="75">
        <f>VLOOKUP(B62,'ALL-DATA'!A:F,2,FALSE)</f>
        <v>1.26</v>
      </c>
      <c r="F62" s="38">
        <f>VLOOKUP(B62,'ALL-DATA'!A:F,3,FALSE)</f>
        <v>92.5</v>
      </c>
      <c r="G62" s="38">
        <f>VLOOKUP(B62,'ALL-DATA'!A:F,4,FALSE)</f>
        <v>92.5</v>
      </c>
      <c r="H62" s="76">
        <f>VLOOKUP(B62,'ALL-DATA'!A:F,5,FALSE)</f>
        <v>131.65</v>
      </c>
      <c r="I62" s="76">
        <f>VLOOKUP(B62,'ALL-DATA'!A:F,6,FALSE)</f>
        <v>165.87900000000002</v>
      </c>
      <c r="J62" s="44">
        <v>300</v>
      </c>
      <c r="K62" s="48"/>
      <c r="L62" s="77">
        <f>((J62+R62)-I62)</f>
        <v>134.12099999999998</v>
      </c>
      <c r="M62" s="37"/>
      <c r="N62" s="38"/>
      <c r="O62" s="38"/>
      <c r="P62" s="27">
        <f>(((Table8[[#This Row],[OLD-WT]]-0.12)*Table8[[#This Row],[MELTING2]]/100)*Table8[[#This Row],[P-RATE3]])</f>
        <v>0</v>
      </c>
      <c r="Q62" s="38"/>
      <c r="R62" s="62">
        <f t="shared" si="11"/>
        <v>0</v>
      </c>
    </row>
    <row r="63" spans="1:18" x14ac:dyDescent="0.45">
      <c r="A63" s="73">
        <v>45541</v>
      </c>
      <c r="B63" s="38" t="str">
        <f t="shared" si="13"/>
        <v>S-RING-192</v>
      </c>
      <c r="C63" s="38" t="s">
        <v>731</v>
      </c>
      <c r="D63" s="74" t="s">
        <v>884</v>
      </c>
      <c r="E63" s="75">
        <f>VLOOKUP(B63,'ALL-DATA'!A:F,2,FALSE)</f>
        <v>1.18</v>
      </c>
      <c r="F63" s="38">
        <f>VLOOKUP(B63,'ALL-DATA'!A:F,3,FALSE)</f>
        <v>92.5</v>
      </c>
      <c r="G63" s="38">
        <f>VLOOKUP(B63,'ALL-DATA'!A:F,4,FALSE)</f>
        <v>92.5</v>
      </c>
      <c r="H63" s="76">
        <f>VLOOKUP(B63,'ALL-DATA'!A:F,5,FALSE)</f>
        <v>131.65</v>
      </c>
      <c r="I63" s="76">
        <f>VLOOKUP(B63,'ALL-DATA'!A:F,6,FALSE)</f>
        <v>155.34700000000001</v>
      </c>
      <c r="J63" s="44">
        <v>300</v>
      </c>
      <c r="K63" s="48"/>
      <c r="L63" s="77">
        <f>((J63+R63)-I63)</f>
        <v>144.65299999999999</v>
      </c>
      <c r="M63" s="37"/>
      <c r="N63" s="38"/>
      <c r="O63" s="38"/>
      <c r="P63" s="27">
        <f>(((Table8[[#This Row],[OLD-WT]]-0.12)*Table8[[#This Row],[MELTING2]]/100)*Table8[[#This Row],[P-RATE3]])</f>
        <v>0</v>
      </c>
      <c r="Q63" s="38"/>
      <c r="R63" s="62">
        <f t="shared" si="11"/>
        <v>0</v>
      </c>
    </row>
    <row r="64" spans="1:18" x14ac:dyDescent="0.45">
      <c r="A64" s="73">
        <v>45542</v>
      </c>
      <c r="B64" s="38" t="str">
        <f t="shared" si="13"/>
        <v>S-METTI-09-09</v>
      </c>
      <c r="C64" s="38" t="s">
        <v>740</v>
      </c>
      <c r="D64" s="74" t="s">
        <v>891</v>
      </c>
      <c r="E64" s="75">
        <f>VLOOKUP(B64,'ALL-DATA'!A:F,2,FALSE)</f>
        <v>8.9</v>
      </c>
      <c r="F64" s="38">
        <f>VLOOKUP(B64,'ALL-DATA'!A:F,3,FALSE)</f>
        <v>80</v>
      </c>
      <c r="G64" s="38">
        <f>VLOOKUP(B64,'ALL-DATA'!A:F,4,FALSE)</f>
        <v>0</v>
      </c>
      <c r="H64" s="76">
        <f>VLOOKUP(B64,'ALL-DATA'!A:F,5,FALSE)</f>
        <v>83</v>
      </c>
      <c r="I64" s="76">
        <v>650</v>
      </c>
      <c r="J64" s="44">
        <v>1100</v>
      </c>
      <c r="K64" s="48"/>
      <c r="L64" s="77">
        <f>((J64+R64)-I64)</f>
        <v>446.9376000000002</v>
      </c>
      <c r="M64" s="37">
        <v>11.4</v>
      </c>
      <c r="N64" s="38">
        <v>63</v>
      </c>
      <c r="O64" s="38">
        <v>84</v>
      </c>
      <c r="P64" s="27">
        <f>(((Table8[[#This Row],[OLD-WT]]-0.12)*Table8[[#This Row],[MELTING2]]/100)*Table8[[#This Row],[P-RATE3]])</f>
        <v>596.93760000000009</v>
      </c>
      <c r="Q64" s="38">
        <v>600</v>
      </c>
      <c r="R64" s="62">
        <f t="shared" si="11"/>
        <v>-3.0623999999999114</v>
      </c>
    </row>
    <row r="65" spans="1:18" x14ac:dyDescent="0.45">
      <c r="A65" s="73">
        <v>45544</v>
      </c>
      <c r="B65" s="38" t="str">
        <f t="shared" si="13"/>
        <v>S-DOLLER-25</v>
      </c>
      <c r="C65" s="38" t="s">
        <v>730</v>
      </c>
      <c r="D65" s="74" t="s">
        <v>893</v>
      </c>
      <c r="E65" s="75">
        <f>VLOOKUP(B65,'ALL-DATA'!A:F,2,FALSE)</f>
        <v>4</v>
      </c>
      <c r="F65" s="38">
        <f>VLOOKUP(B65,'ALL-DATA'!A:F,3,FALSE)</f>
        <v>92.5</v>
      </c>
      <c r="G65" s="38">
        <f>VLOOKUP(B65,'ALL-DATA'!A:F,4,FALSE)</f>
        <v>92.5</v>
      </c>
      <c r="H65" s="76">
        <f>VLOOKUP(B65,'ALL-DATA'!A:F,5,FALSE)</f>
        <v>160</v>
      </c>
      <c r="I65" s="76">
        <f>VLOOKUP(B65,'ALL-DATA'!A:F,6,FALSE)</f>
        <v>640</v>
      </c>
      <c r="J65" s="44">
        <v>1000</v>
      </c>
      <c r="K65" s="48"/>
      <c r="L65" s="77">
        <f>((J65+R65)-I65)</f>
        <v>360</v>
      </c>
      <c r="M65" s="37"/>
      <c r="N65" s="38"/>
      <c r="O65" s="38"/>
      <c r="P65" s="27">
        <f>(((Table8[[#This Row],[OLD-WT]]-0.12)*Table8[[#This Row],[MELTING2]]/100)*Table8[[#This Row],[P-RATE3]])</f>
        <v>0</v>
      </c>
      <c r="Q65" s="38"/>
      <c r="R65" s="62">
        <f t="shared" si="11"/>
        <v>0</v>
      </c>
    </row>
    <row r="66" spans="1:18" x14ac:dyDescent="0.45">
      <c r="A66" s="73">
        <v>45545</v>
      </c>
      <c r="B66" s="38" t="str">
        <f>C66&amp;D66</f>
        <v>S-B-KOLUSU--15</v>
      </c>
      <c r="C66" s="38" t="s">
        <v>727</v>
      </c>
      <c r="D66" s="74" t="s">
        <v>774</v>
      </c>
      <c r="E66" s="75">
        <f>VLOOKUP(B66,'ALL-DATA'!A:F,2,FALSE)</f>
        <v>70.95</v>
      </c>
      <c r="F66" s="38">
        <f>VLOOKUP(B66,'ALL-DATA'!A:F,3,FALSE)</f>
        <v>65</v>
      </c>
      <c r="G66" s="38">
        <f>VLOOKUP(B66,'ALL-DATA'!A:F,4,FALSE)</f>
        <v>-10</v>
      </c>
      <c r="H66" s="76">
        <f>VLOOKUP(B66,'ALL-DATA'!A:F,5,FALSE)</f>
        <v>89</v>
      </c>
      <c r="I66" s="76">
        <f>VLOOKUP(B66,'ALL-DATA'!A:F,6,FALSE)</f>
        <v>4104.4574999999995</v>
      </c>
      <c r="J66" s="44">
        <v>6840</v>
      </c>
      <c r="K66" s="48"/>
      <c r="L66" s="77">
        <f>((J66+R66)-I66)-I67</f>
        <v>2526.0876000000007</v>
      </c>
      <c r="M66" s="37">
        <v>72.400000000000006</v>
      </c>
      <c r="N66" s="38">
        <v>63</v>
      </c>
      <c r="O66" s="38">
        <v>84</v>
      </c>
      <c r="P66" s="27">
        <f>(((Table8[[#This Row],[OLD-WT]]-0.12)*Table8[[#This Row],[MELTING2]]/100)*Table8[[#This Row],[P-RATE3]])</f>
        <v>3825.0576000000001</v>
      </c>
      <c r="Q66" s="38">
        <v>3840</v>
      </c>
      <c r="R66" s="62">
        <f t="shared" si="11"/>
        <v>-14.942399999999907</v>
      </c>
    </row>
    <row r="67" spans="1:18" x14ac:dyDescent="0.45">
      <c r="A67" s="73">
        <v>45545</v>
      </c>
      <c r="B67" s="38" t="str">
        <f>C67&amp;D67</f>
        <v>S-METTI-FREE</v>
      </c>
      <c r="C67" s="120" t="s">
        <v>894</v>
      </c>
      <c r="D67" s="74"/>
      <c r="E67" s="75">
        <f>VLOOKUP(B67,'ALL-DATA'!A:F,2,FALSE)</f>
        <v>3.5</v>
      </c>
      <c r="F67" s="38">
        <f>VLOOKUP(B67,'ALL-DATA'!A:F,3,FALSE)</f>
        <v>65</v>
      </c>
      <c r="G67" s="38">
        <f>VLOOKUP(B67,'ALL-DATA'!A:F,4,FALSE)</f>
        <v>0</v>
      </c>
      <c r="H67" s="76">
        <f>VLOOKUP(B67,'ALL-DATA'!A:F,5,FALSE)</f>
        <v>85.5</v>
      </c>
      <c r="I67" s="77">
        <f>VLOOKUP(B67,'ALL-DATA'!A:F,6,FALSE)</f>
        <v>194.51249999999999</v>
      </c>
      <c r="J67" s="44"/>
      <c r="K67" s="48"/>
      <c r="L67" s="77">
        <v>0</v>
      </c>
      <c r="M67" s="37"/>
      <c r="N67" s="38"/>
      <c r="O67" s="38"/>
      <c r="P67" s="27">
        <f>(((Table8[[#This Row],[OLD-WT]]-0.12)*Table8[[#This Row],[MELTING2]]/100)*Table8[[#This Row],[P-RATE3]])</f>
        <v>0</v>
      </c>
      <c r="Q67" s="38"/>
      <c r="R67" s="62">
        <f t="shared" si="11"/>
        <v>0</v>
      </c>
    </row>
    <row r="68" spans="1:18" x14ac:dyDescent="0.45">
      <c r="A68" s="73">
        <v>45545</v>
      </c>
      <c r="B68" s="2" t="str">
        <f>C68&amp;D68</f>
        <v>S-B-KOLUSU--38</v>
      </c>
      <c r="C68" s="119" t="s">
        <v>727</v>
      </c>
      <c r="D68" s="49" t="s">
        <v>895</v>
      </c>
      <c r="E68" s="50">
        <f>VLOOKUP(B68,'ALL-DATA'!A:F,2,FALSE)</f>
        <v>36.700000000000003</v>
      </c>
      <c r="F68" s="2">
        <f>VLOOKUP(B68,'ALL-DATA'!A:F,3,FALSE)</f>
        <v>82</v>
      </c>
      <c r="G68" s="2">
        <f>VLOOKUP(B68,'ALL-DATA'!A:F,4,FALSE)</f>
        <v>-17</v>
      </c>
      <c r="H68" s="39">
        <f>VLOOKUP(B68,'ALL-DATA'!A:F,5,FALSE)</f>
        <v>90</v>
      </c>
      <c r="I68" s="127">
        <f>VLOOKUP(B68,'ALL-DATA'!A:F,6,FALSE)</f>
        <v>2708.46</v>
      </c>
      <c r="J68" s="42">
        <v>3500</v>
      </c>
      <c r="K68" s="45"/>
      <c r="L68" s="127">
        <f t="shared" ref="L68:L73" si="14">((J68+R68)-I68)</f>
        <v>838.48559999999998</v>
      </c>
      <c r="M68" s="27">
        <v>38.799999999999997</v>
      </c>
      <c r="N68" s="2">
        <v>63</v>
      </c>
      <c r="O68" s="2">
        <v>84</v>
      </c>
      <c r="P68" s="27">
        <f>(((Table8[[#This Row],[OLD-WT]]-0.12)*Table8[[#This Row],[MELTING2]]/100)*Table8[[#This Row],[P-RATE3]])</f>
        <v>2046.9456</v>
      </c>
      <c r="Q68" s="2">
        <v>2000</v>
      </c>
      <c r="R68" s="62">
        <f t="shared" si="11"/>
        <v>46.945600000000013</v>
      </c>
    </row>
    <row r="69" spans="1:18" x14ac:dyDescent="0.45">
      <c r="A69" s="73">
        <v>45545</v>
      </c>
      <c r="B69" s="128" t="s">
        <v>896</v>
      </c>
      <c r="C69" s="38"/>
      <c r="D69" s="74"/>
      <c r="E69" s="75">
        <f>VLOOKUP(B69,'ALL-DATA'!A:F,2,FALSE)</f>
        <v>0.97</v>
      </c>
      <c r="F69" s="38">
        <f>VLOOKUP(B69,'ALL-DATA'!A:F,3,FALSE)</f>
        <v>0</v>
      </c>
      <c r="G69" s="38">
        <f>VLOOKUP(B69,'ALL-DATA'!A:F,4,FALSE)</f>
        <v>0</v>
      </c>
      <c r="H69" s="76">
        <f>VLOOKUP(B69,'ALL-DATA'!A:F,5,FALSE)</f>
        <v>0</v>
      </c>
      <c r="I69" s="76">
        <f>VLOOKUP(B69,'ALL-DATA'!A:F,6,FALSE)</f>
        <v>2300</v>
      </c>
      <c r="J69" s="44">
        <v>3000</v>
      </c>
      <c r="K69" s="48"/>
      <c r="L69" s="77">
        <f t="shared" si="14"/>
        <v>700</v>
      </c>
      <c r="M69" s="37"/>
      <c r="N69" s="38"/>
      <c r="O69" s="38"/>
      <c r="P69" s="27">
        <f>(((Table8[[#This Row],[OLD-WT]]-0.12)*Table8[[#This Row],[MELTING2]]/100)*Table8[[#This Row],[P-RATE3]])</f>
        <v>0</v>
      </c>
      <c r="Q69" s="38"/>
      <c r="R69" s="62">
        <f t="shared" si="11"/>
        <v>0</v>
      </c>
    </row>
    <row r="70" spans="1:18" x14ac:dyDescent="0.45">
      <c r="A70" s="73">
        <v>45545</v>
      </c>
      <c r="B70" s="38" t="str">
        <f>C70&amp;D70</f>
        <v>S-METTI-10-09</v>
      </c>
      <c r="C70" s="38" t="s">
        <v>740</v>
      </c>
      <c r="D70" s="74" t="s">
        <v>917</v>
      </c>
      <c r="E70" s="75">
        <f>VLOOKUP(B70,'ALL-DATA'!A:F,2,FALSE)</f>
        <v>3.9</v>
      </c>
      <c r="F70" s="38">
        <f>VLOOKUP(B70,'ALL-DATA'!A:F,3,FALSE)</f>
        <v>80</v>
      </c>
      <c r="G70" s="38">
        <f>VLOOKUP(B70,'ALL-DATA'!A:F,4,FALSE)</f>
        <v>0</v>
      </c>
      <c r="H70" s="76">
        <f>VLOOKUP(B70,'ALL-DATA'!A:F,5,FALSE)</f>
        <v>90</v>
      </c>
      <c r="I70" s="76">
        <f>VLOOKUP(B70,'ALL-DATA'!A:F,6,FALSE)</f>
        <v>280.8</v>
      </c>
      <c r="J70" s="44">
        <v>400</v>
      </c>
      <c r="K70" s="48"/>
      <c r="L70" s="77">
        <f t="shared" si="14"/>
        <v>119.78559999999999</v>
      </c>
      <c r="M70" s="37">
        <v>5.8</v>
      </c>
      <c r="N70" s="38">
        <v>63</v>
      </c>
      <c r="O70" s="38">
        <v>84</v>
      </c>
      <c r="P70" s="27">
        <f>(((Table8[[#This Row],[OLD-WT]]-0.12)*Table8[[#This Row],[MELTING2]]/100)*Table8[[#This Row],[P-RATE3]])</f>
        <v>300.5856</v>
      </c>
      <c r="Q70" s="38">
        <v>300</v>
      </c>
      <c r="R70" s="62">
        <f t="shared" si="11"/>
        <v>0.58559999999999945</v>
      </c>
    </row>
    <row r="71" spans="1:18" x14ac:dyDescent="0.45">
      <c r="A71" s="73">
        <v>45545</v>
      </c>
      <c r="B71" s="38" t="str">
        <f>C71&amp;D71</f>
        <v>S-B-KOLUSU--16</v>
      </c>
      <c r="C71" s="38" t="s">
        <v>727</v>
      </c>
      <c r="D71" s="74" t="s">
        <v>918</v>
      </c>
      <c r="E71" s="75">
        <f>VLOOKUP(B71,'ALL-DATA'!A:F,2,FALSE)</f>
        <v>49.92</v>
      </c>
      <c r="F71" s="38">
        <f>VLOOKUP(B71,'ALL-DATA'!A:F,3,FALSE)</f>
        <v>65</v>
      </c>
      <c r="G71" s="38">
        <f>VLOOKUP(B71,'ALL-DATA'!A:F,4,FALSE)</f>
        <v>-10</v>
      </c>
      <c r="H71" s="76">
        <f>VLOOKUP(B71,'ALL-DATA'!A:F,5,FALSE)</f>
        <v>89</v>
      </c>
      <c r="I71" s="76">
        <f>VLOOKUP(B71,'ALL-DATA'!A:F,6,FALSE)</f>
        <v>2887.8719999999998</v>
      </c>
      <c r="J71" s="44">
        <v>4700</v>
      </c>
      <c r="K71" s="48"/>
      <c r="L71" s="77">
        <f t="shared" si="14"/>
        <v>1864.1936000000001</v>
      </c>
      <c r="M71" s="37">
        <v>74.8</v>
      </c>
      <c r="N71" s="38">
        <v>63</v>
      </c>
      <c r="O71" s="38">
        <v>84</v>
      </c>
      <c r="P71" s="27">
        <f>(((Table8[[#This Row],[OLD-WT]]-0.12)*Table8[[#This Row],[MELTING2]]/100)*Table8[[#This Row],[P-RATE3]])</f>
        <v>3952.0655999999994</v>
      </c>
      <c r="Q71" s="38">
        <v>3900</v>
      </c>
      <c r="R71" s="62">
        <f t="shared" si="11"/>
        <v>52.065599999999449</v>
      </c>
    </row>
    <row r="72" spans="1:18" x14ac:dyDescent="0.45">
      <c r="A72" s="73">
        <v>45545</v>
      </c>
      <c r="B72" s="38" t="str">
        <f>C72&amp;D72</f>
        <v>S-RING-163</v>
      </c>
      <c r="C72" s="38" t="s">
        <v>731</v>
      </c>
      <c r="D72" s="74" t="s">
        <v>919</v>
      </c>
      <c r="E72" s="75">
        <f>VLOOKUP(B72,'ALL-DATA'!A:F,2,FALSE)</f>
        <v>1.1000000000000001</v>
      </c>
      <c r="F72" s="38">
        <f>VLOOKUP(B72,'ALL-DATA'!A:F,3,FALSE)</f>
        <v>92.5</v>
      </c>
      <c r="G72" s="38">
        <f>VLOOKUP(B72,'ALL-DATA'!A:F,4,FALSE)</f>
        <v>92.5</v>
      </c>
      <c r="H72" s="76">
        <f>VLOOKUP(B72,'ALL-DATA'!A:F,5,FALSE)</f>
        <v>131.65</v>
      </c>
      <c r="I72" s="76">
        <f>VLOOKUP(B72,'ALL-DATA'!A:F,6,FALSE)</f>
        <v>144.81500000000003</v>
      </c>
      <c r="J72" s="44">
        <v>150</v>
      </c>
      <c r="K72" s="48"/>
      <c r="L72" s="77">
        <f t="shared" si="14"/>
        <v>5.1849999999999739</v>
      </c>
      <c r="M72" s="37"/>
      <c r="N72" s="38"/>
      <c r="O72" s="38"/>
      <c r="P72" s="27">
        <f>(((Table8[[#This Row],[OLD-WT]]-0.12)*Table8[[#This Row],[MELTING2]]/100)*Table8[[#This Row],[P-RATE3]])</f>
        <v>0</v>
      </c>
      <c r="Q72" s="38"/>
      <c r="R72" s="62">
        <f t="shared" si="11"/>
        <v>0</v>
      </c>
    </row>
    <row r="73" spans="1:18" x14ac:dyDescent="0.45">
      <c r="A73" s="73">
        <v>45545</v>
      </c>
      <c r="B73" s="38" t="s">
        <v>921</v>
      </c>
      <c r="C73" s="38"/>
      <c r="D73" s="74"/>
      <c r="E73" s="75">
        <f>VLOOKUP(B73,'ALL-DATA'!A:F,2,FALSE)</f>
        <v>1.8</v>
      </c>
      <c r="F73" s="38">
        <f>VLOOKUP(B73,'ALL-DATA'!A:F,3,FALSE)</f>
        <v>63</v>
      </c>
      <c r="G73" s="38">
        <f>VLOOKUP(B73,'ALL-DATA'!A:F,4,FALSE)</f>
        <v>0</v>
      </c>
      <c r="H73" s="76">
        <f>VLOOKUP(B73,'ALL-DATA'!A:F,5,FALSE)</f>
        <v>84</v>
      </c>
      <c r="I73" s="76">
        <f>VLOOKUP(B73,'ALL-DATA'!A:F,6,FALSE)</f>
        <v>95.256000000000014</v>
      </c>
      <c r="J73" s="44">
        <v>200</v>
      </c>
      <c r="K73" s="48"/>
      <c r="L73" s="77">
        <f t="shared" si="14"/>
        <v>104.74399999999999</v>
      </c>
      <c r="M73" s="37"/>
      <c r="N73" s="38"/>
      <c r="O73" s="38"/>
      <c r="P73" s="27">
        <f>(((Table8[[#This Row],[OLD-WT]]-0.12)*Table8[[#This Row],[MELTING2]]/100)*Table8[[#This Row],[P-RATE3]])</f>
        <v>0</v>
      </c>
      <c r="Q73" s="38"/>
      <c r="R73" s="62">
        <f t="shared" si="11"/>
        <v>0</v>
      </c>
    </row>
    <row r="74" spans="1:18" x14ac:dyDescent="0.45">
      <c r="A74" s="73">
        <v>45547</v>
      </c>
      <c r="B74" s="38" t="str">
        <f>C74&amp;D74</f>
        <v>S-CHAIN-N-55</v>
      </c>
      <c r="C74" s="38" t="s">
        <v>732</v>
      </c>
      <c r="D74" s="74" t="s">
        <v>922</v>
      </c>
      <c r="E74" s="75">
        <f>VLOOKUP(B74,'ALL-DATA'!A:F,2,FALSE)</f>
        <v>15.2</v>
      </c>
      <c r="F74" s="38">
        <f>VLOOKUP(B74,'ALL-DATA'!A:F,3,FALSE)</f>
        <v>86</v>
      </c>
      <c r="G74" s="38">
        <f>VLOOKUP(B74,'ALL-DATA'!A:F,4,FALSE)</f>
        <v>-21</v>
      </c>
      <c r="H74" s="76">
        <f>VLOOKUP(B74,'ALL-DATA'!A:F,5,FALSE)</f>
        <v>94.8</v>
      </c>
      <c r="I74" s="76">
        <f>VLOOKUP(B74,'ALL-DATA'!A:F,6,FALSE)</f>
        <v>1239.2256</v>
      </c>
      <c r="J74" s="44">
        <v>1700</v>
      </c>
      <c r="K74" s="48"/>
      <c r="L74" s="77">
        <f t="shared" ref="L74:L80" si="15">((J74+R74)-I74)</f>
        <v>460.77440000000001</v>
      </c>
      <c r="M74" s="37"/>
      <c r="N74" s="38"/>
      <c r="O74" s="38"/>
      <c r="P74" s="27">
        <f>(((Table8[[#This Row],[OLD-WT]]-0.12)*Table8[[#This Row],[MELTING2]]/100)*Table8[[#This Row],[P-RATE3]])</f>
        <v>0</v>
      </c>
      <c r="Q74" s="38"/>
      <c r="R74" s="62">
        <f t="shared" si="11"/>
        <v>0</v>
      </c>
    </row>
    <row r="75" spans="1:18" x14ac:dyDescent="0.45">
      <c r="A75" s="73">
        <v>45547</v>
      </c>
      <c r="B75" s="1" t="s">
        <v>939</v>
      </c>
      <c r="C75" s="38"/>
      <c r="D75" s="74"/>
      <c r="E75" s="75">
        <f>VLOOKUP(B75,'ALL-DATA'!A:F,2,FALSE)</f>
        <v>23.45</v>
      </c>
      <c r="F75" s="38">
        <f>VLOOKUP(B75,'ALL-DATA'!A:F,3,FALSE)</f>
        <v>91.71</v>
      </c>
      <c r="G75" s="38">
        <f>VLOOKUP(B75,'ALL-DATA'!A:F,4,FALSE)</f>
        <v>0</v>
      </c>
      <c r="H75" s="76">
        <f>VLOOKUP(B75,'ALL-DATA'!A:F,5,FALSE)</f>
        <v>0</v>
      </c>
      <c r="I75" s="76">
        <f>VLOOKUP(B75,'ALL-DATA'!A:F,6,FALSE)</f>
        <v>124000</v>
      </c>
      <c r="J75" s="44">
        <v>152000</v>
      </c>
      <c r="K75" s="48"/>
      <c r="L75" s="77">
        <f>((J75+R75)-I75)</f>
        <v>28000</v>
      </c>
      <c r="M75" s="37"/>
      <c r="N75" s="38"/>
      <c r="O75" s="38"/>
      <c r="P75" s="27">
        <f>(((Table8[[#This Row],[OLD-WT]]-0.12)*Table8[[#This Row],[MELTING2]]/100)*Table8[[#This Row],[P-RATE3]])</f>
        <v>0</v>
      </c>
      <c r="Q75" s="38"/>
      <c r="R75" s="62">
        <f t="shared" si="11"/>
        <v>0</v>
      </c>
    </row>
    <row r="76" spans="1:18" x14ac:dyDescent="0.45">
      <c r="A76" s="73">
        <v>45548</v>
      </c>
      <c r="B76" s="1" t="s">
        <v>923</v>
      </c>
      <c r="C76" s="38"/>
      <c r="D76" s="74"/>
      <c r="E76" s="75">
        <f>VLOOKUP(B76,'ALL-DATA'!A:F,2,FALSE)</f>
        <v>0</v>
      </c>
      <c r="F76" s="38">
        <f>VLOOKUP(B76,'ALL-DATA'!A:F,3,FALSE)</f>
        <v>0</v>
      </c>
      <c r="G76" s="38">
        <f>VLOOKUP(B76,'ALL-DATA'!A:F,4,FALSE)</f>
        <v>0</v>
      </c>
      <c r="H76" s="76">
        <f>VLOOKUP(B76,'ALL-DATA'!A:F,5,FALSE)</f>
        <v>0</v>
      </c>
      <c r="I76" s="76">
        <f>VLOOKUP(B76,'ALL-DATA'!A:F,6,FALSE)</f>
        <v>3300</v>
      </c>
      <c r="J76" s="44">
        <v>4500</v>
      </c>
      <c r="K76" s="48"/>
      <c r="L76" s="77">
        <f t="shared" si="15"/>
        <v>1200</v>
      </c>
      <c r="M76" s="37"/>
      <c r="N76" s="38"/>
      <c r="O76" s="38"/>
      <c r="P76" s="27">
        <f>(((Table8[[#This Row],[OLD-WT]]-0.12)*Table8[[#This Row],[MELTING2]]/100)*Table8[[#This Row],[P-RATE3]])</f>
        <v>0</v>
      </c>
      <c r="Q76" s="38"/>
      <c r="R76" s="62">
        <f t="shared" si="11"/>
        <v>0</v>
      </c>
    </row>
    <row r="77" spans="1:18" x14ac:dyDescent="0.45">
      <c r="A77" s="73">
        <v>45548</v>
      </c>
      <c r="B77" s="132" t="s">
        <v>924</v>
      </c>
      <c r="C77" s="38"/>
      <c r="D77" s="74"/>
      <c r="E77" s="75">
        <f>VLOOKUP(B77,'ALL-DATA'!A:F,2,FALSE)</f>
        <v>0</v>
      </c>
      <c r="F77" s="38">
        <f>VLOOKUP(B77,'ALL-DATA'!A:F,3,FALSE)</f>
        <v>0</v>
      </c>
      <c r="G77" s="38">
        <f>VLOOKUP(B77,'ALL-DATA'!A:F,4,FALSE)</f>
        <v>0</v>
      </c>
      <c r="H77" s="76">
        <f>VLOOKUP(B77,'ALL-DATA'!A:F,5,FALSE)</f>
        <v>0</v>
      </c>
      <c r="I77" s="76">
        <f>VLOOKUP(B77,'ALL-DATA'!A:F,6,FALSE)</f>
        <v>900</v>
      </c>
      <c r="J77" s="44">
        <v>1600</v>
      </c>
      <c r="K77" s="48"/>
      <c r="L77" s="77">
        <f t="shared" si="15"/>
        <v>700</v>
      </c>
      <c r="M77" s="37"/>
      <c r="N77" s="38"/>
      <c r="O77" s="38"/>
      <c r="P77" s="27">
        <f>(((Table8[[#This Row],[OLD-WT]]-0.12)*Table8[[#This Row],[MELTING2]]/100)*Table8[[#This Row],[P-RATE3]])</f>
        <v>0</v>
      </c>
      <c r="Q77" s="38"/>
      <c r="R77" s="62">
        <f t="shared" si="11"/>
        <v>0</v>
      </c>
    </row>
    <row r="78" spans="1:18" x14ac:dyDescent="0.45">
      <c r="A78" s="73">
        <v>45549</v>
      </c>
      <c r="B78" s="131" t="s">
        <v>946</v>
      </c>
      <c r="C78" s="38"/>
      <c r="D78" s="74"/>
      <c r="E78" s="75">
        <f>VLOOKUP(B78,'ALL-DATA'!A:F,2,FALSE)</f>
        <v>0.54</v>
      </c>
      <c r="F78" s="38">
        <f>VLOOKUP(B78,'ALL-DATA'!A:F,3,FALSE)</f>
        <v>90</v>
      </c>
      <c r="G78" s="38">
        <f>VLOOKUP(B78,'ALL-DATA'!A:F,4,FALSE)</f>
        <v>0</v>
      </c>
      <c r="H78" s="76">
        <f>VLOOKUP(B78,'ALL-DATA'!A:F,5,FALSE)</f>
        <v>7000</v>
      </c>
      <c r="I78" s="76">
        <f>VLOOKUP(B78,'ALL-DATA'!A:F,6,FALSE)</f>
        <v>3402</v>
      </c>
      <c r="J78" s="44">
        <v>4200</v>
      </c>
      <c r="K78" s="48"/>
      <c r="L78" s="77">
        <f t="shared" si="15"/>
        <v>798</v>
      </c>
      <c r="M78" s="37"/>
      <c r="N78" s="38"/>
      <c r="O78" s="38"/>
      <c r="P78" s="27">
        <f>(((Table8[[#This Row],[OLD-WT]]-0.12)*Table8[[#This Row],[MELTING2]]/100)*Table8[[#This Row],[P-RATE3]])</f>
        <v>0</v>
      </c>
      <c r="Q78" s="38"/>
      <c r="R78" s="62">
        <f t="shared" si="11"/>
        <v>0</v>
      </c>
    </row>
    <row r="79" spans="1:18" x14ac:dyDescent="0.45">
      <c r="A79" s="73">
        <v>45550</v>
      </c>
      <c r="B79" s="38" t="str">
        <f>C79&amp;D79</f>
        <v>S-RING-122</v>
      </c>
      <c r="C79" s="38" t="s">
        <v>731</v>
      </c>
      <c r="D79" s="74" t="s">
        <v>948</v>
      </c>
      <c r="E79" s="75">
        <f>VLOOKUP(B79,'ALL-DATA'!A:F,2,FALSE)</f>
        <v>1.26</v>
      </c>
      <c r="F79" s="38">
        <f>VLOOKUP(B79,'ALL-DATA'!A:F,3,FALSE)</f>
        <v>92.5</v>
      </c>
      <c r="G79" s="38">
        <f>VLOOKUP(B79,'ALL-DATA'!A:F,4,FALSE)</f>
        <v>92.5</v>
      </c>
      <c r="H79" s="76">
        <f>VLOOKUP(B79,'ALL-DATA'!A:F,5,FALSE)</f>
        <v>127</v>
      </c>
      <c r="I79" s="76">
        <f>VLOOKUP(B79,'ALL-DATA'!A:F,6,FALSE)</f>
        <v>160.02000000000001</v>
      </c>
      <c r="J79" s="44">
        <v>170</v>
      </c>
      <c r="K79" s="48"/>
      <c r="L79" s="77">
        <f t="shared" si="15"/>
        <v>9.9799999999999898</v>
      </c>
      <c r="M79" s="37"/>
      <c r="N79" s="38"/>
      <c r="O79" s="38"/>
      <c r="P79" s="27">
        <f>(((Table8[[#This Row],[OLD-WT]]-0.12)*Table8[[#This Row],[MELTING2]]/100)*Table8[[#This Row],[P-RATE3]])</f>
        <v>0</v>
      </c>
      <c r="Q79" s="38"/>
      <c r="R79" s="62">
        <f t="shared" si="11"/>
        <v>0</v>
      </c>
    </row>
    <row r="80" spans="1:18" x14ac:dyDescent="0.45">
      <c r="A80" s="73">
        <v>45550</v>
      </c>
      <c r="B80" s="38" t="str">
        <f>C80&amp;D80</f>
        <v>S-RING-240</v>
      </c>
      <c r="C80" s="38" t="s">
        <v>731</v>
      </c>
      <c r="D80" s="74" t="s">
        <v>949</v>
      </c>
      <c r="E80" s="75">
        <f>VLOOKUP(B80,'ALL-DATA'!A:F,2,FALSE)</f>
        <v>2.02</v>
      </c>
      <c r="F80" s="38">
        <f>VLOOKUP(B80,'ALL-DATA'!A:F,3,FALSE)</f>
        <v>92.5</v>
      </c>
      <c r="G80" s="38">
        <f>VLOOKUP(B80,'ALL-DATA'!A:F,4,FALSE)</f>
        <v>92.5</v>
      </c>
      <c r="H80" s="76">
        <f>VLOOKUP(B80,'ALL-DATA'!A:F,5,FALSE)</f>
        <v>135</v>
      </c>
      <c r="I80" s="76">
        <f>VLOOKUP(B80,'ALL-DATA'!A:F,6,FALSE)</f>
        <v>272.7</v>
      </c>
      <c r="J80" s="44">
        <v>260</v>
      </c>
      <c r="K80" s="48"/>
      <c r="L80" s="77">
        <f t="shared" si="15"/>
        <v>-12.699999999999989</v>
      </c>
      <c r="M80" s="37"/>
      <c r="N80" s="38"/>
      <c r="O80" s="38"/>
      <c r="P80" s="27">
        <f>(((Table8[[#This Row],[OLD-WT]]-0.12)*Table8[[#This Row],[MELTING2]]/100)*Table8[[#This Row],[P-RATE3]])</f>
        <v>0</v>
      </c>
      <c r="Q80" s="38"/>
      <c r="R80" s="62">
        <f t="shared" si="11"/>
        <v>0</v>
      </c>
    </row>
    <row r="81" spans="1:18" x14ac:dyDescent="0.45">
      <c r="A81" s="73">
        <v>45551</v>
      </c>
      <c r="B81" s="38" t="str">
        <f>C81&amp;D81</f>
        <v>G-TLI-MNI-THAYTH-5</v>
      </c>
      <c r="C81" s="38" t="s">
        <v>723</v>
      </c>
      <c r="D81" s="74" t="s">
        <v>875</v>
      </c>
      <c r="E81" s="75">
        <f>VLOOKUP(B81,'ALL-DATA'!A:F,2,FALSE)</f>
        <v>1.05</v>
      </c>
      <c r="F81" s="38">
        <f>VLOOKUP(B81,'ALL-DATA'!A:F,3,FALSE)</f>
        <v>84</v>
      </c>
      <c r="G81" s="38">
        <f>VLOOKUP(B81,'ALL-DATA'!A:F,4,FALSE)</f>
        <v>-7</v>
      </c>
      <c r="H81" s="76">
        <f>VLOOKUP(B81,'ALL-DATA'!A:F,5,FALSE)</f>
        <v>7218.2</v>
      </c>
      <c r="I81" s="76">
        <f>VLOOKUP(B81,'ALL-DATA'!A:F,6,FALSE)</f>
        <v>6366.4524000000001</v>
      </c>
      <c r="J81" s="44">
        <v>7400</v>
      </c>
      <c r="K81" s="48"/>
      <c r="L81" s="77">
        <f t="shared" ref="L81:L84" si="16">((J81+R81)-I81)</f>
        <v>1033.5475999999999</v>
      </c>
      <c r="M81" s="37"/>
      <c r="N81" s="38"/>
      <c r="O81" s="38"/>
      <c r="P81" s="27">
        <f>(((Table8[[#This Row],[OLD-WT]]-0.12)*Table8[[#This Row],[MELTING2]]/100)*Table8[[#This Row],[P-RATE3]])</f>
        <v>0</v>
      </c>
      <c r="Q81" s="38"/>
      <c r="R81" s="62">
        <f t="shared" si="11"/>
        <v>0</v>
      </c>
    </row>
    <row r="82" spans="1:18" x14ac:dyDescent="0.45">
      <c r="A82" s="73">
        <v>45551</v>
      </c>
      <c r="B82" s="23" t="s">
        <v>973</v>
      </c>
      <c r="C82" s="38"/>
      <c r="D82" s="74"/>
      <c r="E82" s="75">
        <f>VLOOKUP(B82,'ALL-DATA'!A:F,2,FALSE)</f>
        <v>6.05</v>
      </c>
      <c r="F82" s="38">
        <f>VLOOKUP(B82,'ALL-DATA'!A:F,3,FALSE)</f>
        <v>80</v>
      </c>
      <c r="G82" s="38">
        <f>VLOOKUP(B82,'ALL-DATA'!A:F,4,FALSE)</f>
        <v>0</v>
      </c>
      <c r="H82" s="76">
        <f>VLOOKUP(B82,'ALL-DATA'!A:F,5,FALSE)</f>
        <v>90</v>
      </c>
      <c r="I82" s="76">
        <f>VLOOKUP(B82,'ALL-DATA'!A:F,6,FALSE)</f>
        <v>435.59999999999997</v>
      </c>
      <c r="J82" s="44">
        <v>600</v>
      </c>
      <c r="K82" s="48"/>
      <c r="L82" s="77">
        <f t="shared" si="16"/>
        <v>164.40000000000003</v>
      </c>
      <c r="M82" s="37"/>
      <c r="N82" s="38"/>
      <c r="O82" s="38"/>
      <c r="P82" s="27">
        <f>(((Table8[[#This Row],[OLD-WT]]-0.12)*Table8[[#This Row],[MELTING2]]/100)*Table8[[#This Row],[P-RATE3]])</f>
        <v>0</v>
      </c>
      <c r="Q82" s="38"/>
      <c r="R82" s="62">
        <f t="shared" si="11"/>
        <v>0</v>
      </c>
    </row>
    <row r="83" spans="1:18" x14ac:dyDescent="0.45">
      <c r="A83" s="73">
        <v>45551</v>
      </c>
      <c r="B83" s="38" t="str">
        <f t="shared" ref="B83:B88" si="17">C83&amp;D83</f>
        <v>S-RING-27</v>
      </c>
      <c r="C83" s="38" t="s">
        <v>731</v>
      </c>
      <c r="D83" s="74" t="s">
        <v>974</v>
      </c>
      <c r="E83" s="75">
        <f>VLOOKUP(B83,'ALL-DATA'!A:F,2,FALSE)</f>
        <v>3.31</v>
      </c>
      <c r="F83" s="38">
        <f>VLOOKUP(B83,'ALL-DATA'!A:F,3,FALSE)</f>
        <v>92.5</v>
      </c>
      <c r="G83" s="38">
        <f>VLOOKUP(B83,'ALL-DATA'!A:F,4,FALSE)</f>
        <v>92.5</v>
      </c>
      <c r="H83" s="76">
        <f>VLOOKUP(B83,'ALL-DATA'!A:F,5,FALSE)</f>
        <v>140</v>
      </c>
      <c r="I83" s="76">
        <f>VLOOKUP(B83,'ALL-DATA'!A:F,6,FALSE)</f>
        <v>463.40000000000003</v>
      </c>
      <c r="J83" s="44">
        <v>770</v>
      </c>
      <c r="K83" s="48"/>
      <c r="L83" s="77">
        <f t="shared" si="16"/>
        <v>306.59999999999997</v>
      </c>
      <c r="M83" s="37"/>
      <c r="N83" s="38"/>
      <c r="O83" s="38"/>
      <c r="P83" s="27">
        <f>(((Table8[[#This Row],[OLD-WT]]-0.12)*Table8[[#This Row],[MELTING2]]/100)*Table8[[#This Row],[P-RATE3]])</f>
        <v>0</v>
      </c>
      <c r="Q83" s="38"/>
      <c r="R83" s="62">
        <f t="shared" si="11"/>
        <v>0</v>
      </c>
    </row>
    <row r="84" spans="1:18" x14ac:dyDescent="0.45">
      <c r="A84" s="73">
        <v>45551</v>
      </c>
      <c r="B84" s="38" t="str">
        <f t="shared" si="17"/>
        <v>S-RING-41</v>
      </c>
      <c r="C84" s="38" t="s">
        <v>731</v>
      </c>
      <c r="D84" s="74" t="s">
        <v>975</v>
      </c>
      <c r="E84" s="75">
        <f>VLOOKUP(B84,'ALL-DATA'!A:F,2,FALSE)</f>
        <v>1.7</v>
      </c>
      <c r="F84" s="38">
        <f>VLOOKUP(B84,'ALL-DATA'!A:F,3,FALSE)</f>
        <v>92.5</v>
      </c>
      <c r="G84" s="38">
        <f>VLOOKUP(B84,'ALL-DATA'!A:F,4,FALSE)</f>
        <v>92.5</v>
      </c>
      <c r="H84" s="76">
        <f>VLOOKUP(B84,'ALL-DATA'!A:F,5,FALSE)</f>
        <v>140</v>
      </c>
      <c r="I84" s="76">
        <f>VLOOKUP(B84,'ALL-DATA'!A:F,6,FALSE)</f>
        <v>238</v>
      </c>
      <c r="J84" s="44">
        <v>330</v>
      </c>
      <c r="K84" s="48"/>
      <c r="L84" s="77">
        <f t="shared" si="16"/>
        <v>92</v>
      </c>
      <c r="M84" s="37"/>
      <c r="N84" s="38"/>
      <c r="O84" s="38"/>
      <c r="P84" s="27">
        <f>(((Table8[[#This Row],[OLD-WT]]-0.12)*Table8[[#This Row],[MELTING2]]/100)*Table8[[#This Row],[P-RATE3]])</f>
        <v>0</v>
      </c>
      <c r="Q84" s="38"/>
      <c r="R84" s="62">
        <f t="shared" si="11"/>
        <v>0</v>
      </c>
    </row>
    <row r="85" spans="1:18" x14ac:dyDescent="0.45">
      <c r="A85" s="73">
        <v>45553</v>
      </c>
      <c r="B85" s="38" t="str">
        <f t="shared" si="17"/>
        <v>G-STUD-6</v>
      </c>
      <c r="C85" s="38" t="s">
        <v>720</v>
      </c>
      <c r="D85" s="74" t="s">
        <v>986</v>
      </c>
      <c r="E85" s="75">
        <f>VLOOKUP(B85,'ALL-DATA'!A:F,2,FALSE)</f>
        <v>1.23</v>
      </c>
      <c r="F85" s="38">
        <f>VLOOKUP(B85,'ALL-DATA'!A:F,3,FALSE)</f>
        <v>97</v>
      </c>
      <c r="G85" s="38">
        <f>VLOOKUP(B85,'ALL-DATA'!A:F,4,FALSE)</f>
        <v>-5</v>
      </c>
      <c r="H85" s="76">
        <f>VLOOKUP(B85,'ALL-DATA'!A:F,5,FALSE)</f>
        <v>7218.2</v>
      </c>
      <c r="I85" s="76">
        <f>VLOOKUP(B85,'ALL-DATA'!A:F,6,FALSE)</f>
        <v>8612.03442</v>
      </c>
      <c r="J85" s="44">
        <v>9900</v>
      </c>
      <c r="K85" s="48"/>
      <c r="L85" s="77">
        <f>((J85+R85)-I85)</f>
        <v>1287.96558</v>
      </c>
      <c r="M85" s="37"/>
      <c r="N85" s="38"/>
      <c r="O85" s="38"/>
      <c r="P85" s="27">
        <f>((((((Table8[[#This Row],[OLD-WT]]-(Table8[[#This Row],[OLD-WT]]*1%))*Table8[[#This Row],[MELTING2]])/100))*80)/100)*Table8[[#This Row],[P-RATE3]]</f>
        <v>0</v>
      </c>
      <c r="Q85" s="38"/>
      <c r="R85" s="62">
        <f t="shared" si="11"/>
        <v>0</v>
      </c>
    </row>
    <row r="86" spans="1:18" ht="24.6" customHeight="1" x14ac:dyDescent="0.45">
      <c r="A86" s="73">
        <v>45553</v>
      </c>
      <c r="B86" s="38" t="str">
        <f t="shared" si="17"/>
        <v>S-B-KOLUSU--12</v>
      </c>
      <c r="C86" s="38" t="s">
        <v>727</v>
      </c>
      <c r="D86" s="74" t="s">
        <v>987</v>
      </c>
      <c r="E86" s="75">
        <f>VLOOKUP(B86,'ALL-DATA'!A:F,2,FALSE)</f>
        <v>38.58</v>
      </c>
      <c r="F86" s="38">
        <f>VLOOKUP(B86,'ALL-DATA'!A:F,3,FALSE)</f>
        <v>65</v>
      </c>
      <c r="G86" s="38">
        <f>VLOOKUP(B86,'ALL-DATA'!A:F,4,FALSE)</f>
        <v>-10</v>
      </c>
      <c r="H86" s="76">
        <f>VLOOKUP(B86,'ALL-DATA'!A:F,5,FALSE)</f>
        <v>89</v>
      </c>
      <c r="I86" s="76">
        <f>VLOOKUP(B86,'ALL-DATA'!A:F,6,FALSE)</f>
        <v>2231.8530000000001</v>
      </c>
      <c r="J86" s="44">
        <v>4000</v>
      </c>
      <c r="K86" s="48"/>
      <c r="L86" s="77">
        <f>((J86+R86)-I86)</f>
        <v>1768.1469999999999</v>
      </c>
      <c r="M86" s="37"/>
      <c r="N86" s="38"/>
      <c r="O86" s="38"/>
      <c r="P86" s="27">
        <f>((((((Table8[[#This Row],[OLD-WT]]-(Table8[[#This Row],[OLD-WT]]*1%))*Table8[[#This Row],[MELTING2]])/100))*80)/100)*Table8[[#This Row],[P-RATE3]]</f>
        <v>0</v>
      </c>
      <c r="Q86" s="38"/>
      <c r="R86" s="62">
        <f t="shared" si="11"/>
        <v>0</v>
      </c>
    </row>
    <row r="87" spans="1:18" x14ac:dyDescent="0.45">
      <c r="A87" s="73">
        <v>45553</v>
      </c>
      <c r="B87" s="38" t="str">
        <f t="shared" si="17"/>
        <v>S-BANGLE-4</v>
      </c>
      <c r="C87" s="38" t="s">
        <v>988</v>
      </c>
      <c r="D87" s="74" t="s">
        <v>773</v>
      </c>
      <c r="E87" s="75">
        <f>VLOOKUP(B87,'ALL-DATA'!A:F,2,FALSE)</f>
        <v>24.95</v>
      </c>
      <c r="F87" s="38">
        <f>VLOOKUP(B87,'ALL-DATA'!A:F,3,FALSE)</f>
        <v>65</v>
      </c>
      <c r="G87" s="38">
        <f>VLOOKUP(B87,'ALL-DATA'!A:F,4,FALSE)</f>
        <v>60.9</v>
      </c>
      <c r="H87" s="76">
        <f>VLOOKUP(B87,'ALL-DATA'!A:F,5,FALSE)</f>
        <v>88.1</v>
      </c>
      <c r="I87" s="76">
        <f>VLOOKUP(B87,'ALL-DATA'!A:F,6,FALSE)</f>
        <v>1678.2617499999999</v>
      </c>
      <c r="J87" s="44">
        <v>3000</v>
      </c>
      <c r="K87" s="48"/>
      <c r="L87" s="77">
        <f>((J87+R87)-I87)</f>
        <v>1493.0134500000001</v>
      </c>
      <c r="M87" s="37">
        <v>90.45</v>
      </c>
      <c r="N87" s="38">
        <v>80</v>
      </c>
      <c r="O87" s="38">
        <v>85</v>
      </c>
      <c r="P87" s="27">
        <f>((((((Table8[[#This Row],[OLD-WT]]-(Table8[[#This Row],[OLD-WT]]*1%))*Table8[[#This Row],[MELTING2]])/100))*80)/100)*Table8[[#This Row],[P-RATE3]]</f>
        <v>4871.2752</v>
      </c>
      <c r="Q87" s="38">
        <v>4700</v>
      </c>
      <c r="R87" s="62">
        <f t="shared" si="11"/>
        <v>171.27520000000004</v>
      </c>
    </row>
    <row r="88" spans="1:18" x14ac:dyDescent="0.45">
      <c r="A88" s="73">
        <v>45553</v>
      </c>
      <c r="B88" s="38" t="str">
        <f t="shared" si="17"/>
        <v>S-B-KOLUSU--27</v>
      </c>
      <c r="C88" s="38" t="s">
        <v>727</v>
      </c>
      <c r="D88" s="74" t="s">
        <v>974</v>
      </c>
      <c r="E88" s="75">
        <f>VLOOKUP(B88,'ALL-DATA'!A:F,2,FALSE)</f>
        <v>47.48</v>
      </c>
      <c r="F88" s="38">
        <f>VLOOKUP(B88,'ALL-DATA'!A:F,3,FALSE)</f>
        <v>65</v>
      </c>
      <c r="G88" s="38">
        <f>VLOOKUP(B88,'ALL-DATA'!A:F,4,FALSE)</f>
        <v>-10</v>
      </c>
      <c r="H88" s="76">
        <f>VLOOKUP(B88,'ALL-DATA'!A:F,5,FALSE)</f>
        <v>89</v>
      </c>
      <c r="I88" s="76">
        <f>VLOOKUP(B88,'ALL-DATA'!A:F,6,FALSE)</f>
        <v>2746.7179999999998</v>
      </c>
      <c r="J88" s="44">
        <f>5150-300</f>
        <v>4850</v>
      </c>
      <c r="K88" s="48"/>
      <c r="L88" s="77">
        <f>((J88+R88)-I88)-I89</f>
        <v>1928.8395800000005</v>
      </c>
      <c r="M88" s="37">
        <v>77.430000000000007</v>
      </c>
      <c r="N88" s="38">
        <v>80</v>
      </c>
      <c r="O88" s="38">
        <v>85</v>
      </c>
      <c r="P88" s="27">
        <f>((((((Table8[[#This Row],[OLD-WT]]-(Table8[[#This Row],[OLD-WT]]*1%))*Table8[[#This Row],[MELTING2]])/100))*80)/100)*Table8[[#This Row],[P-RATE3]]</f>
        <v>4170.0700800000004</v>
      </c>
      <c r="Q88" s="38">
        <v>4150</v>
      </c>
      <c r="R88" s="62">
        <f t="shared" si="11"/>
        <v>20.070080000000416</v>
      </c>
    </row>
    <row r="89" spans="1:18" x14ac:dyDescent="0.45">
      <c r="A89" s="73">
        <v>45553</v>
      </c>
      <c r="B89" s="120" t="s">
        <v>894</v>
      </c>
      <c r="C89" s="38"/>
      <c r="D89" s="74"/>
      <c r="E89" s="75">
        <f>VLOOKUP(B89,'ALL-DATA'!A:F,2,FALSE)</f>
        <v>3.5</v>
      </c>
      <c r="F89" s="38">
        <f>VLOOKUP(B89,'ALL-DATA'!A:F,3,FALSE)</f>
        <v>65</v>
      </c>
      <c r="G89" s="38">
        <f>VLOOKUP(B89,'ALL-DATA'!A:F,4,FALSE)</f>
        <v>0</v>
      </c>
      <c r="H89" s="76">
        <f>VLOOKUP(B89,'ALL-DATA'!A:F,5,FALSE)</f>
        <v>85.5</v>
      </c>
      <c r="I89" s="76">
        <f>VLOOKUP(B89,'ALL-DATA'!A:F,6,FALSE)</f>
        <v>194.51249999999999</v>
      </c>
      <c r="J89" s="44"/>
      <c r="K89" s="48"/>
      <c r="L89" s="77"/>
      <c r="M89" s="37"/>
      <c r="N89" s="38"/>
      <c r="O89" s="38"/>
      <c r="P89" s="27">
        <f>((((((Table8[[#This Row],[OLD-WT]]-(Table8[[#This Row],[OLD-WT]]*1%))*Table8[[#This Row],[MELTING2]])/100))*80)/100)*Table8[[#This Row],[P-RATE3]]</f>
        <v>0</v>
      </c>
      <c r="Q89" s="38"/>
      <c r="R89" s="62">
        <f t="shared" si="11"/>
        <v>0</v>
      </c>
    </row>
    <row r="90" spans="1:18" x14ac:dyDescent="0.45">
      <c r="A90" s="73">
        <v>45554</v>
      </c>
      <c r="B90" s="38" t="str">
        <f t="shared" ref="B90:B98" si="18">C90&amp;D90</f>
        <v>S-KAPPU-N-24</v>
      </c>
      <c r="C90" s="38" t="s">
        <v>739</v>
      </c>
      <c r="D90" s="74" t="s">
        <v>867</v>
      </c>
      <c r="E90" s="75">
        <f>VLOOKUP(B90,'ALL-DATA'!A:F,2,FALSE)</f>
        <v>30.91</v>
      </c>
      <c r="F90" s="38">
        <f>VLOOKUP(B90,'ALL-DATA'!A:F,3,FALSE)</f>
        <v>82</v>
      </c>
      <c r="G90" s="38">
        <f>VLOOKUP(B90,'ALL-DATA'!A:F,4,FALSE)</f>
        <v>7</v>
      </c>
      <c r="H90" s="76">
        <f>VLOOKUP(B90,'ALL-DATA'!A:F,5,FALSE)</f>
        <v>88.6</v>
      </c>
      <c r="I90" s="76">
        <f>VLOOKUP(B90,'ALL-DATA'!A:F,6,FALSE)</f>
        <v>2285.6733199999999</v>
      </c>
      <c r="J90" s="44">
        <v>3000</v>
      </c>
      <c r="K90" s="48"/>
      <c r="L90" s="77">
        <f t="shared" ref="L90:L96" si="19">((J90+R90)-I90)</f>
        <v>714.32668000000012</v>
      </c>
      <c r="M90" s="37"/>
      <c r="N90" s="38"/>
      <c r="O90" s="38"/>
      <c r="P90" s="27">
        <f>((((((Table8[[#This Row],[OLD-WT]]-(Table8[[#This Row],[OLD-WT]]*1%))*Table8[[#This Row],[MELTING2]])/100))*80)/100)*Table8[[#This Row],[P-RATE3]]</f>
        <v>0</v>
      </c>
      <c r="Q90" s="38"/>
      <c r="R90" s="62">
        <f t="shared" si="11"/>
        <v>0</v>
      </c>
    </row>
    <row r="91" spans="1:18" x14ac:dyDescent="0.45">
      <c r="A91" s="73">
        <v>45559</v>
      </c>
      <c r="B91" s="38" t="str">
        <f t="shared" si="18"/>
        <v>S-KAPPU-N-19</v>
      </c>
      <c r="C91" s="38" t="s">
        <v>739</v>
      </c>
      <c r="D91" s="74" t="s">
        <v>1001</v>
      </c>
      <c r="E91" s="75">
        <f>VLOOKUP(B91,'ALL-DATA'!A:F,2,FALSE)</f>
        <v>22.15</v>
      </c>
      <c r="F91" s="38">
        <f>VLOOKUP(B91,'ALL-DATA'!A:F,3,FALSE)</f>
        <v>85</v>
      </c>
      <c r="G91" s="38">
        <f>VLOOKUP(B91,'ALL-DATA'!A:F,4,FALSE)</f>
        <v>20</v>
      </c>
      <c r="H91" s="76">
        <f>VLOOKUP(B91,'ALL-DATA'!A:F,5,FALSE)</f>
        <v>83.19</v>
      </c>
      <c r="I91" s="76">
        <f>VLOOKUP(B91,'ALL-DATA'!A:F,6,FALSE)</f>
        <v>1566.2597249999997</v>
      </c>
      <c r="J91" s="44">
        <v>2450</v>
      </c>
      <c r="K91" s="48"/>
      <c r="L91" s="77">
        <f t="shared" si="19"/>
        <v>883.74027500000034</v>
      </c>
      <c r="M91" s="37"/>
      <c r="N91" s="38"/>
      <c r="O91" s="38"/>
      <c r="P91" s="27">
        <f>((((((Table8[[#This Row],[OLD-WT]]-(Table8[[#This Row],[OLD-WT]]*1%))*Table8[[#This Row],[MELTING2]])/100))*80)/100)*Table8[[#This Row],[P-RATE3]]</f>
        <v>0</v>
      </c>
      <c r="Q91" s="38"/>
      <c r="R91" s="62">
        <f t="shared" si="11"/>
        <v>0</v>
      </c>
    </row>
    <row r="92" spans="1:18" x14ac:dyDescent="0.45">
      <c r="A92" s="73">
        <v>45559</v>
      </c>
      <c r="B92" s="38" t="str">
        <f t="shared" si="18"/>
        <v>S-BARACELET-G-92.5-3</v>
      </c>
      <c r="C92" s="38" t="s">
        <v>738</v>
      </c>
      <c r="D92" s="74" t="s">
        <v>1002</v>
      </c>
      <c r="E92" s="75">
        <f>VLOOKUP(B92,'ALL-DATA'!A:F,2,FALSE)</f>
        <v>7.52</v>
      </c>
      <c r="F92" s="38">
        <f>VLOOKUP(B92,'ALL-DATA'!A:F,3,FALSE)</f>
        <v>92.5</v>
      </c>
      <c r="G92" s="38">
        <f>VLOOKUP(B92,'ALL-DATA'!A:F,4,FALSE)</f>
        <v>-71.5</v>
      </c>
      <c r="H92" s="76">
        <f>VLOOKUP(B92,'ALL-DATA'!A:F,5,FALSE)</f>
        <v>127</v>
      </c>
      <c r="I92" s="76">
        <f>VLOOKUP(B92,'ALL-DATA'!A:F,6,FALSE)</f>
        <v>955.04</v>
      </c>
      <c r="J92" s="44">
        <v>1550</v>
      </c>
      <c r="K92" s="48"/>
      <c r="L92" s="77">
        <f>((J92+R92)-I92)</f>
        <v>594.96</v>
      </c>
      <c r="M92" s="37"/>
      <c r="N92" s="38"/>
      <c r="O92" s="38"/>
      <c r="P92" s="27">
        <f>((((((Table8[[#This Row],[OLD-WT]]-(Table8[[#This Row],[OLD-WT]]*1%))*Table8[[#This Row],[MELTING2]])/100))*80)/100)*Table8[[#This Row],[P-RATE3]]</f>
        <v>0</v>
      </c>
      <c r="Q92" s="38"/>
      <c r="R92" s="62">
        <f t="shared" si="11"/>
        <v>0</v>
      </c>
    </row>
    <row r="93" spans="1:18" x14ac:dyDescent="0.45">
      <c r="A93" s="73">
        <v>45559</v>
      </c>
      <c r="B93" s="38" t="str">
        <f t="shared" si="18"/>
        <v>S-METTI-24-09</v>
      </c>
      <c r="C93" s="38" t="s">
        <v>740</v>
      </c>
      <c r="D93" s="74" t="s">
        <v>1005</v>
      </c>
      <c r="E93" s="75">
        <v>6.25</v>
      </c>
      <c r="F93" s="38">
        <f>VLOOKUP(B93,'ALL-DATA'!A:F,3,FALSE)</f>
        <v>80</v>
      </c>
      <c r="G93" s="38">
        <f>VLOOKUP(B93,'ALL-DATA'!A:F,4,FALSE)</f>
        <v>-15</v>
      </c>
      <c r="H93" s="76">
        <f>VLOOKUP(B93,'ALL-DATA'!A:F,5,FALSE)</f>
        <v>93</v>
      </c>
      <c r="I93" s="76">
        <f>VLOOKUP(B93,'ALL-DATA'!A:F,6,FALSE)</f>
        <v>465</v>
      </c>
      <c r="J93" s="44">
        <v>850</v>
      </c>
      <c r="K93" s="48"/>
      <c r="L93" s="77">
        <f t="shared" si="19"/>
        <v>385</v>
      </c>
      <c r="M93" s="37"/>
      <c r="N93" s="38"/>
      <c r="O93" s="38"/>
      <c r="P93" s="27">
        <f>((((((Table8[[#This Row],[OLD-WT]]-(Table8[[#This Row],[OLD-WT]]*1%))*Table8[[#This Row],[MELTING2]])/100))*80)/100)*Table8[[#This Row],[P-RATE3]]</f>
        <v>0</v>
      </c>
      <c r="Q93" s="38"/>
      <c r="R93" s="62">
        <f t="shared" si="11"/>
        <v>0</v>
      </c>
    </row>
    <row r="94" spans="1:18" x14ac:dyDescent="0.45">
      <c r="A94" s="73">
        <v>45559</v>
      </c>
      <c r="B94" s="38" t="str">
        <f t="shared" si="18"/>
        <v>S-CHAIN-92.5-B-6</v>
      </c>
      <c r="C94" s="38" t="s">
        <v>735</v>
      </c>
      <c r="D94" s="74" t="s">
        <v>986</v>
      </c>
      <c r="E94" s="75">
        <f>VLOOKUP(B94,'ALL-DATA'!A:F,2,FALSE)</f>
        <v>26.8</v>
      </c>
      <c r="F94" s="38">
        <f>VLOOKUP(B94,'ALL-DATA'!A:F,3,FALSE)</f>
        <v>92.5</v>
      </c>
      <c r="G94" s="38">
        <f>VLOOKUP(B94,'ALL-DATA'!A:F,4,FALSE)</f>
        <v>-27.5</v>
      </c>
      <c r="H94" s="76">
        <f>VLOOKUP(B94,'ALL-DATA'!A:F,5,FALSE)</f>
        <v>90</v>
      </c>
      <c r="I94" s="76">
        <f>VLOOKUP(B94,'ALL-DATA'!A:F,6,FALSE)</f>
        <v>2412</v>
      </c>
      <c r="J94" s="44">
        <v>5100</v>
      </c>
      <c r="K94" s="48"/>
      <c r="L94" s="77">
        <f t="shared" si="19"/>
        <v>2688</v>
      </c>
      <c r="M94" s="37"/>
      <c r="N94" s="38"/>
      <c r="O94" s="38"/>
      <c r="P94" s="27">
        <f>((((((Table8[[#This Row],[OLD-WT]]-(Table8[[#This Row],[OLD-WT]]*1%))*Table8[[#This Row],[MELTING2]])/100))*80)/100)*Table8[[#This Row],[P-RATE3]]</f>
        <v>0</v>
      </c>
      <c r="Q94" s="38"/>
      <c r="R94" s="62">
        <f t="shared" si="11"/>
        <v>0</v>
      </c>
    </row>
    <row r="95" spans="1:18" x14ac:dyDescent="0.45">
      <c r="A95" s="73">
        <v>45559</v>
      </c>
      <c r="B95" s="38" t="str">
        <f t="shared" si="18"/>
        <v>S-DOLLER-6</v>
      </c>
      <c r="C95" s="38" t="s">
        <v>730</v>
      </c>
      <c r="D95" s="74" t="s">
        <v>986</v>
      </c>
      <c r="E95" s="75">
        <f>VLOOKUP(B95,'ALL-DATA'!A:F,2,FALSE)</f>
        <v>2.8</v>
      </c>
      <c r="F95" s="38">
        <f>VLOOKUP(B95,'ALL-DATA'!A:F,3,FALSE)</f>
        <v>92.5</v>
      </c>
      <c r="G95" s="38">
        <f>VLOOKUP(B95,'ALL-DATA'!A:F,4,FALSE)</f>
        <v>92.5</v>
      </c>
      <c r="H95" s="76">
        <f>VLOOKUP(B95,'ALL-DATA'!A:F,5,FALSE)</f>
        <v>165</v>
      </c>
      <c r="I95" s="76">
        <f>VLOOKUP(B95,'ALL-DATA'!A:F,6,FALSE)</f>
        <v>461.99999999999994</v>
      </c>
      <c r="J95" s="44">
        <v>500</v>
      </c>
      <c r="K95" s="48"/>
      <c r="L95" s="77">
        <f t="shared" si="19"/>
        <v>38.000000000000057</v>
      </c>
      <c r="M95" s="37"/>
      <c r="N95" s="38"/>
      <c r="O95" s="38"/>
      <c r="P95" s="27">
        <f>((((((Table8[[#This Row],[OLD-WT]]-(Table8[[#This Row],[OLD-WT]]*1%))*Table8[[#This Row],[MELTING2]])/100))*80)/100)*Table8[[#This Row],[P-RATE3]]</f>
        <v>0</v>
      </c>
      <c r="Q95" s="38"/>
      <c r="R95" s="62">
        <f t="shared" si="11"/>
        <v>0</v>
      </c>
    </row>
    <row r="96" spans="1:18" x14ac:dyDescent="0.45">
      <c r="A96" s="73">
        <v>45559</v>
      </c>
      <c r="B96" s="38" t="str">
        <f t="shared" si="18"/>
        <v>S-STUD-KRJ-1</v>
      </c>
      <c r="C96" s="38" t="s">
        <v>747</v>
      </c>
      <c r="D96" s="74" t="s">
        <v>787</v>
      </c>
      <c r="E96" s="75">
        <f>VLOOKUP(B96,'ALL-DATA'!A:F,2,FALSE)</f>
        <v>0</v>
      </c>
      <c r="F96" s="38">
        <f>VLOOKUP(B96,'ALL-DATA'!A:F,3,FALSE)</f>
        <v>0</v>
      </c>
      <c r="G96" s="38">
        <f>VLOOKUP(B96,'ALL-DATA'!A:F,4,FALSE)</f>
        <v>0</v>
      </c>
      <c r="H96" s="76">
        <f>VLOOKUP(B96,'ALL-DATA'!A:F,5,FALSE)</f>
        <v>0</v>
      </c>
      <c r="I96" s="76">
        <f>VLOOKUP(B96,'ALL-DATA'!A:F,6,FALSE)</f>
        <v>135</v>
      </c>
      <c r="J96" s="44">
        <v>450</v>
      </c>
      <c r="K96" s="48"/>
      <c r="L96" s="77">
        <f t="shared" si="19"/>
        <v>315</v>
      </c>
      <c r="M96" s="37"/>
      <c r="N96" s="38"/>
      <c r="O96" s="38"/>
      <c r="P96" s="27">
        <f>((((((Table8[[#This Row],[OLD-WT]]-(Table8[[#This Row],[OLD-WT]]*1%))*Table8[[#This Row],[MELTING2]])/100))*80)/100)*Table8[[#This Row],[P-RATE3]]</f>
        <v>0</v>
      </c>
      <c r="Q96" s="38"/>
      <c r="R96" s="62">
        <f t="shared" si="11"/>
        <v>0</v>
      </c>
    </row>
    <row r="97" spans="1:20" x14ac:dyDescent="0.45">
      <c r="A97" s="73">
        <v>45561</v>
      </c>
      <c r="B97" s="38" t="str">
        <f t="shared" si="18"/>
        <v>S-B-KOLUSU--54</v>
      </c>
      <c r="C97" s="38" t="s">
        <v>727</v>
      </c>
      <c r="D97" s="74" t="s">
        <v>794</v>
      </c>
      <c r="E97" s="75">
        <f>VLOOKUP(B97,'ALL-DATA'!A:F,2,FALSE)</f>
        <v>46.07</v>
      </c>
      <c r="F97" s="38">
        <f>VLOOKUP(B97,'ALL-DATA'!A:F,3,FALSE)</f>
        <v>74.03</v>
      </c>
      <c r="G97" s="38">
        <f>VLOOKUP(B97,'ALL-DATA'!A:F,4,FALSE)</f>
        <v>-14.030000000000001</v>
      </c>
      <c r="H97" s="76">
        <f>VLOOKUP(B97,'ALL-DATA'!A:F,5,FALSE)</f>
        <v>90</v>
      </c>
      <c r="I97" s="76">
        <f>VLOOKUP(B97,'ALL-DATA'!A:F,6,FALSE)</f>
        <v>3069.5058899999999</v>
      </c>
      <c r="J97" s="44">
        <v>5150</v>
      </c>
      <c r="K97" s="48"/>
      <c r="L97" s="77">
        <f>((J97+R97)-I97)-I99</f>
        <v>1582.80081</v>
      </c>
      <c r="M97" s="37">
        <v>50.8</v>
      </c>
      <c r="N97" s="38">
        <v>80</v>
      </c>
      <c r="O97" s="38">
        <v>90</v>
      </c>
      <c r="P97" s="27">
        <f>((((((Table8[[#This Row],[OLD-WT]]-(Table8[[#This Row],[OLD-WT]]*1%))*Table8[[#This Row],[MELTING2]])/100))*80)/100)*Table8[[#This Row],[P-RATE3]]</f>
        <v>2896.8191999999995</v>
      </c>
      <c r="Q97" s="38">
        <v>3200</v>
      </c>
      <c r="R97" s="62">
        <f t="shared" si="11"/>
        <v>-303.18080000000054</v>
      </c>
    </row>
    <row r="98" spans="1:20" x14ac:dyDescent="0.45">
      <c r="A98" s="73">
        <v>45561</v>
      </c>
      <c r="B98" s="38" t="str">
        <f t="shared" si="18"/>
        <v>S-METTI-26-09</v>
      </c>
      <c r="C98" s="38" t="s">
        <v>740</v>
      </c>
      <c r="D98" s="74" t="s">
        <v>1006</v>
      </c>
      <c r="E98" s="75">
        <f>VLOOKUP(B98,'ALL-DATA'!A:F,2,FALSE)</f>
        <v>6.07</v>
      </c>
      <c r="F98" s="38">
        <f>VLOOKUP(B98,'ALL-DATA'!A:F,3,FALSE)</f>
        <v>80</v>
      </c>
      <c r="G98" s="38">
        <f>VLOOKUP(B98,'ALL-DATA'!A:F,4,FALSE)</f>
        <v>-15</v>
      </c>
      <c r="H98" s="76">
        <f>VLOOKUP(B98,'ALL-DATA'!A:F,5,FALSE)</f>
        <v>93</v>
      </c>
      <c r="I98" s="76">
        <f>VLOOKUP(B98,'ALL-DATA'!A:F,6,FALSE)</f>
        <v>451.608</v>
      </c>
      <c r="J98" s="44">
        <v>750</v>
      </c>
      <c r="K98" s="48"/>
      <c r="L98" s="77">
        <f>((J98+R98)-I98)</f>
        <v>298.392</v>
      </c>
      <c r="M98" s="37"/>
      <c r="N98" s="38"/>
      <c r="O98" s="38"/>
      <c r="P98" s="27">
        <f>(((Table8[[#This Row],[OLD-WT]]-(Table8[[#This Row],[OLD-WT]]*1%))*Table8[[#This Row],[MELTING2]])/100)*Table8[[#This Row],[P-RATE3]]</f>
        <v>0</v>
      </c>
      <c r="Q98" s="38"/>
      <c r="R98" s="62">
        <f t="shared" si="11"/>
        <v>0</v>
      </c>
    </row>
    <row r="99" spans="1:20" x14ac:dyDescent="0.45">
      <c r="A99" s="73">
        <v>45561</v>
      </c>
      <c r="B99" s="120" t="s">
        <v>894</v>
      </c>
      <c r="C99" s="38"/>
      <c r="D99" s="74"/>
      <c r="E99" s="75">
        <f>VLOOKUP(B99,'ALL-DATA'!A:F,2,FALSE)</f>
        <v>3.5</v>
      </c>
      <c r="F99" s="38">
        <f>VLOOKUP(B99,'ALL-DATA'!A:F,3,FALSE)</f>
        <v>65</v>
      </c>
      <c r="G99" s="38">
        <f>VLOOKUP(B99,'ALL-DATA'!A:F,4,FALSE)</f>
        <v>0</v>
      </c>
      <c r="H99" s="76">
        <f>VLOOKUP(B99,'ALL-DATA'!A:F,5,FALSE)</f>
        <v>85.5</v>
      </c>
      <c r="I99" s="76">
        <f>VLOOKUP(B99,'ALL-DATA'!A:F,6,FALSE)</f>
        <v>194.51249999999999</v>
      </c>
      <c r="J99" s="44"/>
      <c r="K99" s="48"/>
      <c r="L99" s="77"/>
      <c r="M99" s="37"/>
      <c r="N99" s="38"/>
      <c r="O99" s="38"/>
      <c r="P99" s="27">
        <f>(((Table8[[#This Row],[OLD-WT]]-(Table8[[#This Row],[OLD-WT]]*1%))*Table8[[#This Row],[MELTING2]])/100)*Table8[[#This Row],[P-RATE3]]</f>
        <v>0</v>
      </c>
      <c r="Q99" s="38"/>
      <c r="R99" s="62">
        <f t="shared" si="11"/>
        <v>0</v>
      </c>
    </row>
    <row r="100" spans="1:20" x14ac:dyDescent="0.45">
      <c r="A100" s="73">
        <v>45562</v>
      </c>
      <c r="B100" s="8" t="str">
        <f>C100&amp;D100</f>
        <v>S-RING-214</v>
      </c>
      <c r="C100" s="2" t="s">
        <v>731</v>
      </c>
      <c r="D100" s="49" t="s">
        <v>1008</v>
      </c>
      <c r="E100" s="50">
        <f>VLOOKUP(B100,'ALL-DATA'!A:F,2,FALSE)</f>
        <v>1.76</v>
      </c>
      <c r="F100" s="2">
        <f>VLOOKUP(B100,'ALL-DATA'!A:F,3,FALSE)</f>
        <v>92.5</v>
      </c>
      <c r="G100" s="2">
        <f>VLOOKUP(B100,'ALL-DATA'!A:F,4,FALSE)</f>
        <v>92.5</v>
      </c>
      <c r="H100" s="39">
        <f>VLOOKUP(B100,'ALL-DATA'!A:F,5,FALSE)</f>
        <v>125.57</v>
      </c>
      <c r="I100" s="39">
        <f>VLOOKUP(B100,'ALL-DATA'!A:F,6,FALSE)</f>
        <v>221.00319999999999</v>
      </c>
      <c r="J100" s="42">
        <v>400</v>
      </c>
      <c r="K100" s="45"/>
      <c r="L100" s="127">
        <f>((J100+R100)-I100)</f>
        <v>178.99680000000001</v>
      </c>
      <c r="M100" s="27"/>
      <c r="N100" s="2"/>
      <c r="O100" s="2"/>
      <c r="P100" s="27">
        <f>(((Table8[[#This Row],[OLD-WT]]-(Table8[[#This Row],[OLD-WT]]*1%))*Table8[[#This Row],[MELTING2]])/100)*Table8[[#This Row],[P-RATE3]]</f>
        <v>0</v>
      </c>
      <c r="Q100" s="2"/>
      <c r="R100" s="62">
        <f t="shared" si="11"/>
        <v>0</v>
      </c>
    </row>
    <row r="101" spans="1:20" x14ac:dyDescent="0.45">
      <c r="A101" s="73">
        <v>45562</v>
      </c>
      <c r="B101" s="85" t="s">
        <v>1009</v>
      </c>
      <c r="C101" s="38"/>
      <c r="D101" s="74" t="s">
        <v>1097</v>
      </c>
      <c r="E101" s="75">
        <v>0</v>
      </c>
      <c r="F101" s="38">
        <v>0</v>
      </c>
      <c r="G101" s="38">
        <v>0</v>
      </c>
      <c r="H101" s="76">
        <v>0</v>
      </c>
      <c r="I101" s="76">
        <v>0</v>
      </c>
      <c r="J101" s="44">
        <v>480</v>
      </c>
      <c r="K101" s="48"/>
      <c r="L101" s="77">
        <v>480</v>
      </c>
      <c r="M101" s="37"/>
      <c r="N101" s="38"/>
      <c r="O101" s="38"/>
      <c r="P101" s="27">
        <f>(((Table8[[#This Row],[OLD-WT]]-(Table8[[#This Row],[OLD-WT]]*1%))*Table8[[#This Row],[MELTING2]])/100)*Table8[[#This Row],[P-RATE3]]</f>
        <v>0</v>
      </c>
      <c r="Q101" s="38"/>
      <c r="R101" s="62">
        <f t="shared" si="11"/>
        <v>0</v>
      </c>
    </row>
    <row r="102" spans="1:20" x14ac:dyDescent="0.45">
      <c r="A102" s="73">
        <v>45563</v>
      </c>
      <c r="B102" s="38" t="str">
        <f>C102&amp;D102</f>
        <v>G-CHAIN-2</v>
      </c>
      <c r="C102" s="38" t="s">
        <v>724</v>
      </c>
      <c r="D102" s="74" t="s">
        <v>796</v>
      </c>
      <c r="E102" s="75">
        <f>VLOOKUP(B102,'ALL-DATA'!A:F,2,FALSE)</f>
        <v>8.1</v>
      </c>
      <c r="F102" s="38">
        <f>VLOOKUP(B102,'ALL-DATA'!A:F,3,FALSE)</f>
        <v>94.25</v>
      </c>
      <c r="G102" s="38">
        <f>VLOOKUP(B102,'ALL-DATA'!A:F,4,FALSE)</f>
        <v>-2.25</v>
      </c>
      <c r="H102" s="76">
        <f>VLOOKUP(B102,'ALL-DATA'!A:F,5,FALSE)</f>
        <v>7218.2</v>
      </c>
      <c r="I102" s="76">
        <f>VLOOKUP(B102,'ALL-DATA'!A:F,6,FALSE)</f>
        <v>55105.54335</v>
      </c>
      <c r="J102" s="44">
        <v>64100</v>
      </c>
      <c r="K102" s="48"/>
      <c r="L102" s="77">
        <f t="shared" ref="L102:L109" si="20">((J102+R102)-I102)</f>
        <v>8994.4566500000001</v>
      </c>
      <c r="M102" s="37"/>
      <c r="N102" s="38"/>
      <c r="O102" s="38"/>
      <c r="P102" s="27">
        <f>(((Table8[[#This Row],[OLD-WT]]-(Table8[[#This Row],[OLD-WT]]*1%))*Table8[[#This Row],[MELTING2]])/100)*Table8[[#This Row],[P-RATE3]]</f>
        <v>0</v>
      </c>
      <c r="Q102" s="38"/>
      <c r="R102" s="62">
        <f t="shared" si="11"/>
        <v>0</v>
      </c>
    </row>
    <row r="103" spans="1:20" x14ac:dyDescent="0.45">
      <c r="A103" s="73">
        <v>45563</v>
      </c>
      <c r="B103" s="38" t="s">
        <v>1010</v>
      </c>
      <c r="C103" s="38"/>
      <c r="D103" s="74"/>
      <c r="E103" s="75">
        <f>VLOOKUP(B103,'ALL-DATA'!A:F,2,FALSE)</f>
        <v>2.08</v>
      </c>
      <c r="F103" s="38">
        <f>VLOOKUP(B103,'ALL-DATA'!A:F,3,FALSE)</f>
        <v>89.5</v>
      </c>
      <c r="G103" s="38">
        <f>VLOOKUP(B103,'ALL-DATA'!A:F,4,FALSE)</f>
        <v>0</v>
      </c>
      <c r="H103" s="76">
        <f>VLOOKUP(B103,'ALL-DATA'!A:F,5,FALSE)</f>
        <v>7685</v>
      </c>
      <c r="I103" s="76">
        <f>VLOOKUP(B103,'ALL-DATA'!A:F,6,FALSE)</f>
        <v>14400</v>
      </c>
      <c r="J103" s="44">
        <v>15400</v>
      </c>
      <c r="K103" s="48"/>
      <c r="L103" s="77">
        <f t="shared" si="20"/>
        <v>1000</v>
      </c>
      <c r="M103" s="37"/>
      <c r="N103" s="38"/>
      <c r="O103" s="38"/>
      <c r="P103" s="27">
        <f>(((Table8[[#This Row],[OLD-WT]]-(Table8[[#This Row],[OLD-WT]]*1%))*Table8[[#This Row],[MELTING2]])/100)*Table8[[#This Row],[P-RATE3]]</f>
        <v>0</v>
      </c>
      <c r="Q103" s="38"/>
      <c r="R103" s="62">
        <f t="shared" si="11"/>
        <v>0</v>
      </c>
    </row>
    <row r="104" spans="1:20" x14ac:dyDescent="0.45">
      <c r="A104" s="73">
        <v>45563</v>
      </c>
      <c r="B104" s="38" t="str">
        <f>C104&amp;D104</f>
        <v>S-BARACELET-B-17</v>
      </c>
      <c r="C104" s="38" t="s">
        <v>737</v>
      </c>
      <c r="D104" s="74" t="s">
        <v>830</v>
      </c>
      <c r="E104" s="75">
        <f>VLOOKUP(B104,'ALL-DATA'!A:F,2,FALSE)</f>
        <v>24.9</v>
      </c>
      <c r="F104" s="38">
        <f>VLOOKUP(B104,'ALL-DATA'!A:F,3,FALSE)</f>
        <v>86</v>
      </c>
      <c r="G104" s="38">
        <f>VLOOKUP(B104,'ALL-DATA'!A:F,4,FALSE)</f>
        <v>-65</v>
      </c>
      <c r="H104" s="76">
        <f>VLOOKUP(B104,'ALL-DATA'!A:F,5,FALSE)</f>
        <v>90</v>
      </c>
      <c r="I104" s="76">
        <f>VLOOKUP(B104,'ALL-DATA'!A:F,6,FALSE)</f>
        <v>1927.2600000000002</v>
      </c>
      <c r="J104" s="44">
        <v>2600</v>
      </c>
      <c r="K104" s="48"/>
      <c r="L104" s="77">
        <f t="shared" si="20"/>
        <v>672.73999999999978</v>
      </c>
      <c r="M104" s="37"/>
      <c r="N104" s="38"/>
      <c r="O104" s="38"/>
      <c r="P104" s="27">
        <f>(((Table8[[#This Row],[OLD-WT]]-(Table8[[#This Row],[OLD-WT]]*1%))*Table8[[#This Row],[MELTING2]])/100)*Table8[[#This Row],[P-RATE3]]</f>
        <v>0</v>
      </c>
      <c r="Q104" s="38"/>
      <c r="R104" s="62">
        <f t="shared" si="11"/>
        <v>0</v>
      </c>
    </row>
    <row r="105" spans="1:20" x14ac:dyDescent="0.45">
      <c r="A105" s="73">
        <v>45563</v>
      </c>
      <c r="B105" s="38" t="s">
        <v>1011</v>
      </c>
      <c r="C105" s="38"/>
      <c r="D105" s="74"/>
      <c r="E105" s="75">
        <f>VLOOKUP(B105,'ALL-DATA'!A:F,2,FALSE)</f>
        <v>8.65</v>
      </c>
      <c r="F105" s="38">
        <f>VLOOKUP(B105,'ALL-DATA'!A:F,3,FALSE)</f>
        <v>85</v>
      </c>
      <c r="G105" s="38">
        <f>VLOOKUP(B105,'ALL-DATA'!A:F,4,FALSE)</f>
        <v>0</v>
      </c>
      <c r="H105" s="76">
        <f>VLOOKUP(B105,'ALL-DATA'!A:F,5,FALSE)</f>
        <v>93.5</v>
      </c>
      <c r="I105" s="76">
        <f>VLOOKUP(B105,'ALL-DATA'!A:F,6,FALSE)</f>
        <v>700</v>
      </c>
      <c r="J105" s="44">
        <v>900</v>
      </c>
      <c r="K105" s="48"/>
      <c r="L105" s="77">
        <f t="shared" si="20"/>
        <v>200</v>
      </c>
      <c r="M105" s="37"/>
      <c r="N105" s="38"/>
      <c r="O105" s="38"/>
      <c r="P105" s="27">
        <f>(((Table8[[#This Row],[OLD-WT]]-(Table8[[#This Row],[OLD-WT]]*1%))*Table8[[#This Row],[MELTING2]])/100)*Table8[[#This Row],[P-RATE3]]</f>
        <v>0</v>
      </c>
      <c r="Q105" s="38"/>
      <c r="R105" s="62">
        <f t="shared" si="11"/>
        <v>0</v>
      </c>
    </row>
    <row r="106" spans="1:20" x14ac:dyDescent="0.45">
      <c r="A106" s="73">
        <v>45563</v>
      </c>
      <c r="B106" s="38" t="str">
        <f>C106&amp;D106</f>
        <v>G-TLI-MNI-THAYTH-3</v>
      </c>
      <c r="C106" s="38" t="s">
        <v>723</v>
      </c>
      <c r="D106" s="74" t="s">
        <v>1002</v>
      </c>
      <c r="E106" s="75">
        <f>VLOOKUP(B106,'ALL-DATA'!A:F,2,FALSE)</f>
        <v>1.05</v>
      </c>
      <c r="F106" s="38">
        <f>VLOOKUP(B106,'ALL-DATA'!A:F,3,FALSE)</f>
        <v>84</v>
      </c>
      <c r="G106" s="38">
        <f>VLOOKUP(B106,'ALL-DATA'!A:F,4,FALSE)</f>
        <v>-7</v>
      </c>
      <c r="H106" s="76">
        <f>VLOOKUP(B106,'ALL-DATA'!A:F,5,FALSE)</f>
        <v>7218.2</v>
      </c>
      <c r="I106" s="76">
        <f>VLOOKUP(B106,'ALL-DATA'!A:F,6,FALSE)</f>
        <v>6366.4524000000001</v>
      </c>
      <c r="J106" s="44">
        <v>8000</v>
      </c>
      <c r="K106" s="48"/>
      <c r="L106" s="77">
        <f t="shared" si="20"/>
        <v>1633.5475999999999</v>
      </c>
      <c r="M106" s="37"/>
      <c r="N106" s="38"/>
      <c r="O106" s="38"/>
      <c r="P106" s="27">
        <f>(((Table8[[#This Row],[OLD-WT]]-(Table8[[#This Row],[OLD-WT]]*1%))*Table8[[#This Row],[MELTING2]])/100)*Table8[[#This Row],[P-RATE3]]</f>
        <v>0</v>
      </c>
      <c r="Q106" s="38"/>
      <c r="R106" s="62">
        <f t="shared" si="11"/>
        <v>0</v>
      </c>
    </row>
    <row r="107" spans="1:20" x14ac:dyDescent="0.45">
      <c r="A107" s="73">
        <v>45564</v>
      </c>
      <c r="B107" s="38" t="str">
        <f>C107&amp;D107</f>
        <v>S-RING-229</v>
      </c>
      <c r="C107" s="38" t="s">
        <v>731</v>
      </c>
      <c r="D107" s="74" t="s">
        <v>846</v>
      </c>
      <c r="E107" s="75">
        <f>VLOOKUP(B107,'ALL-DATA'!A:F,2,FALSE)</f>
        <v>3.87</v>
      </c>
      <c r="F107" s="38">
        <f>VLOOKUP(B107,'ALL-DATA'!A:F,3,FALSE)</f>
        <v>92.5</v>
      </c>
      <c r="G107" s="38">
        <f>VLOOKUP(B107,'ALL-DATA'!A:F,4,FALSE)</f>
        <v>92.5</v>
      </c>
      <c r="H107" s="76">
        <f>VLOOKUP(B107,'ALL-DATA'!A:F,5,FALSE)</f>
        <v>125.57</v>
      </c>
      <c r="I107" s="76">
        <f>VLOOKUP(B107,'ALL-DATA'!A:F,6,FALSE)</f>
        <v>485.95589999999999</v>
      </c>
      <c r="J107" s="44">
        <v>800</v>
      </c>
      <c r="K107" s="48"/>
      <c r="L107" s="77">
        <f t="shared" si="20"/>
        <v>314.04410000000001</v>
      </c>
      <c r="M107" s="37"/>
      <c r="N107" s="38"/>
      <c r="O107" s="38"/>
      <c r="P107" s="27">
        <f>(((Table8[[#This Row],[OLD-WT]]-(Table8[[#This Row],[OLD-WT]]*1%))*Table8[[#This Row],[MELTING2]])/100)*Table8[[#This Row],[P-RATE3]]</f>
        <v>0</v>
      </c>
      <c r="Q107" s="38"/>
      <c r="R107" s="62">
        <f t="shared" si="11"/>
        <v>0</v>
      </c>
    </row>
    <row r="108" spans="1:20" x14ac:dyDescent="0.45">
      <c r="A108" s="73">
        <v>45566</v>
      </c>
      <c r="B108" s="38" t="s">
        <v>1012</v>
      </c>
      <c r="C108" s="38"/>
      <c r="D108" s="74"/>
      <c r="E108" s="75">
        <f>VLOOKUP(B108,'ALL-DATA'!A:F,2,FALSE)</f>
        <v>23.5</v>
      </c>
      <c r="F108" s="38">
        <f>VLOOKUP(B108,'ALL-DATA'!A:F,3,FALSE)</f>
        <v>0</v>
      </c>
      <c r="G108" s="38">
        <f>VLOOKUP(B108,'ALL-DATA'!A:F,4,FALSE)</f>
        <v>0</v>
      </c>
      <c r="H108" s="76">
        <f>VLOOKUP(B108,'ALL-DATA'!A:F,5,FALSE)</f>
        <v>0</v>
      </c>
      <c r="I108" s="76">
        <f>VLOOKUP(B108,'ALL-DATA'!A:F,6,FALSE)</f>
        <v>2260</v>
      </c>
      <c r="J108" s="44">
        <v>3200</v>
      </c>
      <c r="K108" s="48"/>
      <c r="L108" s="77">
        <f t="shared" si="20"/>
        <v>940</v>
      </c>
      <c r="M108" s="37"/>
      <c r="N108" s="38"/>
      <c r="O108" s="38"/>
      <c r="P108" s="27">
        <f>(((Table8[[#This Row],[OLD-WT]]-(Table8[[#This Row],[OLD-WT]]*1%))*Table8[[#This Row],[MELTING2]])/100)*Table8[[#This Row],[P-RATE3]]</f>
        <v>0</v>
      </c>
      <c r="Q108" s="38"/>
      <c r="R108" s="62">
        <f t="shared" si="11"/>
        <v>0</v>
      </c>
    </row>
    <row r="109" spans="1:20" x14ac:dyDescent="0.45">
      <c r="A109" s="73">
        <v>45566</v>
      </c>
      <c r="B109" s="38" t="str">
        <f t="shared" ref="B109:B115" si="21">C109&amp;D109</f>
        <v>S-DOLLER-34</v>
      </c>
      <c r="C109" s="38" t="s">
        <v>730</v>
      </c>
      <c r="D109" s="74" t="s">
        <v>1013</v>
      </c>
      <c r="E109" s="75">
        <f>VLOOKUP(B109,'ALL-DATA'!A:F,2,FALSE)</f>
        <v>1.5</v>
      </c>
      <c r="F109" s="38">
        <f>VLOOKUP(B109,'ALL-DATA'!A:F,3,FALSE)</f>
        <v>92.5</v>
      </c>
      <c r="G109" s="38">
        <f>VLOOKUP(B109,'ALL-DATA'!A:F,4,FALSE)</f>
        <v>92.5</v>
      </c>
      <c r="H109" s="76">
        <f>VLOOKUP(B109,'ALL-DATA'!A:F,5,FALSE)</f>
        <v>175</v>
      </c>
      <c r="I109" s="76">
        <f>VLOOKUP(B109,'ALL-DATA'!A:F,6,FALSE)</f>
        <v>262.5</v>
      </c>
      <c r="J109" s="44">
        <v>425</v>
      </c>
      <c r="K109" s="48"/>
      <c r="L109" s="77">
        <f t="shared" si="20"/>
        <v>162.5</v>
      </c>
      <c r="M109" s="37"/>
      <c r="N109" s="38"/>
      <c r="O109" s="38"/>
      <c r="P109" s="27">
        <f>(((Table8[[#This Row],[OLD-WT]]-(Table8[[#This Row],[OLD-WT]]*1%))*Table8[[#This Row],[MELTING2]])/100)*Table8[[#This Row],[P-RATE3]]</f>
        <v>0</v>
      </c>
      <c r="Q109" s="38"/>
      <c r="R109" s="62">
        <f t="shared" si="11"/>
        <v>0</v>
      </c>
    </row>
    <row r="110" spans="1:20" x14ac:dyDescent="0.45">
      <c r="A110" s="73">
        <v>45566</v>
      </c>
      <c r="B110" s="38" t="str">
        <f t="shared" si="21"/>
        <v>S-DOLLER-35</v>
      </c>
      <c r="C110" s="38" t="s">
        <v>730</v>
      </c>
      <c r="D110" s="74" t="s">
        <v>1014</v>
      </c>
      <c r="E110" s="75">
        <f>VLOOKUP(B110,'ALL-DATA'!A:F,2,FALSE)</f>
        <v>1.5</v>
      </c>
      <c r="F110" s="38">
        <f>VLOOKUP(B110,'ALL-DATA'!A:F,3,FALSE)</f>
        <v>92.5</v>
      </c>
      <c r="G110" s="38">
        <f>VLOOKUP(B110,'ALL-DATA'!A:F,4,FALSE)</f>
        <v>92.5</v>
      </c>
      <c r="H110" s="76">
        <f>VLOOKUP(B110,'ALL-DATA'!A:F,5,FALSE)</f>
        <v>175</v>
      </c>
      <c r="I110" s="76">
        <f>VLOOKUP(B110,'ALL-DATA'!A:F,6,FALSE)</f>
        <v>262.5</v>
      </c>
      <c r="J110" s="44">
        <v>425</v>
      </c>
      <c r="K110" s="48"/>
      <c r="L110" s="77">
        <f>((J110+R110)-I110)</f>
        <v>162.5</v>
      </c>
      <c r="M110" s="37"/>
      <c r="N110" s="38"/>
      <c r="O110" s="38"/>
      <c r="P110" s="27">
        <f>(((Table8[[#This Row],[OLD-WT]]-(Table8[[#This Row],[OLD-WT]]*1%))*Table8[[#This Row],[MELTING2]])/100)*Table8[[#This Row],[P-RATE3]]</f>
        <v>0</v>
      </c>
      <c r="Q110" s="38"/>
      <c r="R110" s="62">
        <f>(P110-Q110)</f>
        <v>0</v>
      </c>
    </row>
    <row r="111" spans="1:20" x14ac:dyDescent="0.45">
      <c r="A111" s="73">
        <v>45567</v>
      </c>
      <c r="B111" s="38" t="str">
        <f t="shared" si="21"/>
        <v>G-RING-B20</v>
      </c>
      <c r="C111" s="38" t="s">
        <v>719</v>
      </c>
      <c r="D111" s="74" t="s">
        <v>777</v>
      </c>
      <c r="E111" s="75">
        <f>VLOOKUP(B111,'ALL-DATA'!A:F,2,FALSE)</f>
        <v>2.02</v>
      </c>
      <c r="F111" s="38">
        <f>VLOOKUP(B111,'ALL-DATA'!A:F,3,FALSE)</f>
        <v>95.5</v>
      </c>
      <c r="G111" s="38">
        <f>VLOOKUP(B111,'ALL-DATA'!A:F,4,FALSE)</f>
        <v>-3.5</v>
      </c>
      <c r="H111" s="76">
        <f>VLOOKUP(B111,'ALL-DATA'!A:F,5,FALSE)</f>
        <v>7218.2</v>
      </c>
      <c r="I111" s="76">
        <f>VLOOKUP(B111,'ALL-DATA'!A:F,6,FALSE)</f>
        <v>13924.62962</v>
      </c>
      <c r="J111" s="44">
        <v>16500</v>
      </c>
      <c r="K111" s="165"/>
      <c r="L111" s="77">
        <f>((J111+R111)-I111)</f>
        <v>2575.3703800000003</v>
      </c>
      <c r="M111" s="37"/>
      <c r="N111" s="38"/>
      <c r="O111" s="38"/>
      <c r="P111" s="27">
        <f>(((Table8[[#This Row],[OLD-WT]]-(Table8[[#This Row],[OLD-WT]]*1%))*Table8[[#This Row],[MELTING2]])/100)*Table8[[#This Row],[P-RATE3]]</f>
        <v>0</v>
      </c>
      <c r="Q111" s="38"/>
      <c r="R111" s="62">
        <f t="shared" ref="R111:R179" si="22">(P111-Q111)</f>
        <v>0</v>
      </c>
    </row>
    <row r="112" spans="1:20" x14ac:dyDescent="0.45">
      <c r="A112" s="73">
        <v>45568</v>
      </c>
      <c r="B112" s="38" t="str">
        <f t="shared" si="21"/>
        <v>G-STUD-32</v>
      </c>
      <c r="C112" s="38" t="s">
        <v>720</v>
      </c>
      <c r="D112" s="74" t="s">
        <v>1015</v>
      </c>
      <c r="E112" s="75">
        <f>VLOOKUP(B112,'ALL-DATA'!A:F,2,FALSE)</f>
        <v>4.03</v>
      </c>
      <c r="F112" s="38">
        <f>VLOOKUP(B112,'ALL-DATA'!A:F,3,FALSE)</f>
        <v>97</v>
      </c>
      <c r="G112" s="38">
        <f>VLOOKUP(B112,'ALL-DATA'!A:F,4,FALSE)</f>
        <v>-5</v>
      </c>
      <c r="H112" s="76">
        <f>VLOOKUP(B112,'ALL-DATA'!A:F,5,FALSE)</f>
        <v>7218.2</v>
      </c>
      <c r="I112" s="76">
        <f>VLOOKUP(B112,'ALL-DATA'!A:F,6,FALSE)</f>
        <v>28216.665620000003</v>
      </c>
      <c r="J112" s="44">
        <v>32780</v>
      </c>
      <c r="K112" s="48"/>
      <c r="L112" s="77">
        <f>(((J112+R112)-I112)+R113)-I116</f>
        <v>5306.3218799999986</v>
      </c>
      <c r="M112" s="161">
        <v>2.0099999999999998</v>
      </c>
      <c r="N112" s="161">
        <v>916</v>
      </c>
      <c r="O112" s="161">
        <v>7110</v>
      </c>
      <c r="P112" s="27">
        <v>14200</v>
      </c>
      <c r="Q112" s="38">
        <v>13870</v>
      </c>
      <c r="R112" s="62">
        <f>(P112-Q112)</f>
        <v>330</v>
      </c>
      <c r="T112" s="169"/>
    </row>
    <row r="113" spans="1:18" x14ac:dyDescent="0.45">
      <c r="A113" s="73">
        <v>45568</v>
      </c>
      <c r="B113" s="38" t="str">
        <f t="shared" si="21"/>
        <v>G-STUD-32</v>
      </c>
      <c r="C113" s="38" t="s">
        <v>720</v>
      </c>
      <c r="D113" s="74" t="s">
        <v>1015</v>
      </c>
      <c r="E113" s="75">
        <v>0</v>
      </c>
      <c r="F113" s="38">
        <v>0</v>
      </c>
      <c r="G113" s="38">
        <v>0</v>
      </c>
      <c r="H113" s="76">
        <v>0</v>
      </c>
      <c r="I113" s="76">
        <v>0</v>
      </c>
      <c r="J113" s="44">
        <v>0</v>
      </c>
      <c r="K113" s="48">
        <v>0</v>
      </c>
      <c r="L113" s="77">
        <v>0</v>
      </c>
      <c r="M113" s="37">
        <v>2.1</v>
      </c>
      <c r="N113" s="38">
        <v>78</v>
      </c>
      <c r="O113" s="38">
        <v>7500</v>
      </c>
      <c r="P113" s="27">
        <f>((((Table8[[#This Row],[OLD-WT]]-0.15)*Table8[[#This Row],[MELTING2]])/100)*Table8[[#This Row],[P-RATE3]])</f>
        <v>11407.500000000002</v>
      </c>
      <c r="Q113" s="38">
        <v>10800</v>
      </c>
      <c r="R113" s="62">
        <f t="shared" si="22"/>
        <v>607.50000000000182</v>
      </c>
    </row>
    <row r="114" spans="1:18" x14ac:dyDescent="0.45">
      <c r="A114" s="73">
        <v>45568</v>
      </c>
      <c r="B114" s="38" t="str">
        <f t="shared" si="21"/>
        <v>S-RING-182</v>
      </c>
      <c r="C114" s="38" t="s">
        <v>731</v>
      </c>
      <c r="D114" s="74" t="s">
        <v>1016</v>
      </c>
      <c r="E114" s="75">
        <f>VLOOKUP(B114,'ALL-DATA'!A:F,2,FALSE)</f>
        <v>1.1000000000000001</v>
      </c>
      <c r="F114" s="38">
        <f>VLOOKUP(B114,'ALL-DATA'!A:F,3,FALSE)</f>
        <v>92.5</v>
      </c>
      <c r="G114" s="38">
        <f>VLOOKUP(B114,'ALL-DATA'!A:F,4,FALSE)</f>
        <v>92.5</v>
      </c>
      <c r="H114" s="76">
        <f>VLOOKUP(B114,'ALL-DATA'!A:F,5,FALSE)</f>
        <v>131.65</v>
      </c>
      <c r="I114" s="76">
        <f>VLOOKUP(B114,'ALL-DATA'!A:F,6,FALSE)</f>
        <v>144.81500000000003</v>
      </c>
      <c r="J114" s="44">
        <v>300</v>
      </c>
      <c r="K114" s="48"/>
      <c r="L114" s="77">
        <f>((J114+R114)-I114)</f>
        <v>155.18499999999997</v>
      </c>
      <c r="M114" s="37"/>
      <c r="N114" s="38"/>
      <c r="O114" s="38"/>
      <c r="P114" s="27"/>
      <c r="Q114" s="38"/>
      <c r="R114" s="62"/>
    </row>
    <row r="115" spans="1:18" x14ac:dyDescent="0.45">
      <c r="A115" s="73">
        <v>45568</v>
      </c>
      <c r="B115" s="38" t="str">
        <f t="shared" si="21"/>
        <v>S-RING-12</v>
      </c>
      <c r="C115" s="38" t="s">
        <v>731</v>
      </c>
      <c r="D115" s="74" t="s">
        <v>987</v>
      </c>
      <c r="E115" s="75">
        <f>VLOOKUP(B115,'ALL-DATA'!A:F,2,FALSE)</f>
        <v>3.95</v>
      </c>
      <c r="F115" s="38">
        <f>VLOOKUP(B115,'ALL-DATA'!A:F,3,FALSE)</f>
        <v>92.5</v>
      </c>
      <c r="G115" s="38">
        <f>VLOOKUP(B115,'ALL-DATA'!A:F,4,FALSE)</f>
        <v>92.5</v>
      </c>
      <c r="H115" s="76">
        <f>VLOOKUP(B115,'ALL-DATA'!A:F,5,FALSE)</f>
        <v>140</v>
      </c>
      <c r="I115" s="76">
        <f>VLOOKUP(B115,'ALL-DATA'!A:F,6,FALSE)</f>
        <v>553</v>
      </c>
      <c r="J115" s="44">
        <v>990</v>
      </c>
      <c r="K115" s="48"/>
      <c r="L115" s="77">
        <f>((J115+R115)-I115)</f>
        <v>437</v>
      </c>
      <c r="M115" s="37"/>
      <c r="N115" s="38"/>
      <c r="O115" s="38"/>
      <c r="P115" s="27">
        <f>(((Table8[[#This Row],[OLD-WT]]-(Table8[[#This Row],[OLD-WT]]*1%))*Table8[[#This Row],[MELTING2]])/100)*Table8[[#This Row],[P-RATE3]]</f>
        <v>0</v>
      </c>
      <c r="Q115" s="38"/>
      <c r="R115" s="62">
        <f t="shared" si="22"/>
        <v>0</v>
      </c>
    </row>
    <row r="116" spans="1:18" x14ac:dyDescent="0.45">
      <c r="A116" s="73">
        <v>45568</v>
      </c>
      <c r="B116" s="121" t="s">
        <v>894</v>
      </c>
      <c r="C116" s="38"/>
      <c r="D116" s="74"/>
      <c r="E116" s="75">
        <f>VLOOKUP(B116,'ALL-DATA'!A:F,2,FALSE)</f>
        <v>3.5</v>
      </c>
      <c r="F116" s="38">
        <f>VLOOKUP(B116,'ALL-DATA'!A:F,3,FALSE)</f>
        <v>65</v>
      </c>
      <c r="G116" s="38">
        <f>VLOOKUP(B116,'ALL-DATA'!A:F,4,FALSE)</f>
        <v>0</v>
      </c>
      <c r="H116" s="76">
        <f>VLOOKUP(B116,'ALL-DATA'!A:F,5,FALSE)</f>
        <v>85.5</v>
      </c>
      <c r="I116" s="76">
        <f>VLOOKUP(B116,'ALL-DATA'!A:F,6,FALSE)</f>
        <v>194.51249999999999</v>
      </c>
      <c r="J116" s="44"/>
      <c r="K116" s="48"/>
      <c r="L116" s="77">
        <v>0</v>
      </c>
      <c r="M116" s="37"/>
      <c r="N116" s="38"/>
      <c r="O116" s="38"/>
      <c r="P116" s="27">
        <f>(((Table8[[#This Row],[OLD-WT]]-(Table8[[#This Row],[OLD-WT]]*1%))*Table8[[#This Row],[MELTING2]])/100)*Table8[[#This Row],[P-RATE3]]</f>
        <v>0</v>
      </c>
      <c r="Q116" s="38"/>
      <c r="R116" s="62">
        <f t="shared" si="22"/>
        <v>0</v>
      </c>
    </row>
    <row r="117" spans="1:18" x14ac:dyDescent="0.45">
      <c r="A117" s="73">
        <v>45568</v>
      </c>
      <c r="B117" s="38" t="str">
        <f>Table8[[#This Row],[Column2]]&amp;Table8[[#This Row],[Column1]]</f>
        <v>G-PESERI-30-1</v>
      </c>
      <c r="C117" s="38" t="s">
        <v>725</v>
      </c>
      <c r="D117" s="74" t="s">
        <v>1018</v>
      </c>
      <c r="E117" s="75">
        <f>VLOOKUP(B117,'ALL-DATA'!A:F,2,FALSE)</f>
        <v>0.125</v>
      </c>
      <c r="F117" s="38">
        <f>VLOOKUP(B117,'ALL-DATA'!A:F,3,FALSE)</f>
        <v>80.39</v>
      </c>
      <c r="G117" s="38">
        <f>VLOOKUP(B117,'ALL-DATA'!A:F,4,FALSE)</f>
        <v>-10</v>
      </c>
      <c r="H117" s="76">
        <f>VLOOKUP(B117,'ALL-DATA'!A:F,5,FALSE)</f>
        <v>7219.2</v>
      </c>
      <c r="I117" s="76">
        <f>VLOOKUP(B117,'ALL-DATA'!A:F,6,FALSE)</f>
        <v>725.43936000000008</v>
      </c>
      <c r="J117" s="44">
        <v>1050</v>
      </c>
      <c r="K117" s="48"/>
      <c r="L117" s="77">
        <f t="shared" ref="L117:L131" si="23">((J117+R117)-I117)</f>
        <v>324.56063999999992</v>
      </c>
      <c r="M117" s="37"/>
      <c r="N117" s="38"/>
      <c r="O117" s="38"/>
      <c r="P117" s="27">
        <f>(((Table8[[#This Row],[OLD-WT]]-(Table8[[#This Row],[OLD-WT]]*1%))*Table8[[#This Row],[MELTING2]])/100)*Table8[[#This Row],[P-RATE3]]</f>
        <v>0</v>
      </c>
      <c r="Q117" s="38"/>
      <c r="R117" s="62">
        <f t="shared" si="22"/>
        <v>0</v>
      </c>
    </row>
    <row r="118" spans="1:18" x14ac:dyDescent="0.45">
      <c r="A118" s="73">
        <v>45568</v>
      </c>
      <c r="B118" s="38" t="str">
        <f>C118&amp;D118</f>
        <v>S-STUD-PRI-2</v>
      </c>
      <c r="C118" s="38" t="s">
        <v>748</v>
      </c>
      <c r="D118" s="74" t="s">
        <v>796</v>
      </c>
      <c r="E118" s="75">
        <f>VLOOKUP(B118,'ALL-DATA'!A:F,2,FALSE)</f>
        <v>0</v>
      </c>
      <c r="F118" s="38">
        <f>VLOOKUP(B118,'ALL-DATA'!A:F,3,FALSE)</f>
        <v>0</v>
      </c>
      <c r="G118" s="38">
        <f>VLOOKUP(B118,'ALL-DATA'!A:F,4,FALSE)</f>
        <v>0</v>
      </c>
      <c r="H118" s="76">
        <f>VLOOKUP(B118,'ALL-DATA'!A:F,5,FALSE)</f>
        <v>0</v>
      </c>
      <c r="I118" s="76">
        <f>VLOOKUP(B118,'ALL-DATA'!A:F,6,FALSE)</f>
        <v>242</v>
      </c>
      <c r="J118" s="44">
        <v>650</v>
      </c>
      <c r="K118" s="48"/>
      <c r="L118" s="77">
        <f t="shared" si="23"/>
        <v>408</v>
      </c>
      <c r="M118" s="37"/>
      <c r="N118" s="38"/>
      <c r="O118" s="38"/>
      <c r="P118" s="27">
        <f>(((Table8[[#This Row],[OLD-WT]]-(Table8[[#This Row],[OLD-WT]]*1%))*Table8[[#This Row],[MELTING2]])/100)*Table8[[#This Row],[P-RATE3]]</f>
        <v>0</v>
      </c>
      <c r="Q118" s="38"/>
      <c r="R118" s="62">
        <f t="shared" si="22"/>
        <v>0</v>
      </c>
    </row>
    <row r="119" spans="1:18" x14ac:dyDescent="0.45">
      <c r="A119" s="73">
        <v>45568</v>
      </c>
      <c r="B119" s="38" t="str">
        <f>C119&amp;D119</f>
        <v>S-S-KOLUSU-80</v>
      </c>
      <c r="C119" s="38" t="s">
        <v>726</v>
      </c>
      <c r="D119" s="74" t="s">
        <v>1019</v>
      </c>
      <c r="E119" s="75">
        <f>VLOOKUP(B119,'ALL-DATA'!A:F,2,FALSE)</f>
        <v>131</v>
      </c>
      <c r="F119" s="38">
        <f>VLOOKUP(B119,'ALL-DATA'!A:F,3,FALSE)</f>
        <v>80</v>
      </c>
      <c r="G119" s="38">
        <f>VLOOKUP(B119,'ALL-DATA'!A:F,4,FALSE)</f>
        <v>15</v>
      </c>
      <c r="H119" s="76">
        <f>VLOOKUP(B119,'ALL-DATA'!A:F,5,FALSE)</f>
        <v>82</v>
      </c>
      <c r="I119" s="76">
        <f>VLOOKUP(B119,'ALL-DATA'!A:F,6,FALSE)</f>
        <v>8593.6</v>
      </c>
      <c r="J119" s="44">
        <v>13500</v>
      </c>
      <c r="K119" s="48"/>
      <c r="L119" s="77">
        <f t="shared" si="23"/>
        <v>4906.3999999999996</v>
      </c>
      <c r="M119" s="37"/>
      <c r="N119" s="38"/>
      <c r="O119" s="38"/>
      <c r="P119" s="27">
        <f>(((Table8[[#This Row],[OLD-WT]]-(Table8[[#This Row],[OLD-WT]]*1%))*Table8[[#This Row],[MELTING2]])/100)*Table8[[#This Row],[P-RATE3]]</f>
        <v>0</v>
      </c>
      <c r="Q119" s="38"/>
      <c r="R119" s="62">
        <f t="shared" si="22"/>
        <v>0</v>
      </c>
    </row>
    <row r="120" spans="1:18" x14ac:dyDescent="0.45">
      <c r="A120" s="73">
        <v>45568</v>
      </c>
      <c r="B120" s="38" t="str">
        <f>C120&amp;D120</f>
        <v>S-CHAIN-N-43</v>
      </c>
      <c r="C120" s="38" t="s">
        <v>732</v>
      </c>
      <c r="D120" s="74" t="s">
        <v>1020</v>
      </c>
      <c r="E120" s="75">
        <f>VLOOKUP(B120,'ALL-DATA'!A:F,2,FALSE)</f>
        <v>16</v>
      </c>
      <c r="F120" s="38">
        <f>VLOOKUP(B120,'ALL-DATA'!A:F,3,FALSE)</f>
        <v>86</v>
      </c>
      <c r="G120" s="38">
        <f>VLOOKUP(B120,'ALL-DATA'!A:F,4,FALSE)</f>
        <v>-21</v>
      </c>
      <c r="H120" s="76">
        <f>VLOOKUP(B120,'ALL-DATA'!A:F,5,FALSE)</f>
        <v>94.8</v>
      </c>
      <c r="I120" s="76">
        <f>VLOOKUP(B120,'ALL-DATA'!A:F,6,FALSE)</f>
        <v>1304.4479999999999</v>
      </c>
      <c r="J120" s="44">
        <v>1700</v>
      </c>
      <c r="K120" s="48"/>
      <c r="L120" s="77">
        <f t="shared" si="23"/>
        <v>375.94880000000012</v>
      </c>
      <c r="M120" s="37">
        <v>20.25</v>
      </c>
      <c r="N120" s="38">
        <v>80</v>
      </c>
      <c r="O120" s="38">
        <v>92</v>
      </c>
      <c r="P120" s="27">
        <f>((((((Table8[[#This Row],[OLD-WT]]-(Table8[[#This Row],[OLD-WT]]*1%))*Table8[[#This Row],[MELTING2]])/100))*80)/100)*Table8[[#This Row],[P-RATE3]]</f>
        <v>1180.3968</v>
      </c>
      <c r="Q120" s="38">
        <v>1200</v>
      </c>
      <c r="R120" s="62">
        <f t="shared" si="22"/>
        <v>-19.603200000000015</v>
      </c>
    </row>
    <row r="121" spans="1:18" x14ac:dyDescent="0.45">
      <c r="A121" s="73">
        <v>45570</v>
      </c>
      <c r="B121" s="1" t="s">
        <v>1025</v>
      </c>
      <c r="C121" s="38"/>
      <c r="D121" s="74"/>
      <c r="E121" s="75">
        <f>VLOOKUP(B121,'ALL-DATA'!A:F,2,FALSE)</f>
        <v>8.01</v>
      </c>
      <c r="F121" s="38">
        <f>VLOOKUP(B121,'ALL-DATA'!A:F,3,FALSE)</f>
        <v>92</v>
      </c>
      <c r="G121" s="38">
        <f>VLOOKUP(B121,'ALL-DATA'!A:F,4,FALSE)</f>
        <v>0</v>
      </c>
      <c r="H121" s="76">
        <f>VLOOKUP(B121,'ALL-DATA'!A:F,5,FALSE)</f>
        <v>7735</v>
      </c>
      <c r="I121" s="76">
        <f>VLOOKUP(B121,'ALL-DATA'!A:F,6,FALSE)</f>
        <v>58300</v>
      </c>
      <c r="J121" s="44">
        <v>63500</v>
      </c>
      <c r="K121" s="165">
        <v>16000</v>
      </c>
      <c r="L121" s="77">
        <f>((J121+R121)-I121)</f>
        <v>5200</v>
      </c>
      <c r="M121" s="37"/>
      <c r="N121" s="38"/>
      <c r="O121" s="38"/>
      <c r="P121" s="27">
        <f>((((((Table8[[#This Row],[OLD-WT]]-(Table8[[#This Row],[OLD-WT]]*1%))*Table8[[#This Row],[MELTING2]])/100))*80)/100)*Table8[[#This Row],[P-RATE3]]</f>
        <v>0</v>
      </c>
      <c r="Q121" s="38"/>
      <c r="R121" s="62"/>
    </row>
    <row r="122" spans="1:18" x14ac:dyDescent="0.45">
      <c r="A122" s="73">
        <v>45572</v>
      </c>
      <c r="B122" s="1" t="str">
        <f>C122&amp;D122</f>
        <v>S-RING-224</v>
      </c>
      <c r="C122" s="38" t="s">
        <v>731</v>
      </c>
      <c r="D122" s="74" t="s">
        <v>1078</v>
      </c>
      <c r="E122" s="75">
        <f>VLOOKUP(B122,'ALL-DATA'!A:F,2,FALSE)</f>
        <v>1.91</v>
      </c>
      <c r="F122" s="38">
        <f>VLOOKUP(B122,'ALL-DATA'!A:F,3,FALSE)</f>
        <v>92.5</v>
      </c>
      <c r="G122" s="38">
        <f>VLOOKUP(B122,'ALL-DATA'!A:F,4,FALSE)</f>
        <v>92.5</v>
      </c>
      <c r="H122" s="76">
        <f>VLOOKUP(B122,'ALL-DATA'!A:F,5,FALSE)</f>
        <v>125.57</v>
      </c>
      <c r="I122" s="76">
        <f>VLOOKUP(B122,'ALL-DATA'!A:F,6,FALSE)</f>
        <v>239.83869999999999</v>
      </c>
      <c r="J122" s="44">
        <v>376</v>
      </c>
      <c r="K122" s="168"/>
      <c r="L122" s="77">
        <f>((J122+R122)-I122)</f>
        <v>136.16130000000001</v>
      </c>
      <c r="M122" s="37"/>
      <c r="N122" s="38"/>
      <c r="O122" s="38"/>
      <c r="P122" s="27">
        <f>((((((Table8[[#This Row],[OLD-WT]]-(Table8[[#This Row],[OLD-WT]]*1%))*Table8[[#This Row],[MELTING2]])/100))*80)/100)*Table8[[#This Row],[P-RATE3]]</f>
        <v>0</v>
      </c>
      <c r="Q122" s="38"/>
      <c r="R122" s="62"/>
    </row>
    <row r="123" spans="1:18" x14ac:dyDescent="0.45">
      <c r="A123" s="73">
        <v>45572</v>
      </c>
      <c r="B123" s="1" t="s">
        <v>1079</v>
      </c>
      <c r="C123" s="38"/>
      <c r="D123" s="74"/>
      <c r="E123" s="75">
        <f>VLOOKUP(B123,'ALL-DATA'!A:F,2,FALSE)</f>
        <v>2.17</v>
      </c>
      <c r="F123" s="38">
        <f>VLOOKUP(B123,'ALL-DATA'!A:F,3,FALSE)</f>
        <v>0</v>
      </c>
      <c r="G123" s="38">
        <f>VLOOKUP(B123,'ALL-DATA'!A:F,4,FALSE)</f>
        <v>0</v>
      </c>
      <c r="H123" s="76">
        <f>VLOOKUP(B123,'ALL-DATA'!A:F,5,FALSE)</f>
        <v>123</v>
      </c>
      <c r="I123" s="76">
        <f>VLOOKUP(B123,'ALL-DATA'!A:F,6,FALSE)</f>
        <v>266.90999999999997</v>
      </c>
      <c r="J123" s="44">
        <v>424</v>
      </c>
      <c r="K123" s="168"/>
      <c r="L123" s="77">
        <f>((J123+R123)-I123)</f>
        <v>157.09000000000003</v>
      </c>
      <c r="M123" s="37"/>
      <c r="N123" s="38"/>
      <c r="O123" s="38"/>
      <c r="P123" s="27">
        <f>((((((Table8[[#This Row],[OLD-WT]]-(Table8[[#This Row],[OLD-WT]]*1%))*Table8[[#This Row],[MELTING2]])/100))*80)/100)*Table8[[#This Row],[P-RATE3]]</f>
        <v>0</v>
      </c>
      <c r="Q123" s="38"/>
      <c r="R123" s="62"/>
    </row>
    <row r="124" spans="1:18" x14ac:dyDescent="0.45">
      <c r="A124" s="73">
        <v>45572</v>
      </c>
      <c r="B124" s="1" t="s">
        <v>1080</v>
      </c>
      <c r="C124" s="38"/>
      <c r="D124" s="74"/>
      <c r="E124" s="75">
        <f>VLOOKUP(B124,'ALL-DATA'!A:F,2,FALSE)</f>
        <v>24.83</v>
      </c>
      <c r="F124" s="38">
        <f>VLOOKUP(B124,'ALL-DATA'!A:F,3,FALSE)</f>
        <v>92</v>
      </c>
      <c r="G124" s="38">
        <f>VLOOKUP(B124,'ALL-DATA'!A:F,4,FALSE)</f>
        <v>57</v>
      </c>
      <c r="H124" s="76">
        <f>VLOOKUP(B124,'ALL-DATA'!A:F,5,FALSE)</f>
        <v>0</v>
      </c>
      <c r="I124" s="76">
        <f>VLOOKUP(B124,'ALL-DATA'!A:F,6,FALSE)</f>
        <v>3695</v>
      </c>
      <c r="J124" s="44">
        <v>5400</v>
      </c>
      <c r="K124" s="168"/>
      <c r="L124" s="77">
        <f>((J124+R124)-I124)-I125</f>
        <v>1605</v>
      </c>
      <c r="M124" s="37"/>
      <c r="N124" s="38"/>
      <c r="O124" s="38"/>
      <c r="P124" s="27">
        <f>((((((Table8[[#This Row],[OLD-WT]]-(Table8[[#This Row],[OLD-WT]]*1%))*Table8[[#This Row],[MELTING2]])/100))*80)/100)*Table8[[#This Row],[P-RATE3]]</f>
        <v>0</v>
      </c>
      <c r="Q124" s="38"/>
      <c r="R124" s="62"/>
    </row>
    <row r="125" spans="1:18" x14ac:dyDescent="0.45">
      <c r="A125" s="73">
        <v>45572</v>
      </c>
      <c r="B125" s="121" t="s">
        <v>1081</v>
      </c>
      <c r="C125" s="38"/>
      <c r="D125" s="74"/>
      <c r="E125" s="75">
        <f>VLOOKUP(B125,'ALL-DATA'!A:F,2,FALSE)</f>
        <v>1</v>
      </c>
      <c r="F125" s="38">
        <f>VLOOKUP(B125,'ALL-DATA'!A:F,3,FALSE)</f>
        <v>0</v>
      </c>
      <c r="G125" s="38">
        <f>VLOOKUP(B125,'ALL-DATA'!A:F,4,FALSE)</f>
        <v>0</v>
      </c>
      <c r="H125" s="76">
        <f>VLOOKUP(B125,'ALL-DATA'!A:F,5,FALSE)</f>
        <v>0</v>
      </c>
      <c r="I125" s="76">
        <f>VLOOKUP(B125,'ALL-DATA'!A:F,6,FALSE)</f>
        <v>100</v>
      </c>
      <c r="J125" s="44"/>
      <c r="K125" s="168"/>
      <c r="L125" s="77">
        <v>0</v>
      </c>
      <c r="M125" s="37"/>
      <c r="N125" s="38"/>
      <c r="O125" s="38"/>
      <c r="P125" s="27">
        <f>((((((Table8[[#This Row],[OLD-WT]]-(Table8[[#This Row],[OLD-WT]]*1%))*Table8[[#This Row],[MELTING2]])/100))*80)/100)*Table8[[#This Row],[P-RATE3]]</f>
        <v>0</v>
      </c>
      <c r="Q125" s="38"/>
      <c r="R125" s="62"/>
    </row>
    <row r="126" spans="1:18" x14ac:dyDescent="0.45">
      <c r="A126" s="73">
        <v>45574</v>
      </c>
      <c r="B126" s="1" t="str">
        <f>C126&amp;D126</f>
        <v>G-STUD-23</v>
      </c>
      <c r="C126" s="38" t="s">
        <v>720</v>
      </c>
      <c r="D126" s="74" t="s">
        <v>800</v>
      </c>
      <c r="E126" s="75">
        <f>VLOOKUP(B126,'ALL-DATA'!A:F,2,FALSE)</f>
        <v>3.19</v>
      </c>
      <c r="F126" s="38">
        <f>VLOOKUP(B126,'ALL-DATA'!A:F,3,FALSE)</f>
        <v>97</v>
      </c>
      <c r="G126" s="38">
        <f>VLOOKUP(B126,'ALL-DATA'!A:F,4,FALSE)</f>
        <v>-5</v>
      </c>
      <c r="H126" s="76">
        <f>VLOOKUP(B126,'ALL-DATA'!A:F,5,FALSE)</f>
        <v>7218.2</v>
      </c>
      <c r="I126" s="76">
        <f>VLOOKUP(B126,'ALL-DATA'!A:F,6,FALSE)</f>
        <v>22335.276259999999</v>
      </c>
      <c r="J126" s="44">
        <v>25300</v>
      </c>
      <c r="K126" s="168"/>
      <c r="L126" s="77">
        <f>((J126+R126)-I126)</f>
        <v>2964.7237400000013</v>
      </c>
      <c r="M126" s="37"/>
      <c r="N126" s="38"/>
      <c r="O126" s="38"/>
      <c r="P126" s="27">
        <f>((((((Table8[[#This Row],[OLD-WT]]-(Table8[[#This Row],[OLD-WT]]*1%))*Table8[[#This Row],[MELTING2]])/100))*80)/100)*Table8[[#This Row],[P-RATE3]]</f>
        <v>0</v>
      </c>
      <c r="Q126" s="38"/>
      <c r="R126" s="62"/>
    </row>
    <row r="127" spans="1:18" x14ac:dyDescent="0.45">
      <c r="A127" s="73">
        <v>45574</v>
      </c>
      <c r="B127" s="1" t="str">
        <f>C127&amp;D127</f>
        <v>S-CHAIN-92.5-B-4</v>
      </c>
      <c r="C127" s="38" t="s">
        <v>735</v>
      </c>
      <c r="D127" s="74" t="s">
        <v>773</v>
      </c>
      <c r="E127" s="75">
        <f>VLOOKUP(B127,'ALL-DATA'!A:F,2,FALSE)</f>
        <v>35.9</v>
      </c>
      <c r="F127" s="38">
        <f>VLOOKUP(B127,'ALL-DATA'!A:F,3,FALSE)</f>
        <v>92.5</v>
      </c>
      <c r="G127" s="38">
        <f>VLOOKUP(B127,'ALL-DATA'!A:F,4,FALSE)</f>
        <v>-27.5</v>
      </c>
      <c r="H127" s="76">
        <f>VLOOKUP(B127,'ALL-DATA'!A:F,5,FALSE)</f>
        <v>90</v>
      </c>
      <c r="I127" s="76">
        <f>VLOOKUP(B127,'ALL-DATA'!A:F,6,FALSE)</f>
        <v>3231</v>
      </c>
      <c r="J127" s="44">
        <v>6200</v>
      </c>
      <c r="K127" s="168"/>
      <c r="L127" s="77">
        <f>((J127+R127)-I127)-I129</f>
        <v>2739</v>
      </c>
      <c r="M127" s="37"/>
      <c r="N127" s="38"/>
      <c r="O127" s="38"/>
      <c r="P127" s="27">
        <f>((((((Table8[[#This Row],[OLD-WT]]-(Table8[[#This Row],[OLD-WT]]*1%))*Table8[[#This Row],[MELTING2]])/100))*80)/100)*Table8[[#This Row],[P-RATE3]]</f>
        <v>0</v>
      </c>
      <c r="Q127" s="38"/>
      <c r="R127" s="62"/>
    </row>
    <row r="128" spans="1:18" x14ac:dyDescent="0.45">
      <c r="A128" s="73">
        <v>45574</v>
      </c>
      <c r="B128" s="1" t="str">
        <f>C128&amp;D128</f>
        <v>S-DOLLER-2</v>
      </c>
      <c r="C128" s="38" t="s">
        <v>730</v>
      </c>
      <c r="D128" s="74" t="s">
        <v>796</v>
      </c>
      <c r="E128" s="75">
        <f>VLOOKUP(B128,'ALL-DATA'!A:F,2,FALSE)</f>
        <v>2.81</v>
      </c>
      <c r="F128" s="38">
        <f>VLOOKUP(B128,'ALL-DATA'!A:F,3,FALSE)</f>
        <v>92.5</v>
      </c>
      <c r="G128" s="38">
        <f>VLOOKUP(B128,'ALL-DATA'!A:F,4,FALSE)</f>
        <v>92.5</v>
      </c>
      <c r="H128" s="76">
        <f>VLOOKUP(B128,'ALL-DATA'!A:F,5,FALSE)</f>
        <v>130</v>
      </c>
      <c r="I128" s="76">
        <f>VLOOKUP(B128,'ALL-DATA'!A:F,6,FALSE)</f>
        <v>365.3</v>
      </c>
      <c r="J128" s="44">
        <v>500</v>
      </c>
      <c r="K128" s="168"/>
      <c r="L128" s="77">
        <f>((J128+R128)-I128)</f>
        <v>134.69999999999999</v>
      </c>
      <c r="M128" s="37"/>
      <c r="N128" s="38"/>
      <c r="O128" s="38"/>
      <c r="P128" s="27">
        <f>((((((Table8[[#This Row],[OLD-WT]]-(Table8[[#This Row],[OLD-WT]]*1%))*Table8[[#This Row],[MELTING2]])/100))*80)/100)*Table8[[#This Row],[P-RATE3]]</f>
        <v>0</v>
      </c>
      <c r="Q128" s="38"/>
      <c r="R128" s="62"/>
    </row>
    <row r="129" spans="1:18" x14ac:dyDescent="0.45">
      <c r="A129" s="73">
        <v>45574</v>
      </c>
      <c r="B129" s="121" t="s">
        <v>1082</v>
      </c>
      <c r="C129" s="38"/>
      <c r="D129" s="74"/>
      <c r="E129" s="75">
        <f>VLOOKUP(B129,'ALL-DATA'!A:F,2,FALSE)</f>
        <v>0</v>
      </c>
      <c r="F129" s="38">
        <f>VLOOKUP(B129,'ALL-DATA'!A:F,3,FALSE)</f>
        <v>0</v>
      </c>
      <c r="G129" s="38">
        <f>VLOOKUP(B129,'ALL-DATA'!A:F,4,FALSE)</f>
        <v>0</v>
      </c>
      <c r="H129" s="76">
        <f>VLOOKUP(B129,'ALL-DATA'!A:F,5,FALSE)</f>
        <v>0</v>
      </c>
      <c r="I129" s="76">
        <f>VLOOKUP(B129,'ALL-DATA'!A:F,6,FALSE)</f>
        <v>230</v>
      </c>
      <c r="J129" s="44"/>
      <c r="K129" s="168"/>
      <c r="L129" s="77">
        <v>0</v>
      </c>
      <c r="M129" s="37"/>
      <c r="N129" s="38"/>
      <c r="O129" s="38"/>
      <c r="P129" s="27">
        <f>((((((Table8[[#This Row],[OLD-WT]]-(Table8[[#This Row],[OLD-WT]]*1%))*Table8[[#This Row],[MELTING2]])/100))*80)/100)*Table8[[#This Row],[P-RATE3]]</f>
        <v>0</v>
      </c>
      <c r="Q129" s="38"/>
      <c r="R129" s="62"/>
    </row>
    <row r="130" spans="1:18" x14ac:dyDescent="0.45">
      <c r="A130" s="73">
        <v>45575</v>
      </c>
      <c r="B130" s="1" t="str">
        <f>C130&amp;D130</f>
        <v>S-S-KOLUSU-53</v>
      </c>
      <c r="C130" s="38" t="s">
        <v>726</v>
      </c>
      <c r="D130" s="74" t="s">
        <v>778</v>
      </c>
      <c r="E130" s="75">
        <f>VLOOKUP(B130,'ALL-DATA'!A:F,2,FALSE)</f>
        <v>159.87</v>
      </c>
      <c r="F130" s="38">
        <f>VLOOKUP(B130,'ALL-DATA'!A:F,3,FALSE)</f>
        <v>76.5</v>
      </c>
      <c r="G130" s="38">
        <f>VLOOKUP(B130,'ALL-DATA'!A:F,4,FALSE)</f>
        <v>-11.5</v>
      </c>
      <c r="H130" s="76">
        <f>VLOOKUP(B130,'ALL-DATA'!A:F,5,FALSE)</f>
        <v>89.9</v>
      </c>
      <c r="I130" s="76">
        <f>VLOOKUP(B130,'ALL-DATA'!A:F,6,FALSE)</f>
        <v>10994.819445000001</v>
      </c>
      <c r="J130" s="44">
        <v>16250</v>
      </c>
      <c r="K130" s="168"/>
      <c r="L130" s="77">
        <f>((J130+R130)-I130)</f>
        <v>5255.180554999999</v>
      </c>
      <c r="M130" s="37"/>
      <c r="N130" s="38"/>
      <c r="O130" s="38"/>
      <c r="P130" s="27">
        <f>((((((Table8[[#This Row],[OLD-WT]]-(Table8[[#This Row],[OLD-WT]]*1%))*Table8[[#This Row],[MELTING2]])/100))*80)/100)*Table8[[#This Row],[P-RATE3]]</f>
        <v>0</v>
      </c>
      <c r="Q130" s="38"/>
      <c r="R130" s="62"/>
    </row>
    <row r="131" spans="1:18" x14ac:dyDescent="0.45">
      <c r="A131" s="73">
        <v>45575</v>
      </c>
      <c r="B131" s="23" t="s">
        <v>1062</v>
      </c>
      <c r="C131" s="38"/>
      <c r="D131" s="74"/>
      <c r="E131" s="75">
        <f>VLOOKUP(B131,'ALL-DATA'!A:F,2,FALSE)</f>
        <v>10.4</v>
      </c>
      <c r="F131" s="38">
        <f>VLOOKUP(B131,'ALL-DATA'!A:F,3,FALSE)</f>
        <v>80</v>
      </c>
      <c r="G131" s="38">
        <f>VLOOKUP(B131,'ALL-DATA'!A:F,4,FALSE)</f>
        <v>-15</v>
      </c>
      <c r="H131" s="76">
        <f>VLOOKUP(B131,'ALL-DATA'!A:F,5,FALSE)</f>
        <v>93</v>
      </c>
      <c r="I131" s="76">
        <f>VLOOKUP(B131,'ALL-DATA'!A:F,6,FALSE)</f>
        <v>773.76</v>
      </c>
      <c r="J131" s="44">
        <v>1060</v>
      </c>
      <c r="K131" s="48"/>
      <c r="L131" s="77">
        <f t="shared" si="23"/>
        <v>228.05120000000011</v>
      </c>
      <c r="M131" s="37">
        <v>8.8000000000000007</v>
      </c>
      <c r="N131" s="38">
        <v>80</v>
      </c>
      <c r="O131" s="38">
        <v>90</v>
      </c>
      <c r="P131" s="27">
        <f>((((((Table8[[#This Row],[OLD-WT]]-(Table8[[#This Row],[OLD-WT]]*1%))*Table8[[#This Row],[MELTING2]])/100))*80)/100)*Table8[[#This Row],[P-RATE3]]</f>
        <v>501.8112000000001</v>
      </c>
      <c r="Q131" s="38">
        <v>560</v>
      </c>
      <c r="R131" s="62">
        <f t="shared" si="22"/>
        <v>-58.188799999999901</v>
      </c>
    </row>
    <row r="132" spans="1:18" x14ac:dyDescent="0.45">
      <c r="A132" s="73">
        <v>45576</v>
      </c>
      <c r="B132" s="38" t="str">
        <f>C132&amp;D132</f>
        <v>S-DOLLER-20</v>
      </c>
      <c r="C132" s="38" t="s">
        <v>730</v>
      </c>
      <c r="D132" s="74" t="s">
        <v>777</v>
      </c>
      <c r="E132" s="75">
        <f>VLOOKUP(B132,'ALL-DATA'!A:F,2,FALSE)</f>
        <v>2.95</v>
      </c>
      <c r="F132" s="38">
        <f>VLOOKUP(B132,'ALL-DATA'!A:F,3,FALSE)</f>
        <v>65</v>
      </c>
      <c r="G132" s="38">
        <f>VLOOKUP(B132,'ALL-DATA'!A:F,4,FALSE)</f>
        <v>85</v>
      </c>
      <c r="H132" s="76">
        <f>VLOOKUP(B132,'ALL-DATA'!A:F,5,FALSE)</f>
        <v>100</v>
      </c>
      <c r="I132" s="76">
        <f>VLOOKUP(B132,'ALL-DATA'!A:F,6,FALSE)</f>
        <v>191.75</v>
      </c>
      <c r="J132" s="44">
        <v>360</v>
      </c>
      <c r="K132" s="48"/>
      <c r="L132" s="77">
        <f>((J132+R132)-I132)</f>
        <v>168.25</v>
      </c>
      <c r="M132" s="37"/>
      <c r="N132" s="38"/>
      <c r="O132" s="38"/>
      <c r="P132" s="38"/>
      <c r="Q132" s="38"/>
      <c r="R132" s="62">
        <f t="shared" si="22"/>
        <v>0</v>
      </c>
    </row>
    <row r="133" spans="1:18" x14ac:dyDescent="0.45">
      <c r="A133" s="73">
        <v>45576</v>
      </c>
      <c r="B133" s="38" t="str">
        <f>C133&amp;D133</f>
        <v>S-CHAIN-N-63</v>
      </c>
      <c r="C133" s="38" t="s">
        <v>732</v>
      </c>
      <c r="D133" s="74" t="s">
        <v>1083</v>
      </c>
      <c r="E133" s="75">
        <f>VLOOKUP(B133,'ALL-DATA'!A:F,2,FALSE)</f>
        <v>31.1</v>
      </c>
      <c r="F133" s="38">
        <f>VLOOKUP(B133,'ALL-DATA'!A:F,3,FALSE)</f>
        <v>77</v>
      </c>
      <c r="G133" s="38">
        <f>VLOOKUP(B133,'ALL-DATA'!A:F,4,FALSE)</f>
        <v>-12</v>
      </c>
      <c r="H133" s="76">
        <f>VLOOKUP(B133,'ALL-DATA'!A:F,5,FALSE)</f>
        <v>91.5</v>
      </c>
      <c r="I133" s="76">
        <f>VLOOKUP(B133,'ALL-DATA'!A:F,6,FALSE)</f>
        <v>2191.1505000000002</v>
      </c>
      <c r="J133" s="44">
        <v>3730</v>
      </c>
      <c r="K133" s="48"/>
      <c r="L133" s="77">
        <f>((J133+R133)-I133)</f>
        <v>1538.8494999999998</v>
      </c>
      <c r="M133" s="37"/>
      <c r="N133" s="38"/>
      <c r="O133" s="38"/>
      <c r="P133" s="27">
        <f>((((((Table8[[#This Row],[OLD-WT]]-(Table8[[#This Row],[OLD-WT]]*1%))*Table8[[#This Row],[MELTING2]])/100))*80)/100)*Table8[[#This Row],[P-RATE3]]</f>
        <v>0</v>
      </c>
      <c r="Q133" s="38"/>
      <c r="R133" s="62">
        <f t="shared" si="22"/>
        <v>0</v>
      </c>
    </row>
    <row r="134" spans="1:18" x14ac:dyDescent="0.45">
      <c r="A134" s="73">
        <v>45576</v>
      </c>
      <c r="B134" s="38" t="str">
        <f>C134&amp;D134</f>
        <v>S-KAPPU-N-26</v>
      </c>
      <c r="C134" s="38" t="s">
        <v>739</v>
      </c>
      <c r="D134" s="74" t="s">
        <v>1084</v>
      </c>
      <c r="E134" s="75">
        <f>VLOOKUP(B134,'ALL-DATA'!A:F,2,FALSE)</f>
        <v>27</v>
      </c>
      <c r="F134" s="38">
        <f>VLOOKUP(B134,'ALL-DATA'!A:F,3,FALSE)</f>
        <v>77</v>
      </c>
      <c r="G134" s="38">
        <f>VLOOKUP(B134,'ALL-DATA'!A:F,4,FALSE)</f>
        <v>-12</v>
      </c>
      <c r="H134" s="76">
        <f>VLOOKUP(B134,'ALL-DATA'!A:F,5,FALSE)</f>
        <v>91.5</v>
      </c>
      <c r="I134" s="76">
        <f>VLOOKUP(B134,'ALL-DATA'!A:F,6,FALSE)</f>
        <v>1902.2849999999999</v>
      </c>
      <c r="J134" s="44">
        <v>3210</v>
      </c>
      <c r="K134" s="48"/>
      <c r="L134" s="77">
        <f>((J134+R134)-I134)</f>
        <v>1307.7150000000001</v>
      </c>
      <c r="M134" s="37"/>
      <c r="N134" s="38"/>
      <c r="O134" s="38"/>
      <c r="P134" s="27">
        <f>((((((Table8[[#This Row],[OLD-WT]]-(Table8[[#This Row],[OLD-WT]]*1%))*Table8[[#This Row],[MELTING2]])/100))*80)/100)*Table8[[#This Row],[P-RATE3]]</f>
        <v>0</v>
      </c>
      <c r="Q134" s="38"/>
      <c r="R134" s="62">
        <f t="shared" si="22"/>
        <v>0</v>
      </c>
    </row>
    <row r="135" spans="1:18" x14ac:dyDescent="0.45">
      <c r="A135" s="73">
        <v>45579</v>
      </c>
      <c r="B135" s="38" t="str">
        <f>C135&amp;D135</f>
        <v>S-B-KOLUSU--53</v>
      </c>
      <c r="C135" s="38" t="s">
        <v>727</v>
      </c>
      <c r="D135" s="74" t="s">
        <v>778</v>
      </c>
      <c r="E135" s="75">
        <f>VLOOKUP(B135,'ALL-DATA'!A:F,2,FALSE)</f>
        <v>37.1</v>
      </c>
      <c r="F135" s="38">
        <f>VLOOKUP(B135,'ALL-DATA'!A:F,3,FALSE)</f>
        <v>80</v>
      </c>
      <c r="G135" s="38">
        <f>VLOOKUP(B135,'ALL-DATA'!A:F,4,FALSE)</f>
        <v>-15</v>
      </c>
      <c r="H135" s="76">
        <f>VLOOKUP(B135,'ALL-DATA'!A:F,5,FALSE)</f>
        <v>85</v>
      </c>
      <c r="I135" s="76">
        <f>VLOOKUP(B135,'ALL-DATA'!A:F,6,FALSE)</f>
        <v>2522.8000000000002</v>
      </c>
      <c r="J135" s="170">
        <v>4400</v>
      </c>
      <c r="K135" s="165"/>
      <c r="L135" s="77">
        <f>((J135+R135)-I135)-I136</f>
        <v>1476.6859000000002</v>
      </c>
      <c r="M135" s="37">
        <v>38</v>
      </c>
      <c r="N135" s="38">
        <v>81</v>
      </c>
      <c r="O135" s="38">
        <v>90</v>
      </c>
      <c r="P135" s="27">
        <f>((((((Table8[[#This Row],[OLD-WT]]-(Table8[[#This Row],[OLD-WT]]*1%))*Table8[[#This Row],[MELTING2]])/100))*80)/100)*Table8[[#This Row],[P-RATE3]]</f>
        <v>2193.9983999999999</v>
      </c>
      <c r="Q135" s="38">
        <v>2400</v>
      </c>
      <c r="R135" s="62">
        <f t="shared" si="22"/>
        <v>-206.00160000000005</v>
      </c>
    </row>
    <row r="136" spans="1:18" x14ac:dyDescent="0.45">
      <c r="A136" s="73">
        <v>45579</v>
      </c>
      <c r="B136" s="120" t="s">
        <v>894</v>
      </c>
      <c r="C136" s="38"/>
      <c r="D136" s="74"/>
      <c r="E136" s="75">
        <f>VLOOKUP(B136,'ALL-DATA'!A:F,2,FALSE)</f>
        <v>3.5</v>
      </c>
      <c r="F136" s="38">
        <f>VLOOKUP(B136,'ALL-DATA'!A:F,3,FALSE)</f>
        <v>65</v>
      </c>
      <c r="G136" s="38">
        <f>VLOOKUP(B136,'ALL-DATA'!A:F,4,FALSE)</f>
        <v>0</v>
      </c>
      <c r="H136" s="76">
        <f>VLOOKUP(B136,'ALL-DATA'!A:F,5,FALSE)</f>
        <v>85.5</v>
      </c>
      <c r="I136" s="76">
        <f>VLOOKUP(B136,'ALL-DATA'!A:F,6,FALSE)</f>
        <v>194.51249999999999</v>
      </c>
      <c r="J136" s="44"/>
      <c r="K136" s="48"/>
      <c r="L136" s="77">
        <v>0</v>
      </c>
      <c r="M136" s="37"/>
      <c r="N136" s="38"/>
      <c r="O136" s="38"/>
      <c r="P136" s="27">
        <f>((((((Table8[[#This Row],[OLD-WT]]-(Table8[[#This Row],[OLD-WT]]*1%))*Table8[[#This Row],[MELTING2]])/100))*80)/100)*Table8[[#This Row],[P-RATE3]]</f>
        <v>0</v>
      </c>
      <c r="Q136" s="38"/>
      <c r="R136" s="62">
        <f t="shared" si="22"/>
        <v>0</v>
      </c>
    </row>
    <row r="137" spans="1:18" x14ac:dyDescent="0.45">
      <c r="A137" s="73">
        <v>45579</v>
      </c>
      <c r="B137" s="1" t="s">
        <v>1091</v>
      </c>
      <c r="C137" s="38"/>
      <c r="D137" s="74"/>
      <c r="E137" s="75">
        <f>VLOOKUP(B137,'ALL-DATA'!A:F,2,FALSE)</f>
        <v>0.05</v>
      </c>
      <c r="F137" s="38">
        <f>VLOOKUP(B137,'ALL-DATA'!A:F,3,FALSE)</f>
        <v>80</v>
      </c>
      <c r="G137" s="38">
        <f>VLOOKUP(B137,'ALL-DATA'!A:F,4,FALSE)</f>
        <v>0</v>
      </c>
      <c r="H137" s="76">
        <f>VLOOKUP(B137,'ALL-DATA'!A:F,5,FALSE)</f>
        <v>7400</v>
      </c>
      <c r="I137" s="76">
        <f>VLOOKUP(B137,'ALL-DATA'!A:F,6,FALSE)</f>
        <v>296</v>
      </c>
      <c r="J137" s="44">
        <v>500</v>
      </c>
      <c r="K137" s="48"/>
      <c r="L137" s="77">
        <f t="shared" ref="L137:L145" si="24">((J137+R137)-I137)</f>
        <v>711.5</v>
      </c>
      <c r="M137" s="37">
        <v>0.54</v>
      </c>
      <c r="N137" s="38">
        <v>65</v>
      </c>
      <c r="O137" s="38">
        <v>7500</v>
      </c>
      <c r="P137" s="37">
        <f>((Table8[[#This Row],[OLD-WT]]-0.2)*Table8[[#This Row],[MELTING2]]/100)*Table8[[#This Row],[P-RATE3]]</f>
        <v>1657.5</v>
      </c>
      <c r="Q137" s="38">
        <v>1150</v>
      </c>
      <c r="R137" s="62">
        <f t="shared" si="22"/>
        <v>507.5</v>
      </c>
    </row>
    <row r="138" spans="1:18" x14ac:dyDescent="0.45">
      <c r="A138" s="73">
        <v>45579</v>
      </c>
      <c r="B138" s="38" t="str">
        <f>C138&amp;D138</f>
        <v>S-STUD-PRI-2</v>
      </c>
      <c r="C138" s="38" t="s">
        <v>748</v>
      </c>
      <c r="D138" s="74" t="s">
        <v>796</v>
      </c>
      <c r="E138" s="75">
        <f>VLOOKUP(B138,'ALL-DATA'!A:F,2,FALSE)</f>
        <v>0</v>
      </c>
      <c r="F138" s="38">
        <f>VLOOKUP(B138,'ALL-DATA'!A:F,3,FALSE)</f>
        <v>0</v>
      </c>
      <c r="G138" s="38">
        <f>VLOOKUP(B138,'ALL-DATA'!A:F,4,FALSE)</f>
        <v>0</v>
      </c>
      <c r="H138" s="76">
        <f>VLOOKUP(B138,'ALL-DATA'!A:F,5,FALSE)</f>
        <v>0</v>
      </c>
      <c r="I138" s="76">
        <f>VLOOKUP(B138,'ALL-DATA'!A:F,6,FALSE)</f>
        <v>242</v>
      </c>
      <c r="J138" s="44">
        <v>650</v>
      </c>
      <c r="K138" s="48"/>
      <c r="L138" s="77">
        <f t="shared" si="24"/>
        <v>408</v>
      </c>
      <c r="M138" s="37"/>
      <c r="N138" s="38"/>
      <c r="O138" s="38"/>
      <c r="P138" s="38">
        <f>((((((Table8[[#This Row],[OLD-WT]]-(Table8[[#This Row],[OLD-WT]]*1%))*Table8[[#This Row],[MELTING2]])/100))*80)/100)*Table8[[#This Row],[P-RATE3]]</f>
        <v>0</v>
      </c>
      <c r="Q138" s="38"/>
      <c r="R138" s="62">
        <f t="shared" si="22"/>
        <v>0</v>
      </c>
    </row>
    <row r="139" spans="1:18" x14ac:dyDescent="0.45">
      <c r="A139" s="73">
        <v>45580</v>
      </c>
      <c r="B139" s="38" t="str">
        <f>C139&amp;D139</f>
        <v>S-AARUNA-3</v>
      </c>
      <c r="C139" s="38" t="s">
        <v>729</v>
      </c>
      <c r="D139" s="74" t="s">
        <v>1002</v>
      </c>
      <c r="E139" s="75">
        <f>VLOOKUP(B139,'ALL-DATA'!A:F,2,FALSE)</f>
        <v>56.1</v>
      </c>
      <c r="F139" s="38">
        <f>VLOOKUP(B139,'ALL-DATA'!A:F,3,FALSE)</f>
        <v>76.5</v>
      </c>
      <c r="G139" s="38">
        <f>VLOOKUP(B139,'ALL-DATA'!A:F,4,FALSE)</f>
        <v>-21.5</v>
      </c>
      <c r="H139" s="76">
        <f>VLOOKUP(B139,'ALL-DATA'!A:F,5,FALSE)</f>
        <v>89.9</v>
      </c>
      <c r="I139" s="76">
        <f>VLOOKUP(B139,'ALL-DATA'!A:F,6,FALSE)</f>
        <v>3858.1933500000009</v>
      </c>
      <c r="J139" s="44">
        <v>6400</v>
      </c>
      <c r="K139" s="48"/>
      <c r="L139" s="77">
        <f t="shared" si="24"/>
        <v>2228.8780099999999</v>
      </c>
      <c r="M139" s="37">
        <v>55.2</v>
      </c>
      <c r="N139" s="38">
        <v>81</v>
      </c>
      <c r="O139" s="38">
        <v>90</v>
      </c>
      <c r="P139" s="38">
        <f>((((((Table8[[#This Row],[OLD-WT]]-(Table8[[#This Row],[OLD-WT]]*1%))*Table8[[#This Row],[MELTING2]])/100))*80)/100)*Table8[[#This Row],[P-RATE3]]</f>
        <v>3187.0713600000008</v>
      </c>
      <c r="Q139" s="38">
        <v>3500</v>
      </c>
      <c r="R139" s="62">
        <f t="shared" si="22"/>
        <v>-312.92863999999918</v>
      </c>
    </row>
    <row r="140" spans="1:18" x14ac:dyDescent="0.45">
      <c r="A140" s="73">
        <v>45580</v>
      </c>
      <c r="B140" s="131" t="s">
        <v>1092</v>
      </c>
      <c r="C140" s="38"/>
      <c r="D140" s="74"/>
      <c r="E140" s="75">
        <f>VLOOKUP(B140,'ALL-DATA'!A:F,2,FALSE)</f>
        <v>9.0500000000000007</v>
      </c>
      <c r="F140" s="38">
        <f>VLOOKUP(B140,'ALL-DATA'!A:F,3,FALSE)</f>
        <v>80</v>
      </c>
      <c r="G140" s="38">
        <f>VLOOKUP(B140,'ALL-DATA'!A:F,4,FALSE)</f>
        <v>-15</v>
      </c>
      <c r="H140" s="76">
        <f>VLOOKUP(B140,'ALL-DATA'!A:F,5,FALSE)</f>
        <v>93</v>
      </c>
      <c r="I140" s="76">
        <f>VLOOKUP(B140,'ALL-DATA'!A:F,6,FALSE)</f>
        <v>673.32</v>
      </c>
      <c r="J140" s="44">
        <v>1200</v>
      </c>
      <c r="K140" s="48"/>
      <c r="L140" s="77">
        <f t="shared" si="24"/>
        <v>573.33216000000004</v>
      </c>
      <c r="M140" s="37">
        <v>11.2</v>
      </c>
      <c r="N140" s="38">
        <v>81</v>
      </c>
      <c r="O140" s="38">
        <v>90</v>
      </c>
      <c r="P140" s="38">
        <f>((((((Table8[[#This Row],[OLD-WT]]-(Table8[[#This Row],[OLD-WT]]*1%))*Table8[[#This Row],[MELTING2]])/100))*80)/100)*Table8[[#This Row],[P-RATE3]]</f>
        <v>646.65215999999998</v>
      </c>
      <c r="Q140" s="38">
        <v>600</v>
      </c>
      <c r="R140" s="62">
        <f t="shared" si="22"/>
        <v>46.652159999999981</v>
      </c>
    </row>
    <row r="141" spans="1:18" x14ac:dyDescent="0.45">
      <c r="A141" s="73">
        <v>45580</v>
      </c>
      <c r="B141" s="38" t="str">
        <f>C141&amp;D141</f>
        <v>S-S-KOLUSU-40</v>
      </c>
      <c r="C141" s="38" t="s">
        <v>726</v>
      </c>
      <c r="D141" s="74" t="s">
        <v>1093</v>
      </c>
      <c r="E141" s="75">
        <f>VLOOKUP(B141,'ALL-DATA'!A:F,2,FALSE)</f>
        <v>127.48</v>
      </c>
      <c r="F141" s="38">
        <f>VLOOKUP(B141,'ALL-DATA'!A:F,3,FALSE)</f>
        <v>76.5</v>
      </c>
      <c r="G141" s="38">
        <f>VLOOKUP(B141,'ALL-DATA'!A:F,4,FALSE)</f>
        <v>-11.5</v>
      </c>
      <c r="H141" s="76">
        <f>VLOOKUP(B141,'ALL-DATA'!A:F,5,FALSE)</f>
        <v>89.9</v>
      </c>
      <c r="I141" s="76">
        <f>VLOOKUP(B141,'ALL-DATA'!A:F,6,FALSE)</f>
        <v>8767.2457800000011</v>
      </c>
      <c r="J141" s="44">
        <v>13500</v>
      </c>
      <c r="K141" s="48"/>
      <c r="L141" s="77">
        <f t="shared" si="24"/>
        <v>4732.7542199999989</v>
      </c>
      <c r="M141" s="37"/>
      <c r="N141" s="38"/>
      <c r="O141" s="38"/>
      <c r="P141" s="38">
        <f>((((((Table8[[#This Row],[OLD-WT]]-(Table8[[#This Row],[OLD-WT]]*1%))*Table8[[#This Row],[MELTING2]])/100))*80)/100)*Table8[[#This Row],[P-RATE3]]</f>
        <v>0</v>
      </c>
      <c r="Q141" s="38"/>
      <c r="R141" s="62">
        <f t="shared" si="22"/>
        <v>0</v>
      </c>
    </row>
    <row r="142" spans="1:18" x14ac:dyDescent="0.45">
      <c r="A142" s="73">
        <v>45581</v>
      </c>
      <c r="B142" s="38" t="s">
        <v>1109</v>
      </c>
      <c r="C142" s="38"/>
      <c r="D142" s="74"/>
      <c r="E142" s="75">
        <f>VLOOKUP(B142,'ALL-DATA'!A:F,2,FALSE)</f>
        <v>1.04</v>
      </c>
      <c r="F142" s="38">
        <f>VLOOKUP(B142,'ALL-DATA'!A:F,3,FALSE)</f>
        <v>92</v>
      </c>
      <c r="G142" s="38">
        <f>VLOOKUP(B142,'ALL-DATA'!A:F,4,FALSE)</f>
        <v>102</v>
      </c>
      <c r="H142" s="76">
        <f>VLOOKUP(B142,'ALL-DATA'!A:F,5,FALSE)</f>
        <v>7770</v>
      </c>
      <c r="I142" s="76">
        <f>VLOOKUP(B142,'ALL-DATA'!A:F,6,FALSE)</f>
        <v>8330</v>
      </c>
      <c r="J142" s="44">
        <v>8700</v>
      </c>
      <c r="K142" s="48"/>
      <c r="L142" s="77">
        <f t="shared" si="24"/>
        <v>370</v>
      </c>
      <c r="M142" s="37"/>
      <c r="N142" s="38"/>
      <c r="O142" s="38"/>
      <c r="P142" s="38">
        <f>((((((Table8[[#This Row],[OLD-WT]]-(Table8[[#This Row],[OLD-WT]]*1%))*Table8[[#This Row],[MELTING2]])/100))*80)/100)*Table8[[#This Row],[P-RATE3]]</f>
        <v>0</v>
      </c>
      <c r="Q142" s="38"/>
      <c r="R142" s="62">
        <f t="shared" si="22"/>
        <v>0</v>
      </c>
    </row>
    <row r="143" spans="1:18" x14ac:dyDescent="0.45">
      <c r="A143" s="73">
        <v>45581</v>
      </c>
      <c r="B143" s="1" t="s">
        <v>1110</v>
      </c>
      <c r="C143" s="38"/>
      <c r="D143" s="74"/>
      <c r="E143" s="75">
        <f>VLOOKUP(B143,'ALL-DATA'!A:F,2,FALSE)</f>
        <v>1.6</v>
      </c>
      <c r="F143" s="38">
        <f>VLOOKUP(B143,'ALL-DATA'!A:F,3,FALSE)</f>
        <v>0</v>
      </c>
      <c r="G143" s="38">
        <f>VLOOKUP(B143,'ALL-DATA'!A:F,4,FALSE)</f>
        <v>200</v>
      </c>
      <c r="H143" s="76">
        <f>VLOOKUP(B143,'ALL-DATA'!A:F,5,FALSE)</f>
        <v>130</v>
      </c>
      <c r="I143" s="76">
        <f>VLOOKUP(B143,'ALL-DATA'!A:F,6,FALSE)</f>
        <v>130</v>
      </c>
      <c r="J143" s="44">
        <v>200</v>
      </c>
      <c r="K143" s="48"/>
      <c r="L143" s="77">
        <f t="shared" si="24"/>
        <v>70</v>
      </c>
      <c r="M143" s="37"/>
      <c r="N143" s="38"/>
      <c r="O143" s="38"/>
      <c r="P143" s="38">
        <f>((((((Table8[[#This Row],[OLD-WT]]-(Table8[[#This Row],[OLD-WT]]*1%))*Table8[[#This Row],[MELTING2]])/100))*80)/100)*Table8[[#This Row],[P-RATE3]]</f>
        <v>0</v>
      </c>
      <c r="Q143" s="38"/>
      <c r="R143" s="62">
        <f t="shared" si="22"/>
        <v>0</v>
      </c>
    </row>
    <row r="144" spans="1:18" x14ac:dyDescent="0.45">
      <c r="A144" s="73">
        <v>45584</v>
      </c>
      <c r="B144" s="38" t="str">
        <f t="shared" ref="B144:B152" si="25">C144&amp;D144</f>
        <v>S-RING-230</v>
      </c>
      <c r="C144" s="38" t="s">
        <v>731</v>
      </c>
      <c r="D144" s="74" t="s">
        <v>1112</v>
      </c>
      <c r="E144" s="75">
        <f>VLOOKUP(B144,'ALL-DATA'!A:F,2,FALSE)</f>
        <v>4</v>
      </c>
      <c r="F144" s="38">
        <f>VLOOKUP(B144,'ALL-DATA'!A:F,3,FALSE)</f>
        <v>92.5</v>
      </c>
      <c r="G144" s="38">
        <f>VLOOKUP(B144,'ALL-DATA'!A:F,4,FALSE)</f>
        <v>92.5</v>
      </c>
      <c r="H144" s="76">
        <f>VLOOKUP(B144,'ALL-DATA'!A:F,5,FALSE)</f>
        <v>125.57</v>
      </c>
      <c r="I144" s="76">
        <f>VLOOKUP(B144,'ALL-DATA'!A:F,6,FALSE)</f>
        <v>502.28</v>
      </c>
      <c r="J144" s="44">
        <v>1000</v>
      </c>
      <c r="K144" s="48"/>
      <c r="L144" s="77">
        <f t="shared" si="24"/>
        <v>497.72</v>
      </c>
      <c r="M144" s="37"/>
      <c r="N144" s="38"/>
      <c r="O144" s="38"/>
      <c r="P144" s="38">
        <f>((((((Table8[[#This Row],[OLD-WT]]-(Table8[[#This Row],[OLD-WT]]*1%))*Table8[[#This Row],[MELTING2]])/100))*80)/100)*Table8[[#This Row],[P-RATE3]]</f>
        <v>0</v>
      </c>
      <c r="Q144" s="38">
        <v>0</v>
      </c>
      <c r="R144" s="62">
        <f t="shared" si="22"/>
        <v>0</v>
      </c>
    </row>
    <row r="145" spans="1:18" x14ac:dyDescent="0.45">
      <c r="A145" s="73">
        <v>45584</v>
      </c>
      <c r="B145" s="38" t="str">
        <f t="shared" si="25"/>
        <v>S-RING-263</v>
      </c>
      <c r="C145" s="38" t="s">
        <v>731</v>
      </c>
      <c r="D145" s="74" t="s">
        <v>1158</v>
      </c>
      <c r="E145" s="75">
        <f>VLOOKUP(B145,'ALL-DATA'!A:F,2,FALSE)</f>
        <v>1.61</v>
      </c>
      <c r="F145" s="38">
        <f>VLOOKUP(B145,'ALL-DATA'!A:F,3,FALSE)</f>
        <v>92.5</v>
      </c>
      <c r="G145" s="38">
        <f>VLOOKUP(B145,'ALL-DATA'!A:F,4,FALSE)</f>
        <v>92.5</v>
      </c>
      <c r="H145" s="76">
        <f>VLOOKUP(B145,'ALL-DATA'!A:F,5,FALSE)</f>
        <v>123</v>
      </c>
      <c r="I145" s="76">
        <f>VLOOKUP(B145,'ALL-DATA'!A:F,6,FALSE)</f>
        <v>198.03</v>
      </c>
      <c r="J145" s="44">
        <v>400</v>
      </c>
      <c r="K145" s="48"/>
      <c r="L145" s="77">
        <f t="shared" si="24"/>
        <v>813.08401599999956</v>
      </c>
      <c r="M145" s="37">
        <v>34.64</v>
      </c>
      <c r="N145" s="38">
        <v>81</v>
      </c>
      <c r="O145" s="38">
        <v>95</v>
      </c>
      <c r="P145" s="38">
        <f>((((((Table8[[#This Row],[OLD-WT]]-(Table8[[#This Row],[OLD-WT]]*1%))*Table8[[#This Row],[MELTING2]])/100))*80)/100)*Table8[[#This Row],[P-RATE3]]</f>
        <v>2111.1140159999995</v>
      </c>
      <c r="Q145" s="38">
        <v>1500</v>
      </c>
      <c r="R145" s="62">
        <f t="shared" si="22"/>
        <v>611.11401599999954</v>
      </c>
    </row>
    <row r="146" spans="1:18" x14ac:dyDescent="0.45">
      <c r="A146" s="73">
        <v>45584</v>
      </c>
      <c r="B146" s="38" t="str">
        <f t="shared" si="25"/>
        <v>S-RING-141</v>
      </c>
      <c r="C146" s="38" t="s">
        <v>731</v>
      </c>
      <c r="D146" s="74" t="s">
        <v>1159</v>
      </c>
      <c r="E146" s="75">
        <f>VLOOKUP(B146,'ALL-DATA'!A:F,2,FALSE)</f>
        <v>2.2000000000000002</v>
      </c>
      <c r="F146" s="38">
        <f>VLOOKUP(B146,'ALL-DATA'!A:F,3,FALSE)</f>
        <v>92.5</v>
      </c>
      <c r="G146" s="38">
        <f>VLOOKUP(B146,'ALL-DATA'!A:F,4,FALSE)</f>
        <v>92.5</v>
      </c>
      <c r="H146" s="76">
        <f>VLOOKUP(B146,'ALL-DATA'!A:F,5,FALSE)</f>
        <v>131.65</v>
      </c>
      <c r="I146" s="76">
        <f>VLOOKUP(B146,'ALL-DATA'!A:F,6,FALSE)</f>
        <v>289.63000000000005</v>
      </c>
      <c r="J146" s="44">
        <v>500</v>
      </c>
      <c r="K146" s="48"/>
      <c r="L146" s="77">
        <f t="shared" ref="L146:L151" si="26">((J146+R146)-I146)</f>
        <v>210.36999999999995</v>
      </c>
      <c r="M146" s="37"/>
      <c r="N146" s="38"/>
      <c r="O146" s="38"/>
      <c r="P146" s="38">
        <f>((((((Table8[[#This Row],[OLD-WT]]-(Table8[[#This Row],[OLD-WT]]*1%))*Table8[[#This Row],[MELTING2]])/100))*80)/100)*Table8[[#This Row],[P-RATE3]]</f>
        <v>0</v>
      </c>
      <c r="Q146" s="38"/>
      <c r="R146" s="62">
        <f t="shared" si="22"/>
        <v>0</v>
      </c>
    </row>
    <row r="147" spans="1:18" x14ac:dyDescent="0.45">
      <c r="A147" s="73">
        <v>45587</v>
      </c>
      <c r="B147" s="38" t="str">
        <f t="shared" si="25"/>
        <v>S-BARACELET-G-92.5-16</v>
      </c>
      <c r="C147" s="38" t="s">
        <v>738</v>
      </c>
      <c r="D147" s="74" t="s">
        <v>918</v>
      </c>
      <c r="E147" s="75">
        <f>VLOOKUP(B147,'ALL-DATA'!A:F,2,FALSE)</f>
        <v>6.76</v>
      </c>
      <c r="F147" s="38">
        <f>VLOOKUP(B147,'ALL-DATA'!A:F,3,FALSE)</f>
        <v>92.5</v>
      </c>
      <c r="G147" s="38">
        <f>VLOOKUP(B147,'ALL-DATA'!A:F,4,FALSE)</f>
        <v>-71.5</v>
      </c>
      <c r="H147" s="76">
        <f>VLOOKUP(B147,'ALL-DATA'!A:F,5,FALSE)</f>
        <v>127</v>
      </c>
      <c r="I147" s="76">
        <f>VLOOKUP(B147,'ALL-DATA'!A:F,6,FALSE)</f>
        <v>858.52</v>
      </c>
      <c r="J147" s="44">
        <v>1550</v>
      </c>
      <c r="K147" s="48"/>
      <c r="L147" s="77">
        <f>((J147+R147)-I147)</f>
        <v>789.77486399999998</v>
      </c>
      <c r="M147" s="37">
        <v>15.56</v>
      </c>
      <c r="N147" s="38">
        <v>81</v>
      </c>
      <c r="O147" s="38">
        <v>95</v>
      </c>
      <c r="P147" s="38">
        <f>((((((Table8[[#This Row],[OLD-WT]]-(Table8[[#This Row],[OLD-WT]]*1%))*Table8[[#This Row],[MELTING2]])/100))*80)/100)*Table8[[#This Row],[P-RATE3]]</f>
        <v>948.29486399999996</v>
      </c>
      <c r="Q147" s="38">
        <v>850</v>
      </c>
      <c r="R147" s="62">
        <f t="shared" si="22"/>
        <v>98.294863999999961</v>
      </c>
    </row>
    <row r="148" spans="1:18" x14ac:dyDescent="0.45">
      <c r="A148" s="73">
        <v>45589</v>
      </c>
      <c r="B148" s="38" t="str">
        <f t="shared" si="25"/>
        <v>S-CHAIN-N-44</v>
      </c>
      <c r="C148" s="38" t="s">
        <v>732</v>
      </c>
      <c r="D148" s="74" t="s">
        <v>797</v>
      </c>
      <c r="E148" s="75">
        <f>VLOOKUP(B148,'ALL-DATA'!A:F,2,FALSE)</f>
        <v>15.4</v>
      </c>
      <c r="F148" s="38">
        <f>VLOOKUP(B148,'ALL-DATA'!A:F,3,FALSE)</f>
        <v>86</v>
      </c>
      <c r="G148" s="38">
        <f>VLOOKUP(B148,'ALL-DATA'!A:F,4,FALSE)</f>
        <v>-21</v>
      </c>
      <c r="H148" s="76">
        <f>VLOOKUP(B148,'ALL-DATA'!A:F,5,FALSE)</f>
        <v>94.8</v>
      </c>
      <c r="I148" s="76">
        <f>VLOOKUP(B148,'ALL-DATA'!A:F,6,FALSE)</f>
        <v>1255.5312000000001</v>
      </c>
      <c r="J148" s="170">
        <v>2100</v>
      </c>
      <c r="K148" s="165">
        <v>600</v>
      </c>
      <c r="L148" s="77">
        <f t="shared" si="26"/>
        <v>989.26055199999996</v>
      </c>
      <c r="M148" s="37">
        <v>10.58</v>
      </c>
      <c r="N148" s="38">
        <v>81</v>
      </c>
      <c r="O148" s="38">
        <v>95</v>
      </c>
      <c r="P148" s="38">
        <f>((((((Table8[[#This Row],[OLD-WT]]-(Table8[[#This Row],[OLD-WT]]*1%))*Table8[[#This Row],[MELTING2]])/100))*80)/100)*Table8[[#This Row],[P-RATE3]]</f>
        <v>644.79175199999997</v>
      </c>
      <c r="Q148" s="38">
        <v>500</v>
      </c>
      <c r="R148" s="62">
        <f t="shared" si="22"/>
        <v>144.79175199999997</v>
      </c>
    </row>
    <row r="149" spans="1:18" x14ac:dyDescent="0.45">
      <c r="A149" s="73">
        <v>45591</v>
      </c>
      <c r="B149" s="38" t="str">
        <f>C149&amp;D149</f>
        <v>G-STUD-31</v>
      </c>
      <c r="C149" s="38" t="s">
        <v>720</v>
      </c>
      <c r="D149" s="74" t="s">
        <v>1274</v>
      </c>
      <c r="E149" s="75">
        <f>VLOOKUP(B149,'ALL-DATA'!A:F,2,FALSE)</f>
        <v>4.0599999999999996</v>
      </c>
      <c r="F149" s="38">
        <f>VLOOKUP(B149,'ALL-DATA'!A:F,3,FALSE)</f>
        <v>97</v>
      </c>
      <c r="G149" s="38">
        <f>VLOOKUP(B149,'ALL-DATA'!A:F,4,FALSE)</f>
        <v>-5</v>
      </c>
      <c r="H149" s="76">
        <f>VLOOKUP(B149,'ALL-DATA'!A:F,5,FALSE)</f>
        <v>7218.2</v>
      </c>
      <c r="I149" s="76">
        <f>VLOOKUP(B149,'ALL-DATA'!A:F,6,FALSE)</f>
        <v>28426.715239999994</v>
      </c>
      <c r="J149" s="170">
        <v>33000</v>
      </c>
      <c r="K149" s="165"/>
      <c r="L149" s="77">
        <f t="shared" si="26"/>
        <v>4573.2847600000059</v>
      </c>
      <c r="M149" s="37"/>
      <c r="N149" s="38"/>
      <c r="O149" s="38"/>
      <c r="P149" s="38"/>
      <c r="Q149" s="38"/>
      <c r="R149" s="62"/>
    </row>
    <row r="150" spans="1:18" x14ac:dyDescent="0.45">
      <c r="A150" s="73">
        <v>45591</v>
      </c>
      <c r="B150" s="38" t="str">
        <f t="shared" si="25"/>
        <v>S-CHAIN-N-4</v>
      </c>
      <c r="C150" s="38" t="s">
        <v>732</v>
      </c>
      <c r="D150" s="74" t="s">
        <v>773</v>
      </c>
      <c r="E150" s="75">
        <f>VLOOKUP(B150,'ALL-DATA'!A:F,2,FALSE)</f>
        <v>16.649999999999999</v>
      </c>
      <c r="F150" s="38">
        <f>VLOOKUP(B150,'ALL-DATA'!A:F,3,FALSE)</f>
        <v>86</v>
      </c>
      <c r="G150" s="38">
        <f>VLOOKUP(B150,'ALL-DATA'!A:F,4,FALSE)</f>
        <v>-21</v>
      </c>
      <c r="H150" s="76">
        <f>VLOOKUP(B150,'ALL-DATA'!A:F,5,FALSE)</f>
        <v>90</v>
      </c>
      <c r="I150" s="76">
        <f>VLOOKUP(B150,'ALL-DATA'!A:F,6,FALSE)</f>
        <v>1288.7099999999998</v>
      </c>
      <c r="J150" s="170">
        <v>2150</v>
      </c>
      <c r="K150" s="165">
        <v>300</v>
      </c>
      <c r="L150" s="77">
        <f t="shared" si="26"/>
        <v>1162.1506000000002</v>
      </c>
      <c r="M150" s="37">
        <v>11.5</v>
      </c>
      <c r="N150" s="38">
        <v>81</v>
      </c>
      <c r="O150" s="38">
        <v>95</v>
      </c>
      <c r="P150" s="38">
        <f>((((((Table8[[#This Row],[OLD-WT]]-(Table8[[#This Row],[OLD-WT]]*1%))*Table8[[#This Row],[MELTING2]])/100))*80)/100)*Table8[[#This Row],[P-RATE3]]</f>
        <v>700.86059999999998</v>
      </c>
      <c r="Q150" s="38">
        <v>400</v>
      </c>
      <c r="R150" s="62">
        <f t="shared" si="22"/>
        <v>300.86059999999998</v>
      </c>
    </row>
    <row r="151" spans="1:18" x14ac:dyDescent="0.45">
      <c r="A151" s="73">
        <v>45591</v>
      </c>
      <c r="B151" s="38" t="str">
        <f t="shared" si="25"/>
        <v>S-RING-128</v>
      </c>
      <c r="C151" s="38" t="s">
        <v>731</v>
      </c>
      <c r="D151" s="74" t="s">
        <v>1163</v>
      </c>
      <c r="E151" s="75">
        <f>VLOOKUP(B151,'ALL-DATA'!A:F,2,FALSE)</f>
        <v>0.96</v>
      </c>
      <c r="F151" s="38">
        <f>VLOOKUP(B151,'ALL-DATA'!A:F,3,FALSE)</f>
        <v>92.5</v>
      </c>
      <c r="G151" s="38">
        <f>VLOOKUP(B151,'ALL-DATA'!A:F,4,FALSE)</f>
        <v>92.5</v>
      </c>
      <c r="H151" s="76">
        <f>VLOOKUP(B151,'ALL-DATA'!A:F,5,FALSE)</f>
        <v>127</v>
      </c>
      <c r="I151" s="76">
        <f>VLOOKUP(B151,'ALL-DATA'!A:F,6,FALSE)</f>
        <v>121.92</v>
      </c>
      <c r="J151" s="44">
        <v>250</v>
      </c>
      <c r="K151" s="48"/>
      <c r="L151" s="77">
        <f t="shared" si="26"/>
        <v>128.07999999999998</v>
      </c>
      <c r="M151" s="37"/>
      <c r="N151" s="38"/>
      <c r="O151" s="38"/>
      <c r="P151" s="38">
        <f>((((((Table8[[#This Row],[OLD-WT]]-(Table8[[#This Row],[OLD-WT]]*1%))*Table8[[#This Row],[MELTING2]])/100))*80)/100)*Table8[[#This Row],[P-RATE3]]</f>
        <v>0</v>
      </c>
      <c r="Q151" s="38"/>
      <c r="R151" s="62">
        <f t="shared" si="22"/>
        <v>0</v>
      </c>
    </row>
    <row r="152" spans="1:18" x14ac:dyDescent="0.45">
      <c r="A152" s="73">
        <v>45592</v>
      </c>
      <c r="B152" s="38" t="str">
        <f t="shared" si="25"/>
        <v>S-B-KOLUSU--81</v>
      </c>
      <c r="C152" s="38" t="s">
        <v>727</v>
      </c>
      <c r="D152" s="74" t="s">
        <v>786</v>
      </c>
      <c r="E152" s="75">
        <f>VLOOKUP(B152,'ALL-DATA'!A:F,2,FALSE)</f>
        <v>40.700000000000003</v>
      </c>
      <c r="F152" s="38">
        <f>VLOOKUP(B152,'ALL-DATA'!A:F,3,FALSE)</f>
        <v>79</v>
      </c>
      <c r="G152" s="38">
        <f>VLOOKUP(B152,'ALL-DATA'!A:F,4,FALSE)</f>
        <v>-14</v>
      </c>
      <c r="H152" s="76">
        <f>VLOOKUP(B152,'ALL-DATA'!A:F,5,FALSE)</f>
        <v>86.4</v>
      </c>
      <c r="I152" s="76">
        <f>VLOOKUP(B152,'ALL-DATA'!A:F,6,FALSE)</f>
        <v>2778.0192000000002</v>
      </c>
      <c r="J152" s="44">
        <v>5200</v>
      </c>
      <c r="K152" s="48"/>
      <c r="L152" s="77">
        <f>((J152+R152)-I152)-I153</f>
        <v>1257.2992000000004</v>
      </c>
      <c r="M152" s="37">
        <v>86</v>
      </c>
      <c r="N152" s="38">
        <v>81</v>
      </c>
      <c r="O152" s="38">
        <v>95</v>
      </c>
      <c r="P152" s="38">
        <f>((((((Table8[[#This Row],[OLD-WT]]-(Table8[[#This Row],[OLD-WT]]*1%))*Table8[[#This Row],[MELTING2]])/100))*80)/100)*Table8[[#This Row],[P-RATE3]]</f>
        <v>5241.2184000000007</v>
      </c>
      <c r="Q152" s="38">
        <v>6000</v>
      </c>
      <c r="R152" s="62">
        <f t="shared" si="22"/>
        <v>-758.78159999999934</v>
      </c>
    </row>
    <row r="153" spans="1:18" x14ac:dyDescent="0.45">
      <c r="A153" s="73">
        <v>45592</v>
      </c>
      <c r="B153" s="121" t="s">
        <v>1183</v>
      </c>
      <c r="C153" s="38"/>
      <c r="D153" s="74"/>
      <c r="E153" s="75">
        <f>VLOOKUP(B153,'ALL-DATA'!A:F,2,FALSE)</f>
        <v>5.5</v>
      </c>
      <c r="F153" s="38">
        <f>VLOOKUP(B153,'ALL-DATA'!A:F,3,FALSE)</f>
        <v>82</v>
      </c>
      <c r="G153" s="38">
        <f>VLOOKUP(B153,'ALL-DATA'!A:F,4,FALSE)</f>
        <v>0</v>
      </c>
      <c r="H153" s="76">
        <f>VLOOKUP(B153,'ALL-DATA'!A:F,5,FALSE)</f>
        <v>90</v>
      </c>
      <c r="I153" s="76">
        <f>VLOOKUP(B153,'ALL-DATA'!A:F,6,FALSE)</f>
        <v>405.9</v>
      </c>
      <c r="J153" s="44"/>
      <c r="K153" s="48"/>
      <c r="L153" s="77">
        <v>0</v>
      </c>
      <c r="M153" s="37"/>
      <c r="N153" s="38"/>
      <c r="O153" s="38"/>
      <c r="P153" s="38"/>
      <c r="Q153" s="38"/>
      <c r="R153" s="62"/>
    </row>
    <row r="154" spans="1:18" x14ac:dyDescent="0.45">
      <c r="A154" s="73">
        <v>45592</v>
      </c>
      <c r="B154" s="38" t="str">
        <f>C154&amp;D154</f>
        <v>S-BARACELET-B-10</v>
      </c>
      <c r="C154" s="38" t="s">
        <v>737</v>
      </c>
      <c r="D154" s="74" t="s">
        <v>792</v>
      </c>
      <c r="E154" s="75">
        <f>VLOOKUP(B154,'ALL-DATA'!A:F,2,FALSE)</f>
        <v>33.11</v>
      </c>
      <c r="F154" s="38">
        <f>VLOOKUP(B154,'ALL-DATA'!A:F,3,FALSE)</f>
        <v>86</v>
      </c>
      <c r="G154" s="38">
        <f>VLOOKUP(B154,'ALL-DATA'!A:F,4,FALSE)</f>
        <v>-65</v>
      </c>
      <c r="H154" s="76">
        <f>VLOOKUP(B154,'ALL-DATA'!A:F,5,FALSE)</f>
        <v>90</v>
      </c>
      <c r="I154" s="76">
        <f>VLOOKUP(B154,'ALL-DATA'!A:F,6,FALSE)</f>
        <v>2562.7139999999999</v>
      </c>
      <c r="J154" s="44">
        <v>4400</v>
      </c>
      <c r="K154" s="48"/>
      <c r="L154" s="77">
        <f>((J154+R154)-I154)-I156</f>
        <v>1737.2860000000001</v>
      </c>
      <c r="M154" s="37"/>
      <c r="N154" s="38"/>
      <c r="O154" s="38"/>
      <c r="P154" s="38">
        <f>((((((Table8[[#This Row],[OLD-WT]]-(Table8[[#This Row],[OLD-WT]]*1%))*Table8[[#This Row],[MELTING2]])/100))*80)/100)*Table8[[#This Row],[P-RATE3]]</f>
        <v>0</v>
      </c>
      <c r="Q154" s="38"/>
      <c r="R154" s="62">
        <f t="shared" si="22"/>
        <v>0</v>
      </c>
    </row>
    <row r="155" spans="1:18" x14ac:dyDescent="0.45">
      <c r="A155" s="73">
        <v>45592</v>
      </c>
      <c r="B155" s="38" t="str">
        <f>C155&amp;D155</f>
        <v>S-BARACELET-G-92.5-7</v>
      </c>
      <c r="C155" s="38" t="s">
        <v>738</v>
      </c>
      <c r="D155" s="74" t="s">
        <v>876</v>
      </c>
      <c r="E155" s="75">
        <f>VLOOKUP(B155,'ALL-DATA'!A:F,2,FALSE)</f>
        <v>7.31</v>
      </c>
      <c r="F155" s="38">
        <f>VLOOKUP(B155,'ALL-DATA'!A:F,3,FALSE)</f>
        <v>92.5</v>
      </c>
      <c r="G155" s="38">
        <f>VLOOKUP(B155,'ALL-DATA'!A:F,4,FALSE)</f>
        <v>-71.5</v>
      </c>
      <c r="H155" s="76">
        <f>VLOOKUP(B155,'ALL-DATA'!A:F,5,FALSE)</f>
        <v>127</v>
      </c>
      <c r="I155" s="76">
        <f>VLOOKUP(B155,'ALL-DATA'!A:F,6,FALSE)</f>
        <v>928.37</v>
      </c>
      <c r="J155" s="44">
        <v>1700</v>
      </c>
      <c r="K155" s="48"/>
      <c r="L155" s="77">
        <f>((J155+R155)-I155)</f>
        <v>771.63</v>
      </c>
      <c r="M155" s="37"/>
      <c r="N155" s="38"/>
      <c r="O155" s="38"/>
      <c r="P155" s="38">
        <f>((((((Table8[[#This Row],[OLD-WT]]-(Table8[[#This Row],[OLD-WT]]*1%))*Table8[[#This Row],[MELTING2]])/100))*80)/100)*Table8[[#This Row],[P-RATE3]]</f>
        <v>0</v>
      </c>
      <c r="Q155" s="38"/>
      <c r="R155" s="62">
        <f t="shared" si="22"/>
        <v>0</v>
      </c>
    </row>
    <row r="156" spans="1:18" x14ac:dyDescent="0.45">
      <c r="A156" s="73">
        <v>45592</v>
      </c>
      <c r="B156" s="120" t="s">
        <v>1081</v>
      </c>
      <c r="C156" s="38"/>
      <c r="D156" s="74"/>
      <c r="E156" s="75">
        <f>VLOOKUP(B156,'ALL-DATA'!A:F,2,FALSE)</f>
        <v>1</v>
      </c>
      <c r="F156" s="38">
        <f>VLOOKUP(B156,'ALL-DATA'!A:F,3,FALSE)</f>
        <v>0</v>
      </c>
      <c r="G156" s="38">
        <f>VLOOKUP(B156,'ALL-DATA'!A:F,4,FALSE)</f>
        <v>0</v>
      </c>
      <c r="H156" s="76">
        <f>VLOOKUP(B156,'ALL-DATA'!A:F,5,FALSE)</f>
        <v>0</v>
      </c>
      <c r="I156" s="76">
        <f>VLOOKUP(B156,'ALL-DATA'!A:F,6,FALSE)</f>
        <v>100</v>
      </c>
      <c r="J156" s="44"/>
      <c r="K156" s="48"/>
      <c r="L156" s="77">
        <v>0</v>
      </c>
      <c r="M156" s="37"/>
      <c r="N156" s="38"/>
      <c r="O156" s="38"/>
      <c r="P156" s="38">
        <f>((((((Table8[[#This Row],[OLD-WT]]-(Table8[[#This Row],[OLD-WT]]*1%))*Table8[[#This Row],[MELTING2]])/100))*80)/100)*Table8[[#This Row],[P-RATE3]]</f>
        <v>0</v>
      </c>
      <c r="Q156" s="38"/>
      <c r="R156" s="62">
        <f t="shared" si="22"/>
        <v>0</v>
      </c>
    </row>
    <row r="157" spans="1:18" x14ac:dyDescent="0.45">
      <c r="A157" s="73">
        <v>45592</v>
      </c>
      <c r="B157" s="38" t="str">
        <f>C157&amp;D157</f>
        <v>G-RING-B19</v>
      </c>
      <c r="C157" s="38" t="s">
        <v>719</v>
      </c>
      <c r="D157" s="74" t="s">
        <v>1001</v>
      </c>
      <c r="E157" s="75">
        <f>VLOOKUP(B157,'ALL-DATA'!A:F,2,FALSE)</f>
        <v>2.0499999999999998</v>
      </c>
      <c r="F157" s="38">
        <f>VLOOKUP(B157,'ALL-DATA'!A:F,3,FALSE)</f>
        <v>95.5</v>
      </c>
      <c r="G157" s="38">
        <f>VLOOKUP(B157,'ALL-DATA'!A:F,4,FALSE)</f>
        <v>-3.5</v>
      </c>
      <c r="H157" s="76">
        <f>VLOOKUP(B157,'ALL-DATA'!A:F,5,FALSE)</f>
        <v>7218.2</v>
      </c>
      <c r="I157" s="76">
        <f>VLOOKUP(B157,'ALL-DATA'!A:F,6,FALSE)</f>
        <v>14131.431049999999</v>
      </c>
      <c r="J157" s="170">
        <v>16500</v>
      </c>
      <c r="K157" s="165"/>
      <c r="L157" s="77">
        <f>((J157+R157)-I157)</f>
        <v>2368.5689500000008</v>
      </c>
      <c r="M157" s="37"/>
      <c r="N157" s="38"/>
      <c r="O157" s="38"/>
      <c r="P157" s="38">
        <f>((((((Table8[[#This Row],[OLD-WT]]-(Table8[[#This Row],[OLD-WT]]*1%))*Table8[[#This Row],[MELTING2]])/100))*80)/100)*Table8[[#This Row],[P-RATE3]]</f>
        <v>0</v>
      </c>
      <c r="Q157" s="38"/>
      <c r="R157" s="62">
        <f t="shared" si="22"/>
        <v>0</v>
      </c>
    </row>
    <row r="158" spans="1:18" x14ac:dyDescent="0.45">
      <c r="A158" s="73">
        <v>45593</v>
      </c>
      <c r="B158" s="38" t="str">
        <f>C158&amp;D158</f>
        <v>S-CHAIN-N-2</v>
      </c>
      <c r="C158" s="38" t="s">
        <v>732</v>
      </c>
      <c r="D158" s="74" t="s">
        <v>796</v>
      </c>
      <c r="E158" s="75">
        <f>VLOOKUP(B158,'ALL-DATA'!A:F,2,FALSE)</f>
        <v>11.6</v>
      </c>
      <c r="F158" s="38">
        <f>VLOOKUP(B158,'ALL-DATA'!A:F,3,FALSE)</f>
        <v>86</v>
      </c>
      <c r="G158" s="38">
        <f>VLOOKUP(B158,'ALL-DATA'!A:F,4,FALSE)</f>
        <v>-21</v>
      </c>
      <c r="H158" s="76">
        <f>VLOOKUP(B158,'ALL-DATA'!A:F,5,FALSE)</f>
        <v>90</v>
      </c>
      <c r="I158" s="76">
        <f>VLOOKUP(B158,'ALL-DATA'!A:F,6,FALSE)</f>
        <v>897.84</v>
      </c>
      <c r="J158" s="44">
        <v>2000</v>
      </c>
      <c r="K158" s="48"/>
      <c r="L158" s="77">
        <f>((J158+R158)-I158)-I160</f>
        <v>1002.1599999999999</v>
      </c>
      <c r="M158" s="37"/>
      <c r="N158" s="38"/>
      <c r="O158" s="38"/>
      <c r="P158" s="38">
        <f>((((((Table8[[#This Row],[OLD-WT]]-(Table8[[#This Row],[OLD-WT]]*1%))*Table8[[#This Row],[MELTING2]])/100))*80)/100)*Table8[[#This Row],[P-RATE3]]</f>
        <v>0</v>
      </c>
      <c r="Q158" s="38"/>
      <c r="R158" s="62">
        <f t="shared" si="22"/>
        <v>0</v>
      </c>
    </row>
    <row r="159" spans="1:18" x14ac:dyDescent="0.45">
      <c r="A159" s="73">
        <v>45593</v>
      </c>
      <c r="B159" s="38" t="str">
        <f>C159&amp;D159</f>
        <v>S-CHAIN-N-48</v>
      </c>
      <c r="C159" s="38" t="s">
        <v>732</v>
      </c>
      <c r="D159" s="74" t="s">
        <v>1185</v>
      </c>
      <c r="E159" s="75">
        <f>VLOOKUP(B159,'ALL-DATA'!A:F,2,FALSE)</f>
        <v>13</v>
      </c>
      <c r="F159" s="38">
        <f>VLOOKUP(B159,'ALL-DATA'!A:F,3,FALSE)</f>
        <v>86</v>
      </c>
      <c r="G159" s="38">
        <f>VLOOKUP(B159,'ALL-DATA'!A:F,4,FALSE)</f>
        <v>-21</v>
      </c>
      <c r="H159" s="76">
        <f>VLOOKUP(B159,'ALL-DATA'!A:F,5,FALSE)</f>
        <v>94.8</v>
      </c>
      <c r="I159" s="76">
        <f>VLOOKUP(B159,'ALL-DATA'!A:F,6,FALSE)</f>
        <v>1059.864</v>
      </c>
      <c r="J159" s="44">
        <v>2000</v>
      </c>
      <c r="K159" s="48"/>
      <c r="L159" s="77">
        <f>((J159+R159)-I159)</f>
        <v>1021.7503120000001</v>
      </c>
      <c r="M159" s="37">
        <v>2.98</v>
      </c>
      <c r="N159" s="38">
        <v>81</v>
      </c>
      <c r="O159" s="38">
        <v>95</v>
      </c>
      <c r="P159" s="38">
        <f>((((((Table8[[#This Row],[OLD-WT]]-(Table8[[#This Row],[OLD-WT]]*1%))*Table8[[#This Row],[MELTING2]])/100))*80)/100)*Table8[[#This Row],[P-RATE3]]</f>
        <v>181.61431199999998</v>
      </c>
      <c r="Q159" s="38">
        <v>100</v>
      </c>
      <c r="R159" s="62">
        <f t="shared" si="22"/>
        <v>81.614311999999984</v>
      </c>
    </row>
    <row r="160" spans="1:18" x14ac:dyDescent="0.45">
      <c r="A160" s="73">
        <v>45593</v>
      </c>
      <c r="B160" s="120" t="s">
        <v>1081</v>
      </c>
      <c r="C160" s="38"/>
      <c r="D160" s="74"/>
      <c r="E160" s="75">
        <f>VLOOKUP(B160,'ALL-DATA'!A:F,2,FALSE)</f>
        <v>1</v>
      </c>
      <c r="F160" s="38">
        <f>VLOOKUP(B160,'ALL-DATA'!A:F,3,FALSE)</f>
        <v>0</v>
      </c>
      <c r="G160" s="38">
        <f>VLOOKUP(B160,'ALL-DATA'!A:F,4,FALSE)</f>
        <v>0</v>
      </c>
      <c r="H160" s="76">
        <f>VLOOKUP(B160,'ALL-DATA'!A:F,5,FALSE)</f>
        <v>0</v>
      </c>
      <c r="I160" s="76">
        <f>VLOOKUP(B160,'ALL-DATA'!A:F,6,FALSE)</f>
        <v>100</v>
      </c>
      <c r="J160" s="44"/>
      <c r="K160" s="48"/>
      <c r="L160" s="77">
        <v>0</v>
      </c>
      <c r="M160" s="37"/>
      <c r="N160" s="38"/>
      <c r="O160" s="38"/>
      <c r="P160" s="38">
        <f>((((((Table8[[#This Row],[OLD-WT]]-(Table8[[#This Row],[OLD-WT]]*1%))*Table8[[#This Row],[MELTING2]])/100))*80)/100)*Table8[[#This Row],[P-RATE3]]</f>
        <v>0</v>
      </c>
      <c r="Q160" s="38"/>
      <c r="R160" s="62">
        <f t="shared" si="22"/>
        <v>0</v>
      </c>
    </row>
    <row r="161" spans="1:18" x14ac:dyDescent="0.45">
      <c r="A161" s="73">
        <v>45593</v>
      </c>
      <c r="B161" s="131" t="str">
        <f>C161&amp;D161</f>
        <v>S-RING-154</v>
      </c>
      <c r="C161" s="38" t="s">
        <v>731</v>
      </c>
      <c r="D161" s="74" t="s">
        <v>1287</v>
      </c>
      <c r="E161" s="75">
        <f>VLOOKUP(B161,'ALL-DATA'!A:F,2,FALSE)</f>
        <v>3.3</v>
      </c>
      <c r="F161" s="38">
        <f>VLOOKUP(B161,'ALL-DATA'!A:F,3,FALSE)</f>
        <v>92.5</v>
      </c>
      <c r="G161" s="38">
        <f>VLOOKUP(B161,'ALL-DATA'!A:F,4,FALSE)</f>
        <v>92.5</v>
      </c>
      <c r="H161" s="76">
        <f>VLOOKUP(B161,'ALL-DATA'!A:F,5,FALSE)</f>
        <v>131.65</v>
      </c>
      <c r="I161" s="76">
        <f>VLOOKUP(B161,'ALL-DATA'!A:F,6,FALSE)</f>
        <v>434.44499999999999</v>
      </c>
      <c r="J161" s="44">
        <v>700</v>
      </c>
      <c r="K161" s="48"/>
      <c r="L161" s="77">
        <f>((J161+R161)-I161)</f>
        <v>265.55500000000001</v>
      </c>
      <c r="M161" s="37"/>
      <c r="N161" s="38"/>
      <c r="O161" s="38"/>
      <c r="P161" s="38"/>
      <c r="Q161" s="38"/>
      <c r="R161" s="62"/>
    </row>
    <row r="162" spans="1:18" x14ac:dyDescent="0.45">
      <c r="A162" s="73">
        <v>45593</v>
      </c>
      <c r="B162" s="131" t="str">
        <f>C162&amp;D162</f>
        <v>S-RING-138</v>
      </c>
      <c r="C162" s="38" t="s">
        <v>731</v>
      </c>
      <c r="D162" s="74" t="s">
        <v>1288</v>
      </c>
      <c r="E162" s="75">
        <f>VLOOKUP(B162,'ALL-DATA'!A:F,2,FALSE)</f>
        <v>3</v>
      </c>
      <c r="F162" s="38">
        <f>VLOOKUP(B162,'ALL-DATA'!A:F,3,FALSE)</f>
        <v>92.5</v>
      </c>
      <c r="G162" s="38">
        <f>VLOOKUP(B162,'ALL-DATA'!A:F,4,FALSE)</f>
        <v>92.5</v>
      </c>
      <c r="H162" s="76">
        <f>VLOOKUP(B162,'ALL-DATA'!A:F,5,FALSE)</f>
        <v>131.65</v>
      </c>
      <c r="I162" s="76">
        <f>VLOOKUP(B162,'ALL-DATA'!A:F,6,FALSE)</f>
        <v>394.95000000000005</v>
      </c>
      <c r="J162" s="44">
        <v>700</v>
      </c>
      <c r="K162" s="48"/>
      <c r="L162" s="77">
        <f>((J162+R162)-I162)</f>
        <v>305.04999999999995</v>
      </c>
      <c r="M162" s="37"/>
      <c r="N162" s="38"/>
      <c r="O162" s="38"/>
      <c r="P162" s="38"/>
      <c r="Q162" s="38"/>
      <c r="R162" s="62"/>
    </row>
    <row r="163" spans="1:18" x14ac:dyDescent="0.45">
      <c r="A163" s="73">
        <v>45593</v>
      </c>
      <c r="B163" s="131" t="str">
        <f>C163&amp;D163</f>
        <v>S-RING-140</v>
      </c>
      <c r="C163" s="38" t="s">
        <v>731</v>
      </c>
      <c r="D163" s="74" t="s">
        <v>1289</v>
      </c>
      <c r="E163" s="75">
        <f>VLOOKUP(B163,'ALL-DATA'!A:F,2,FALSE)</f>
        <v>2.12</v>
      </c>
      <c r="F163" s="38">
        <f>VLOOKUP(B163,'ALL-DATA'!A:F,3,FALSE)</f>
        <v>92.5</v>
      </c>
      <c r="G163" s="38">
        <f>VLOOKUP(B163,'ALL-DATA'!A:F,4,FALSE)</f>
        <v>92.5</v>
      </c>
      <c r="H163" s="76">
        <f>VLOOKUP(B163,'ALL-DATA'!A:F,5,FALSE)</f>
        <v>131.65</v>
      </c>
      <c r="I163" s="76">
        <f>VLOOKUP(B163,'ALL-DATA'!A:F,6,FALSE)</f>
        <v>279.09800000000001</v>
      </c>
      <c r="J163" s="44">
        <v>500</v>
      </c>
      <c r="K163" s="48"/>
      <c r="L163" s="77">
        <f>((J163+R163)-I163)</f>
        <v>220.90199999999999</v>
      </c>
      <c r="M163" s="37"/>
      <c r="N163" s="38"/>
      <c r="O163" s="38"/>
      <c r="P163" s="38"/>
      <c r="Q163" s="38"/>
      <c r="R163" s="62"/>
    </row>
    <row r="164" spans="1:18" x14ac:dyDescent="0.45">
      <c r="A164" s="73">
        <v>45593</v>
      </c>
      <c r="B164" s="131" t="str">
        <f>C164&amp;D164</f>
        <v>S-RING-142</v>
      </c>
      <c r="C164" s="38" t="s">
        <v>731</v>
      </c>
      <c r="D164" s="74" t="s">
        <v>1290</v>
      </c>
      <c r="E164" s="75">
        <f>VLOOKUP(B164,'ALL-DATA'!A:F,2,FALSE)</f>
        <v>2.7</v>
      </c>
      <c r="F164" s="38">
        <f>VLOOKUP(B164,'ALL-DATA'!A:F,3,FALSE)</f>
        <v>92.5</v>
      </c>
      <c r="G164" s="38">
        <f>VLOOKUP(B164,'ALL-DATA'!A:F,4,FALSE)</f>
        <v>92.5</v>
      </c>
      <c r="H164" s="76">
        <f>VLOOKUP(B164,'ALL-DATA'!A:F,5,FALSE)</f>
        <v>131.65</v>
      </c>
      <c r="I164" s="76">
        <f>VLOOKUP(B164,'ALL-DATA'!A:F,6,FALSE)</f>
        <v>355.45500000000004</v>
      </c>
      <c r="J164" s="44">
        <v>600</v>
      </c>
      <c r="K164" s="48"/>
      <c r="L164" s="77">
        <f>((J164+R164)-I164)</f>
        <v>244.54499999999996</v>
      </c>
      <c r="M164" s="37"/>
      <c r="N164" s="38"/>
      <c r="O164" s="38"/>
      <c r="P164" s="38"/>
      <c r="Q164" s="38"/>
      <c r="R164" s="62"/>
    </row>
    <row r="165" spans="1:18" x14ac:dyDescent="0.45">
      <c r="A165" s="73">
        <v>45593</v>
      </c>
      <c r="B165" s="38" t="str">
        <f>C165&amp;D165</f>
        <v>S-B-KOLUSU--48</v>
      </c>
      <c r="C165" s="38" t="s">
        <v>727</v>
      </c>
      <c r="D165" s="74" t="s">
        <v>1185</v>
      </c>
      <c r="E165" s="75">
        <f>VLOOKUP(B165,'ALL-DATA'!A:F,2,FALSE)</f>
        <v>32.9</v>
      </c>
      <c r="F165" s="38">
        <f>VLOOKUP(B165,'ALL-DATA'!A:F,3,FALSE)</f>
        <v>82</v>
      </c>
      <c r="G165" s="38">
        <f>VLOOKUP(B165,'ALL-DATA'!A:F,4,FALSE)</f>
        <v>17</v>
      </c>
      <c r="H165" s="76">
        <f>VLOOKUP(B165,'ALL-DATA'!A:F,5,FALSE)</f>
        <v>86.14</v>
      </c>
      <c r="I165" s="76">
        <f>VLOOKUP(B165,'ALL-DATA'!A:F,6,FALSE)</f>
        <v>2323.88492</v>
      </c>
      <c r="J165" s="44">
        <v>4400</v>
      </c>
      <c r="K165" s="48"/>
      <c r="L165" s="77">
        <f>((J165+R165)-I165)-I166</f>
        <v>1670.2150799999999</v>
      </c>
      <c r="M165" s="37"/>
      <c r="N165" s="38"/>
      <c r="O165" s="38"/>
      <c r="P165" s="38">
        <f>((((((Table8[[#This Row],[OLD-WT]]-(Table8[[#This Row],[OLD-WT]]*1%))*Table8[[#This Row],[MELTING2]])/100))*80)/100)*Table8[[#This Row],[P-RATE3]]</f>
        <v>0</v>
      </c>
      <c r="Q165" s="38"/>
      <c r="R165" s="62">
        <f t="shared" si="22"/>
        <v>0</v>
      </c>
    </row>
    <row r="166" spans="1:18" x14ac:dyDescent="0.45">
      <c r="A166" s="73">
        <v>45593</v>
      </c>
      <c r="B166" s="120" t="s">
        <v>1183</v>
      </c>
      <c r="C166" s="38"/>
      <c r="D166" s="74"/>
      <c r="E166" s="75">
        <f>VLOOKUP(B166,'ALL-DATA'!A:F,2,FALSE)</f>
        <v>5.5</v>
      </c>
      <c r="F166" s="38">
        <f>VLOOKUP(B166,'ALL-DATA'!A:F,3,FALSE)</f>
        <v>82</v>
      </c>
      <c r="G166" s="38">
        <f>VLOOKUP(B166,'ALL-DATA'!A:F,4,FALSE)</f>
        <v>0</v>
      </c>
      <c r="H166" s="76">
        <f>VLOOKUP(B166,'ALL-DATA'!A:F,5,FALSE)</f>
        <v>90</v>
      </c>
      <c r="I166" s="76">
        <f>VLOOKUP(B166,'ALL-DATA'!A:F,6,FALSE)</f>
        <v>405.9</v>
      </c>
      <c r="J166" s="44"/>
      <c r="K166" s="48"/>
      <c r="L166" s="77">
        <v>0</v>
      </c>
      <c r="M166" s="37"/>
      <c r="N166" s="38"/>
      <c r="O166" s="38"/>
      <c r="P166" s="38">
        <f>((((((Table8[[#This Row],[OLD-WT]]-(Table8[[#This Row],[OLD-WT]]*1%))*Table8[[#This Row],[MELTING2]])/100))*80)/100)*Table8[[#This Row],[P-RATE3]]</f>
        <v>0</v>
      </c>
      <c r="Q166" s="38"/>
      <c r="R166" s="62">
        <f t="shared" si="22"/>
        <v>0</v>
      </c>
    </row>
    <row r="167" spans="1:18" x14ac:dyDescent="0.45">
      <c r="A167" s="73">
        <v>45593</v>
      </c>
      <c r="B167" s="38" t="str">
        <f t="shared" ref="B167:B174" si="27">C167&amp;D167</f>
        <v>S-B-KOLUSU--34</v>
      </c>
      <c r="C167" s="38" t="s">
        <v>727</v>
      </c>
      <c r="D167" s="74" t="s">
        <v>1013</v>
      </c>
      <c r="E167" s="75">
        <f>VLOOKUP(B167,'ALL-DATA'!A:F,2,FALSE)</f>
        <v>49.2</v>
      </c>
      <c r="F167" s="38">
        <f>VLOOKUP(B167,'ALL-DATA'!A:F,3,FALSE)</f>
        <v>82</v>
      </c>
      <c r="G167" s="38">
        <f>VLOOKUP(B167,'ALL-DATA'!A:F,4,FALSE)</f>
        <v>-17</v>
      </c>
      <c r="H167" s="76">
        <f>VLOOKUP(B167,'ALL-DATA'!A:F,5,FALSE)</f>
        <v>90</v>
      </c>
      <c r="I167" s="76">
        <f>VLOOKUP(B167,'ALL-DATA'!A:F,6,FALSE)</f>
        <v>3630.96</v>
      </c>
      <c r="J167" s="44">
        <v>5800</v>
      </c>
      <c r="K167" s="48"/>
      <c r="L167" s="77">
        <f t="shared" ref="L167:L173" si="28">((J167+R167)-I167)</f>
        <v>2169.04</v>
      </c>
      <c r="M167" s="37"/>
      <c r="N167" s="38"/>
      <c r="O167" s="38"/>
      <c r="P167" s="38">
        <f>((((((Table8[[#This Row],[OLD-WT]]-(Table8[[#This Row],[OLD-WT]]*1%))*Table8[[#This Row],[MELTING2]])/100))*80)/100)*Table8[[#This Row],[P-RATE3]]</f>
        <v>0</v>
      </c>
      <c r="Q167" s="38"/>
      <c r="R167" s="62">
        <f t="shared" si="22"/>
        <v>0</v>
      </c>
    </row>
    <row r="168" spans="1:18" x14ac:dyDescent="0.45">
      <c r="A168" s="73">
        <v>45595</v>
      </c>
      <c r="B168" s="38" t="str">
        <f t="shared" si="27"/>
        <v>S-B-KOLUSU--7</v>
      </c>
      <c r="C168" s="38" t="s">
        <v>727</v>
      </c>
      <c r="D168" s="74" t="s">
        <v>876</v>
      </c>
      <c r="E168" s="75">
        <f>VLOOKUP(B168,'ALL-DATA'!A:F,2,FALSE)</f>
        <v>59.32</v>
      </c>
      <c r="F168" s="38">
        <f>VLOOKUP(B168,'ALL-DATA'!A:F,3,FALSE)</f>
        <v>65</v>
      </c>
      <c r="G168" s="38">
        <f>VLOOKUP(B168,'ALL-DATA'!A:F,4,FALSE)</f>
        <v>-10</v>
      </c>
      <c r="H168" s="76">
        <f>VLOOKUP(B168,'ALL-DATA'!A:F,5,FALSE)</f>
        <v>89</v>
      </c>
      <c r="I168" s="76">
        <f>VLOOKUP(B168,'ALL-DATA'!A:F,6,FALSE)</f>
        <v>3431.6619999999998</v>
      </c>
      <c r="J168" s="44">
        <v>6800</v>
      </c>
      <c r="K168" s="48"/>
      <c r="L168" s="77">
        <f t="shared" si="28"/>
        <v>2602.8572799999988</v>
      </c>
      <c r="M168" s="37">
        <v>66.2</v>
      </c>
      <c r="N168" s="38">
        <v>81</v>
      </c>
      <c r="O168" s="38">
        <v>95</v>
      </c>
      <c r="P168" s="38">
        <f>((((((Table8[[#This Row],[OLD-WT]]-(Table8[[#This Row],[OLD-WT]]*1%))*Table8[[#This Row],[MELTING2]])/100))*80)/100)*Table8[[#This Row],[P-RATE3]]</f>
        <v>4034.5192799999991</v>
      </c>
      <c r="Q168" s="38">
        <v>4800</v>
      </c>
      <c r="R168" s="62">
        <f t="shared" si="22"/>
        <v>-765.48072000000093</v>
      </c>
    </row>
    <row r="169" spans="1:18" x14ac:dyDescent="0.45">
      <c r="A169" s="73">
        <v>45595</v>
      </c>
      <c r="B169" s="38" t="str">
        <f t="shared" si="27"/>
        <v>S-S-KOLUSU-18</v>
      </c>
      <c r="C169" s="38" t="s">
        <v>726</v>
      </c>
      <c r="D169" s="74" t="s">
        <v>1197</v>
      </c>
      <c r="E169" s="75">
        <f>VLOOKUP(B169,'ALL-DATA'!A:F,2,FALSE)</f>
        <v>62.1</v>
      </c>
      <c r="F169" s="38">
        <f>VLOOKUP(B169,'ALL-DATA'!A:F,3,FALSE)</f>
        <v>76.5</v>
      </c>
      <c r="G169" s="38">
        <f>VLOOKUP(B169,'ALL-DATA'!A:F,4,FALSE)</f>
        <v>-11.5</v>
      </c>
      <c r="H169" s="76">
        <f>VLOOKUP(B169,'ALL-DATA'!A:F,5,FALSE)</f>
        <v>89.9</v>
      </c>
      <c r="I169" s="76">
        <f>VLOOKUP(B169,'ALL-DATA'!A:F,6,FALSE)</f>
        <v>4270.8343500000001</v>
      </c>
      <c r="J169" s="170">
        <v>8400</v>
      </c>
      <c r="K169" s="165"/>
      <c r="L169" s="77">
        <f t="shared" si="28"/>
        <v>3462.5684099999999</v>
      </c>
      <c r="M169" s="37">
        <v>62.9</v>
      </c>
      <c r="N169" s="38">
        <v>81</v>
      </c>
      <c r="O169" s="38">
        <v>95</v>
      </c>
      <c r="P169" s="38">
        <f>((((((Table8[[#This Row],[OLD-WT]]-(Table8[[#This Row],[OLD-WT]]*1%))*Table8[[#This Row],[MELTING2]])/100))*80)/100)*Table8[[#This Row],[P-RATE3]]</f>
        <v>3833.4027599999999</v>
      </c>
      <c r="Q169" s="38">
        <v>4500</v>
      </c>
      <c r="R169" s="62">
        <f t="shared" si="22"/>
        <v>-666.59724000000006</v>
      </c>
    </row>
    <row r="170" spans="1:18" x14ac:dyDescent="0.45">
      <c r="A170" s="73">
        <v>45595</v>
      </c>
      <c r="B170" s="38" t="str">
        <f t="shared" si="27"/>
        <v>G-STUD-48</v>
      </c>
      <c r="C170" s="38" t="s">
        <v>720</v>
      </c>
      <c r="D170" s="74" t="s">
        <v>1185</v>
      </c>
      <c r="E170" s="75">
        <f>VLOOKUP(B170,'ALL-DATA'!A:F,2,FALSE)</f>
        <v>3.03</v>
      </c>
      <c r="F170" s="38">
        <f>VLOOKUP(B170,'ALL-DATA'!A:F,3,FALSE)</f>
        <v>97</v>
      </c>
      <c r="G170" s="38">
        <f>VLOOKUP(B170,'ALL-DATA'!A:F,4,FALSE)</f>
        <v>-5</v>
      </c>
      <c r="H170" s="76">
        <f>VLOOKUP(B170,'ALL-DATA'!A:F,5,FALSE)</f>
        <v>7420</v>
      </c>
      <c r="I170" s="76">
        <f>VLOOKUP(B170,'ALL-DATA'!A:F,6,FALSE)</f>
        <v>21808.121999999999</v>
      </c>
      <c r="J170" s="170">
        <v>25000</v>
      </c>
      <c r="K170" s="165">
        <v>10000</v>
      </c>
      <c r="L170" s="77">
        <f t="shared" si="28"/>
        <v>3191.8780000000006</v>
      </c>
      <c r="M170" s="37"/>
      <c r="N170" s="38"/>
      <c r="O170" s="38"/>
      <c r="P170" s="38">
        <f>((((((Table8[[#This Row],[OLD-WT]]-(Table8[[#This Row],[OLD-WT]]*1%))*Table8[[#This Row],[MELTING2]])/100))*80)/100)*Table8[[#This Row],[P-RATE3]]</f>
        <v>0</v>
      </c>
      <c r="Q170" s="38"/>
      <c r="R170" s="62">
        <f t="shared" si="22"/>
        <v>0</v>
      </c>
    </row>
    <row r="171" spans="1:18" x14ac:dyDescent="0.45">
      <c r="A171" s="73">
        <v>45595</v>
      </c>
      <c r="B171" s="38" t="str">
        <f t="shared" si="27"/>
        <v>S-RING-82</v>
      </c>
      <c r="C171" s="38" t="s">
        <v>731</v>
      </c>
      <c r="D171" s="74" t="s">
        <v>1198</v>
      </c>
      <c r="E171" s="75">
        <f>VLOOKUP(B171,'ALL-DATA'!A:F,2,FALSE)</f>
        <v>4.0599999999999996</v>
      </c>
      <c r="F171" s="38">
        <f>VLOOKUP(B171,'ALL-DATA'!A:F,3,FALSE)</f>
        <v>92.5</v>
      </c>
      <c r="G171" s="38">
        <f>VLOOKUP(B171,'ALL-DATA'!A:F,4,FALSE)</f>
        <v>92.5</v>
      </c>
      <c r="H171" s="76">
        <f>VLOOKUP(B171,'ALL-DATA'!A:F,5,FALSE)</f>
        <v>127</v>
      </c>
      <c r="I171" s="76">
        <f>VLOOKUP(B171,'ALL-DATA'!A:F,6,FALSE)</f>
        <v>515.62</v>
      </c>
      <c r="J171" s="44">
        <v>1000</v>
      </c>
      <c r="K171" s="48"/>
      <c r="L171" s="77">
        <f t="shared" si="28"/>
        <v>484.38</v>
      </c>
      <c r="M171" s="37"/>
      <c r="N171" s="38"/>
      <c r="O171" s="38"/>
      <c r="P171" s="38">
        <f>((((((Table8[[#This Row],[OLD-WT]]-(Table8[[#This Row],[OLD-WT]]*1%))*Table8[[#This Row],[MELTING2]])/100))*80)/100)*Table8[[#This Row],[P-RATE3]]</f>
        <v>0</v>
      </c>
      <c r="Q171" s="38"/>
      <c r="R171" s="62">
        <f t="shared" si="22"/>
        <v>0</v>
      </c>
    </row>
    <row r="172" spans="1:18" x14ac:dyDescent="0.45">
      <c r="A172" s="73">
        <v>45595</v>
      </c>
      <c r="B172" s="38" t="str">
        <f t="shared" si="27"/>
        <v>S-KAPPU-N-16-1</v>
      </c>
      <c r="C172" s="38" t="s">
        <v>739</v>
      </c>
      <c r="D172" s="74" t="s">
        <v>1201</v>
      </c>
      <c r="E172" s="75">
        <f>VLOOKUP(B172,'ALL-DATA'!A:F,2,FALSE)</f>
        <v>16.975000000000001</v>
      </c>
      <c r="F172" s="38">
        <f>VLOOKUP(B172,'ALL-DATA'!A:F,3,FALSE)</f>
        <v>85</v>
      </c>
      <c r="G172" s="38">
        <f>VLOOKUP(B172,'ALL-DATA'!A:F,4,FALSE)</f>
        <v>20</v>
      </c>
      <c r="H172" s="76">
        <f>VLOOKUP(B172,'ALL-DATA'!A:F,5,FALSE)</f>
        <v>83.19</v>
      </c>
      <c r="I172" s="76">
        <f>VLOOKUP(B172,'ALL-DATA'!A:F,6,FALSE)</f>
        <v>1200.3277125000002</v>
      </c>
      <c r="J172" s="44">
        <v>2500</v>
      </c>
      <c r="K172" s="48"/>
      <c r="L172" s="77">
        <f t="shared" si="28"/>
        <v>1299.6722874999998</v>
      </c>
      <c r="M172" s="37"/>
      <c r="N172" s="38"/>
      <c r="O172" s="38"/>
      <c r="P172" s="38">
        <f>((((((Table8[[#This Row],[OLD-WT]]-(Table8[[#This Row],[OLD-WT]]*1%))*Table8[[#This Row],[MELTING2]])/100))*80)/100)*Table8[[#This Row],[P-RATE3]]</f>
        <v>0</v>
      </c>
      <c r="Q172" s="38"/>
      <c r="R172" s="62">
        <f t="shared" si="22"/>
        <v>0</v>
      </c>
    </row>
    <row r="173" spans="1:18" x14ac:dyDescent="0.45">
      <c r="A173" s="73">
        <v>45595</v>
      </c>
      <c r="B173" s="38" t="str">
        <f t="shared" si="27"/>
        <v>S-RING-52</v>
      </c>
      <c r="C173" s="38" t="s">
        <v>731</v>
      </c>
      <c r="D173" s="74" t="s">
        <v>789</v>
      </c>
      <c r="E173" s="75">
        <f>VLOOKUP(B173,'ALL-DATA'!A:F,2,FALSE)</f>
        <v>1.25</v>
      </c>
      <c r="F173" s="38">
        <f>VLOOKUP(B173,'ALL-DATA'!A:F,3,FALSE)</f>
        <v>92.5</v>
      </c>
      <c r="G173" s="38">
        <f>VLOOKUP(B173,'ALL-DATA'!A:F,4,FALSE)</f>
        <v>92.5</v>
      </c>
      <c r="H173" s="76">
        <f>VLOOKUP(B173,'ALL-DATA'!A:F,5,FALSE)</f>
        <v>140</v>
      </c>
      <c r="I173" s="76">
        <f>VLOOKUP(B173,'ALL-DATA'!A:F,6,FALSE)</f>
        <v>175</v>
      </c>
      <c r="J173" s="44">
        <v>300</v>
      </c>
      <c r="K173" s="48"/>
      <c r="L173" s="77">
        <f t="shared" si="28"/>
        <v>125</v>
      </c>
      <c r="M173" s="37"/>
      <c r="N173" s="38"/>
      <c r="O173" s="38"/>
      <c r="P173" s="38">
        <f>((((((Table8[[#This Row],[OLD-WT]]-(Table8[[#This Row],[OLD-WT]]*1%))*Table8[[#This Row],[MELTING2]])/100))*80)/100)*Table8[[#This Row],[P-RATE3]]</f>
        <v>0</v>
      </c>
      <c r="Q173" s="38"/>
      <c r="R173" s="62">
        <f t="shared" si="22"/>
        <v>0</v>
      </c>
    </row>
    <row r="174" spans="1:18" x14ac:dyDescent="0.45">
      <c r="A174" s="73">
        <v>45595</v>
      </c>
      <c r="B174" s="38" t="str">
        <f t="shared" si="27"/>
        <v>S-B-KOLUSU--72</v>
      </c>
      <c r="C174" s="38" t="s">
        <v>727</v>
      </c>
      <c r="D174" s="74" t="s">
        <v>1202</v>
      </c>
      <c r="E174" s="75">
        <f>VLOOKUP(B174,'ALL-DATA'!A:F,2,FALSE)</f>
        <v>35.6</v>
      </c>
      <c r="F174" s="38">
        <f>VLOOKUP(B174,'ALL-DATA'!A:F,3,FALSE)</f>
        <v>79</v>
      </c>
      <c r="G174" s="38">
        <f>VLOOKUP(B174,'ALL-DATA'!A:F,4,FALSE)</f>
        <v>-14</v>
      </c>
      <c r="H174" s="76">
        <f>VLOOKUP(B174,'ALL-DATA'!A:F,5,FALSE)</f>
        <v>86.4</v>
      </c>
      <c r="I174" s="76">
        <f>VLOOKUP(B174,'ALL-DATA'!A:F,6,FALSE)</f>
        <v>2429.9136000000003</v>
      </c>
      <c r="J174" s="44">
        <v>4800</v>
      </c>
      <c r="K174" s="48"/>
      <c r="L174" s="77">
        <f>((J174+R174)-I174)-I175</f>
        <v>1905.67634</v>
      </c>
      <c r="M174" s="37">
        <v>38.85</v>
      </c>
      <c r="N174" s="38">
        <v>81</v>
      </c>
      <c r="O174" s="38">
        <v>95</v>
      </c>
      <c r="P174" s="38">
        <f>((((((Table8[[#This Row],[OLD-WT]]-(Table8[[#This Row],[OLD-WT]]*1%))*Table8[[#This Row],[MELTING2]])/100))*80)/100)*Table8[[#This Row],[P-RATE3]]</f>
        <v>2367.6899399999998</v>
      </c>
      <c r="Q174" s="38">
        <v>2500</v>
      </c>
      <c r="R174" s="62">
        <f t="shared" si="22"/>
        <v>-132.31006000000025</v>
      </c>
    </row>
    <row r="175" spans="1:18" x14ac:dyDescent="0.45">
      <c r="A175" s="73">
        <v>45595</v>
      </c>
      <c r="B175" s="120" t="s">
        <v>1184</v>
      </c>
      <c r="C175" s="38"/>
      <c r="D175" s="74"/>
      <c r="E175" s="75">
        <f>VLOOKUP(B175,'ALL-DATA'!A:F,2,FALSE)</f>
        <v>4.5</v>
      </c>
      <c r="F175" s="38">
        <f>VLOOKUP(B175,'ALL-DATA'!A:F,3,FALSE)</f>
        <v>82</v>
      </c>
      <c r="G175" s="38">
        <f>VLOOKUP(B175,'ALL-DATA'!A:F,4,FALSE)</f>
        <v>0</v>
      </c>
      <c r="H175" s="76">
        <f>VLOOKUP(B175,'ALL-DATA'!A:F,5,FALSE)</f>
        <v>90</v>
      </c>
      <c r="I175" s="76">
        <f>VLOOKUP(B175,'ALL-DATA'!A:F,6,FALSE)</f>
        <v>332.1</v>
      </c>
      <c r="J175" s="44"/>
      <c r="K175" s="48"/>
      <c r="L175" s="77">
        <v>0</v>
      </c>
      <c r="M175" s="37"/>
      <c r="N175" s="38"/>
      <c r="O175" s="38"/>
      <c r="P175" s="38">
        <f>((((((Table8[[#This Row],[OLD-WT]]-(Table8[[#This Row],[OLD-WT]]*1%))*Table8[[#This Row],[MELTING2]])/100))*80)/100)*Table8[[#This Row],[P-RATE3]]</f>
        <v>0</v>
      </c>
      <c r="Q175" s="38"/>
      <c r="R175" s="62">
        <f t="shared" si="22"/>
        <v>0</v>
      </c>
    </row>
    <row r="176" spans="1:18" x14ac:dyDescent="0.45">
      <c r="A176" s="73">
        <v>45595</v>
      </c>
      <c r="B176" s="131" t="s">
        <v>805</v>
      </c>
      <c r="C176" s="38"/>
      <c r="D176" s="74"/>
      <c r="E176" s="75">
        <f>VLOOKUP(B176,'ALL-DATA'!A:F,2,FALSE)</f>
        <v>0</v>
      </c>
      <c r="F176" s="38">
        <f>VLOOKUP(B176,'ALL-DATA'!A:F,3,FALSE)</f>
        <v>0</v>
      </c>
      <c r="G176" s="38">
        <f>VLOOKUP(B176,'ALL-DATA'!A:F,4,FALSE)</f>
        <v>0</v>
      </c>
      <c r="H176" s="76">
        <f>VLOOKUP(B176,'ALL-DATA'!A:F,5,FALSE)</f>
        <v>0</v>
      </c>
      <c r="I176" s="76">
        <f>VLOOKUP(B176,'ALL-DATA'!A:F,6,FALSE)</f>
        <v>500</v>
      </c>
      <c r="J176" s="44">
        <v>800</v>
      </c>
      <c r="K176" s="48"/>
      <c r="L176" s="77">
        <f>((J176+R176)-I176)</f>
        <v>300</v>
      </c>
      <c r="M176" s="37"/>
      <c r="N176" s="38"/>
      <c r="O176" s="38"/>
      <c r="P176" s="38">
        <f>((((((Table8[[#This Row],[OLD-WT]]-(Table8[[#This Row],[OLD-WT]]*1%))*Table8[[#This Row],[MELTING2]])/100))*80)/100)*Table8[[#This Row],[P-RATE3]]</f>
        <v>0</v>
      </c>
      <c r="Q176" s="38"/>
      <c r="R176" s="62">
        <f t="shared" si="22"/>
        <v>0</v>
      </c>
    </row>
    <row r="177" spans="1:18" x14ac:dyDescent="0.45">
      <c r="A177" s="73">
        <v>45596</v>
      </c>
      <c r="B177" s="23" t="s">
        <v>1203</v>
      </c>
      <c r="C177" s="38"/>
      <c r="D177" s="74"/>
      <c r="E177" s="75">
        <f>VLOOKUP(B177,'ALL-DATA'!A:F,2,FALSE)</f>
        <v>8.5</v>
      </c>
      <c r="F177" s="38">
        <f>VLOOKUP(B177,'ALL-DATA'!A:F,3,FALSE)</f>
        <v>80</v>
      </c>
      <c r="G177" s="38">
        <f>VLOOKUP(B177,'ALL-DATA'!A:F,4,FALSE)</f>
        <v>-15</v>
      </c>
      <c r="H177" s="76">
        <f>VLOOKUP(B177,'ALL-DATA'!A:F,5,FALSE)</f>
        <v>93</v>
      </c>
      <c r="I177" s="76">
        <f>VLOOKUP(B177,'ALL-DATA'!A:F,6,FALSE)</f>
        <v>632.4</v>
      </c>
      <c r="J177" s="44">
        <v>1250</v>
      </c>
      <c r="K177" s="48"/>
      <c r="L177" s="77">
        <f>((J177+R177)-I177)+R178</f>
        <v>1196.1814799999997</v>
      </c>
      <c r="M177" s="37">
        <v>19.3</v>
      </c>
      <c r="N177" s="38">
        <v>81</v>
      </c>
      <c r="O177" s="38">
        <v>95</v>
      </c>
      <c r="P177" s="38">
        <f>((((((Table8[[#This Row],[OLD-WT]]-(Table8[[#This Row],[OLD-WT]]*1%))*Table8[[#This Row],[MELTING2]])/100))*80)/100)*Table8[[#This Row],[P-RATE3]]</f>
        <v>1176.2269199999998</v>
      </c>
      <c r="Q177" s="38">
        <v>1050</v>
      </c>
      <c r="R177" s="62">
        <f t="shared" si="22"/>
        <v>126.22691999999984</v>
      </c>
    </row>
    <row r="178" spans="1:18" x14ac:dyDescent="0.45">
      <c r="A178" s="73">
        <v>45596</v>
      </c>
      <c r="B178" s="38" t="str">
        <f>C178&amp;D178</f>
        <v/>
      </c>
      <c r="C178" s="38"/>
      <c r="D178" s="74"/>
      <c r="E178" s="75">
        <v>0</v>
      </c>
      <c r="F178" s="38">
        <v>0</v>
      </c>
      <c r="G178" s="38">
        <v>0</v>
      </c>
      <c r="H178" s="76">
        <v>0</v>
      </c>
      <c r="I178" s="76">
        <v>0</v>
      </c>
      <c r="J178" s="44"/>
      <c r="K178" s="48"/>
      <c r="L178" s="77">
        <v>0</v>
      </c>
      <c r="M178" s="37">
        <v>0.192</v>
      </c>
      <c r="N178" s="38">
        <v>55</v>
      </c>
      <c r="O178" s="38">
        <v>7800</v>
      </c>
      <c r="P178" s="38">
        <f>((((((Table8[[#This Row],[OLD-WT]]-(Table8[[#This Row],[OLD-WT]]*1%))*Table8[[#This Row],[MELTING2]])/100))*80)/100)*Table8[[#This Row],[P-RATE3]]</f>
        <v>652.35455999999999</v>
      </c>
      <c r="Q178" s="38">
        <v>200</v>
      </c>
      <c r="R178" s="235">
        <f t="shared" si="22"/>
        <v>452.35455999999999</v>
      </c>
    </row>
    <row r="179" spans="1:18" x14ac:dyDescent="0.45">
      <c r="A179" s="73">
        <v>45597</v>
      </c>
      <c r="B179" s="38" t="str">
        <f>C179&amp;D179</f>
        <v>S-S-KOLUSU-8</v>
      </c>
      <c r="C179" s="38" t="s">
        <v>726</v>
      </c>
      <c r="D179" s="74" t="s">
        <v>1215</v>
      </c>
      <c r="E179" s="75">
        <f>VLOOKUP(B179,'ALL-DATA'!A:F,2,FALSE)</f>
        <v>122.12</v>
      </c>
      <c r="F179" s="38">
        <f>VLOOKUP(B179,'ALL-DATA'!A:F,3,FALSE)</f>
        <v>76.5</v>
      </c>
      <c r="G179" s="38">
        <f>VLOOKUP(B179,'ALL-DATA'!A:F,4,FALSE)</f>
        <v>-11.5</v>
      </c>
      <c r="H179" s="76">
        <f>VLOOKUP(B179,'ALL-DATA'!A:F,5,FALSE)</f>
        <v>89.9</v>
      </c>
      <c r="I179" s="76">
        <f>VLOOKUP(B179,'ALL-DATA'!A:F,6,FALSE)</f>
        <v>8398.6198200000017</v>
      </c>
      <c r="J179" s="44">
        <f>18400-3600</f>
        <v>14800</v>
      </c>
      <c r="K179" s="48"/>
      <c r="L179" s="77">
        <f>((J179+R179)-I179)-I180</f>
        <v>3154.4612999999972</v>
      </c>
      <c r="M179" s="37">
        <v>174.8</v>
      </c>
      <c r="N179" s="38">
        <v>81</v>
      </c>
      <c r="O179" s="38">
        <v>95</v>
      </c>
      <c r="P179" s="38">
        <f>((((((Table8[[#This Row],[OLD-WT]]-(Table8[[#This Row],[OLD-WT]]*1%))*Table8[[#This Row],[MELTING2]])/100))*80)/100)*Table8[[#This Row],[P-RATE3]]</f>
        <v>10653.081119999999</v>
      </c>
      <c r="Q179" s="38">
        <v>13800</v>
      </c>
      <c r="R179" s="235">
        <f t="shared" si="22"/>
        <v>-3146.9188800000011</v>
      </c>
    </row>
    <row r="180" spans="1:18" x14ac:dyDescent="0.45">
      <c r="A180" s="73">
        <v>45597</v>
      </c>
      <c r="B180" s="121" t="s">
        <v>1081</v>
      </c>
      <c r="C180" s="38"/>
      <c r="D180" s="74"/>
      <c r="E180" s="75">
        <f>VLOOKUP(B180,'ALL-DATA'!A:F,2,FALSE)</f>
        <v>1</v>
      </c>
      <c r="F180" s="38">
        <f>VLOOKUP(B180,'ALL-DATA'!A:F,3,FALSE)</f>
        <v>0</v>
      </c>
      <c r="G180" s="38">
        <f>VLOOKUP(B180,'ALL-DATA'!A:F,4,FALSE)</f>
        <v>0</v>
      </c>
      <c r="H180" s="76">
        <f>VLOOKUP(B180,'ALL-DATA'!A:F,5,FALSE)</f>
        <v>0</v>
      </c>
      <c r="I180" s="76">
        <f>VLOOKUP(B180,'ALL-DATA'!A:F,6,FALSE)</f>
        <v>100</v>
      </c>
      <c r="J180" s="44"/>
      <c r="K180" s="48"/>
      <c r="L180" s="77">
        <v>0</v>
      </c>
      <c r="M180" s="37"/>
      <c r="N180" s="38"/>
      <c r="O180" s="38"/>
      <c r="P180" s="38"/>
      <c r="Q180" s="38"/>
      <c r="R180" s="235"/>
    </row>
    <row r="181" spans="1:18" x14ac:dyDescent="0.45">
      <c r="A181" s="73">
        <v>45597</v>
      </c>
      <c r="B181" s="38" t="str">
        <f>C181&amp;D181</f>
        <v>S-B-KOLUSU--57</v>
      </c>
      <c r="C181" s="38" t="s">
        <v>727</v>
      </c>
      <c r="D181" s="74" t="s">
        <v>1206</v>
      </c>
      <c r="E181" s="75">
        <f>VLOOKUP(B181,'ALL-DATA'!A:F,2,FALSE)</f>
        <v>53.3</v>
      </c>
      <c r="F181" s="38">
        <f>VLOOKUP(B181,'ALL-DATA'!A:F,3,FALSE)</f>
        <v>74.03</v>
      </c>
      <c r="G181" s="38">
        <f>VLOOKUP(B181,'ALL-DATA'!A:F,4,FALSE)</f>
        <v>-14.030000000000001</v>
      </c>
      <c r="H181" s="76">
        <f>VLOOKUP(B181,'ALL-DATA'!A:F,5,FALSE)</f>
        <v>90</v>
      </c>
      <c r="I181" s="76">
        <f>VLOOKUP(B181,'ALL-DATA'!A:F,6,FALSE)</f>
        <v>3551.2191000000003</v>
      </c>
      <c r="J181" s="44">
        <v>6000</v>
      </c>
      <c r="K181" s="48"/>
      <c r="L181" s="77">
        <f t="shared" ref="L181:L185" si="29">((J181+R181)-I181)</f>
        <v>2336.2194399999989</v>
      </c>
      <c r="M181" s="37">
        <v>70.349999999999994</v>
      </c>
      <c r="N181" s="38">
        <v>81</v>
      </c>
      <c r="O181" s="38">
        <v>95</v>
      </c>
      <c r="P181" s="38">
        <f>((((((Table8[[#This Row],[OLD-WT]]-(Table8[[#This Row],[OLD-WT]]*1%))*Table8[[#This Row],[MELTING2]])/100))*80)/100)*Table8[[#This Row],[P-RATE3]]</f>
        <v>4287.4385399999992</v>
      </c>
      <c r="Q181" s="38">
        <v>4400</v>
      </c>
      <c r="R181" s="235">
        <f t="shared" ref="R181:R245" si="30">(P181-Q181)</f>
        <v>-112.56146000000081</v>
      </c>
    </row>
    <row r="182" spans="1:18" x14ac:dyDescent="0.45">
      <c r="A182" s="73">
        <v>45597</v>
      </c>
      <c r="B182" s="131" t="s">
        <v>1207</v>
      </c>
      <c r="C182" s="38"/>
      <c r="D182" s="74"/>
      <c r="E182" s="75">
        <f>VLOOKUP(B182,'ALL-DATA'!A:F,2,FALSE)</f>
        <v>17</v>
      </c>
      <c r="F182" s="38">
        <f>VLOOKUP(B182,'ALL-DATA'!A:F,3,FALSE)</f>
        <v>80</v>
      </c>
      <c r="G182" s="38">
        <f>VLOOKUP(B182,'ALL-DATA'!A:F,4,FALSE)</f>
        <v>-15</v>
      </c>
      <c r="H182" s="76">
        <f>VLOOKUP(B182,'ALL-DATA'!A:F,5,FALSE)</f>
        <v>93</v>
      </c>
      <c r="I182" s="76">
        <f>VLOOKUP(B182,'ALL-DATA'!A:F,6,FALSE)</f>
        <v>1264.8</v>
      </c>
      <c r="J182" s="44">
        <v>2100</v>
      </c>
      <c r="K182" s="48"/>
      <c r="L182" s="77">
        <f t="shared" si="29"/>
        <v>835.2</v>
      </c>
      <c r="M182" s="37"/>
      <c r="N182" s="38"/>
      <c r="O182" s="38"/>
      <c r="P182" s="38">
        <f>((((((Table8[[#This Row],[OLD-WT]]-(Table8[[#This Row],[OLD-WT]]*1%))*Table8[[#This Row],[MELTING2]])/100))*80)/100)*Table8[[#This Row],[P-RATE3]]</f>
        <v>0</v>
      </c>
      <c r="Q182" s="38"/>
      <c r="R182" s="235">
        <f t="shared" si="30"/>
        <v>0</v>
      </c>
    </row>
    <row r="183" spans="1:18" x14ac:dyDescent="0.45">
      <c r="A183" s="73">
        <v>45597</v>
      </c>
      <c r="B183" s="38" t="str">
        <f>C183&amp;D183</f>
        <v>S-CHAIN-N-51</v>
      </c>
      <c r="C183" s="38" t="s">
        <v>732</v>
      </c>
      <c r="D183" s="74" t="s">
        <v>791</v>
      </c>
      <c r="E183" s="75">
        <f>VLOOKUP(B183,'ALL-DATA'!A:F,2,FALSE)</f>
        <v>31.5</v>
      </c>
      <c r="F183" s="38">
        <f>VLOOKUP(B183,'ALL-DATA'!A:F,3,FALSE)</f>
        <v>86</v>
      </c>
      <c r="G183" s="38">
        <f>VLOOKUP(B183,'ALL-DATA'!A:F,4,FALSE)</f>
        <v>-21</v>
      </c>
      <c r="H183" s="76">
        <f>VLOOKUP(B183,'ALL-DATA'!A:F,5,FALSE)</f>
        <v>94.8</v>
      </c>
      <c r="I183" s="76">
        <f>VLOOKUP(B183,'ALL-DATA'!A:F,6,FALSE)</f>
        <v>2568.1320000000001</v>
      </c>
      <c r="J183" s="44">
        <v>3900</v>
      </c>
      <c r="K183" s="48"/>
      <c r="L183" s="77">
        <f t="shared" si="29"/>
        <v>1331.8679999999999</v>
      </c>
      <c r="M183" s="37"/>
      <c r="N183" s="38"/>
      <c r="O183" s="38"/>
      <c r="P183" s="38">
        <f>((((((Table8[[#This Row],[OLD-WT]]-(Table8[[#This Row],[OLD-WT]]*1%))*Table8[[#This Row],[MELTING2]])/100))*80)/100)*Table8[[#This Row],[P-RATE3]]</f>
        <v>0</v>
      </c>
      <c r="Q183" s="38"/>
      <c r="R183" s="235">
        <f t="shared" si="30"/>
        <v>0</v>
      </c>
    </row>
    <row r="184" spans="1:18" x14ac:dyDescent="0.45">
      <c r="A184" s="73">
        <v>45597</v>
      </c>
      <c r="B184" s="38" t="str">
        <f>C184&amp;D184</f>
        <v>S-RING-148</v>
      </c>
      <c r="C184" s="38" t="s">
        <v>731</v>
      </c>
      <c r="D184" s="74" t="s">
        <v>1208</v>
      </c>
      <c r="E184" s="75">
        <f>VLOOKUP(B184,'ALL-DATA'!A:F,2,FALSE)</f>
        <v>5.7</v>
      </c>
      <c r="F184" s="38">
        <f>VLOOKUP(B184,'ALL-DATA'!A:F,3,FALSE)</f>
        <v>92.5</v>
      </c>
      <c r="G184" s="38">
        <f>VLOOKUP(B184,'ALL-DATA'!A:F,4,FALSE)</f>
        <v>92.5</v>
      </c>
      <c r="H184" s="76">
        <f>VLOOKUP(B184,'ALL-DATA'!A:F,5,FALSE)</f>
        <v>131.65</v>
      </c>
      <c r="I184" s="76">
        <f>VLOOKUP(B184,'ALL-DATA'!A:F,6,FALSE)</f>
        <v>750.40500000000009</v>
      </c>
      <c r="J184" s="44">
        <v>1300</v>
      </c>
      <c r="K184" s="48"/>
      <c r="L184" s="77">
        <f t="shared" si="29"/>
        <v>549.59499999999991</v>
      </c>
      <c r="M184" s="37"/>
      <c r="N184" s="38"/>
      <c r="O184" s="38"/>
      <c r="P184" s="38">
        <f>((((((Table8[[#This Row],[OLD-WT]]-(Table8[[#This Row],[OLD-WT]]*1%))*Table8[[#This Row],[MELTING2]])/100))*80)/100)*Table8[[#This Row],[P-RATE3]]</f>
        <v>0</v>
      </c>
      <c r="Q184" s="38"/>
      <c r="R184" s="235">
        <f t="shared" si="30"/>
        <v>0</v>
      </c>
    </row>
    <row r="185" spans="1:18" x14ac:dyDescent="0.45">
      <c r="A185" s="73">
        <v>45597</v>
      </c>
      <c r="B185" s="38" t="str">
        <f>C185&amp;D185</f>
        <v>S-RING-244</v>
      </c>
      <c r="C185" s="38" t="s">
        <v>731</v>
      </c>
      <c r="D185" s="74" t="s">
        <v>1209</v>
      </c>
      <c r="E185" s="75">
        <f>VLOOKUP(B185,'ALL-DATA'!A:F,2,FALSE)</f>
        <v>3.01</v>
      </c>
      <c r="F185" s="38">
        <f>VLOOKUP(B185,'ALL-DATA'!A:F,3,FALSE)</f>
        <v>92.5</v>
      </c>
      <c r="G185" s="38">
        <f>VLOOKUP(B185,'ALL-DATA'!A:F,4,FALSE)</f>
        <v>92.5</v>
      </c>
      <c r="H185" s="76">
        <f>VLOOKUP(B185,'ALL-DATA'!A:F,5,FALSE)</f>
        <v>123</v>
      </c>
      <c r="I185" s="76">
        <f>VLOOKUP(B185,'ALL-DATA'!A:F,6,FALSE)</f>
        <v>370.22999999999996</v>
      </c>
      <c r="J185" s="44">
        <v>600</v>
      </c>
      <c r="K185" s="48"/>
      <c r="L185" s="77">
        <f t="shared" si="29"/>
        <v>229.77000000000004</v>
      </c>
      <c r="M185" s="37"/>
      <c r="N185" s="38"/>
      <c r="O185" s="38"/>
      <c r="P185" s="38">
        <f>((((((Table8[[#This Row],[OLD-WT]]-(Table8[[#This Row],[OLD-WT]]*1%))*Table8[[#This Row],[MELTING2]])/100))*80)/100)*Table8[[#This Row],[P-RATE3]]</f>
        <v>0</v>
      </c>
      <c r="Q185" s="38"/>
      <c r="R185" s="235">
        <f t="shared" si="30"/>
        <v>0</v>
      </c>
    </row>
    <row r="186" spans="1:18" x14ac:dyDescent="0.45">
      <c r="A186" s="73">
        <v>45598</v>
      </c>
      <c r="B186" s="38" t="str">
        <f>C186&amp;D186</f>
        <v>S-S-KOLUSU-35</v>
      </c>
      <c r="C186" s="38" t="s">
        <v>726</v>
      </c>
      <c r="D186" s="74" t="s">
        <v>1014</v>
      </c>
      <c r="E186" s="75">
        <f>VLOOKUP(B186,'ALL-DATA'!A:F,2,FALSE)</f>
        <v>86.75</v>
      </c>
      <c r="F186" s="38">
        <f>VLOOKUP(B186,'ALL-DATA'!A:F,3,FALSE)</f>
        <v>76.5</v>
      </c>
      <c r="G186" s="38">
        <f>VLOOKUP(B186,'ALL-DATA'!A:F,4,FALSE)</f>
        <v>-11.5</v>
      </c>
      <c r="H186" s="76">
        <f>VLOOKUP(B186,'ALL-DATA'!A:F,5,FALSE)</f>
        <v>89.9</v>
      </c>
      <c r="I186" s="76">
        <f>VLOOKUP(B186,'ALL-DATA'!A:F,6,FALSE)</f>
        <v>5966.1011250000001</v>
      </c>
      <c r="J186" s="44">
        <v>9650</v>
      </c>
      <c r="K186" s="48"/>
      <c r="L186" s="77">
        <f>((J186+R186)-I186)</f>
        <v>3683.8988749999999</v>
      </c>
      <c r="M186" s="37"/>
      <c r="N186" s="38"/>
      <c r="O186" s="38">
        <v>95</v>
      </c>
      <c r="P186" s="38">
        <f>((((((Table8[[#This Row],[OLD-WT]]-(Table8[[#This Row],[OLD-WT]]*1%))*Table8[[#This Row],[MELTING2]])/100))*80)/100)*Table8[[#This Row],[P-RATE3]]</f>
        <v>0</v>
      </c>
      <c r="Q186" s="38"/>
      <c r="R186" s="235">
        <f t="shared" si="30"/>
        <v>0</v>
      </c>
    </row>
    <row r="187" spans="1:18" x14ac:dyDescent="0.45">
      <c r="A187" s="73">
        <v>45598</v>
      </c>
      <c r="B187" s="38" t="str">
        <f>C187&amp;D187</f>
        <v>S-S-KOLUSU-89</v>
      </c>
      <c r="C187" s="38" t="s">
        <v>726</v>
      </c>
      <c r="D187" s="74" t="s">
        <v>843</v>
      </c>
      <c r="E187" s="75">
        <f>VLOOKUP(B187,'ALL-DATA'!A:F,2,FALSE)</f>
        <v>122</v>
      </c>
      <c r="F187" s="38">
        <f>VLOOKUP(B187,'ALL-DATA'!A:F,3,FALSE)</f>
        <v>80</v>
      </c>
      <c r="G187" s="38">
        <f>VLOOKUP(B187,'ALL-DATA'!A:F,4,FALSE)</f>
        <v>-15</v>
      </c>
      <c r="H187" s="76">
        <f>VLOOKUP(B187,'ALL-DATA'!A:F,5,FALSE)</f>
        <v>86.4</v>
      </c>
      <c r="I187" s="76">
        <f>VLOOKUP(B187,'ALL-DATA'!A:F,6,FALSE)</f>
        <v>8432.64</v>
      </c>
      <c r="J187" s="44">
        <v>13550</v>
      </c>
      <c r="K187" s="48"/>
      <c r="L187" s="77">
        <f>((J187+R187)-I187)-I188</f>
        <v>2915.1447960000023</v>
      </c>
      <c r="M187" s="37">
        <v>129.59</v>
      </c>
      <c r="N187" s="38">
        <v>81</v>
      </c>
      <c r="O187" s="38">
        <v>95</v>
      </c>
      <c r="P187" s="38">
        <f>((((((Table8[[#This Row],[OLD-WT]]-(Table8[[#This Row],[OLD-WT]]*1%))*Table8[[#This Row],[MELTING2]])/100))*80)/100)*Table8[[#This Row],[P-RATE3]]</f>
        <v>7897.7847960000017</v>
      </c>
      <c r="Q187" s="38">
        <v>10000</v>
      </c>
      <c r="R187" s="235">
        <f t="shared" si="30"/>
        <v>-2102.2152039999983</v>
      </c>
    </row>
    <row r="188" spans="1:18" x14ac:dyDescent="0.45">
      <c r="A188" s="73">
        <v>45598</v>
      </c>
      <c r="B188" s="120" t="s">
        <v>1081</v>
      </c>
      <c r="C188" s="38"/>
      <c r="D188" s="74"/>
      <c r="E188" s="75">
        <f>VLOOKUP(B188,'ALL-DATA'!A:F,2,FALSE)</f>
        <v>1</v>
      </c>
      <c r="F188" s="38">
        <f>VLOOKUP(B188,'ALL-DATA'!A:F,3,FALSE)</f>
        <v>0</v>
      </c>
      <c r="G188" s="38">
        <f>VLOOKUP(B188,'ALL-DATA'!A:F,4,FALSE)</f>
        <v>0</v>
      </c>
      <c r="H188" s="76">
        <f>VLOOKUP(B188,'ALL-DATA'!A:F,5,FALSE)</f>
        <v>0</v>
      </c>
      <c r="I188" s="76">
        <f>VLOOKUP(B188,'ALL-DATA'!A:F,6,FALSE)</f>
        <v>100</v>
      </c>
      <c r="J188" s="44"/>
      <c r="K188" s="48"/>
      <c r="L188" s="77">
        <v>0</v>
      </c>
      <c r="M188" s="37"/>
      <c r="N188" s="38"/>
      <c r="O188" s="38"/>
      <c r="P188" s="38">
        <f>((((((Table8[[#This Row],[OLD-WT]]-(Table8[[#This Row],[OLD-WT]]*1%))*Table8[[#This Row],[MELTING2]])/100))*80)/100)*Table8[[#This Row],[P-RATE3]]</f>
        <v>0</v>
      </c>
      <c r="Q188" s="38"/>
      <c r="R188" s="235">
        <f t="shared" si="30"/>
        <v>0</v>
      </c>
    </row>
    <row r="189" spans="1:18" x14ac:dyDescent="0.45">
      <c r="A189" s="73">
        <v>45598</v>
      </c>
      <c r="B189" s="131" t="s">
        <v>804</v>
      </c>
      <c r="C189" s="38"/>
      <c r="D189" s="74"/>
      <c r="E189" s="75">
        <f>VLOOKUP(B189,'ALL-DATA'!A:F,2,FALSE)</f>
        <v>0</v>
      </c>
      <c r="F189" s="38">
        <f>VLOOKUP(B189,'ALL-DATA'!A:F,3,FALSE)</f>
        <v>0</v>
      </c>
      <c r="G189" s="38">
        <f>VLOOKUP(B189,'ALL-DATA'!A:F,4,FALSE)</f>
        <v>0</v>
      </c>
      <c r="H189" s="76">
        <f>VLOOKUP(B189,'ALL-DATA'!A:F,5,FALSE)</f>
        <v>0</v>
      </c>
      <c r="I189" s="76">
        <f>VLOOKUP(B189,'ALL-DATA'!A:F,6,FALSE)</f>
        <v>242</v>
      </c>
      <c r="J189" s="44">
        <v>400</v>
      </c>
      <c r="K189" s="48"/>
      <c r="L189" s="77">
        <f t="shared" ref="L189:L194" si="31">((J189+R189)-I189)</f>
        <v>262.06137200000006</v>
      </c>
      <c r="M189" s="37">
        <v>6.63</v>
      </c>
      <c r="N189" s="38">
        <v>81</v>
      </c>
      <c r="O189" s="38">
        <v>95</v>
      </c>
      <c r="P189" s="38">
        <f>((((((Table8[[#This Row],[OLD-WT]]-(Table8[[#This Row],[OLD-WT]]*1%))*Table8[[#This Row],[MELTING2]])/100))*80)/100)*Table8[[#This Row],[P-RATE3]]</f>
        <v>404.06137200000006</v>
      </c>
      <c r="Q189" s="38">
        <v>300</v>
      </c>
      <c r="R189" s="235">
        <f t="shared" si="30"/>
        <v>104.06137200000006</v>
      </c>
    </row>
    <row r="190" spans="1:18" x14ac:dyDescent="0.45">
      <c r="A190" s="73">
        <v>45599</v>
      </c>
      <c r="B190" s="38" t="str">
        <f>C190&amp;D190</f>
        <v>S-S-KOLUSU-78</v>
      </c>
      <c r="C190" s="38" t="s">
        <v>726</v>
      </c>
      <c r="D190" s="74" t="s">
        <v>1210</v>
      </c>
      <c r="E190" s="75">
        <f>VLOOKUP(B190,'ALL-DATA'!A:F,2,FALSE)</f>
        <v>84.45</v>
      </c>
      <c r="F190" s="38">
        <f>VLOOKUP(B190,'ALL-DATA'!A:F,3,FALSE)</f>
        <v>82</v>
      </c>
      <c r="G190" s="38">
        <f>VLOOKUP(B190,'ALL-DATA'!A:F,4,FALSE)</f>
        <v>-17</v>
      </c>
      <c r="H190" s="76">
        <f>VLOOKUP(B190,'ALL-DATA'!A:F,5,FALSE)</f>
        <v>92</v>
      </c>
      <c r="I190" s="76">
        <f>VLOOKUP(B190,'ALL-DATA'!A:F,6,FALSE)</f>
        <v>6370.9080000000013</v>
      </c>
      <c r="J190" s="44">
        <v>9330</v>
      </c>
      <c r="K190" s="48"/>
      <c r="L190" s="77">
        <f>((J190+R190)-I190)-I197</f>
        <v>2729.0919999999987</v>
      </c>
      <c r="M190" s="37"/>
      <c r="N190" s="38"/>
      <c r="O190" s="38"/>
      <c r="P190" s="38">
        <f>((((((Table8[[#This Row],[OLD-WT]]-(Table8[[#This Row],[OLD-WT]]*1%))*Table8[[#This Row],[MELTING2]])/100))*80)/100)*Table8[[#This Row],[P-RATE3]]</f>
        <v>0</v>
      </c>
      <c r="Q190" s="38"/>
      <c r="R190" s="235">
        <f t="shared" si="30"/>
        <v>0</v>
      </c>
    </row>
    <row r="191" spans="1:18" x14ac:dyDescent="0.45">
      <c r="A191" s="73">
        <v>45599</v>
      </c>
      <c r="B191" s="131" t="s">
        <v>1211</v>
      </c>
      <c r="C191" s="38"/>
      <c r="D191" s="74"/>
      <c r="E191" s="75">
        <f>VLOOKUP(B191,'ALL-DATA'!A:F,2,FALSE)</f>
        <v>2.75</v>
      </c>
      <c r="F191" s="38">
        <f>VLOOKUP(B191,'ALL-DATA'!A:F,3,FALSE)</f>
        <v>82</v>
      </c>
      <c r="G191" s="38">
        <f>VLOOKUP(B191,'ALL-DATA'!A:F,4,FALSE)</f>
        <v>0</v>
      </c>
      <c r="H191" s="76">
        <f>VLOOKUP(B191,'ALL-DATA'!A:F,5,FALSE)</f>
        <v>86.4</v>
      </c>
      <c r="I191" s="76">
        <f>VLOOKUP(B191,'ALL-DATA'!A:F,6,FALSE)</f>
        <v>194.83199999999999</v>
      </c>
      <c r="J191" s="44">
        <v>290</v>
      </c>
      <c r="K191" s="48"/>
      <c r="L191" s="77">
        <f t="shared" si="31"/>
        <v>95.168000000000006</v>
      </c>
      <c r="M191" s="37"/>
      <c r="N191" s="38"/>
      <c r="O191" s="38"/>
      <c r="P191" s="38">
        <f>((((((Table8[[#This Row],[OLD-WT]]-(Table8[[#This Row],[OLD-WT]]*1%))*Table8[[#This Row],[MELTING2]])/100))*80)/100)*Table8[[#This Row],[P-RATE3]]</f>
        <v>0</v>
      </c>
      <c r="Q191" s="38"/>
      <c r="R191" s="235">
        <f t="shared" si="30"/>
        <v>0</v>
      </c>
    </row>
    <row r="192" spans="1:18" x14ac:dyDescent="0.45">
      <c r="A192" s="73">
        <v>45599</v>
      </c>
      <c r="B192" s="131" t="s">
        <v>1212</v>
      </c>
      <c r="C192" s="38"/>
      <c r="D192" s="74"/>
      <c r="E192" s="75">
        <f>VLOOKUP(B192,'ALL-DATA'!A:F,2,FALSE)</f>
        <v>9.5</v>
      </c>
      <c r="F192" s="38">
        <f>VLOOKUP(B192,'ALL-DATA'!A:F,3,FALSE)</f>
        <v>80</v>
      </c>
      <c r="G192" s="38">
        <f>VLOOKUP(B192,'ALL-DATA'!A:F,4,FALSE)</f>
        <v>-15</v>
      </c>
      <c r="H192" s="76">
        <f>VLOOKUP(B192,'ALL-DATA'!A:F,5,FALSE)</f>
        <v>93</v>
      </c>
      <c r="I192" s="76">
        <f>VLOOKUP(B192,'ALL-DATA'!A:F,6,FALSE)</f>
        <v>706.8</v>
      </c>
      <c r="J192" s="44">
        <v>1050</v>
      </c>
      <c r="K192" s="48"/>
      <c r="L192" s="77">
        <f t="shared" si="31"/>
        <v>343.20000000000005</v>
      </c>
      <c r="M192" s="37"/>
      <c r="N192" s="38"/>
      <c r="O192" s="38"/>
      <c r="P192" s="38">
        <f>((((((Table8[[#This Row],[OLD-WT]]-(Table8[[#This Row],[OLD-WT]]*1%))*Table8[[#This Row],[MELTING2]])/100))*80)/100)*Table8[[#This Row],[P-RATE3]]</f>
        <v>0</v>
      </c>
      <c r="Q192" s="38"/>
      <c r="R192" s="235">
        <f t="shared" si="30"/>
        <v>0</v>
      </c>
    </row>
    <row r="193" spans="1:18" x14ac:dyDescent="0.45">
      <c r="A193" s="73">
        <v>45599</v>
      </c>
      <c r="B193" s="38" t="str">
        <f>C193&amp;D193</f>
        <v>S-AARUNA-12</v>
      </c>
      <c r="C193" s="38" t="s">
        <v>729</v>
      </c>
      <c r="D193" s="74" t="s">
        <v>987</v>
      </c>
      <c r="E193" s="75">
        <f>VLOOKUP(B193,'ALL-DATA'!A:F,2,FALSE)</f>
        <v>40.35</v>
      </c>
      <c r="F193" s="38">
        <f>VLOOKUP(B193,'ALL-DATA'!A:F,3,FALSE)</f>
        <v>82</v>
      </c>
      <c r="G193" s="38">
        <f>VLOOKUP(B193,'ALL-DATA'!A:F,4,FALSE)</f>
        <v>-27</v>
      </c>
      <c r="H193" s="76">
        <f>VLOOKUP(B193,'ALL-DATA'!A:F,5,FALSE)</f>
        <v>92</v>
      </c>
      <c r="I193" s="76">
        <f>VLOOKUP(B193,'ALL-DATA'!A:F,6,FALSE)</f>
        <v>3044.0040000000004</v>
      </c>
      <c r="J193" s="44">
        <v>4480</v>
      </c>
      <c r="K193" s="48"/>
      <c r="L193" s="77">
        <f>((J193+R193)-I193)</f>
        <v>1435.9959999999996</v>
      </c>
      <c r="M193" s="37"/>
      <c r="N193" s="38"/>
      <c r="O193" s="38"/>
      <c r="P193" s="38">
        <f>((((((Table8[[#This Row],[OLD-WT]]-(Table8[[#This Row],[OLD-WT]]*1%))*Table8[[#This Row],[MELTING2]])/100))*80)/100)*Table8[[#This Row],[P-RATE3]]</f>
        <v>0</v>
      </c>
      <c r="Q193" s="38"/>
      <c r="R193" s="235">
        <f t="shared" si="30"/>
        <v>0</v>
      </c>
    </row>
    <row r="194" spans="1:18" x14ac:dyDescent="0.45">
      <c r="A194" s="73">
        <v>45599</v>
      </c>
      <c r="B194" s="38" t="str">
        <f>C194&amp;D194</f>
        <v>S-KAPPU-N-11</v>
      </c>
      <c r="C194" s="38" t="s">
        <v>739</v>
      </c>
      <c r="D194" s="74" t="s">
        <v>780</v>
      </c>
      <c r="E194" s="75">
        <f>VLOOKUP(B194,'ALL-DATA'!A:F,2,FALSE)</f>
        <v>10.42</v>
      </c>
      <c r="F194" s="38">
        <f>VLOOKUP(B194,'ALL-DATA'!A:F,3,FALSE)</f>
        <v>85</v>
      </c>
      <c r="G194" s="38">
        <f>VLOOKUP(B194,'ALL-DATA'!A:F,4,FALSE)</f>
        <v>-64</v>
      </c>
      <c r="H194" s="76">
        <f>VLOOKUP(B194,'ALL-DATA'!A:F,5,FALSE)</f>
        <v>89</v>
      </c>
      <c r="I194" s="76">
        <f>VLOOKUP(B194,'ALL-DATA'!A:F,6,FALSE)</f>
        <v>788.27300000000014</v>
      </c>
      <c r="J194" s="44">
        <v>1350</v>
      </c>
      <c r="K194" s="48"/>
      <c r="L194" s="77">
        <f t="shared" si="31"/>
        <v>561.72699999999986</v>
      </c>
      <c r="M194" s="37"/>
      <c r="N194" s="38"/>
      <c r="O194" s="38"/>
      <c r="P194" s="38">
        <f>((((((Table8[[#This Row],[OLD-WT]]-(Table8[[#This Row],[OLD-WT]]*1%))*Table8[[#This Row],[MELTING2]])/100))*80)/100)*Table8[[#This Row],[P-RATE3]]</f>
        <v>0</v>
      </c>
      <c r="Q194" s="38"/>
      <c r="R194" s="235">
        <f t="shared" si="30"/>
        <v>0</v>
      </c>
    </row>
    <row r="195" spans="1:18" x14ac:dyDescent="0.45">
      <c r="A195" s="73">
        <v>45599</v>
      </c>
      <c r="B195" s="38" t="str">
        <f>C195&amp;D195</f>
        <v>G-RING-G19</v>
      </c>
      <c r="C195" s="38" t="s">
        <v>718</v>
      </c>
      <c r="D195" s="74" t="s">
        <v>1001</v>
      </c>
      <c r="E195" s="75">
        <f>VLOOKUP(B195,'ALL-DATA'!A:F,2,FALSE)</f>
        <v>0.96</v>
      </c>
      <c r="F195" s="38">
        <f>VLOOKUP(B195,'ALL-DATA'!A:F,3,FALSE)</f>
        <v>96.75</v>
      </c>
      <c r="G195" s="38">
        <f>VLOOKUP(B195,'ALL-DATA'!A:F,4,FALSE)</f>
        <v>-4.75</v>
      </c>
      <c r="H195" s="76">
        <f>VLOOKUP(B195,'ALL-DATA'!A:F,5,FALSE)</f>
        <v>7218.2</v>
      </c>
      <c r="I195" s="76">
        <f>VLOOKUP(B195,'ALL-DATA'!A:F,6,FALSE)</f>
        <v>6704.2641599999997</v>
      </c>
      <c r="J195" s="44">
        <v>8000</v>
      </c>
      <c r="K195" s="48"/>
      <c r="L195" s="77">
        <f>((J195+R195)-I195)</f>
        <v>1295.7358400000003</v>
      </c>
      <c r="M195" s="37"/>
      <c r="N195" s="38"/>
      <c r="O195" s="38"/>
      <c r="P195" s="38">
        <f>((((((Table8[[#This Row],[OLD-WT]]-(Table8[[#This Row],[OLD-WT]]*1%))*Table8[[#This Row],[MELTING2]])/100))*80)/100)*Table8[[#This Row],[P-RATE3]]</f>
        <v>0</v>
      </c>
      <c r="Q195" s="38"/>
      <c r="R195" s="235">
        <f t="shared" si="30"/>
        <v>0</v>
      </c>
    </row>
    <row r="196" spans="1:18" x14ac:dyDescent="0.45">
      <c r="A196" s="73">
        <v>45599</v>
      </c>
      <c r="B196" s="38" t="str">
        <f>C196&amp;D196</f>
        <v>S-CHAIN-92.5-B-5</v>
      </c>
      <c r="C196" s="38" t="s">
        <v>735</v>
      </c>
      <c r="D196" s="74" t="s">
        <v>875</v>
      </c>
      <c r="E196" s="75">
        <f>VLOOKUP(B196,'ALL-DATA'!A:F,2,FALSE)</f>
        <v>33.11</v>
      </c>
      <c r="F196" s="38">
        <f>VLOOKUP(B196,'ALL-DATA'!A:F,3,FALSE)</f>
        <v>92.5</v>
      </c>
      <c r="G196" s="38">
        <f>VLOOKUP(B196,'ALL-DATA'!A:F,4,FALSE)</f>
        <v>-27.5</v>
      </c>
      <c r="H196" s="76">
        <f>VLOOKUP(B196,'ALL-DATA'!A:F,5,FALSE)</f>
        <v>90</v>
      </c>
      <c r="I196" s="76">
        <f>VLOOKUP(B196,'ALL-DATA'!A:F,6,FALSE)</f>
        <v>2979.9</v>
      </c>
      <c r="J196" s="44">
        <v>5000</v>
      </c>
      <c r="K196" s="48"/>
      <c r="L196" s="77">
        <f>((J196+R196)-I196)</f>
        <v>611.02735999999959</v>
      </c>
      <c r="M196" s="37">
        <v>134.4</v>
      </c>
      <c r="N196" s="38">
        <v>81</v>
      </c>
      <c r="O196" s="38">
        <v>95</v>
      </c>
      <c r="P196" s="38">
        <f>((((((Table8[[#This Row],[OLD-WT]]-(Table8[[#This Row],[OLD-WT]]*1%))*Table8[[#This Row],[MELTING2]])/100))*80)/100)*Table8[[#This Row],[P-RATE3]]</f>
        <v>8190.9273599999997</v>
      </c>
      <c r="Q196" s="38">
        <v>9600</v>
      </c>
      <c r="R196" s="235">
        <f t="shared" si="30"/>
        <v>-1409.0726400000003</v>
      </c>
    </row>
    <row r="197" spans="1:18" x14ac:dyDescent="0.45">
      <c r="A197" s="73">
        <v>45599</v>
      </c>
      <c r="B197" s="120" t="s">
        <v>1082</v>
      </c>
      <c r="C197" s="38"/>
      <c r="D197" s="74"/>
      <c r="E197" s="75">
        <f>VLOOKUP(B197,'ALL-DATA'!A:F,2,FALSE)</f>
        <v>0</v>
      </c>
      <c r="F197" s="38">
        <f>VLOOKUP(B197,'ALL-DATA'!A:F,3,FALSE)</f>
        <v>0</v>
      </c>
      <c r="G197" s="38">
        <f>VLOOKUP(B197,'ALL-DATA'!A:F,4,FALSE)</f>
        <v>0</v>
      </c>
      <c r="H197" s="76">
        <f>VLOOKUP(B197,'ALL-DATA'!A:F,5,FALSE)</f>
        <v>0</v>
      </c>
      <c r="I197" s="76">
        <f>VLOOKUP(B197,'ALL-DATA'!A:F,6,FALSE)</f>
        <v>230</v>
      </c>
      <c r="J197" s="44"/>
      <c r="K197" s="48"/>
      <c r="L197" s="77">
        <v>0</v>
      </c>
      <c r="M197" s="37"/>
      <c r="N197" s="38"/>
      <c r="O197" s="38"/>
      <c r="P197" s="38">
        <f>((((((Table8[[#This Row],[OLD-WT]]-(Table8[[#This Row],[OLD-WT]]*1%))*Table8[[#This Row],[MELTING2]])/100))*80)/100)*Table8[[#This Row],[P-RATE3]]</f>
        <v>0</v>
      </c>
      <c r="Q197" s="38"/>
      <c r="R197" s="235">
        <f t="shared" si="30"/>
        <v>0</v>
      </c>
    </row>
    <row r="198" spans="1:18" x14ac:dyDescent="0.45">
      <c r="A198" s="73">
        <v>45600</v>
      </c>
      <c r="B198" s="38" t="str">
        <f>C198&amp;D198</f>
        <v>S-BANGLE-14</v>
      </c>
      <c r="C198" s="38" t="s">
        <v>988</v>
      </c>
      <c r="D198" s="74" t="s">
        <v>1162</v>
      </c>
      <c r="E198" s="75">
        <f>VLOOKUP(B198,'ALL-DATA'!A:F,2,FALSE)</f>
        <v>13.5</v>
      </c>
      <c r="F198" s="38">
        <f>VLOOKUP(B198,'ALL-DATA'!A:F,3,FALSE)</f>
        <v>76</v>
      </c>
      <c r="G198" s="38">
        <f>VLOOKUP(B198,'ALL-DATA'!A:F,4,FALSE)</f>
        <v>-11</v>
      </c>
      <c r="H198" s="76">
        <f>VLOOKUP(B198,'ALL-DATA'!A:F,5,FALSE)</f>
        <v>91.5</v>
      </c>
      <c r="I198" s="76">
        <f>VLOOKUP(B198,'ALL-DATA'!A:F,6,FALSE)</f>
        <v>938.79</v>
      </c>
      <c r="J198" s="44">
        <v>2000</v>
      </c>
      <c r="K198" s="48"/>
      <c r="L198" s="77">
        <f t="shared" ref="L198:L206" si="32">((J198+R198)-I198)</f>
        <v>1061.21</v>
      </c>
      <c r="M198" s="37"/>
      <c r="N198" s="38"/>
      <c r="O198" s="38"/>
      <c r="P198" s="38">
        <f>((((((Table8[[#This Row],[OLD-WT]]-(Table8[[#This Row],[OLD-WT]]*1%))*Table8[[#This Row],[MELTING2]])/100))*80)/100)*Table8[[#This Row],[P-RATE3]]</f>
        <v>0</v>
      </c>
      <c r="Q198" s="38"/>
      <c r="R198" s="235">
        <f t="shared" si="30"/>
        <v>0</v>
      </c>
    </row>
    <row r="199" spans="1:18" x14ac:dyDescent="0.45">
      <c r="A199" s="73">
        <v>45601</v>
      </c>
      <c r="B199" s="23" t="s">
        <v>1216</v>
      </c>
      <c r="C199" s="38"/>
      <c r="D199" s="74"/>
      <c r="E199" s="75">
        <f>VLOOKUP(B199,'ALL-DATA'!A:F,2,FALSE)</f>
        <v>8.35</v>
      </c>
      <c r="F199" s="38">
        <f>VLOOKUP(B199,'ALL-DATA'!A:F,3,FALSE)</f>
        <v>80</v>
      </c>
      <c r="G199" s="38">
        <f>VLOOKUP(B199,'ALL-DATA'!A:F,4,FALSE)</f>
        <v>-15</v>
      </c>
      <c r="H199" s="76">
        <f>VLOOKUP(B199,'ALL-DATA'!A:F,5,FALSE)</f>
        <v>93</v>
      </c>
      <c r="I199" s="76">
        <f>VLOOKUP(B199,'ALL-DATA'!A:F,6,FALSE)</f>
        <v>621.24</v>
      </c>
      <c r="J199" s="44">
        <v>1040</v>
      </c>
      <c r="K199" s="48"/>
      <c r="L199" s="77">
        <f t="shared" si="32"/>
        <v>357.1497599999999</v>
      </c>
      <c r="M199" s="37">
        <v>8.2799999999999994</v>
      </c>
      <c r="N199" s="38">
        <v>80</v>
      </c>
      <c r="O199" s="38">
        <v>95</v>
      </c>
      <c r="P199" s="38">
        <f>((((((Table8[[#This Row],[OLD-WT]]-(Table8[[#This Row],[OLD-WT]]*1%))*Table8[[#This Row],[MELTING2]])/100))*80)/100)*Table8[[#This Row],[P-RATE3]]</f>
        <v>498.38975999999991</v>
      </c>
      <c r="Q199" s="38">
        <v>560</v>
      </c>
      <c r="R199" s="235">
        <f t="shared" si="30"/>
        <v>-61.61024000000009</v>
      </c>
    </row>
    <row r="200" spans="1:18" x14ac:dyDescent="0.45">
      <c r="A200" s="73">
        <v>45601</v>
      </c>
      <c r="B200" s="38" t="str">
        <f>C200&amp;D200</f>
        <v>G-PESERI-39</v>
      </c>
      <c r="C200" s="38" t="s">
        <v>725</v>
      </c>
      <c r="D200" s="74" t="s">
        <v>1217</v>
      </c>
      <c r="E200" s="75">
        <f>VLOOKUP(B200,'ALL-DATA'!A:F,2,FALSE)</f>
        <v>0.25</v>
      </c>
      <c r="F200" s="38">
        <f>VLOOKUP(B200,'ALL-DATA'!A:F,3,FALSE)</f>
        <v>80.39</v>
      </c>
      <c r="G200" s="38">
        <f>VLOOKUP(B200,'ALL-DATA'!A:F,4,FALSE)</f>
        <v>-10</v>
      </c>
      <c r="H200" s="76">
        <f>VLOOKUP(B200,'ALL-DATA'!A:F,5,FALSE)</f>
        <v>7218.2</v>
      </c>
      <c r="I200" s="76">
        <f>VLOOKUP(B200,'ALL-DATA'!A:F,6,FALSE)</f>
        <v>1450.677745</v>
      </c>
      <c r="J200" s="44">
        <v>2300</v>
      </c>
      <c r="K200" s="48"/>
      <c r="L200" s="77">
        <f t="shared" si="32"/>
        <v>849.32225500000004</v>
      </c>
      <c r="M200" s="37"/>
      <c r="N200" s="38"/>
      <c r="O200" s="38"/>
      <c r="P200" s="38">
        <f>((((((Table8[[#This Row],[OLD-WT]]-(Table8[[#This Row],[OLD-WT]]*1%))*Table8[[#This Row],[MELTING2]])/100))*80)/100)*Table8[[#This Row],[P-RATE3]]</f>
        <v>0</v>
      </c>
      <c r="Q200" s="38"/>
      <c r="R200" s="235">
        <f t="shared" si="30"/>
        <v>0</v>
      </c>
    </row>
    <row r="201" spans="1:18" x14ac:dyDescent="0.45">
      <c r="A201" s="73">
        <v>45601</v>
      </c>
      <c r="B201" s="1" t="s">
        <v>1291</v>
      </c>
      <c r="C201" s="38"/>
      <c r="D201" s="74"/>
      <c r="E201" s="75">
        <f>VLOOKUP(B201,'ALL-DATA'!A:F,2,FALSE)</f>
        <v>0.22</v>
      </c>
      <c r="F201" s="38">
        <f>VLOOKUP(B201,'ALL-DATA'!A:F,3,FALSE)</f>
        <v>79</v>
      </c>
      <c r="G201" s="38">
        <f>VLOOKUP(B201,'ALL-DATA'!A:F,4,FALSE)</f>
        <v>0</v>
      </c>
      <c r="H201" s="76">
        <f>VLOOKUP(B201,'ALL-DATA'!A:F,5,FALSE)</f>
        <v>8000</v>
      </c>
      <c r="I201" s="76">
        <f>VLOOKUP(B201,'ALL-DATA'!A:F,6,FALSE)</f>
        <v>1400</v>
      </c>
      <c r="J201" s="44">
        <v>2100</v>
      </c>
      <c r="K201" s="48"/>
      <c r="L201" s="77">
        <f>((J201+R201)-I201)+R202</f>
        <v>2253.2168359999996</v>
      </c>
      <c r="M201" s="37">
        <v>0.43</v>
      </c>
      <c r="N201" s="38">
        <v>70</v>
      </c>
      <c r="O201" s="38">
        <v>7800</v>
      </c>
      <c r="P201" s="38">
        <v>1500</v>
      </c>
      <c r="Q201" s="38">
        <v>500</v>
      </c>
      <c r="R201" s="235">
        <f t="shared" si="30"/>
        <v>1000</v>
      </c>
    </row>
    <row r="202" spans="1:18" x14ac:dyDescent="0.45">
      <c r="A202" s="73">
        <v>45601</v>
      </c>
      <c r="B202" s="38" t="str">
        <f>C202&amp;D202</f>
        <v/>
      </c>
      <c r="C202" s="38"/>
      <c r="D202" s="74"/>
      <c r="E202" s="75">
        <v>0</v>
      </c>
      <c r="F202" s="38">
        <v>0</v>
      </c>
      <c r="G202" s="38">
        <v>0</v>
      </c>
      <c r="H202" s="76">
        <v>0</v>
      </c>
      <c r="I202" s="76">
        <v>0</v>
      </c>
      <c r="J202" s="44"/>
      <c r="K202" s="48"/>
      <c r="L202" s="77">
        <v>0</v>
      </c>
      <c r="M202" s="37">
        <v>33.69</v>
      </c>
      <c r="N202" s="38">
        <v>81</v>
      </c>
      <c r="O202" s="38">
        <v>95</v>
      </c>
      <c r="P202" s="38">
        <f>((((((Table8[[#This Row],[OLD-WT]]-(Table8[[#This Row],[OLD-WT]]*1%))*Table8[[#This Row],[MELTING2]])/100))*80)/100)*Table8[[#This Row],[P-RATE3]]</f>
        <v>2053.2168359999996</v>
      </c>
      <c r="Q202" s="38">
        <v>1500</v>
      </c>
      <c r="R202" s="235">
        <f t="shared" si="30"/>
        <v>553.2168359999996</v>
      </c>
    </row>
    <row r="203" spans="1:18" x14ac:dyDescent="0.45">
      <c r="A203" s="73">
        <v>45601</v>
      </c>
      <c r="B203" s="38" t="str">
        <f>C203&amp;D203</f>
        <v>G-PESERI-47</v>
      </c>
      <c r="C203" s="38" t="s">
        <v>725</v>
      </c>
      <c r="D203" s="74" t="s">
        <v>1218</v>
      </c>
      <c r="E203" s="75">
        <f>VLOOKUP(B203,'ALL-DATA'!A:F,2,FALSE)</f>
        <v>0.35</v>
      </c>
      <c r="F203" s="38">
        <f>VLOOKUP(B203,'ALL-DATA'!A:F,3,FALSE)</f>
        <v>80.39</v>
      </c>
      <c r="G203" s="38">
        <f>VLOOKUP(B203,'ALL-DATA'!A:F,4,FALSE)</f>
        <v>-10</v>
      </c>
      <c r="H203" s="76">
        <f>VLOOKUP(B203,'ALL-DATA'!A:F,5,FALSE)</f>
        <v>7218.2</v>
      </c>
      <c r="I203" s="76">
        <f>VLOOKUP(B203,'ALL-DATA'!A:F,6,FALSE)</f>
        <v>2030.9488429999997</v>
      </c>
      <c r="J203" s="44">
        <v>3000</v>
      </c>
      <c r="K203" s="48"/>
      <c r="L203" s="77">
        <f t="shared" si="32"/>
        <v>2139.0511570000003</v>
      </c>
      <c r="M203" s="37">
        <v>0.55000000000000004</v>
      </c>
      <c r="N203" s="38">
        <v>30</v>
      </c>
      <c r="O203" s="38">
        <v>7800</v>
      </c>
      <c r="P203" s="38">
        <f>((((Table8[[#This Row],[OLD-WT]]-0.05)*Table8[[#This Row],[MELTING2]])/100)*Table8[[#This Row],[P-RATE3]])</f>
        <v>1170</v>
      </c>
      <c r="Q203" s="38"/>
      <c r="R203" s="235">
        <f t="shared" si="30"/>
        <v>1170</v>
      </c>
    </row>
    <row r="204" spans="1:18" x14ac:dyDescent="0.45">
      <c r="A204" s="73">
        <v>45601</v>
      </c>
      <c r="B204" s="38" t="str">
        <f>C204&amp;D204</f>
        <v>S-RING-170</v>
      </c>
      <c r="C204" s="38" t="s">
        <v>731</v>
      </c>
      <c r="D204" s="74" t="s">
        <v>1219</v>
      </c>
      <c r="E204" s="75">
        <f>VLOOKUP(B204,'ALL-DATA'!A:F,2,FALSE)</f>
        <v>1.2</v>
      </c>
      <c r="F204" s="38">
        <f>VLOOKUP(B204,'ALL-DATA'!A:F,3,FALSE)</f>
        <v>92.5</v>
      </c>
      <c r="G204" s="38">
        <f>VLOOKUP(B204,'ALL-DATA'!A:F,4,FALSE)</f>
        <v>92.5</v>
      </c>
      <c r="H204" s="76">
        <f>VLOOKUP(B204,'ALL-DATA'!A:F,5,FALSE)</f>
        <v>131.65</v>
      </c>
      <c r="I204" s="76">
        <f>VLOOKUP(B204,'ALL-DATA'!A:F,6,FALSE)</f>
        <v>157.97999999999999</v>
      </c>
      <c r="J204" s="44">
        <v>250</v>
      </c>
      <c r="K204" s="48"/>
      <c r="L204" s="77">
        <f t="shared" si="32"/>
        <v>147.1528000000001</v>
      </c>
      <c r="M204" s="37">
        <v>5.9</v>
      </c>
      <c r="N204" s="38">
        <v>80</v>
      </c>
      <c r="O204" s="38">
        <v>95</v>
      </c>
      <c r="P204" s="38">
        <f>((((((Table8[[#This Row],[OLD-WT]]-(Table8[[#This Row],[OLD-WT]]*1%))*Table8[[#This Row],[MELTING2]])/100))*80)/100)*Table8[[#This Row],[P-RATE3]]</f>
        <v>355.13280000000009</v>
      </c>
      <c r="Q204" s="38">
        <v>300</v>
      </c>
      <c r="R204" s="235">
        <f t="shared" si="30"/>
        <v>55.132800000000088</v>
      </c>
    </row>
    <row r="205" spans="1:18" x14ac:dyDescent="0.45">
      <c r="A205" s="73">
        <v>45601</v>
      </c>
      <c r="B205" s="38" t="str">
        <f>C205&amp;D205</f>
        <v>S-RING-210</v>
      </c>
      <c r="C205" s="38" t="s">
        <v>731</v>
      </c>
      <c r="D205" s="74" t="s">
        <v>1220</v>
      </c>
      <c r="E205" s="75">
        <f>VLOOKUP(B205,'ALL-DATA'!A:F,2,FALSE)</f>
        <v>1.76</v>
      </c>
      <c r="F205" s="38">
        <f>VLOOKUP(B205,'ALL-DATA'!A:F,3,FALSE)</f>
        <v>92.5</v>
      </c>
      <c r="G205" s="38">
        <f>VLOOKUP(B205,'ALL-DATA'!A:F,4,FALSE)</f>
        <v>92.5</v>
      </c>
      <c r="H205" s="76">
        <f>VLOOKUP(B205,'ALL-DATA'!A:F,5,FALSE)</f>
        <v>125.57</v>
      </c>
      <c r="I205" s="76">
        <f>VLOOKUP(B205,'ALL-DATA'!A:F,6,FALSE)</f>
        <v>221.00319999999999</v>
      </c>
      <c r="J205" s="44">
        <v>350</v>
      </c>
      <c r="K205" s="48"/>
      <c r="L205" s="77">
        <f t="shared" si="32"/>
        <v>128.99680000000001</v>
      </c>
      <c r="M205" s="37"/>
      <c r="N205" s="38"/>
      <c r="O205" s="38"/>
      <c r="P205" s="38">
        <f>((((((Table8[[#This Row],[OLD-WT]]-(Table8[[#This Row],[OLD-WT]]*1%))*Table8[[#This Row],[MELTING2]])/100))*80)/100)*Table8[[#This Row],[P-RATE3]]</f>
        <v>0</v>
      </c>
      <c r="Q205" s="38"/>
      <c r="R205" s="235">
        <f t="shared" si="30"/>
        <v>0</v>
      </c>
    </row>
    <row r="206" spans="1:18" x14ac:dyDescent="0.45">
      <c r="A206" s="73">
        <v>45602</v>
      </c>
      <c r="B206" s="38" t="s">
        <v>1221</v>
      </c>
      <c r="C206" s="38"/>
      <c r="D206" s="74"/>
      <c r="E206" s="75">
        <f>VLOOKUP(B206,'ALL-DATA'!A:F,2,FALSE)</f>
        <v>48.85</v>
      </c>
      <c r="F206" s="38">
        <f>VLOOKUP(B206,'ALL-DATA'!A:F,3,FALSE)</f>
        <v>82</v>
      </c>
      <c r="G206" s="38">
        <f>VLOOKUP(B206,'ALL-DATA'!A:F,4,FALSE)</f>
        <v>0</v>
      </c>
      <c r="H206" s="76">
        <f>VLOOKUP(B206,'ALL-DATA'!A:F,5,FALSE)</f>
        <v>95</v>
      </c>
      <c r="I206" s="76">
        <f>VLOOKUP(B206,'ALL-DATA'!A:F,6,FALSE)</f>
        <v>3810</v>
      </c>
      <c r="J206" s="44">
        <v>5500</v>
      </c>
      <c r="K206" s="48"/>
      <c r="L206" s="77">
        <f t="shared" si="32"/>
        <v>1690</v>
      </c>
      <c r="M206" s="37"/>
      <c r="N206" s="38"/>
      <c r="O206" s="38"/>
      <c r="P206" s="38">
        <f>((((((Table8[[#This Row],[OLD-WT]]-(Table8[[#This Row],[OLD-WT]]*1%))*Table8[[#This Row],[MELTING2]])/100))*80)/100)*Table8[[#This Row],[P-RATE3]]</f>
        <v>0</v>
      </c>
      <c r="Q206" s="38"/>
      <c r="R206" s="235">
        <f t="shared" si="30"/>
        <v>0</v>
      </c>
    </row>
    <row r="207" spans="1:18" x14ac:dyDescent="0.45">
      <c r="A207" s="73">
        <v>45604</v>
      </c>
      <c r="B207" s="38" t="str">
        <f>C207&amp;D207</f>
        <v>G-RING-G6</v>
      </c>
      <c r="C207" s="38" t="s">
        <v>718</v>
      </c>
      <c r="D207" s="74" t="s">
        <v>986</v>
      </c>
      <c r="E207" s="75">
        <f>VLOOKUP(B207,'ALL-DATA'!A:F,2,FALSE)</f>
        <v>2.13</v>
      </c>
      <c r="F207" s="38">
        <f>VLOOKUP(B207,'ALL-DATA'!A:F,3,FALSE)</f>
        <v>96.75</v>
      </c>
      <c r="G207" s="38">
        <f>VLOOKUP(B207,'ALL-DATA'!A:F,4,FALSE)</f>
        <v>-4.75</v>
      </c>
      <c r="H207" s="76">
        <f>VLOOKUP(B207,'ALL-DATA'!A:F,5,FALSE)</f>
        <v>7218.2</v>
      </c>
      <c r="I207" s="76">
        <f>VLOOKUP(B207,'ALL-DATA'!A:F,6,FALSE)</f>
        <v>14875.086105</v>
      </c>
      <c r="J207" s="170">
        <v>17900</v>
      </c>
      <c r="K207" s="165"/>
      <c r="L207" s="77">
        <f>((J207+R207)-I207)-I208</f>
        <v>2794.9138949999997</v>
      </c>
      <c r="M207" s="37"/>
      <c r="N207" s="38"/>
      <c r="O207" s="38"/>
      <c r="P207" s="38">
        <f>((((((Table8[[#This Row],[OLD-WT]]-(Table8[[#This Row],[OLD-WT]]*1%))*Table8[[#This Row],[MELTING2]])/100))*80)/100)*Table8[[#This Row],[P-RATE3]]</f>
        <v>0</v>
      </c>
      <c r="Q207" s="38"/>
      <c r="R207" s="235">
        <f t="shared" si="30"/>
        <v>0</v>
      </c>
    </row>
    <row r="208" spans="1:18" x14ac:dyDescent="0.45">
      <c r="A208" s="73">
        <v>45604</v>
      </c>
      <c r="B208" s="121" t="s">
        <v>1082</v>
      </c>
      <c r="C208" s="38"/>
      <c r="D208" s="74"/>
      <c r="E208" s="75">
        <f>VLOOKUP(B208,'ALL-DATA'!A:F,2,FALSE)</f>
        <v>0</v>
      </c>
      <c r="F208" s="38">
        <f>VLOOKUP(B208,'ALL-DATA'!A:F,3,FALSE)</f>
        <v>0</v>
      </c>
      <c r="G208" s="38">
        <f>VLOOKUP(B208,'ALL-DATA'!A:F,4,FALSE)</f>
        <v>0</v>
      </c>
      <c r="H208" s="76">
        <f>VLOOKUP(B208,'ALL-DATA'!A:F,5,FALSE)</f>
        <v>0</v>
      </c>
      <c r="I208" s="76">
        <f>VLOOKUP(B208,'ALL-DATA'!A:F,6,FALSE)</f>
        <v>230</v>
      </c>
      <c r="J208" s="170"/>
      <c r="K208" s="165"/>
      <c r="L208" s="77">
        <v>0</v>
      </c>
      <c r="M208" s="37"/>
      <c r="N208" s="38"/>
      <c r="O208" s="38"/>
      <c r="P208" s="38"/>
      <c r="Q208" s="38"/>
      <c r="R208" s="235"/>
    </row>
    <row r="209" spans="1:18" x14ac:dyDescent="0.45">
      <c r="A209" s="73">
        <v>45605</v>
      </c>
      <c r="B209" s="38" t="str">
        <f>C209&amp;D209</f>
        <v>S-RING-169</v>
      </c>
      <c r="C209" s="38" t="s">
        <v>731</v>
      </c>
      <c r="D209" s="74" t="s">
        <v>1261</v>
      </c>
      <c r="E209" s="75">
        <f>VLOOKUP(B209,'ALL-DATA'!A:F,2,FALSE)</f>
        <v>1.2</v>
      </c>
      <c r="F209" s="38">
        <f>VLOOKUP(B209,'ALL-DATA'!A:F,3,FALSE)</f>
        <v>92.5</v>
      </c>
      <c r="G209" s="38">
        <f>VLOOKUP(B209,'ALL-DATA'!A:F,4,FALSE)</f>
        <v>92.5</v>
      </c>
      <c r="H209" s="76">
        <f>VLOOKUP(B209,'ALL-DATA'!A:F,5,FALSE)</f>
        <v>131.65</v>
      </c>
      <c r="I209" s="76">
        <f>VLOOKUP(B209,'ALL-DATA'!A:F,6,FALSE)</f>
        <v>157.97999999999999</v>
      </c>
      <c r="J209" s="44">
        <v>290</v>
      </c>
      <c r="K209" s="48"/>
      <c r="L209" s="77">
        <f t="shared" ref="L209:L214" si="33">((J209+R209)-I209)</f>
        <v>132.02000000000001</v>
      </c>
      <c r="M209" s="37"/>
      <c r="N209" s="38"/>
      <c r="O209" s="38"/>
      <c r="P209" s="38">
        <f>((((((Table8[[#This Row],[OLD-WT]]-(Table8[[#This Row],[OLD-WT]]*1%))*Table8[[#This Row],[MELTING2]])/100))*80)/100)*Table8[[#This Row],[P-RATE3]]</f>
        <v>0</v>
      </c>
      <c r="Q209" s="38"/>
      <c r="R209" s="235">
        <f t="shared" si="30"/>
        <v>0</v>
      </c>
    </row>
    <row r="210" spans="1:18" x14ac:dyDescent="0.45">
      <c r="A210" s="73">
        <v>45605</v>
      </c>
      <c r="B210" s="38" t="s">
        <v>1262</v>
      </c>
      <c r="C210" s="38"/>
      <c r="D210" s="74"/>
      <c r="E210" s="75">
        <f>VLOOKUP(B210,'ALL-DATA'!A:F,2,FALSE)</f>
        <v>106.6</v>
      </c>
      <c r="F210" s="38">
        <f>VLOOKUP(B210,'ALL-DATA'!A:F,3,FALSE)</f>
        <v>82</v>
      </c>
      <c r="G210" s="38">
        <f>VLOOKUP(B210,'ALL-DATA'!A:F,4,FALSE)</f>
        <v>0</v>
      </c>
      <c r="H210" s="76">
        <f>VLOOKUP(B210,'ALL-DATA'!A:F,5,FALSE)</f>
        <v>94</v>
      </c>
      <c r="I210" s="76">
        <f>VLOOKUP(B210,'ALL-DATA'!A:F,6,FALSE)</f>
        <v>8016</v>
      </c>
      <c r="J210" s="44">
        <v>11000</v>
      </c>
      <c r="K210" s="48"/>
      <c r="L210" s="77">
        <f t="shared" si="33"/>
        <v>1907.6902399999999</v>
      </c>
      <c r="M210" s="37">
        <v>106.72</v>
      </c>
      <c r="N210" s="38">
        <v>80</v>
      </c>
      <c r="O210" s="38">
        <v>95</v>
      </c>
      <c r="P210" s="38">
        <f>((((((Table8[[#This Row],[OLD-WT]]-(Table8[[#This Row],[OLD-WT]]*1%))*Table8[[#This Row],[MELTING2]])/100))*80)/100)*Table8[[#This Row],[P-RATE3]]</f>
        <v>6423.6902399999999</v>
      </c>
      <c r="Q210" s="38">
        <v>7500</v>
      </c>
      <c r="R210" s="235">
        <f t="shared" si="30"/>
        <v>-1076.3097600000001</v>
      </c>
    </row>
    <row r="211" spans="1:18" x14ac:dyDescent="0.45">
      <c r="A211" s="73">
        <v>45605</v>
      </c>
      <c r="B211" s="38" t="str">
        <f>C211&amp;D211</f>
        <v>S-CHAIN-N-11</v>
      </c>
      <c r="C211" s="38" t="s">
        <v>732</v>
      </c>
      <c r="D211" s="74" t="s">
        <v>780</v>
      </c>
      <c r="E211" s="75">
        <f>VLOOKUP(B211,'ALL-DATA'!A:F,2,FALSE)</f>
        <v>13.9</v>
      </c>
      <c r="F211" s="38">
        <f>VLOOKUP(B211,'ALL-DATA'!A:F,3,FALSE)</f>
        <v>86</v>
      </c>
      <c r="G211" s="38">
        <f>VLOOKUP(B211,'ALL-DATA'!A:F,4,FALSE)</f>
        <v>-21</v>
      </c>
      <c r="H211" s="76">
        <f>VLOOKUP(B211,'ALL-DATA'!A:F,5,FALSE)</f>
        <v>90</v>
      </c>
      <c r="I211" s="76">
        <f>VLOOKUP(B211,'ALL-DATA'!A:F,6,FALSE)</f>
        <v>1075.8600000000001</v>
      </c>
      <c r="J211" s="44">
        <v>1500</v>
      </c>
      <c r="K211" s="48"/>
      <c r="L211" s="77">
        <f t="shared" si="33"/>
        <v>424.13999999999987</v>
      </c>
      <c r="M211" s="37"/>
      <c r="N211" s="38"/>
      <c r="O211" s="38"/>
      <c r="P211" s="38">
        <f>((((((Table8[[#This Row],[OLD-WT]]-(Table8[[#This Row],[OLD-WT]]*1%))*Table8[[#This Row],[MELTING2]])/100))*80)/100)*Table8[[#This Row],[P-RATE3]]</f>
        <v>0</v>
      </c>
      <c r="Q211" s="38"/>
      <c r="R211" s="235">
        <f t="shared" si="30"/>
        <v>0</v>
      </c>
    </row>
    <row r="212" spans="1:18" x14ac:dyDescent="0.45">
      <c r="A212" s="73">
        <v>45607</v>
      </c>
      <c r="B212" s="38" t="s">
        <v>1264</v>
      </c>
      <c r="C212" s="38"/>
      <c r="D212" s="74"/>
      <c r="E212" s="75">
        <f>VLOOKUP(B212,'ALL-DATA'!A:F,2,FALSE)</f>
        <v>5</v>
      </c>
      <c r="F212" s="38">
        <f>VLOOKUP(B212,'ALL-DATA'!A:F,3,FALSE)</f>
        <v>999</v>
      </c>
      <c r="G212" s="38">
        <f>VLOOKUP(B212,'ALL-DATA'!A:F,4,FALSE)</f>
        <v>0</v>
      </c>
      <c r="H212" s="76">
        <f>VLOOKUP(B212,'ALL-DATA'!A:F,5,FALSE)</f>
        <v>4718</v>
      </c>
      <c r="I212" s="76">
        <f>VLOOKUP(B212,'ALL-DATA'!A:F,6,FALSE)</f>
        <v>23566</v>
      </c>
      <c r="J212" s="44">
        <v>24500</v>
      </c>
      <c r="K212" s="48"/>
      <c r="L212" s="77">
        <f t="shared" si="33"/>
        <v>934</v>
      </c>
      <c r="M212" s="37"/>
      <c r="N212" s="38"/>
      <c r="O212" s="38"/>
      <c r="P212" s="38">
        <f>((((((Table8[[#This Row],[OLD-WT]]-(Table8[[#This Row],[OLD-WT]]*1%))*Table8[[#This Row],[MELTING2]])/100))*80)/100)*Table8[[#This Row],[P-RATE3]]</f>
        <v>0</v>
      </c>
      <c r="Q212" s="38"/>
      <c r="R212" s="235">
        <f t="shared" si="30"/>
        <v>0</v>
      </c>
    </row>
    <row r="213" spans="1:18" x14ac:dyDescent="0.45">
      <c r="A213" s="73">
        <v>45607</v>
      </c>
      <c r="B213" s="38" t="str">
        <f>C213&amp;D213</f>
        <v>S-BARACELET-G-92.5-19</v>
      </c>
      <c r="C213" s="38" t="s">
        <v>738</v>
      </c>
      <c r="D213" s="74" t="s">
        <v>1001</v>
      </c>
      <c r="E213" s="75">
        <f>VLOOKUP(B213,'ALL-DATA'!A:F,2,FALSE)</f>
        <v>6.57</v>
      </c>
      <c r="F213" s="38">
        <f>VLOOKUP(B213,'ALL-DATA'!A:F,3,FALSE)</f>
        <v>92.5</v>
      </c>
      <c r="G213" s="38">
        <f>VLOOKUP(B213,'ALL-DATA'!A:F,4,FALSE)</f>
        <v>-71.5</v>
      </c>
      <c r="H213" s="76">
        <f>VLOOKUP(B213,'ALL-DATA'!A:F,5,FALSE)</f>
        <v>127</v>
      </c>
      <c r="I213" s="76">
        <f>VLOOKUP(B213,'ALL-DATA'!A:F,6,FALSE)</f>
        <v>834.39</v>
      </c>
      <c r="J213" s="44">
        <v>1350</v>
      </c>
      <c r="K213" s="48"/>
      <c r="L213" s="77">
        <f t="shared" si="33"/>
        <v>515.61</v>
      </c>
      <c r="M213" s="37"/>
      <c r="N213" s="38"/>
      <c r="O213" s="38"/>
      <c r="P213" s="38">
        <f>((((((Table8[[#This Row],[OLD-WT]]-(Table8[[#This Row],[OLD-WT]]*1%))*Table8[[#This Row],[MELTING2]])/100))*80)/100)*Table8[[#This Row],[P-RATE3]]</f>
        <v>0</v>
      </c>
      <c r="Q213" s="38"/>
      <c r="R213" s="235">
        <f t="shared" si="30"/>
        <v>0</v>
      </c>
    </row>
    <row r="214" spans="1:18" x14ac:dyDescent="0.45">
      <c r="A214" s="73">
        <v>45607</v>
      </c>
      <c r="B214" s="38" t="str">
        <f>C214&amp;D214</f>
        <v>S-BARACELET-G-92.5-13</v>
      </c>
      <c r="C214" s="38" t="s">
        <v>738</v>
      </c>
      <c r="D214" s="74" t="s">
        <v>1265</v>
      </c>
      <c r="E214" s="75">
        <f>VLOOKUP(B214,'ALL-DATA'!A:F,2,FALSE)</f>
        <v>6.53</v>
      </c>
      <c r="F214" s="38">
        <f>VLOOKUP(B214,'ALL-DATA'!A:F,3,FALSE)</f>
        <v>92.5</v>
      </c>
      <c r="G214" s="38">
        <f>VLOOKUP(B214,'ALL-DATA'!A:F,4,FALSE)</f>
        <v>-71.5</v>
      </c>
      <c r="H214" s="76">
        <f>VLOOKUP(B214,'ALL-DATA'!A:F,5,FALSE)</f>
        <v>127</v>
      </c>
      <c r="I214" s="76">
        <f>VLOOKUP(B214,'ALL-DATA'!A:F,6,FALSE)</f>
        <v>829.31000000000006</v>
      </c>
      <c r="J214" s="44">
        <v>1350</v>
      </c>
      <c r="K214" s="48"/>
      <c r="L214" s="77">
        <f t="shared" si="33"/>
        <v>517.35528000000011</v>
      </c>
      <c r="M214" s="37">
        <v>6.59</v>
      </c>
      <c r="N214" s="38">
        <v>80</v>
      </c>
      <c r="O214" s="38">
        <v>95</v>
      </c>
      <c r="P214" s="38">
        <f>((((((Table8[[#This Row],[OLD-WT]]-(Table8[[#This Row],[OLD-WT]]*1%))*Table8[[#This Row],[MELTING2]])/100))*80)/100)*Table8[[#This Row],[P-RATE3]]</f>
        <v>396.66528000000005</v>
      </c>
      <c r="Q214" s="38">
        <v>400</v>
      </c>
      <c r="R214" s="235">
        <f t="shared" si="30"/>
        <v>-3.3347199999999475</v>
      </c>
    </row>
    <row r="215" spans="1:18" x14ac:dyDescent="0.45">
      <c r="A215" s="73">
        <v>45608</v>
      </c>
      <c r="B215" s="3" t="s">
        <v>1255</v>
      </c>
      <c r="C215" s="38"/>
      <c r="D215" s="74"/>
      <c r="E215" s="75">
        <f>VLOOKUP(B215,'ALL-DATA'!A:F,2,FALSE)</f>
        <v>37.35</v>
      </c>
      <c r="F215" s="38">
        <f>VLOOKUP(B215,'ALL-DATA'!A:F,3,FALSE)</f>
        <v>80</v>
      </c>
      <c r="G215" s="38">
        <f>VLOOKUP(B215,'ALL-DATA'!A:F,4,FALSE)</f>
        <v>10</v>
      </c>
      <c r="H215" s="76">
        <f>VLOOKUP(B215,'ALL-DATA'!A:F,5,FALSE)</f>
        <v>95</v>
      </c>
      <c r="I215" s="76">
        <f>VLOOKUP(B215,'ALL-DATA'!A:F,6,FALSE)</f>
        <v>2838.6</v>
      </c>
      <c r="J215" s="44">
        <v>6600</v>
      </c>
      <c r="K215" s="48"/>
      <c r="L215" s="77">
        <f>((J215+R215)-I215)</f>
        <v>3761.4</v>
      </c>
      <c r="M215" s="37"/>
      <c r="N215" s="38"/>
      <c r="O215" s="38"/>
      <c r="P215" s="38">
        <f>((((((Table8[[#This Row],[OLD-WT]]-(Table8[[#This Row],[OLD-WT]]*1%))*Table8[[#This Row],[MELTING2]])/100))*80)/100)*Table8[[#This Row],[P-RATE3]]</f>
        <v>0</v>
      </c>
      <c r="Q215" s="38"/>
      <c r="R215" s="235">
        <f t="shared" si="30"/>
        <v>0</v>
      </c>
    </row>
    <row r="216" spans="1:18" x14ac:dyDescent="0.45">
      <c r="A216" s="73">
        <v>45608</v>
      </c>
      <c r="B216" s="3" t="s">
        <v>675</v>
      </c>
      <c r="C216" s="38" t="s">
        <v>673</v>
      </c>
      <c r="D216" s="74" t="s">
        <v>1002</v>
      </c>
      <c r="E216" s="75">
        <f>VLOOKUP(B216,'ALL-DATA'!A:F,2,FALSE)</f>
        <v>30.1</v>
      </c>
      <c r="F216" s="38">
        <f>VLOOKUP(B216,'ALL-DATA'!A:F,3,FALSE)</f>
        <v>92.5</v>
      </c>
      <c r="G216" s="38">
        <f>VLOOKUP(B216,'ALL-DATA'!A:F,4,FALSE)</f>
        <v>-71.5</v>
      </c>
      <c r="H216" s="76">
        <f>VLOOKUP(B216,'ALL-DATA'!A:F,5,FALSE)</f>
        <v>101</v>
      </c>
      <c r="I216" s="76">
        <f>VLOOKUP(B216,'ALL-DATA'!A:F,6,FALSE)</f>
        <v>3040.1000000000004</v>
      </c>
      <c r="J216" s="170">
        <v>5200</v>
      </c>
      <c r="K216" s="165">
        <v>2200</v>
      </c>
      <c r="L216" s="77">
        <f>((J216+R216)-I216)</f>
        <v>2159.8999999999996</v>
      </c>
      <c r="M216" s="37"/>
      <c r="N216" s="38"/>
      <c r="O216" s="38"/>
      <c r="P216" s="38">
        <f>((((((Table8[[#This Row],[OLD-WT]]-(Table8[[#This Row],[OLD-WT]]*1%))*Table8[[#This Row],[MELTING2]])/100))*80)/100)*Table8[[#This Row],[P-RATE3]]</f>
        <v>0</v>
      </c>
      <c r="Q216" s="38"/>
      <c r="R216" s="235">
        <f t="shared" si="30"/>
        <v>0</v>
      </c>
    </row>
    <row r="217" spans="1:18" x14ac:dyDescent="0.45">
      <c r="A217" s="73">
        <v>45609</v>
      </c>
      <c r="B217" s="38" t="str">
        <f>C217&amp;D217</f>
        <v>S-RING-186</v>
      </c>
      <c r="C217" s="38" t="s">
        <v>731</v>
      </c>
      <c r="D217" s="74" t="s">
        <v>1270</v>
      </c>
      <c r="E217" s="75">
        <f>VLOOKUP(B217,'ALL-DATA'!A:F,2,FALSE)</f>
        <v>1.31</v>
      </c>
      <c r="F217" s="38">
        <f>VLOOKUP(B217,'ALL-DATA'!A:F,3,FALSE)</f>
        <v>92.5</v>
      </c>
      <c r="G217" s="38">
        <f>VLOOKUP(B217,'ALL-DATA'!A:F,4,FALSE)</f>
        <v>92.5</v>
      </c>
      <c r="H217" s="76">
        <f>VLOOKUP(B217,'ALL-DATA'!A:F,5,FALSE)</f>
        <v>131.65</v>
      </c>
      <c r="I217" s="76">
        <f>VLOOKUP(B217,'ALL-DATA'!A:F,6,FALSE)</f>
        <v>172.4615</v>
      </c>
      <c r="J217" s="44">
        <v>330</v>
      </c>
      <c r="K217" s="48"/>
      <c r="L217" s="77">
        <f>((J217+R217)-I217)</f>
        <v>157.5385</v>
      </c>
      <c r="M217" s="37"/>
      <c r="N217" s="38"/>
      <c r="O217" s="38"/>
      <c r="P217" s="38">
        <f>((((((Table8[[#This Row],[OLD-WT]]-(Table8[[#This Row],[OLD-WT]]*1%))*Table8[[#This Row],[MELTING2]])/100))*80)/100)*Table8[[#This Row],[P-RATE3]]</f>
        <v>0</v>
      </c>
      <c r="Q217" s="38"/>
      <c r="R217" s="235">
        <f t="shared" si="30"/>
        <v>0</v>
      </c>
    </row>
    <row r="218" spans="1:18" x14ac:dyDescent="0.45">
      <c r="A218" s="73">
        <v>45609</v>
      </c>
      <c r="B218" s="38" t="str">
        <f>C218&amp;D218</f>
        <v>G-PESERI-46</v>
      </c>
      <c r="C218" s="38" t="s">
        <v>725</v>
      </c>
      <c r="D218" s="74" t="s">
        <v>1271</v>
      </c>
      <c r="E218" s="75">
        <f>VLOOKUP(B218,'ALL-DATA'!A:F,2,FALSE)</f>
        <v>0.17499999999999999</v>
      </c>
      <c r="F218" s="38">
        <f>VLOOKUP(B218,'ALL-DATA'!A:F,3,FALSE)</f>
        <v>80.39</v>
      </c>
      <c r="G218" s="38">
        <f>VLOOKUP(B218,'ALL-DATA'!A:F,4,FALSE)</f>
        <v>-10</v>
      </c>
      <c r="H218" s="76">
        <f>VLOOKUP(B218,'ALL-DATA'!A:F,5,FALSE)</f>
        <v>7218.2</v>
      </c>
      <c r="I218" s="76">
        <f>VLOOKUP(B218,'ALL-DATA'!A:F,6,FALSE)</f>
        <v>1015.4744214999998</v>
      </c>
      <c r="J218" s="44">
        <v>1300</v>
      </c>
      <c r="K218" s="48"/>
      <c r="L218" s="77">
        <f>((J218+R218)-I218)</f>
        <v>281.52557850000017</v>
      </c>
      <c r="M218" s="37">
        <v>0.15</v>
      </c>
      <c r="N218" s="38">
        <v>70</v>
      </c>
      <c r="O218" s="38">
        <v>7100</v>
      </c>
      <c r="P218" s="38">
        <f>(((Table8[[#This Row],[OLD-WT]]-0.05)*Table8[[#This Row],[MELTING2]]/100)*Table8[[#This Row],[P-RATE3]])</f>
        <v>496.99999999999994</v>
      </c>
      <c r="Q218" s="38">
        <v>500</v>
      </c>
      <c r="R218" s="235">
        <f t="shared" si="30"/>
        <v>-3.0000000000000568</v>
      </c>
    </row>
    <row r="219" spans="1:18" x14ac:dyDescent="0.45">
      <c r="A219" s="73">
        <v>45609</v>
      </c>
      <c r="B219" s="38" t="str">
        <f>C219&amp;D219</f>
        <v>G-CHAIN-8</v>
      </c>
      <c r="C219" s="38" t="s">
        <v>724</v>
      </c>
      <c r="D219" s="74" t="s">
        <v>1215</v>
      </c>
      <c r="E219" s="75">
        <f>VLOOKUP(B219,'ALL-DATA'!A:F,2,FALSE)</f>
        <v>8.09</v>
      </c>
      <c r="F219" s="38">
        <f>VLOOKUP(B219,'ALL-DATA'!A:F,3,FALSE)</f>
        <v>95</v>
      </c>
      <c r="G219" s="38">
        <f>VLOOKUP(B219,'ALL-DATA'!A:F,4,FALSE)</f>
        <v>-3</v>
      </c>
      <c r="H219" s="76">
        <f>VLOOKUP(B219,'ALL-DATA'!A:F,5,FALSE)</f>
        <v>7420</v>
      </c>
      <c r="I219" s="76">
        <f>VLOOKUP(B219,'ALL-DATA'!A:F,6,FALSE)</f>
        <v>57026.409999999996</v>
      </c>
      <c r="J219" s="44">
        <v>65000</v>
      </c>
      <c r="K219" s="48"/>
      <c r="L219" s="77">
        <f>((J219+R219)-I219)-I220</f>
        <v>7743.5900000000038</v>
      </c>
      <c r="M219" s="37"/>
      <c r="N219" s="38"/>
      <c r="O219" s="38"/>
      <c r="P219" s="38">
        <f>((((((Table8[[#This Row],[OLD-WT]]-(Table8[[#This Row],[OLD-WT]]*1%))*Table8[[#This Row],[MELTING2]])/100))*80)/100)*Table8[[#This Row],[P-RATE3]]</f>
        <v>0</v>
      </c>
      <c r="Q219" s="38"/>
      <c r="R219" s="235">
        <f t="shared" si="30"/>
        <v>0</v>
      </c>
    </row>
    <row r="220" spans="1:18" x14ac:dyDescent="0.45">
      <c r="A220" s="73">
        <v>45609</v>
      </c>
      <c r="B220" s="120" t="s">
        <v>1082</v>
      </c>
      <c r="C220" s="38"/>
      <c r="D220" s="74"/>
      <c r="E220" s="75">
        <f>VLOOKUP(B220,'ALL-DATA'!A:F,2,FALSE)</f>
        <v>0</v>
      </c>
      <c r="F220" s="38">
        <f>VLOOKUP(B220,'ALL-DATA'!A:F,3,FALSE)</f>
        <v>0</v>
      </c>
      <c r="G220" s="38">
        <f>VLOOKUP(B220,'ALL-DATA'!A:F,4,FALSE)</f>
        <v>0</v>
      </c>
      <c r="H220" s="76">
        <f>VLOOKUP(B220,'ALL-DATA'!A:F,5,FALSE)</f>
        <v>0</v>
      </c>
      <c r="I220" s="76">
        <f>VLOOKUP(B220,'ALL-DATA'!A:F,6,FALSE)</f>
        <v>230</v>
      </c>
      <c r="J220" s="44"/>
      <c r="K220" s="48"/>
      <c r="L220" s="77">
        <v>0</v>
      </c>
      <c r="M220" s="37"/>
      <c r="N220" s="38"/>
      <c r="O220" s="38"/>
      <c r="P220" s="38"/>
      <c r="Q220" s="38"/>
      <c r="R220" s="235">
        <f t="shared" si="30"/>
        <v>0</v>
      </c>
    </row>
    <row r="221" spans="1:18" x14ac:dyDescent="0.45">
      <c r="A221" s="73">
        <v>45610</v>
      </c>
      <c r="B221" s="38" t="str">
        <f>C221&amp;D221</f>
        <v>G-RING-B11</v>
      </c>
      <c r="C221" s="38" t="s">
        <v>719</v>
      </c>
      <c r="D221" s="74" t="s">
        <v>780</v>
      </c>
      <c r="E221" s="75">
        <f>VLOOKUP(B221,'ALL-DATA'!A:F,2,FALSE)</f>
        <v>2.0099999999999998</v>
      </c>
      <c r="F221" s="38">
        <f>VLOOKUP(B221,'ALL-DATA'!A:F,3,FALSE)</f>
        <v>95.5</v>
      </c>
      <c r="G221" s="38">
        <f>VLOOKUP(B221,'ALL-DATA'!A:F,4,FALSE)</f>
        <v>-3.5</v>
      </c>
      <c r="H221" s="76">
        <f>VLOOKUP(B221,'ALL-DATA'!A:F,5,FALSE)</f>
        <v>7218.2</v>
      </c>
      <c r="I221" s="76">
        <f>VLOOKUP(B221,'ALL-DATA'!A:F,6,FALSE)</f>
        <v>13855.695809999999</v>
      </c>
      <c r="J221" s="239">
        <v>16700</v>
      </c>
      <c r="K221" s="240">
        <v>5900</v>
      </c>
      <c r="L221" s="77">
        <f>((J221+R221)-I221)+R222</f>
        <v>3660.5221900000006</v>
      </c>
      <c r="M221" s="37">
        <v>2.1</v>
      </c>
      <c r="N221" s="38">
        <v>65</v>
      </c>
      <c r="O221" s="38">
        <v>7100</v>
      </c>
      <c r="P221" s="38">
        <f>(((Table8[[#This Row],[OLD-WT]]-0.15)*Table8[[#This Row],[MELTING2]]/100)*Table8[[#This Row],[P-RATE3]])</f>
        <v>8999.25</v>
      </c>
      <c r="Q221" s="38">
        <v>8500</v>
      </c>
      <c r="R221" s="235">
        <f t="shared" si="30"/>
        <v>499.25</v>
      </c>
    </row>
    <row r="222" spans="1:18" x14ac:dyDescent="0.45">
      <c r="A222" s="73">
        <v>45610</v>
      </c>
      <c r="B222" s="38" t="str">
        <f>C222&amp;D222</f>
        <v/>
      </c>
      <c r="C222" s="38"/>
      <c r="D222" s="74"/>
      <c r="E222" s="75">
        <v>0</v>
      </c>
      <c r="F222" s="38">
        <v>0</v>
      </c>
      <c r="G222" s="38">
        <v>0</v>
      </c>
      <c r="H222" s="76">
        <v>0</v>
      </c>
      <c r="I222" s="76">
        <v>0</v>
      </c>
      <c r="J222" s="44"/>
      <c r="K222" s="48"/>
      <c r="L222" s="77">
        <v>0</v>
      </c>
      <c r="M222" s="37">
        <v>10.25</v>
      </c>
      <c r="N222" s="38">
        <v>80</v>
      </c>
      <c r="O222" s="38">
        <v>95</v>
      </c>
      <c r="P222" s="38">
        <f>((((((Table8[[#This Row],[OLD-WT]]-(Table8[[#This Row],[OLD-WT]]*1%))*Table8[[#This Row],[MELTING2]])/100))*80)/100)*Table8[[#This Row],[P-RATE3]]</f>
        <v>616.96800000000007</v>
      </c>
      <c r="Q222" s="38">
        <v>300</v>
      </c>
      <c r="R222" s="235">
        <f t="shared" si="30"/>
        <v>316.96800000000007</v>
      </c>
    </row>
    <row r="223" spans="1:18" x14ac:dyDescent="0.45">
      <c r="A223" s="73">
        <v>45610</v>
      </c>
      <c r="B223" s="38" t="str">
        <f>C223&amp;D223</f>
        <v>S-RING-159</v>
      </c>
      <c r="C223" s="38" t="s">
        <v>731</v>
      </c>
      <c r="D223" s="74" t="s">
        <v>1279</v>
      </c>
      <c r="E223" s="75">
        <f>VLOOKUP(B223,'ALL-DATA'!A:F,2,FALSE)</f>
        <v>3.5</v>
      </c>
      <c r="F223" s="38">
        <f>VLOOKUP(B223,'ALL-DATA'!A:F,3,FALSE)</f>
        <v>92.5</v>
      </c>
      <c r="G223" s="38">
        <f>VLOOKUP(B223,'ALL-DATA'!A:F,4,FALSE)</f>
        <v>92.5</v>
      </c>
      <c r="H223" s="76">
        <f>VLOOKUP(B223,'ALL-DATA'!A:F,5,FALSE)</f>
        <v>131.65</v>
      </c>
      <c r="I223" s="76">
        <f>VLOOKUP(B223,'ALL-DATA'!A:F,6,FALSE)</f>
        <v>460.77500000000003</v>
      </c>
      <c r="J223" s="44">
        <v>800</v>
      </c>
      <c r="K223" s="48"/>
      <c r="L223" s="77">
        <f>((J223+R223)-I223)</f>
        <v>339.22499999999997</v>
      </c>
      <c r="M223" s="37"/>
      <c r="N223" s="38"/>
      <c r="O223" s="38"/>
      <c r="P223" s="38">
        <f>((((((Table8[[#This Row],[OLD-WT]]-(Table8[[#This Row],[OLD-WT]]*1%))*Table8[[#This Row],[MELTING2]])/100))*80)/100)*Table8[[#This Row],[P-RATE3]]</f>
        <v>0</v>
      </c>
      <c r="Q223" s="38"/>
      <c r="R223" s="235">
        <f t="shared" si="30"/>
        <v>0</v>
      </c>
    </row>
    <row r="224" spans="1:18" x14ac:dyDescent="0.45">
      <c r="A224" s="73">
        <v>45612</v>
      </c>
      <c r="B224" s="23" t="s">
        <v>1280</v>
      </c>
      <c r="C224" s="38"/>
      <c r="D224" s="74"/>
      <c r="E224" s="75">
        <f>VLOOKUP(B224,'ALL-DATA'!A:F,2,FALSE)</f>
        <v>5.4</v>
      </c>
      <c r="F224" s="38">
        <f>VLOOKUP(B224,'ALL-DATA'!A:F,3,FALSE)</f>
        <v>80</v>
      </c>
      <c r="G224" s="38">
        <f>VLOOKUP(B224,'ALL-DATA'!A:F,4,FALSE)</f>
        <v>-15</v>
      </c>
      <c r="H224" s="76">
        <f>VLOOKUP(B224,'ALL-DATA'!A:F,5,FALSE)</f>
        <v>93</v>
      </c>
      <c r="I224" s="76">
        <f>VLOOKUP(B224,'ALL-DATA'!A:F,6,FALSE)</f>
        <v>401.76000000000005</v>
      </c>
      <c r="J224" s="44">
        <v>900</v>
      </c>
      <c r="K224" s="48"/>
      <c r="L224" s="77">
        <f>((J224+R224)-I224)</f>
        <v>493.73707999999982</v>
      </c>
      <c r="M224" s="37">
        <v>6.85</v>
      </c>
      <c r="N224" s="38">
        <v>81</v>
      </c>
      <c r="O224" s="38">
        <v>90</v>
      </c>
      <c r="P224" s="38">
        <f>((((((Table8[[#This Row],[OLD-WT]]-(Table8[[#This Row],[OLD-WT]]*1%))*Table8[[#This Row],[MELTING2]])/100))*80)/100)*Table8[[#This Row],[P-RATE3]]</f>
        <v>395.49707999999993</v>
      </c>
      <c r="Q224" s="38">
        <v>400</v>
      </c>
      <c r="R224" s="235">
        <f t="shared" si="30"/>
        <v>-4.5029200000000742</v>
      </c>
    </row>
    <row r="225" spans="1:18" x14ac:dyDescent="0.45">
      <c r="A225" s="73">
        <v>45612</v>
      </c>
      <c r="B225" s="23" t="s">
        <v>1281</v>
      </c>
      <c r="C225" s="38"/>
      <c r="D225" s="74"/>
      <c r="E225" s="75">
        <f>VLOOKUP(B225,'ALL-DATA'!A:F,2,FALSE)</f>
        <v>12.3</v>
      </c>
      <c r="F225" s="38">
        <f>VLOOKUP(B225,'ALL-DATA'!A:F,3,FALSE)</f>
        <v>80</v>
      </c>
      <c r="G225" s="38">
        <f>VLOOKUP(B225,'ALL-DATA'!A:F,4,FALSE)</f>
        <v>-15</v>
      </c>
      <c r="H225" s="76">
        <f>VLOOKUP(B225,'ALL-DATA'!A:F,5,FALSE)</f>
        <v>93</v>
      </c>
      <c r="I225" s="76">
        <f>VLOOKUP(B225,'ALL-DATA'!A:F,6,FALSE)</f>
        <v>915.12</v>
      </c>
      <c r="J225" s="44">
        <v>1700</v>
      </c>
      <c r="K225" s="48"/>
      <c r="L225" s="77">
        <f>((J225+R225)-I225)</f>
        <v>784.88</v>
      </c>
      <c r="M225" s="37"/>
      <c r="N225" s="38"/>
      <c r="O225" s="38"/>
      <c r="P225" s="38">
        <f>((((((Table8[[#This Row],[OLD-WT]]-(Table8[[#This Row],[OLD-WT]]*1%))*Table8[[#This Row],[MELTING2]])/100))*80)/100)*Table8[[#This Row],[P-RATE3]]</f>
        <v>0</v>
      </c>
      <c r="Q225" s="38"/>
      <c r="R225" s="235">
        <f t="shared" si="30"/>
        <v>0</v>
      </c>
    </row>
    <row r="226" spans="1:18" x14ac:dyDescent="0.45">
      <c r="A226" s="73">
        <v>45612</v>
      </c>
      <c r="B226" s="20" t="str">
        <f>C226&amp;D226</f>
        <v>S-RING-103</v>
      </c>
      <c r="C226" s="38" t="s">
        <v>731</v>
      </c>
      <c r="D226" s="74" t="s">
        <v>1282</v>
      </c>
      <c r="E226" s="75">
        <f>VLOOKUP(B226,'ALL-DATA'!A:F,2,FALSE)</f>
        <v>2.0099999999999998</v>
      </c>
      <c r="F226" s="38">
        <f>VLOOKUP(B226,'ALL-DATA'!A:F,3,FALSE)</f>
        <v>92.5</v>
      </c>
      <c r="G226" s="38">
        <f>VLOOKUP(B226,'ALL-DATA'!A:F,4,FALSE)</f>
        <v>92.5</v>
      </c>
      <c r="H226" s="76">
        <f>VLOOKUP(B226,'ALL-DATA'!A:F,5,FALSE)</f>
        <v>127</v>
      </c>
      <c r="I226" s="76">
        <f>VLOOKUP(B226,'ALL-DATA'!A:F,6,FALSE)</f>
        <v>255.26999999999998</v>
      </c>
      <c r="J226" s="44">
        <v>480</v>
      </c>
      <c r="K226" s="48"/>
      <c r="L226" s="77">
        <f>((J226+R226)-I226)</f>
        <v>224.73000000000002</v>
      </c>
      <c r="M226" s="37"/>
      <c r="N226" s="38"/>
      <c r="O226" s="38"/>
      <c r="P226" s="38">
        <f>((((((Table8[[#This Row],[OLD-WT]]-(Table8[[#This Row],[OLD-WT]]*1%))*Table8[[#This Row],[MELTING2]])/100))*80)/100)*Table8[[#This Row],[P-RATE3]]</f>
        <v>0</v>
      </c>
      <c r="Q226" s="38"/>
      <c r="R226" s="235">
        <f t="shared" si="30"/>
        <v>0</v>
      </c>
    </row>
    <row r="227" spans="1:18" x14ac:dyDescent="0.45">
      <c r="A227" s="73">
        <v>45612</v>
      </c>
      <c r="B227" s="20" t="str">
        <f>C227&amp;D227</f>
        <v>G-STUD-56</v>
      </c>
      <c r="C227" s="38" t="s">
        <v>720</v>
      </c>
      <c r="D227" s="74" t="s">
        <v>1283</v>
      </c>
      <c r="E227" s="75">
        <f>VLOOKUP(B227,'ALL-DATA'!A:F,2,FALSE)</f>
        <v>2.15</v>
      </c>
      <c r="F227" s="38">
        <f>VLOOKUP(B227,'ALL-DATA'!A:F,3,FALSE)</f>
        <v>96</v>
      </c>
      <c r="G227" s="38">
        <f>VLOOKUP(B227,'ALL-DATA'!A:F,4,FALSE)</f>
        <v>-4</v>
      </c>
      <c r="H227" s="76">
        <f>VLOOKUP(B227,'ALL-DATA'!A:F,5,FALSE)</f>
        <v>7087</v>
      </c>
      <c r="I227" s="76">
        <f>VLOOKUP(B227,'ALL-DATA'!A:F,6,FALSE)</f>
        <v>14627.567999999997</v>
      </c>
      <c r="J227" s="44">
        <v>17500</v>
      </c>
      <c r="K227" s="48"/>
      <c r="L227" s="77">
        <f>((J227+R227)-I227)-I228</f>
        <v>2822.4320000000025</v>
      </c>
      <c r="M227" s="37"/>
      <c r="N227" s="38"/>
      <c r="O227" s="38"/>
      <c r="P227" s="38">
        <f>((((((Table8[[#This Row],[OLD-WT]]-(Table8[[#This Row],[OLD-WT]]*1%))*Table8[[#This Row],[MELTING2]])/100))*80)/100)*Table8[[#This Row],[P-RATE3]]</f>
        <v>0</v>
      </c>
      <c r="Q227" s="38"/>
      <c r="R227" s="235">
        <f t="shared" si="30"/>
        <v>0</v>
      </c>
    </row>
    <row r="228" spans="1:18" x14ac:dyDescent="0.45">
      <c r="A228" s="73">
        <v>45612</v>
      </c>
      <c r="B228" s="258" t="s">
        <v>1284</v>
      </c>
      <c r="C228" s="38"/>
      <c r="D228" s="74"/>
      <c r="E228" s="75">
        <f>VLOOKUP(B228,'ALL-DATA'!A:F,2,FALSE)</f>
        <v>0</v>
      </c>
      <c r="F228" s="38">
        <f>VLOOKUP(B228,'ALL-DATA'!A:F,3,FALSE)</f>
        <v>0</v>
      </c>
      <c r="G228" s="38">
        <f>VLOOKUP(B228,'ALL-DATA'!A:F,4,FALSE)</f>
        <v>0</v>
      </c>
      <c r="H228" s="76">
        <f>VLOOKUP(B228,'ALL-DATA'!A:F,5,FALSE)</f>
        <v>0</v>
      </c>
      <c r="I228" s="76">
        <f>VLOOKUP(B228,'ALL-DATA'!A:F,6,FALSE)</f>
        <v>50</v>
      </c>
      <c r="J228" s="44"/>
      <c r="K228" s="48"/>
      <c r="L228" s="77">
        <v>0</v>
      </c>
      <c r="M228" s="37"/>
      <c r="N228" s="38"/>
      <c r="O228" s="38"/>
      <c r="P228" s="38">
        <f>((((((Table8[[#This Row],[OLD-WT]]-(Table8[[#This Row],[OLD-WT]]*1%))*Table8[[#This Row],[MELTING2]])/100))*80)/100)*Table8[[#This Row],[P-RATE3]]</f>
        <v>0</v>
      </c>
      <c r="Q228" s="38"/>
      <c r="R228" s="235">
        <f t="shared" si="30"/>
        <v>0</v>
      </c>
    </row>
    <row r="229" spans="1:18" x14ac:dyDescent="0.45">
      <c r="A229" s="73">
        <v>45612</v>
      </c>
      <c r="B229" s="20" t="str">
        <f t="shared" ref="B229" si="34">C229&amp;D229</f>
        <v>S-BANGLE-3</v>
      </c>
      <c r="C229" s="38" t="s">
        <v>988</v>
      </c>
      <c r="D229" s="74" t="s">
        <v>1002</v>
      </c>
      <c r="E229" s="75">
        <f>VLOOKUP(B229,'ALL-DATA'!A:F,2,FALSE)</f>
        <v>28.35</v>
      </c>
      <c r="F229" s="38">
        <f>VLOOKUP(B229,'ALL-DATA'!A:F,3,FALSE)</f>
        <v>65</v>
      </c>
      <c r="G229" s="38">
        <f>VLOOKUP(B229,'ALL-DATA'!A:F,4,FALSE)</f>
        <v>60.9</v>
      </c>
      <c r="H229" s="76">
        <f>VLOOKUP(B229,'ALL-DATA'!A:F,5,FALSE)</f>
        <v>88.1</v>
      </c>
      <c r="I229" s="76">
        <f>VLOOKUP(B229,'ALL-DATA'!A:F,6,FALSE)</f>
        <v>1906.9627500000001</v>
      </c>
      <c r="J229" s="44">
        <v>3500</v>
      </c>
      <c r="K229" s="48"/>
      <c r="L229" s="77">
        <f>((J229+R229)-I229)</f>
        <v>1593.0372499999999</v>
      </c>
      <c r="M229" s="37"/>
      <c r="N229" s="38"/>
      <c r="O229" s="38"/>
      <c r="P229" s="38"/>
      <c r="Q229" s="38"/>
      <c r="R229" s="235"/>
    </row>
    <row r="230" spans="1:18" x14ac:dyDescent="0.45">
      <c r="A230" s="73">
        <v>45612</v>
      </c>
      <c r="B230" s="23" t="s">
        <v>804</v>
      </c>
      <c r="C230" s="38"/>
      <c r="D230" s="74"/>
      <c r="E230" s="75">
        <f>VLOOKUP(B230,'ALL-DATA'!A:F,2,FALSE)</f>
        <v>0</v>
      </c>
      <c r="F230" s="38">
        <f>VLOOKUP(B230,'ALL-DATA'!A:F,3,FALSE)</f>
        <v>0</v>
      </c>
      <c r="G230" s="38">
        <f>VLOOKUP(B230,'ALL-DATA'!A:F,4,FALSE)</f>
        <v>0</v>
      </c>
      <c r="H230" s="76">
        <f>VLOOKUP(B230,'ALL-DATA'!A:F,5,FALSE)</f>
        <v>0</v>
      </c>
      <c r="I230" s="76">
        <f>VLOOKUP(B230,'ALL-DATA'!A:F,6,FALSE)</f>
        <v>242</v>
      </c>
      <c r="J230" s="44">
        <v>500</v>
      </c>
      <c r="K230" s="48"/>
      <c r="L230" s="77">
        <f>((J230+R230)-I230)</f>
        <v>258</v>
      </c>
      <c r="M230" s="37"/>
      <c r="N230" s="38"/>
      <c r="O230" s="38"/>
      <c r="P230" s="38">
        <f>((((((Table8[[#This Row],[OLD-WT]]-(Table8[[#This Row],[OLD-WT]]*1%))*Table8[[#This Row],[MELTING2]])/100))*80)/100)*Table8[[#This Row],[P-RATE3]]</f>
        <v>0</v>
      </c>
      <c r="Q230" s="38"/>
      <c r="R230" s="235">
        <f t="shared" si="30"/>
        <v>0</v>
      </c>
    </row>
    <row r="231" spans="1:18" x14ac:dyDescent="0.45">
      <c r="A231" s="73">
        <v>45613</v>
      </c>
      <c r="B231" s="20" t="str">
        <f t="shared" ref="B231" si="35">C231&amp;D231</f>
        <v>G-RING-G22</v>
      </c>
      <c r="C231" s="38" t="s">
        <v>718</v>
      </c>
      <c r="D231" s="74" t="s">
        <v>1286</v>
      </c>
      <c r="E231" s="75">
        <f>VLOOKUP(B231,'ALL-DATA'!A:F,2,FALSE)</f>
        <v>1.48</v>
      </c>
      <c r="F231" s="38">
        <f>VLOOKUP(B231,'ALL-DATA'!A:F,3,FALSE)</f>
        <v>96.75</v>
      </c>
      <c r="G231" s="38">
        <f>VLOOKUP(B231,'ALL-DATA'!A:F,4,FALSE)</f>
        <v>-4.75</v>
      </c>
      <c r="H231" s="76">
        <f>VLOOKUP(B231,'ALL-DATA'!A:F,5,FALSE)</f>
        <v>7218.2</v>
      </c>
      <c r="I231" s="76">
        <f>VLOOKUP(B231,'ALL-DATA'!A:F,6,FALSE)</f>
        <v>10335.74058</v>
      </c>
      <c r="J231" s="44">
        <v>12400</v>
      </c>
      <c r="K231" s="48"/>
      <c r="L231" s="77">
        <f>((J231+R231)-I231)-I232</f>
        <v>2014.2594200000003</v>
      </c>
      <c r="M231" s="37"/>
      <c r="N231" s="38"/>
      <c r="O231" s="38"/>
      <c r="P231" s="38">
        <f>((((((Table8[[#This Row],[OLD-WT]]-(Table8[[#This Row],[OLD-WT]]*1%))*Table8[[#This Row],[MELTING2]])/100))*80)/100)*Table8[[#This Row],[P-RATE3]]</f>
        <v>0</v>
      </c>
      <c r="Q231" s="38"/>
      <c r="R231" s="235">
        <f t="shared" si="30"/>
        <v>0</v>
      </c>
    </row>
    <row r="232" spans="1:18" x14ac:dyDescent="0.45">
      <c r="A232" s="73">
        <v>45613</v>
      </c>
      <c r="B232" s="258" t="s">
        <v>1284</v>
      </c>
      <c r="C232" s="38"/>
      <c r="D232" s="74"/>
      <c r="E232" s="75">
        <f>VLOOKUP(B232,'ALL-DATA'!A:F,2,FALSE)</f>
        <v>0</v>
      </c>
      <c r="F232" s="38">
        <f>VLOOKUP(B232,'ALL-DATA'!A:F,3,FALSE)</f>
        <v>0</v>
      </c>
      <c r="G232" s="38">
        <f>VLOOKUP(B232,'ALL-DATA'!A:F,4,FALSE)</f>
        <v>0</v>
      </c>
      <c r="H232" s="76">
        <f>VLOOKUP(B232,'ALL-DATA'!A:F,5,FALSE)</f>
        <v>0</v>
      </c>
      <c r="I232" s="76">
        <f>VLOOKUP(B232,'ALL-DATA'!A:F,6,FALSE)</f>
        <v>50</v>
      </c>
      <c r="J232" s="44"/>
      <c r="K232" s="48"/>
      <c r="L232" s="77">
        <v>0</v>
      </c>
      <c r="M232" s="37"/>
      <c r="N232" s="38"/>
      <c r="O232" s="38"/>
      <c r="P232" s="38"/>
      <c r="Q232" s="38"/>
      <c r="R232" s="235"/>
    </row>
    <row r="233" spans="1:18" x14ac:dyDescent="0.45">
      <c r="A233" s="73">
        <v>45613</v>
      </c>
      <c r="B233" s="23" t="s">
        <v>1285</v>
      </c>
      <c r="C233" s="38"/>
      <c r="D233" s="74"/>
      <c r="E233" s="75">
        <f>VLOOKUP(B233,'ALL-DATA'!A:F,2,FALSE)</f>
        <v>8.6</v>
      </c>
      <c r="F233" s="38">
        <f>VLOOKUP(B233,'ALL-DATA'!A:F,3,FALSE)</f>
        <v>80</v>
      </c>
      <c r="G233" s="38">
        <f>VLOOKUP(B233,'ALL-DATA'!A:F,4,FALSE)</f>
        <v>-15</v>
      </c>
      <c r="H233" s="76">
        <f>VLOOKUP(B233,'ALL-DATA'!A:F,5,FALSE)</f>
        <v>93</v>
      </c>
      <c r="I233" s="76">
        <f>VLOOKUP(B233,'ALL-DATA'!A:F,6,FALSE)</f>
        <v>639.84</v>
      </c>
      <c r="J233" s="44">
        <v>1300</v>
      </c>
      <c r="K233" s="48"/>
      <c r="L233" s="77">
        <f>((J233+R233)-I233)</f>
        <v>487.52799999999991</v>
      </c>
      <c r="M233" s="37">
        <v>10</v>
      </c>
      <c r="N233" s="38">
        <v>81</v>
      </c>
      <c r="O233" s="38">
        <v>90</v>
      </c>
      <c r="P233" s="38">
        <f>((((((Table8[[#This Row],[OLD-WT]]-(Table8[[#This Row],[OLD-WT]]*1%))*Table8[[#This Row],[MELTING2]])/100))*80)/100)*Table8[[#This Row],[P-RATE3]]</f>
        <v>577.36799999999994</v>
      </c>
      <c r="Q233" s="38">
        <v>750</v>
      </c>
      <c r="R233" s="235">
        <f t="shared" si="30"/>
        <v>-172.63200000000006</v>
      </c>
    </row>
    <row r="234" spans="1:18" x14ac:dyDescent="0.45">
      <c r="A234" s="73">
        <v>45614</v>
      </c>
      <c r="B234" s="20" t="str">
        <f>C234&amp;D234</f>
        <v>S-RING-150</v>
      </c>
      <c r="C234" s="38" t="s">
        <v>731</v>
      </c>
      <c r="D234" s="74" t="s">
        <v>1321</v>
      </c>
      <c r="E234" s="75">
        <f>VLOOKUP(B234,'ALL-DATA'!A:F,2,FALSE)</f>
        <v>5.88</v>
      </c>
      <c r="F234" s="38">
        <f>VLOOKUP(B234,'ALL-DATA'!A:F,3,FALSE)</f>
        <v>92.5</v>
      </c>
      <c r="G234" s="38">
        <f>VLOOKUP(B234,'ALL-DATA'!A:F,4,FALSE)</f>
        <v>92.5</v>
      </c>
      <c r="H234" s="76">
        <f>VLOOKUP(B234,'ALL-DATA'!A:F,5,FALSE)</f>
        <v>131.65</v>
      </c>
      <c r="I234" s="76">
        <f>VLOOKUP(B234,'ALL-DATA'!A:F,6,FALSE)</f>
        <v>774.10199999999998</v>
      </c>
      <c r="J234" s="44">
        <v>1100</v>
      </c>
      <c r="K234" s="48"/>
      <c r="L234" s="77">
        <f>((J234+R234)-I234)</f>
        <v>325.89800000000002</v>
      </c>
      <c r="M234" s="37"/>
      <c r="N234" s="38"/>
      <c r="O234" s="38"/>
      <c r="P234" s="38">
        <f>((((((Table8[[#This Row],[OLD-WT]]-(Table8[[#This Row],[OLD-WT]]*1%))*Table8[[#This Row],[MELTING2]])/100))*80)/100)*Table8[[#This Row],[P-RATE3]]</f>
        <v>0</v>
      </c>
      <c r="Q234" s="38"/>
      <c r="R234" s="235">
        <f t="shared" si="30"/>
        <v>0</v>
      </c>
    </row>
    <row r="235" spans="1:18" x14ac:dyDescent="0.45">
      <c r="A235" s="73">
        <v>45618</v>
      </c>
      <c r="B235" s="1" t="s">
        <v>1364</v>
      </c>
      <c r="C235" s="38"/>
      <c r="D235" s="74"/>
      <c r="E235" s="75">
        <f>VLOOKUP(B235,'ALL-DATA'!A:F,2,FALSE)</f>
        <v>0.27</v>
      </c>
      <c r="F235" s="38">
        <v>79</v>
      </c>
      <c r="G235" s="38">
        <f>VLOOKUP(B235,'ALL-DATA'!A:F,4,FALSE)</f>
        <v>0</v>
      </c>
      <c r="H235" s="76">
        <f>VLOOKUP(B235,'ALL-DATA'!A:F,5,FALSE)</f>
        <v>8000</v>
      </c>
      <c r="I235" s="76">
        <f>VLOOKUP(B235,'ALL-DATA'!A:F,6,FALSE)</f>
        <v>1850</v>
      </c>
      <c r="J235" s="44">
        <v>2530</v>
      </c>
      <c r="K235" s="48"/>
      <c r="L235" s="77">
        <f>((J235+R235)-I235)</f>
        <v>680</v>
      </c>
      <c r="M235" s="37"/>
      <c r="N235" s="38"/>
      <c r="O235" s="38"/>
      <c r="P235" s="38">
        <f>((((((Table8[[#This Row],[OLD-WT]]-(Table8[[#This Row],[OLD-WT]]*1%))*Table8[[#This Row],[MELTING2]])/100))*80)/100)*Table8[[#This Row],[P-RATE3]]</f>
        <v>0</v>
      </c>
      <c r="Q235" s="38"/>
      <c r="R235" s="235">
        <f t="shared" si="30"/>
        <v>0</v>
      </c>
    </row>
    <row r="236" spans="1:18" x14ac:dyDescent="0.45">
      <c r="A236" s="73">
        <v>45618</v>
      </c>
      <c r="B236" s="131" t="str">
        <f>C236&amp;D236</f>
        <v>G-STUD-19</v>
      </c>
      <c r="C236" s="38" t="s">
        <v>720</v>
      </c>
      <c r="D236" s="74" t="s">
        <v>1001</v>
      </c>
      <c r="E236" s="75">
        <f>VLOOKUP(B236,'ALL-DATA'!A:F,2,FALSE)</f>
        <v>2</v>
      </c>
      <c r="F236" s="38">
        <f>VLOOKUP(B236,'ALL-DATA'!A:F,3,FALSE)</f>
        <v>97</v>
      </c>
      <c r="G236" s="38">
        <f>VLOOKUP(B236,'ALL-DATA'!A:F,4,FALSE)</f>
        <v>-5</v>
      </c>
      <c r="H236" s="76">
        <f>VLOOKUP(B236,'ALL-DATA'!A:F,5,FALSE)</f>
        <v>7218.2</v>
      </c>
      <c r="I236" s="76">
        <f>VLOOKUP(B236,'ALL-DATA'!A:F,6,FALSE)</f>
        <v>14003.307999999999</v>
      </c>
      <c r="J236" s="44">
        <v>16770</v>
      </c>
      <c r="K236" s="48"/>
      <c r="L236" s="77">
        <f>((J236+R236)-I236)-I237</f>
        <v>2716.6920000000009</v>
      </c>
      <c r="M236" s="37"/>
      <c r="N236" s="38"/>
      <c r="O236" s="38"/>
      <c r="P236" s="38">
        <f>((((((Table8[[#This Row],[OLD-WT]]-(Table8[[#This Row],[OLD-WT]]*1%))*Table8[[#This Row],[MELTING2]])/100))*80)/100)*Table8[[#This Row],[P-RATE3]]</f>
        <v>0</v>
      </c>
      <c r="Q236" s="38"/>
      <c r="R236" s="235">
        <f t="shared" si="30"/>
        <v>0</v>
      </c>
    </row>
    <row r="237" spans="1:18" x14ac:dyDescent="0.45">
      <c r="A237" s="73">
        <v>45618</v>
      </c>
      <c r="B237" s="121" t="s">
        <v>1284</v>
      </c>
      <c r="C237" s="38"/>
      <c r="D237" s="74"/>
      <c r="E237" s="75">
        <f>VLOOKUP(B237,'ALL-DATA'!A:F,2,FALSE)</f>
        <v>0</v>
      </c>
      <c r="F237" s="38">
        <f>VLOOKUP(B237,'ALL-DATA'!A:F,3,FALSE)</f>
        <v>0</v>
      </c>
      <c r="G237" s="38">
        <f>VLOOKUP(B237,'ALL-DATA'!A:F,4,FALSE)</f>
        <v>0</v>
      </c>
      <c r="H237" s="76">
        <f>VLOOKUP(B237,'ALL-DATA'!A:F,5,FALSE)</f>
        <v>0</v>
      </c>
      <c r="I237" s="76">
        <f>VLOOKUP(B237,'ALL-DATA'!A:F,6,FALSE)</f>
        <v>50</v>
      </c>
      <c r="J237" s="44"/>
      <c r="K237" s="48"/>
      <c r="L237" s="77">
        <v>0</v>
      </c>
      <c r="M237" s="37"/>
      <c r="N237" s="38"/>
      <c r="O237" s="38"/>
      <c r="P237" s="38">
        <f>((((((Table8[[#This Row],[OLD-WT]]-(Table8[[#This Row],[OLD-WT]]*1%))*Table8[[#This Row],[MELTING2]])/100))*80)/100)*Table8[[#This Row],[P-RATE3]]</f>
        <v>0</v>
      </c>
      <c r="Q237" s="38"/>
      <c r="R237" s="235">
        <f t="shared" si="30"/>
        <v>0</v>
      </c>
    </row>
    <row r="238" spans="1:18" x14ac:dyDescent="0.45">
      <c r="A238" s="73">
        <v>45618</v>
      </c>
      <c r="B238" s="38" t="str">
        <f>C238&amp;D238</f>
        <v>S-S-KOLUSU-9</v>
      </c>
      <c r="C238" s="38" t="s">
        <v>726</v>
      </c>
      <c r="D238" s="74" t="s">
        <v>1318</v>
      </c>
      <c r="E238" s="75">
        <f>VLOOKUP(B238,'ALL-DATA'!A:F,2,FALSE)</f>
        <v>177.9</v>
      </c>
      <c r="F238" s="38">
        <f>VLOOKUP(B238,'ALL-DATA'!A:F,3,FALSE)</f>
        <v>76.5</v>
      </c>
      <c r="G238" s="38">
        <f>VLOOKUP(B238,'ALL-DATA'!A:F,4,FALSE)</f>
        <v>-11.5</v>
      </c>
      <c r="H238" s="76">
        <f>VLOOKUP(B238,'ALL-DATA'!A:F,5,FALSE)</f>
        <v>89.9</v>
      </c>
      <c r="I238" s="76">
        <f>VLOOKUP(B238,'ALL-DATA'!A:F,6,FALSE)</f>
        <v>12234.805650000002</v>
      </c>
      <c r="J238" s="44"/>
      <c r="K238" s="48"/>
      <c r="L238" s="77">
        <f>((J238+R238)-I238)</f>
        <v>923.41106999999647</v>
      </c>
      <c r="M238" s="37">
        <v>227.9</v>
      </c>
      <c r="N238" s="38">
        <v>81</v>
      </c>
      <c r="O238" s="38">
        <v>90</v>
      </c>
      <c r="P238" s="38">
        <f>((((((Table8[[#This Row],[OLD-WT]]-(Table8[[#This Row],[OLD-WT]]*1%))*Table8[[#This Row],[MELTING2]])/100))*80)/100)*Table8[[#This Row],[P-RATE3]]</f>
        <v>13158.216719999999</v>
      </c>
      <c r="Q238" s="38"/>
      <c r="R238" s="235">
        <f t="shared" si="30"/>
        <v>13158.216719999999</v>
      </c>
    </row>
    <row r="239" spans="1:18" x14ac:dyDescent="0.45">
      <c r="A239" s="73">
        <v>45619</v>
      </c>
      <c r="B239" s="23" t="s">
        <v>805</v>
      </c>
      <c r="C239" s="38"/>
      <c r="D239" s="74"/>
      <c r="E239" s="75">
        <f>VLOOKUP(B239,'ALL-DATA'!A:F,2,FALSE)</f>
        <v>0</v>
      </c>
      <c r="F239" s="38">
        <f>VLOOKUP(B239,'ALL-DATA'!A:F,3,FALSE)</f>
        <v>0</v>
      </c>
      <c r="G239" s="38">
        <f>VLOOKUP(B239,'ALL-DATA'!A:F,4,FALSE)</f>
        <v>0</v>
      </c>
      <c r="H239" s="76">
        <f>VLOOKUP(B239,'ALL-DATA'!A:F,5,FALSE)</f>
        <v>0</v>
      </c>
      <c r="I239" s="76">
        <f>VLOOKUP(B239,'ALL-DATA'!A:F,6,FALSE)</f>
        <v>500</v>
      </c>
      <c r="J239" s="44">
        <v>800</v>
      </c>
      <c r="K239" s="48"/>
      <c r="L239" s="77">
        <f>((J239+R239)-I239)</f>
        <v>300</v>
      </c>
      <c r="M239" s="37"/>
      <c r="N239" s="38"/>
      <c r="O239" s="38"/>
      <c r="P239" s="38">
        <f>((((((Table8[[#This Row],[OLD-WT]]-(Table8[[#This Row],[OLD-WT]]*1%))*Table8[[#This Row],[MELTING2]])/100))*80)/100)*Table8[[#This Row],[P-RATE3]]</f>
        <v>0</v>
      </c>
      <c r="Q239" s="38"/>
      <c r="R239" s="235">
        <f t="shared" si="30"/>
        <v>0</v>
      </c>
    </row>
    <row r="240" spans="1:18" x14ac:dyDescent="0.45">
      <c r="A240" s="73">
        <v>45623</v>
      </c>
      <c r="B240" s="38" t="str">
        <f>C240&amp;D240</f>
        <v>S-S-KOLUSU-59</v>
      </c>
      <c r="C240" s="38" t="s">
        <v>726</v>
      </c>
      <c r="D240" s="74" t="s">
        <v>1366</v>
      </c>
      <c r="E240" s="75">
        <f>VLOOKUP(B240,'ALL-DATA'!A:F,2,FALSE)</f>
        <v>92.3</v>
      </c>
      <c r="F240" s="38">
        <f>VLOOKUP(B240,'ALL-DATA'!A:F,3,FALSE)</f>
        <v>76.5</v>
      </c>
      <c r="G240" s="38">
        <f>VLOOKUP(B240,'ALL-DATA'!A:F,4,FALSE)</f>
        <v>-11.5</v>
      </c>
      <c r="H240" s="76">
        <f>VLOOKUP(B240,'ALL-DATA'!A:F,5,FALSE)</f>
        <v>89.9</v>
      </c>
      <c r="I240" s="76">
        <f>VLOOKUP(B240,'ALL-DATA'!A:F,6,FALSE)</f>
        <v>6347.7940500000004</v>
      </c>
      <c r="J240" s="170">
        <v>9900</v>
      </c>
      <c r="K240" s="165"/>
      <c r="L240" s="77">
        <f>((J240+R240)-I240)</f>
        <v>1988.2430700000004</v>
      </c>
      <c r="M240" s="37">
        <v>118.4</v>
      </c>
      <c r="N240" s="38">
        <v>81</v>
      </c>
      <c r="O240" s="38">
        <v>90</v>
      </c>
      <c r="P240" s="38">
        <f>((((((Table8[[#This Row],[OLD-WT]]-(Table8[[#This Row],[OLD-WT]]*1%))*Table8[[#This Row],[MELTING2]])/100))*80)/100)*Table8[[#This Row],[P-RATE3]]</f>
        <v>6836.0371200000009</v>
      </c>
      <c r="Q240" s="38">
        <v>8400</v>
      </c>
      <c r="R240" s="235">
        <f t="shared" si="30"/>
        <v>-1563.9628799999991</v>
      </c>
    </row>
    <row r="241" spans="1:18" x14ac:dyDescent="0.45">
      <c r="A241" s="73">
        <v>45623</v>
      </c>
      <c r="B241" s="38" t="s">
        <v>1361</v>
      </c>
      <c r="C241" s="38"/>
      <c r="D241" s="74"/>
      <c r="E241" s="75">
        <f>VLOOKUP(B241,'ALL-DATA'!A:F,2,FALSE)</f>
        <v>29.27</v>
      </c>
      <c r="F241" s="38">
        <f>VLOOKUP(B241,'ALL-DATA'!A:F,3,FALSE)</f>
        <v>0</v>
      </c>
      <c r="G241" s="38">
        <f>VLOOKUP(B241,'ALL-DATA'!A:F,4,FALSE)</f>
        <v>0</v>
      </c>
      <c r="H241" s="76">
        <f>VLOOKUP(B241,'ALL-DATA'!A:F,5,FALSE)</f>
        <v>105.6</v>
      </c>
      <c r="I241" s="76">
        <f>VLOOKUP(B241,'ALL-DATA'!A:F,6,FALSE)</f>
        <v>3090.9119999999998</v>
      </c>
      <c r="J241" s="44">
        <v>4950</v>
      </c>
      <c r="K241" s="48"/>
      <c r="L241" s="77">
        <f>((J241+R241)-I241)</f>
        <v>1859.0880000000002</v>
      </c>
      <c r="M241" s="37"/>
      <c r="N241" s="38"/>
      <c r="O241" s="38"/>
      <c r="P241" s="38">
        <f>((((((Table8[[#This Row],[OLD-WT]]-(Table8[[#This Row],[OLD-WT]]*1%))*Table8[[#This Row],[MELTING2]])/100))*80)/100)*Table8[[#This Row],[P-RATE3]]</f>
        <v>0</v>
      </c>
      <c r="Q241" s="38"/>
      <c r="R241" s="235">
        <f t="shared" si="30"/>
        <v>0</v>
      </c>
    </row>
    <row r="242" spans="1:18" x14ac:dyDescent="0.45">
      <c r="A242" s="73">
        <v>45623</v>
      </c>
      <c r="B242" s="38" t="str">
        <f>C242&amp;D242</f>
        <v>S-DOLLER-31</v>
      </c>
      <c r="C242" s="38" t="s">
        <v>730</v>
      </c>
      <c r="D242" s="74" t="s">
        <v>1274</v>
      </c>
      <c r="E242" s="75">
        <f>VLOOKUP(B242,'ALL-DATA'!A:F,2,FALSE)</f>
        <v>1.5</v>
      </c>
      <c r="F242" s="38">
        <f>VLOOKUP(B242,'ALL-DATA'!A:F,3,FALSE)</f>
        <v>92.5</v>
      </c>
      <c r="G242" s="38">
        <f>VLOOKUP(B242,'ALL-DATA'!A:F,4,FALSE)</f>
        <v>92.5</v>
      </c>
      <c r="H242" s="76">
        <f>VLOOKUP(B242,'ALL-DATA'!A:F,5,FALSE)</f>
        <v>175</v>
      </c>
      <c r="I242" s="76">
        <f>VLOOKUP(B242,'ALL-DATA'!A:F,6,FALSE)</f>
        <v>262.5</v>
      </c>
      <c r="J242" s="44">
        <v>450</v>
      </c>
      <c r="K242" s="48"/>
      <c r="L242" s="77">
        <f>((J242+R242)-I242)</f>
        <v>187.5</v>
      </c>
      <c r="M242" s="37"/>
      <c r="N242" s="38"/>
      <c r="O242" s="38"/>
      <c r="P242" s="38">
        <f>((((((Table8[[#This Row],[OLD-WT]]-(Table8[[#This Row],[OLD-WT]]*1%))*Table8[[#This Row],[MELTING2]])/100))*80)/100)*Table8[[#This Row],[P-RATE3]]</f>
        <v>0</v>
      </c>
      <c r="Q242" s="38"/>
      <c r="R242" s="235">
        <f t="shared" si="30"/>
        <v>0</v>
      </c>
    </row>
    <row r="243" spans="1:18" x14ac:dyDescent="0.45">
      <c r="A243" s="73">
        <v>45624</v>
      </c>
      <c r="B243" s="38" t="str">
        <f>C243&amp;D243</f>
        <v>S-B-KOLUSU--76</v>
      </c>
      <c r="C243" s="38" t="s">
        <v>727</v>
      </c>
      <c r="D243" s="74" t="s">
        <v>1367</v>
      </c>
      <c r="E243" s="75">
        <f>VLOOKUP(B243,'ALL-DATA'!A:F,2,FALSE)</f>
        <v>36.5</v>
      </c>
      <c r="F243" s="38">
        <f>VLOOKUP(B243,'ALL-DATA'!A:F,3,FALSE)</f>
        <v>79</v>
      </c>
      <c r="G243" s="38">
        <f>VLOOKUP(B243,'ALL-DATA'!A:F,4,FALSE)</f>
        <v>-14</v>
      </c>
      <c r="H243" s="76">
        <f>VLOOKUP(B243,'ALL-DATA'!A:F,5,FALSE)</f>
        <v>86.4</v>
      </c>
      <c r="I243" s="76">
        <f>VLOOKUP(B243,'ALL-DATA'!A:F,6,FALSE)</f>
        <v>2491.3440000000001</v>
      </c>
      <c r="J243" s="170">
        <v>4900</v>
      </c>
      <c r="K243" s="165"/>
      <c r="L243" s="77">
        <f>((J243+R243)-I243)-I244</f>
        <v>1459.3428799999997</v>
      </c>
      <c r="M243" s="37">
        <v>61.6</v>
      </c>
      <c r="N243" s="38">
        <v>81</v>
      </c>
      <c r="O243" s="38">
        <v>90</v>
      </c>
      <c r="P243" s="38">
        <f>((((((Table8[[#This Row],[OLD-WT]]-(Table8[[#This Row],[OLD-WT]]*1%))*Table8[[#This Row],[MELTING2]])/100))*80)/100)*Table8[[#This Row],[P-RATE3]]</f>
        <v>3556.5868799999998</v>
      </c>
      <c r="Q243" s="38">
        <v>4100</v>
      </c>
      <c r="R243" s="235">
        <f t="shared" si="30"/>
        <v>-543.41312000000016</v>
      </c>
    </row>
    <row r="244" spans="1:18" x14ac:dyDescent="0.45">
      <c r="A244" s="73">
        <v>45624</v>
      </c>
      <c r="B244" s="120" t="s">
        <v>1183</v>
      </c>
      <c r="C244" s="38"/>
      <c r="D244" s="74"/>
      <c r="E244" s="75">
        <f>VLOOKUP(B244,'ALL-DATA'!A:F,2,FALSE)</f>
        <v>5.5</v>
      </c>
      <c r="F244" s="38">
        <f>VLOOKUP(B244,'ALL-DATA'!A:F,3,FALSE)</f>
        <v>82</v>
      </c>
      <c r="G244" s="38">
        <f>VLOOKUP(B244,'ALL-DATA'!A:F,4,FALSE)</f>
        <v>0</v>
      </c>
      <c r="H244" s="76">
        <f>VLOOKUP(B244,'ALL-DATA'!A:F,5,FALSE)</f>
        <v>90</v>
      </c>
      <c r="I244" s="76">
        <f>VLOOKUP(B244,'ALL-DATA'!A:F,6,FALSE)</f>
        <v>405.9</v>
      </c>
      <c r="J244" s="44"/>
      <c r="K244" s="48"/>
      <c r="L244" s="77">
        <v>0</v>
      </c>
      <c r="M244" s="37"/>
      <c r="N244" s="38"/>
      <c r="O244" s="38"/>
      <c r="P244" s="38">
        <f>((((((Table8[[#This Row],[OLD-WT]]-(Table8[[#This Row],[OLD-WT]]*1%))*Table8[[#This Row],[MELTING2]])/100))*80)/100)*Table8[[#This Row],[P-RATE3]]</f>
        <v>0</v>
      </c>
      <c r="Q244" s="38"/>
      <c r="R244" s="235">
        <f t="shared" si="30"/>
        <v>0</v>
      </c>
    </row>
    <row r="245" spans="1:18" x14ac:dyDescent="0.45">
      <c r="A245" s="73">
        <v>45626</v>
      </c>
      <c r="B245" s="131" t="str">
        <f>C245&amp;D245</f>
        <v>S-RING-160</v>
      </c>
      <c r="C245" s="38" t="s">
        <v>731</v>
      </c>
      <c r="D245" s="74" t="s">
        <v>1369</v>
      </c>
      <c r="E245" s="75"/>
      <c r="F245" s="38">
        <f>VLOOKUP(B245,'ALL-DATA'!A:F,3,FALSE)</f>
        <v>92.5</v>
      </c>
      <c r="G245" s="38">
        <f>VLOOKUP(B245,'ALL-DATA'!A:F,4,FALSE)</f>
        <v>92.5</v>
      </c>
      <c r="H245" s="76">
        <f>VLOOKUP(B245,'ALL-DATA'!A:F,5,FALSE)</f>
        <v>131.65</v>
      </c>
      <c r="I245" s="76">
        <f>VLOOKUP(B245,'ALL-DATA'!A:F,6,FALSE)</f>
        <v>157.97999999999999</v>
      </c>
      <c r="J245" s="44">
        <v>300</v>
      </c>
      <c r="K245" s="48"/>
      <c r="L245" s="77">
        <f t="shared" ref="L245:L252" si="36">((J245+R245)-I245)</f>
        <v>142.02000000000001</v>
      </c>
      <c r="M245" s="37"/>
      <c r="N245" s="38"/>
      <c r="O245" s="38"/>
      <c r="P245" s="38">
        <f>((((((Table8[[#This Row],[OLD-WT]]-(Table8[[#This Row],[OLD-WT]]*1%))*Table8[[#This Row],[MELTING2]])/100))*80)/100)*Table8[[#This Row],[P-RATE3]]</f>
        <v>0</v>
      </c>
      <c r="Q245" s="38"/>
      <c r="R245" s="235">
        <f t="shared" si="30"/>
        <v>0</v>
      </c>
    </row>
    <row r="246" spans="1:18" x14ac:dyDescent="0.45">
      <c r="A246" s="73">
        <v>45626</v>
      </c>
      <c r="B246" s="38" t="s">
        <v>1368</v>
      </c>
      <c r="C246" s="38"/>
      <c r="D246" s="74"/>
      <c r="E246" s="75">
        <f>VLOOKUP(B246,'ALL-DATA'!A:F,2,FALSE)</f>
        <v>3.96</v>
      </c>
      <c r="F246" s="38">
        <f>VLOOKUP(B246,'ALL-DATA'!A:F,3,FALSE)</f>
        <v>89</v>
      </c>
      <c r="G246" s="38">
        <f>VLOOKUP(B246,'ALL-DATA'!A:F,4,FALSE)</f>
        <v>0</v>
      </c>
      <c r="H246" s="76">
        <f>VLOOKUP(B246,'ALL-DATA'!A:F,5,FALSE)</f>
        <v>6016</v>
      </c>
      <c r="I246" s="76">
        <f>VLOOKUP(B246,'ALL-DATA'!A:F,6,FALSE)</f>
        <v>21280</v>
      </c>
      <c r="J246" s="170">
        <v>29000</v>
      </c>
      <c r="K246" s="165"/>
      <c r="L246" s="77">
        <f>((J246+R246)-I246)-I247</f>
        <v>7490</v>
      </c>
      <c r="M246" s="37"/>
      <c r="N246" s="38"/>
      <c r="O246" s="38"/>
      <c r="P246" s="38">
        <f>((((((Table8[[#This Row],[OLD-WT]]-(Table8[[#This Row],[OLD-WT]]*1%))*Table8[[#This Row],[MELTING2]])/100))*80)/100)*Table8[[#This Row],[P-RATE3]]</f>
        <v>0</v>
      </c>
      <c r="Q246" s="38"/>
      <c r="R246" s="235">
        <f t="shared" ref="R246:R292" si="37">(P246-Q246)</f>
        <v>0</v>
      </c>
    </row>
    <row r="247" spans="1:18" x14ac:dyDescent="0.45">
      <c r="A247" s="73">
        <v>45626</v>
      </c>
      <c r="B247" s="121" t="s">
        <v>1082</v>
      </c>
      <c r="C247" s="38"/>
      <c r="D247" s="74"/>
      <c r="E247" s="75">
        <f>VLOOKUP(B247,'ALL-DATA'!A:F,2,FALSE)</f>
        <v>0</v>
      </c>
      <c r="F247" s="38">
        <f>VLOOKUP(B247,'ALL-DATA'!A:F,3,FALSE)</f>
        <v>0</v>
      </c>
      <c r="G247" s="38">
        <f>VLOOKUP(B247,'ALL-DATA'!A:F,4,FALSE)</f>
        <v>0</v>
      </c>
      <c r="H247" s="76">
        <f>VLOOKUP(B247,'ALL-DATA'!A:F,5,FALSE)</f>
        <v>0</v>
      </c>
      <c r="I247" s="76">
        <f>VLOOKUP(B247,'ALL-DATA'!A:F,6,FALSE)</f>
        <v>230</v>
      </c>
      <c r="J247" s="170"/>
      <c r="K247" s="165"/>
      <c r="L247" s="77">
        <v>0</v>
      </c>
      <c r="M247" s="37"/>
      <c r="N247" s="38"/>
      <c r="O247" s="38"/>
      <c r="P247" s="38"/>
      <c r="Q247" s="38"/>
      <c r="R247" s="235"/>
    </row>
    <row r="248" spans="1:18" x14ac:dyDescent="0.45">
      <c r="A248" s="73">
        <v>45626</v>
      </c>
      <c r="B248" s="38" t="str">
        <f>C248&amp;D248</f>
        <v>G-CHAIN-9</v>
      </c>
      <c r="C248" s="38" t="s">
        <v>724</v>
      </c>
      <c r="D248" s="74" t="s">
        <v>1318</v>
      </c>
      <c r="E248" s="75">
        <f>VLOOKUP(B248,'ALL-DATA'!A:F,2,FALSE)</f>
        <v>8.15</v>
      </c>
      <c r="F248" s="38">
        <f>VLOOKUP(B248,'ALL-DATA'!A:F,3,FALSE)</f>
        <v>94.25</v>
      </c>
      <c r="G248" s="38">
        <f>VLOOKUP(B248,'ALL-DATA'!A:F,4,FALSE)</f>
        <v>-2.25</v>
      </c>
      <c r="H248" s="76">
        <f>VLOOKUP(B248,'ALL-DATA'!A:F,5,FALSE)</f>
        <v>6305</v>
      </c>
      <c r="I248" s="76">
        <f>VLOOKUP(B248,'ALL-DATA'!A:F,6,FALSE)</f>
        <v>48431.069374999999</v>
      </c>
      <c r="J248" s="170">
        <v>63000</v>
      </c>
      <c r="K248" s="165">
        <v>20000</v>
      </c>
      <c r="L248" s="77">
        <f t="shared" si="36"/>
        <v>14568.930625000001</v>
      </c>
      <c r="M248" s="37"/>
      <c r="N248" s="38"/>
      <c r="O248" s="38"/>
      <c r="P248" s="38">
        <f>((((((Table8[[#This Row],[OLD-WT]]-(Table8[[#This Row],[OLD-WT]]*1%))*Table8[[#This Row],[MELTING2]])/100))*80)/100)*Table8[[#This Row],[P-RATE3]]</f>
        <v>0</v>
      </c>
      <c r="Q248" s="38"/>
      <c r="R248" s="263">
        <f t="shared" si="37"/>
        <v>0</v>
      </c>
    </row>
    <row r="249" spans="1:18" x14ac:dyDescent="0.45">
      <c r="A249" s="73">
        <v>45626</v>
      </c>
      <c r="B249" s="38" t="str">
        <f>C249&amp;D249</f>
        <v>S-BARACELET-B-16</v>
      </c>
      <c r="C249" s="38" t="s">
        <v>737</v>
      </c>
      <c r="D249" s="74" t="s">
        <v>918</v>
      </c>
      <c r="E249" s="75">
        <f>VLOOKUP(B249,'ALL-DATA'!A:F,2,FALSE)</f>
        <v>5.27</v>
      </c>
      <c r="F249" s="38">
        <f>VLOOKUP(B249,'ALL-DATA'!A:F,3,FALSE)</f>
        <v>86</v>
      </c>
      <c r="G249" s="38">
        <f>VLOOKUP(B249,'ALL-DATA'!A:F,4,FALSE)</f>
        <v>-65</v>
      </c>
      <c r="H249" s="76">
        <f>VLOOKUP(B249,'ALL-DATA'!A:F,5,FALSE)</f>
        <v>90</v>
      </c>
      <c r="I249" s="76">
        <f>VLOOKUP(B249,'ALL-DATA'!A:F,6,FALSE)</f>
        <v>407.89799999999997</v>
      </c>
      <c r="J249" s="44">
        <v>950</v>
      </c>
      <c r="K249" s="48"/>
      <c r="L249" s="77">
        <f t="shared" si="36"/>
        <v>542.10200000000009</v>
      </c>
      <c r="M249" s="37"/>
      <c r="N249" s="38"/>
      <c r="O249" s="38"/>
      <c r="P249" s="38">
        <f>((((((Table8[[#This Row],[OLD-WT]]-(Table8[[#This Row],[OLD-WT]]*1%))*Table8[[#This Row],[MELTING2]])/100))*80)/100)*Table8[[#This Row],[P-RATE3]]</f>
        <v>0</v>
      </c>
      <c r="Q249" s="38"/>
      <c r="R249" s="263">
        <f t="shared" si="37"/>
        <v>0</v>
      </c>
    </row>
    <row r="250" spans="1:18" x14ac:dyDescent="0.45">
      <c r="A250" s="73">
        <v>45626</v>
      </c>
      <c r="B250" s="38" t="str">
        <f>C250&amp;D250</f>
        <v>S-BARACELET-B-27</v>
      </c>
      <c r="C250" s="38" t="s">
        <v>737</v>
      </c>
      <c r="D250" s="74" t="s">
        <v>974</v>
      </c>
      <c r="E250" s="75">
        <f>VLOOKUP(B250,'ALL-DATA'!A:F,2,FALSE)</f>
        <v>9.3000000000000007</v>
      </c>
      <c r="F250" s="38">
        <f>VLOOKUP(B250,'ALL-DATA'!A:F,3,FALSE)</f>
        <v>77</v>
      </c>
      <c r="G250" s="38">
        <f>VLOOKUP(B250,'ALL-DATA'!A:F,4,FALSE)</f>
        <v>-12</v>
      </c>
      <c r="H250" s="76">
        <f>VLOOKUP(B250,'ALL-DATA'!A:F,5,FALSE)</f>
        <v>91.5</v>
      </c>
      <c r="I250" s="76">
        <f>VLOOKUP(B250,'ALL-DATA'!A:F,6,FALSE)</f>
        <v>655.2315000000001</v>
      </c>
      <c r="J250" s="44">
        <v>1300</v>
      </c>
      <c r="K250" s="48"/>
      <c r="L250" s="77">
        <f t="shared" si="36"/>
        <v>476.98645999999985</v>
      </c>
      <c r="M250" s="37">
        <v>10.95</v>
      </c>
      <c r="N250" s="38">
        <v>81</v>
      </c>
      <c r="O250" s="38">
        <v>90</v>
      </c>
      <c r="P250" s="38">
        <f>((((((Table8[[#This Row],[OLD-WT]]-(Table8[[#This Row],[OLD-WT]]*1%))*Table8[[#This Row],[MELTING2]])/100))*80)/100)*Table8[[#This Row],[P-RATE3]]</f>
        <v>632.21795999999995</v>
      </c>
      <c r="Q250" s="38">
        <v>800</v>
      </c>
      <c r="R250" s="263">
        <f t="shared" si="37"/>
        <v>-167.78204000000005</v>
      </c>
    </row>
    <row r="251" spans="1:18" x14ac:dyDescent="0.45">
      <c r="A251" s="73">
        <v>45626</v>
      </c>
      <c r="B251" s="131" t="s">
        <v>1370</v>
      </c>
      <c r="C251" s="38"/>
      <c r="D251" s="74"/>
      <c r="E251" s="75">
        <f>VLOOKUP(B251,'ALL-DATA'!A:F,2,FALSE)</f>
        <v>6.3</v>
      </c>
      <c r="F251" s="38">
        <f>VLOOKUP(B251,'ALL-DATA'!A:F,3,FALSE)</f>
        <v>80</v>
      </c>
      <c r="G251" s="38">
        <f>VLOOKUP(B251,'ALL-DATA'!A:F,4,FALSE)</f>
        <v>-15</v>
      </c>
      <c r="H251" s="76">
        <f>VLOOKUP(B251,'ALL-DATA'!A:F,5,FALSE)</f>
        <v>93</v>
      </c>
      <c r="I251" s="76">
        <f>VLOOKUP(B251,'ALL-DATA'!A:F,6,FALSE)</f>
        <v>468.72</v>
      </c>
      <c r="J251" s="44">
        <v>840</v>
      </c>
      <c r="K251" s="48"/>
      <c r="L251" s="77">
        <f t="shared" si="36"/>
        <v>285.55327999999997</v>
      </c>
      <c r="M251" s="37">
        <v>9.6</v>
      </c>
      <c r="N251" s="38">
        <v>81</v>
      </c>
      <c r="O251" s="38">
        <v>90</v>
      </c>
      <c r="P251" s="38">
        <f>((((((Table8[[#This Row],[OLD-WT]]-(Table8[[#This Row],[OLD-WT]]*1%))*Table8[[#This Row],[MELTING2]])/100))*80)/100)*Table8[[#This Row],[P-RATE3]]</f>
        <v>554.27328</v>
      </c>
      <c r="Q251" s="38">
        <v>640</v>
      </c>
      <c r="R251" s="263">
        <f t="shared" si="37"/>
        <v>-85.72672</v>
      </c>
    </row>
    <row r="252" spans="1:18" x14ac:dyDescent="0.45">
      <c r="A252" s="73">
        <v>45626</v>
      </c>
      <c r="B252" s="38" t="str">
        <f>C252&amp;D252</f>
        <v>S-RING-278</v>
      </c>
      <c r="C252" s="38" t="s">
        <v>731</v>
      </c>
      <c r="D252" s="74" t="s">
        <v>1371</v>
      </c>
      <c r="E252" s="75">
        <f>VLOOKUP(B252,'ALL-DATA'!A:F,2,FALSE)</f>
        <v>4.18</v>
      </c>
      <c r="F252" s="38">
        <f>VLOOKUP(B252,'ALL-DATA'!A:F,3,FALSE)</f>
        <v>92.5</v>
      </c>
      <c r="G252" s="38">
        <f>VLOOKUP(B252,'ALL-DATA'!A:F,4,FALSE)</f>
        <v>92.5</v>
      </c>
      <c r="H252" s="76">
        <f>VLOOKUP(B252,'ALL-DATA'!A:F,5,FALSE)</f>
        <v>123</v>
      </c>
      <c r="I252" s="76">
        <f>VLOOKUP(B252,'ALL-DATA'!A:F,6,FALSE)</f>
        <v>514.14</v>
      </c>
      <c r="J252" s="44">
        <v>1000</v>
      </c>
      <c r="K252" s="48"/>
      <c r="L252" s="77">
        <f t="shared" si="36"/>
        <v>485.86</v>
      </c>
      <c r="M252" s="37"/>
      <c r="N252" s="38"/>
      <c r="O252" s="38"/>
      <c r="P252" s="38">
        <f>((((((Table8[[#This Row],[OLD-WT]]-(Table8[[#This Row],[OLD-WT]]*1%))*Table8[[#This Row],[MELTING2]])/100))*80)/100)*Table8[[#This Row],[P-RATE3]]</f>
        <v>0</v>
      </c>
      <c r="Q252" s="38"/>
      <c r="R252" s="263">
        <f t="shared" si="37"/>
        <v>0</v>
      </c>
    </row>
    <row r="253" spans="1:18" x14ac:dyDescent="0.45">
      <c r="A253" s="73">
        <v>45628</v>
      </c>
      <c r="B253" s="38" t="str">
        <f>C253&amp;D253</f>
        <v>S-S-KOLUSU-31</v>
      </c>
      <c r="C253" s="38" t="s">
        <v>726</v>
      </c>
      <c r="D253" s="74" t="s">
        <v>1274</v>
      </c>
      <c r="E253" s="75">
        <f>VLOOKUP(B253,'ALL-DATA'!A:F,2,FALSE)</f>
        <v>66.819999999999993</v>
      </c>
      <c r="F253" s="38">
        <f>VLOOKUP(B253,'ALL-DATA'!A:F,3,FALSE)</f>
        <v>76.5</v>
      </c>
      <c r="G253" s="38">
        <f>VLOOKUP(B253,'ALL-DATA'!A:F,4,FALSE)</f>
        <v>-11.5</v>
      </c>
      <c r="H253" s="76">
        <f>VLOOKUP(B253,'ALL-DATA'!A:F,5,FALSE)</f>
        <v>89.9</v>
      </c>
      <c r="I253" s="76">
        <f>VLOOKUP(B253,'ALL-DATA'!A:F,6,FALSE)</f>
        <v>4595.4452699999993</v>
      </c>
      <c r="J253" s="170">
        <v>7000</v>
      </c>
      <c r="K253" s="165"/>
      <c r="L253" s="77">
        <f t="shared" ref="L253:L260" si="38">((J253+R253)-I253)</f>
        <v>2404.5547300000007</v>
      </c>
      <c r="M253" s="37"/>
      <c r="N253" s="38"/>
      <c r="O253" s="38"/>
      <c r="P253" s="38">
        <f>((((((Table8[[#This Row],[OLD-WT]]-(Table8[[#This Row],[OLD-WT]]*1%))*Table8[[#This Row],[MELTING2]])/100))*80)/100)*Table8[[#This Row],[P-RATE3]]</f>
        <v>0</v>
      </c>
      <c r="Q253" s="38"/>
      <c r="R253" s="263">
        <f t="shared" si="37"/>
        <v>0</v>
      </c>
    </row>
    <row r="254" spans="1:18" x14ac:dyDescent="0.45">
      <c r="A254" s="73">
        <v>45628</v>
      </c>
      <c r="B254" s="38" t="s">
        <v>1373</v>
      </c>
      <c r="C254" s="38"/>
      <c r="D254" s="74"/>
      <c r="E254" s="75">
        <f>VLOOKUP(B254,'ALL-DATA'!A:F,2,FALSE)</f>
        <v>3.82</v>
      </c>
      <c r="F254" s="38">
        <f>VLOOKUP(B254,'ALL-DATA'!A:F,3,FALSE)</f>
        <v>99.9</v>
      </c>
      <c r="G254" s="38">
        <f>VLOOKUP(B254,'ALL-DATA'!A:F,4,FALSE)</f>
        <v>0</v>
      </c>
      <c r="H254" s="76">
        <f>VLOOKUP(B254,'ALL-DATA'!A:F,5,FALSE)</f>
        <v>0</v>
      </c>
      <c r="I254" s="76">
        <f>VLOOKUP(B254,'ALL-DATA'!A:F,6,FALSE)</f>
        <v>23000</v>
      </c>
      <c r="J254" s="44">
        <v>30300</v>
      </c>
      <c r="K254" s="48"/>
      <c r="L254" s="77">
        <f t="shared" si="38"/>
        <v>7300</v>
      </c>
      <c r="M254" s="37"/>
      <c r="N254" s="38"/>
      <c r="O254" s="38"/>
      <c r="P254" s="38">
        <f>((((((Table8[[#This Row],[OLD-WT]]-(Table8[[#This Row],[OLD-WT]]*1%))*Table8[[#This Row],[MELTING2]])/100))*80)/100)*Table8[[#This Row],[P-RATE3]]</f>
        <v>0</v>
      </c>
      <c r="Q254" s="38"/>
      <c r="R254" s="263">
        <f t="shared" si="37"/>
        <v>0</v>
      </c>
    </row>
    <row r="255" spans="1:18" x14ac:dyDescent="0.45">
      <c r="A255" s="73">
        <v>45628</v>
      </c>
      <c r="B255" s="38" t="str">
        <f>C255&amp;D255</f>
        <v>G-CHAIN-10</v>
      </c>
      <c r="C255" s="38" t="s">
        <v>724</v>
      </c>
      <c r="D255" s="74" t="s">
        <v>792</v>
      </c>
      <c r="E255" s="75">
        <f>VLOOKUP(B255,'ALL-DATA'!A:F,2,FALSE)</f>
        <v>4.03</v>
      </c>
      <c r="F255" s="38">
        <f>VLOOKUP(B255,'ALL-DATA'!A:F,3,FALSE)</f>
        <v>92</v>
      </c>
      <c r="G255" s="38">
        <f>VLOOKUP(B255,'ALL-DATA'!A:F,4,FALSE)</f>
        <v>0</v>
      </c>
      <c r="H255" s="76">
        <f>VLOOKUP(B255,'ALL-DATA'!A:F,5,FALSE)</f>
        <v>5600</v>
      </c>
      <c r="I255" s="76">
        <f>VLOOKUP(B255,'ALL-DATA'!A:F,6,FALSE)</f>
        <v>23000</v>
      </c>
      <c r="J255" s="44">
        <v>33100</v>
      </c>
      <c r="K255" s="48"/>
      <c r="L255" s="77">
        <f t="shared" si="38"/>
        <v>10100</v>
      </c>
      <c r="M255" s="37"/>
      <c r="N255" s="38"/>
      <c r="O255" s="38"/>
      <c r="P255" s="38">
        <f>((((((Table8[[#This Row],[OLD-WT]]-(Table8[[#This Row],[OLD-WT]]*1%))*Table8[[#This Row],[MELTING2]])/100))*80)/100)*Table8[[#This Row],[P-RATE3]]</f>
        <v>0</v>
      </c>
      <c r="Q255" s="38"/>
      <c r="R255" s="263">
        <f t="shared" si="37"/>
        <v>0</v>
      </c>
    </row>
    <row r="256" spans="1:18" x14ac:dyDescent="0.45">
      <c r="A256" s="73">
        <v>45629</v>
      </c>
      <c r="B256" s="131" t="s">
        <v>1374</v>
      </c>
      <c r="C256" s="38"/>
      <c r="D256" s="74"/>
      <c r="E256" s="75">
        <f>VLOOKUP(B256,'ALL-DATA'!A:F,2,FALSE)</f>
        <v>5.7</v>
      </c>
      <c r="F256" s="38">
        <f>VLOOKUP(B256,'ALL-DATA'!A:F,3,FALSE)</f>
        <v>80</v>
      </c>
      <c r="G256" s="38">
        <f>VLOOKUP(B256,'ALL-DATA'!A:F,4,FALSE)</f>
        <v>-15</v>
      </c>
      <c r="H256" s="76">
        <f>VLOOKUP(B256,'ALL-DATA'!A:F,5,FALSE)</f>
        <v>93</v>
      </c>
      <c r="I256" s="76">
        <f>VLOOKUP(B256,'ALL-DATA'!A:F,6,FALSE)</f>
        <v>424.08</v>
      </c>
      <c r="J256" s="44">
        <v>930</v>
      </c>
      <c r="K256" s="48"/>
      <c r="L256" s="77">
        <f t="shared" si="38"/>
        <v>200.86560000000003</v>
      </c>
      <c r="M256" s="37">
        <v>42</v>
      </c>
      <c r="N256" s="38">
        <v>81</v>
      </c>
      <c r="O256" s="38">
        <v>90</v>
      </c>
      <c r="P256" s="38">
        <f>((((((Table8[[#This Row],[OLD-WT]]-(Table8[[#This Row],[OLD-WT]]*1%))*Table8[[#This Row],[MELTING2]])/100))*80)/100)*Table8[[#This Row],[P-RATE3]]</f>
        <v>2424.9456</v>
      </c>
      <c r="Q256" s="38">
        <v>2730</v>
      </c>
      <c r="R256" s="263">
        <f t="shared" si="37"/>
        <v>-305.05439999999999</v>
      </c>
    </row>
    <row r="257" spans="1:18" x14ac:dyDescent="0.45">
      <c r="A257" s="73">
        <v>45629</v>
      </c>
      <c r="B257" s="131" t="s">
        <v>803</v>
      </c>
      <c r="C257" s="38"/>
      <c r="D257" s="74"/>
      <c r="E257" s="75">
        <f>VLOOKUP(B257,'ALL-DATA'!A:F,2,FALSE)</f>
        <v>0</v>
      </c>
      <c r="F257" s="38">
        <f>VLOOKUP(B257,'ALL-DATA'!A:F,3,FALSE)</f>
        <v>0</v>
      </c>
      <c r="G257" s="38">
        <f>VLOOKUP(B257,'ALL-DATA'!A:F,4,FALSE)</f>
        <v>0</v>
      </c>
      <c r="H257" s="76">
        <f>VLOOKUP(B257,'ALL-DATA'!A:F,5,FALSE)</f>
        <v>0</v>
      </c>
      <c r="I257" s="76">
        <f>VLOOKUP(B257,'ALL-DATA'!A:F,6,FALSE)</f>
        <v>135</v>
      </c>
      <c r="J257" s="44">
        <v>450</v>
      </c>
      <c r="K257" s="48"/>
      <c r="L257" s="77">
        <f t="shared" si="38"/>
        <v>315</v>
      </c>
      <c r="M257" s="37"/>
      <c r="N257" s="38"/>
      <c r="O257" s="38"/>
      <c r="P257" s="38">
        <f>((((((Table8[[#This Row],[OLD-WT]]-(Table8[[#This Row],[OLD-WT]]*1%))*Table8[[#This Row],[MELTING2]])/100))*80)/100)*Table8[[#This Row],[P-RATE3]]</f>
        <v>0</v>
      </c>
      <c r="Q257" s="38"/>
      <c r="R257" s="263">
        <f t="shared" si="37"/>
        <v>0</v>
      </c>
    </row>
    <row r="258" spans="1:18" x14ac:dyDescent="0.45">
      <c r="A258" s="73">
        <v>45629</v>
      </c>
      <c r="B258" s="131" t="s">
        <v>803</v>
      </c>
      <c r="C258" s="38"/>
      <c r="D258" s="74"/>
      <c r="E258" s="75">
        <f>VLOOKUP(B258,'ALL-DATA'!A:F,2,FALSE)</f>
        <v>0</v>
      </c>
      <c r="F258" s="38">
        <f>VLOOKUP(B258,'ALL-DATA'!A:F,3,FALSE)</f>
        <v>0</v>
      </c>
      <c r="G258" s="38">
        <f>VLOOKUP(B258,'ALL-DATA'!A:F,4,FALSE)</f>
        <v>0</v>
      </c>
      <c r="H258" s="76">
        <f>VLOOKUP(B258,'ALL-DATA'!A:F,5,FALSE)</f>
        <v>0</v>
      </c>
      <c r="I258" s="76">
        <f>VLOOKUP(B258,'ALL-DATA'!A:F,6,FALSE)</f>
        <v>135</v>
      </c>
      <c r="J258" s="44">
        <v>450</v>
      </c>
      <c r="K258" s="48"/>
      <c r="L258" s="77">
        <f t="shared" si="38"/>
        <v>315</v>
      </c>
      <c r="M258" s="37"/>
      <c r="N258" s="38"/>
      <c r="O258" s="38"/>
      <c r="P258" s="38">
        <f>((((((Table8[[#This Row],[OLD-WT]]-(Table8[[#This Row],[OLD-WT]]*1%))*Table8[[#This Row],[MELTING2]])/100))*80)/100)*Table8[[#This Row],[P-RATE3]]</f>
        <v>0</v>
      </c>
      <c r="Q258" s="38"/>
      <c r="R258" s="263">
        <f t="shared" si="37"/>
        <v>0</v>
      </c>
    </row>
    <row r="259" spans="1:18" x14ac:dyDescent="0.45">
      <c r="A259" s="73">
        <v>45631</v>
      </c>
      <c r="B259" s="38" t="str">
        <f>C259&amp;D259</f>
        <v>S-BANGLE-1</v>
      </c>
      <c r="C259" s="38" t="s">
        <v>988</v>
      </c>
      <c r="D259" s="74" t="s">
        <v>787</v>
      </c>
      <c r="E259" s="75">
        <f>VLOOKUP(B259,'ALL-DATA'!A:F,2,FALSE)</f>
        <v>16.64</v>
      </c>
      <c r="F259" s="38">
        <f>VLOOKUP(B259,'ALL-DATA'!A:F,3,FALSE)</f>
        <v>65</v>
      </c>
      <c r="G259" s="38">
        <f>VLOOKUP(B259,'ALL-DATA'!A:F,4,FALSE)</f>
        <v>60.9</v>
      </c>
      <c r="H259" s="76">
        <f>VLOOKUP(B259,'ALL-DATA'!A:F,5,FALSE)</f>
        <v>88.1</v>
      </c>
      <c r="I259" s="76">
        <f>VLOOKUP(B259,'ALL-DATA'!A:F,6,FALSE)</f>
        <v>1119.2896000000001</v>
      </c>
      <c r="J259" s="44">
        <v>2200</v>
      </c>
      <c r="K259" s="48"/>
      <c r="L259" s="77">
        <f t="shared" si="38"/>
        <v>1080.7103999999999</v>
      </c>
      <c r="M259" s="37"/>
      <c r="N259" s="38"/>
      <c r="O259" s="38"/>
      <c r="P259" s="38">
        <f>((((((Table8[[#This Row],[OLD-WT]]-(Table8[[#This Row],[OLD-WT]]*1%))*Table8[[#This Row],[MELTING2]])/100))*80)/100)*Table8[[#This Row],[P-RATE3]]</f>
        <v>0</v>
      </c>
      <c r="Q259" s="38"/>
      <c r="R259" s="263">
        <f t="shared" si="37"/>
        <v>0</v>
      </c>
    </row>
    <row r="260" spans="1:18" x14ac:dyDescent="0.45">
      <c r="A260" s="73">
        <v>45632</v>
      </c>
      <c r="B260" s="38" t="str">
        <f>C260&amp;D260</f>
        <v>G-CHAIN-7</v>
      </c>
      <c r="C260" s="38" t="s">
        <v>724</v>
      </c>
      <c r="D260" s="74" t="s">
        <v>876</v>
      </c>
      <c r="E260" s="75">
        <f>VLOOKUP(B260,'ALL-DATA'!A:F,2,FALSE)</f>
        <v>8.02</v>
      </c>
      <c r="F260" s="38">
        <f>VLOOKUP(B260,'ALL-DATA'!A:F,3,FALSE)</f>
        <v>94</v>
      </c>
      <c r="G260" s="38">
        <f>VLOOKUP(B260,'ALL-DATA'!A:F,4,FALSE)</f>
        <v>-2</v>
      </c>
      <c r="H260" s="76">
        <f>VLOOKUP(B260,'ALL-DATA'!A:F,5,FALSE)</f>
        <v>7420</v>
      </c>
      <c r="I260" s="76">
        <f>VLOOKUP(B260,'ALL-DATA'!A:F,6,FALSE)</f>
        <v>55937.896000000001</v>
      </c>
      <c r="J260" s="170">
        <v>60500</v>
      </c>
      <c r="K260" s="165"/>
      <c r="L260" s="77">
        <f t="shared" si="38"/>
        <v>4562.1039999999994</v>
      </c>
      <c r="M260" s="37"/>
      <c r="N260" s="38"/>
      <c r="O260" s="38"/>
      <c r="P260" s="38">
        <f>((((((Table8[[#This Row],[OLD-WT]]-(Table8[[#This Row],[OLD-WT]]*1%))*Table8[[#This Row],[MELTING2]])/100))*80)/100)*Table8[[#This Row],[P-RATE3]]</f>
        <v>0</v>
      </c>
      <c r="Q260" s="38"/>
      <c r="R260" s="263">
        <f t="shared" si="37"/>
        <v>0</v>
      </c>
    </row>
    <row r="261" spans="1:18" x14ac:dyDescent="0.45">
      <c r="A261" s="73">
        <v>45635</v>
      </c>
      <c r="B261" s="38" t="s">
        <v>1376</v>
      </c>
      <c r="C261" s="38"/>
      <c r="D261" s="74"/>
      <c r="E261" s="75">
        <f>VLOOKUP(B261,'ALL-DATA'!A:F,2,FALSE)</f>
        <v>8.1</v>
      </c>
      <c r="F261" s="38">
        <f>VLOOKUP(B261,'ALL-DATA'!A:F,3,FALSE)</f>
        <v>0</v>
      </c>
      <c r="G261" s="38">
        <f>VLOOKUP(B261,'ALL-DATA'!A:F,4,FALSE)</f>
        <v>0</v>
      </c>
      <c r="H261" s="76">
        <f>VLOOKUP(B261,'ALL-DATA'!A:F,5,FALSE)</f>
        <v>0</v>
      </c>
      <c r="I261" s="76">
        <f>VLOOKUP(B261,'ALL-DATA'!A:F,6,FALSE)</f>
        <v>51500</v>
      </c>
      <c r="J261" s="44">
        <v>57500</v>
      </c>
      <c r="K261" s="48"/>
      <c r="L261" s="77">
        <f t="shared" ref="L261:L269" si="39">((J261+R261)-I261)</f>
        <v>6000</v>
      </c>
      <c r="M261" s="37"/>
      <c r="N261" s="38"/>
      <c r="O261" s="38"/>
      <c r="P261" s="38">
        <f>((((((Table8[[#This Row],[OLD-WT]]-(Table8[[#This Row],[OLD-WT]]*1%))*Table8[[#This Row],[MELTING2]])/100))*80)/100)*Table8[[#This Row],[P-RATE3]]</f>
        <v>0</v>
      </c>
      <c r="Q261" s="38"/>
      <c r="R261" s="263">
        <f t="shared" si="37"/>
        <v>0</v>
      </c>
    </row>
    <row r="262" spans="1:18" x14ac:dyDescent="0.45">
      <c r="A262" s="73">
        <v>45635</v>
      </c>
      <c r="B262" s="38" t="str">
        <f>C262&amp;D262</f>
        <v>S-B-KOLUSU--25</v>
      </c>
      <c r="C262" s="38" t="s">
        <v>727</v>
      </c>
      <c r="D262" s="74" t="s">
        <v>893</v>
      </c>
      <c r="E262" s="75">
        <f>VLOOKUP(B262,'ALL-DATA'!A:F,2,FALSE)</f>
        <v>54.15</v>
      </c>
      <c r="F262" s="38">
        <f>VLOOKUP(B262,'ALL-DATA'!A:F,3,FALSE)</f>
        <v>65</v>
      </c>
      <c r="G262" s="38">
        <f>VLOOKUP(B262,'ALL-DATA'!A:F,4,FALSE)</f>
        <v>-10</v>
      </c>
      <c r="H262" s="76">
        <f>VLOOKUP(B262,'ALL-DATA'!A:F,5,FALSE)</f>
        <v>89</v>
      </c>
      <c r="I262" s="76">
        <f>VLOOKUP(B262,'ALL-DATA'!A:F,6,FALSE)</f>
        <v>3132.5774999999999</v>
      </c>
      <c r="J262" s="44">
        <v>5800</v>
      </c>
      <c r="K262" s="48"/>
      <c r="L262" s="77">
        <f t="shared" si="39"/>
        <v>2230.4737</v>
      </c>
      <c r="M262" s="37">
        <v>34</v>
      </c>
      <c r="N262" s="38">
        <v>81</v>
      </c>
      <c r="O262" s="38">
        <v>90</v>
      </c>
      <c r="P262" s="38">
        <f>((((((Table8[[#This Row],[OLD-WT]]-(Table8[[#This Row],[OLD-WT]]*1%))*Table8[[#This Row],[MELTING2]])/100))*80)/100)*Table8[[#This Row],[P-RATE3]]</f>
        <v>1963.0511999999997</v>
      </c>
      <c r="Q262" s="38">
        <v>2400</v>
      </c>
      <c r="R262" s="263">
        <f t="shared" si="37"/>
        <v>-436.94880000000035</v>
      </c>
    </row>
    <row r="263" spans="1:18" x14ac:dyDescent="0.45">
      <c r="A263" s="73">
        <v>45635</v>
      </c>
      <c r="B263" s="217" t="s">
        <v>1378</v>
      </c>
      <c r="C263" s="38" t="s">
        <v>725</v>
      </c>
      <c r="D263" s="74" t="s">
        <v>785</v>
      </c>
      <c r="E263" s="75">
        <f>VLOOKUP(B263,'ALL-DATA'!A:F,2,FALSE)</f>
        <v>0.09</v>
      </c>
      <c r="F263" s="38">
        <f>VLOOKUP(B263,'ALL-DATA'!A:F,3,FALSE)</f>
        <v>80.39</v>
      </c>
      <c r="G263" s="38">
        <f>VLOOKUP(B263,'ALL-DATA'!A:F,4,FALSE)</f>
        <v>-10</v>
      </c>
      <c r="H263" s="76">
        <f>VLOOKUP(B263,'ALL-DATA'!A:F,5,FALSE)</f>
        <v>7219.2</v>
      </c>
      <c r="I263" s="76">
        <f>VLOOKUP(B263,'ALL-DATA'!A:F,6,FALSE)</f>
        <v>522.31633920000002</v>
      </c>
      <c r="J263" s="44">
        <v>1400</v>
      </c>
      <c r="K263" s="48"/>
      <c r="L263" s="77">
        <f t="shared" si="39"/>
        <v>847.68366079999998</v>
      </c>
      <c r="M263" s="37">
        <v>0.09</v>
      </c>
      <c r="N263" s="38">
        <v>60</v>
      </c>
      <c r="O263" s="38">
        <v>7500</v>
      </c>
      <c r="P263" s="38">
        <f>(((Table8[[#This Row],[OLD-WT]]-0.03)*Table8[[#This Row],[MELTING2]])/100)*Table8[[#This Row],[P-RATE3]]</f>
        <v>270</v>
      </c>
      <c r="Q263" s="38">
        <v>300</v>
      </c>
      <c r="R263" s="263">
        <f t="shared" si="37"/>
        <v>-30</v>
      </c>
    </row>
    <row r="264" spans="1:18" x14ac:dyDescent="0.45">
      <c r="A264" s="73">
        <v>45635</v>
      </c>
      <c r="B264" s="38" t="str">
        <f>C264&amp;D264</f>
        <v>S-CHAIN-92.5-80</v>
      </c>
      <c r="C264" s="38" t="s">
        <v>734</v>
      </c>
      <c r="D264" s="74" t="s">
        <v>1019</v>
      </c>
      <c r="E264" s="75">
        <f>VLOOKUP(B264,'ALL-DATA'!A:F,2,FALSE)</f>
        <v>7.6</v>
      </c>
      <c r="F264" s="38">
        <f>VLOOKUP(B264,'ALL-DATA'!A:F,3,FALSE)</f>
        <v>92.5</v>
      </c>
      <c r="G264" s="38">
        <f>VLOOKUP(B264,'ALL-DATA'!A:F,4,FALSE)</f>
        <v>92.5</v>
      </c>
      <c r="H264" s="76">
        <f>VLOOKUP(B264,'ALL-DATA'!A:F,5,FALSE)</f>
        <v>106</v>
      </c>
      <c r="I264" s="76">
        <f>VLOOKUP(B264,'ALL-DATA'!A:F,6,FALSE)</f>
        <v>745.18000000000006</v>
      </c>
      <c r="J264" s="44">
        <v>1700</v>
      </c>
      <c r="K264" s="48"/>
      <c r="L264" s="77">
        <f t="shared" si="39"/>
        <v>954.81999999999994</v>
      </c>
      <c r="M264" s="37"/>
      <c r="N264" s="38"/>
      <c r="O264" s="38"/>
      <c r="P264" s="38">
        <f>((((((Table8[[#This Row],[OLD-WT]]-(Table8[[#This Row],[OLD-WT]]*1%))*Table8[[#This Row],[MELTING2]])/100))*80)/100)*Table8[[#This Row],[P-RATE3]]</f>
        <v>0</v>
      </c>
      <c r="Q264" s="38"/>
      <c r="R264" s="263">
        <f t="shared" si="37"/>
        <v>0</v>
      </c>
    </row>
    <row r="265" spans="1:18" x14ac:dyDescent="0.45">
      <c r="A265" s="73">
        <v>45635</v>
      </c>
      <c r="B265" s="38" t="str">
        <f>C265&amp;D265</f>
        <v>S-BARACELET-B-2</v>
      </c>
      <c r="C265" s="38" t="s">
        <v>737</v>
      </c>
      <c r="D265" s="74" t="s">
        <v>796</v>
      </c>
      <c r="E265" s="75">
        <f>VLOOKUP(B265,'ALL-DATA'!A:F,2,FALSE)</f>
        <v>25.91</v>
      </c>
      <c r="F265" s="38">
        <f>VLOOKUP(B265,'ALL-DATA'!A:F,3,FALSE)</f>
        <v>86</v>
      </c>
      <c r="G265" s="38">
        <f>VLOOKUP(B265,'ALL-DATA'!A:F,4,FALSE)</f>
        <v>-65</v>
      </c>
      <c r="H265" s="76">
        <f>VLOOKUP(B265,'ALL-DATA'!A:F,5,FALSE)</f>
        <v>90</v>
      </c>
      <c r="I265" s="76">
        <f>VLOOKUP(B265,'ALL-DATA'!A:F,6,FALSE)</f>
        <v>2005.4340000000002</v>
      </c>
      <c r="J265" s="44">
        <v>2800</v>
      </c>
      <c r="K265" s="48"/>
      <c r="L265" s="77">
        <f t="shared" si="39"/>
        <v>736.13855999999987</v>
      </c>
      <c r="M265" s="37">
        <v>26.7</v>
      </c>
      <c r="N265" s="38">
        <v>81</v>
      </c>
      <c r="O265" s="38">
        <v>90</v>
      </c>
      <c r="P265" s="38">
        <f>((((((Table8[[#This Row],[OLD-WT]]-(Table8[[#This Row],[OLD-WT]]*1%))*Table8[[#This Row],[MELTING2]])/100))*80)/100)*Table8[[#This Row],[P-RATE3]]</f>
        <v>1541.5725600000001</v>
      </c>
      <c r="Q265" s="38">
        <v>1600</v>
      </c>
      <c r="R265" s="263">
        <f t="shared" si="37"/>
        <v>-58.427439999999933</v>
      </c>
    </row>
    <row r="266" spans="1:18" x14ac:dyDescent="0.45">
      <c r="A266" s="73">
        <v>45635</v>
      </c>
      <c r="B266" s="38" t="str">
        <f>C266&amp;D266</f>
        <v>S-RING-351</v>
      </c>
      <c r="C266" s="38" t="s">
        <v>731</v>
      </c>
      <c r="D266" s="74" t="s">
        <v>1390</v>
      </c>
      <c r="E266" s="75">
        <f>VLOOKUP(B266,'ALL-DATA'!A:F,2,FALSE)</f>
        <v>3.7</v>
      </c>
      <c r="F266" s="38">
        <f>VLOOKUP(B266,'ALL-DATA'!A:F,3,FALSE)</f>
        <v>92.5</v>
      </c>
      <c r="G266" s="38">
        <f>VLOOKUP(B266,'ALL-DATA'!A:F,4,FALSE)</f>
        <v>92.5</v>
      </c>
      <c r="H266" s="76">
        <f>VLOOKUP(B266,'ALL-DATA'!A:F,5,FALSE)</f>
        <v>132</v>
      </c>
      <c r="I266" s="76">
        <f>VLOOKUP(B266,'ALL-DATA'!A:F,6,FALSE)</f>
        <v>488.40000000000003</v>
      </c>
      <c r="J266" s="44">
        <v>850</v>
      </c>
      <c r="K266" s="48"/>
      <c r="L266" s="77">
        <f t="shared" si="39"/>
        <v>361.59999999999997</v>
      </c>
      <c r="M266" s="37"/>
      <c r="N266" s="38"/>
      <c r="O266" s="38"/>
      <c r="P266" s="38">
        <f>((((((Table8[[#This Row],[OLD-WT]]-(Table8[[#This Row],[OLD-WT]]*1%))*Table8[[#This Row],[MELTING2]])/100))*80)/100)*Table8[[#This Row],[P-RATE3]]</f>
        <v>0</v>
      </c>
      <c r="Q266" s="38"/>
      <c r="R266" s="263">
        <f t="shared" si="37"/>
        <v>0</v>
      </c>
    </row>
    <row r="267" spans="1:18" x14ac:dyDescent="0.45">
      <c r="A267" s="73">
        <v>45636</v>
      </c>
      <c r="B267" s="38" t="str">
        <f>C267&amp;D267</f>
        <v>G-PESERI-30</v>
      </c>
      <c r="C267" s="38" t="s">
        <v>725</v>
      </c>
      <c r="D267" s="74" t="s">
        <v>1456</v>
      </c>
      <c r="E267" s="75">
        <f>VLOOKUP(B267,'ALL-DATA'!A:F,2,FALSE)</f>
        <v>0.125</v>
      </c>
      <c r="F267" s="38">
        <f>VLOOKUP(B267,'ALL-DATA'!A:F,3,FALSE)</f>
        <v>80.39</v>
      </c>
      <c r="G267" s="38">
        <f>VLOOKUP(B267,'ALL-DATA'!A:F,4,FALSE)</f>
        <v>-10</v>
      </c>
      <c r="H267" s="76">
        <f>VLOOKUP(B267,'ALL-DATA'!A:F,5,FALSE)</f>
        <v>7218.2</v>
      </c>
      <c r="I267" s="76">
        <f>VLOOKUP(B267,'ALL-DATA'!A:F,6,FALSE)</f>
        <v>725.33887249999998</v>
      </c>
      <c r="J267" s="44">
        <v>1500</v>
      </c>
      <c r="K267" s="48"/>
      <c r="L267" s="77">
        <f t="shared" si="39"/>
        <v>774.66112750000002</v>
      </c>
      <c r="M267" s="37"/>
      <c r="N267" s="38"/>
      <c r="O267" s="38"/>
      <c r="P267" s="38">
        <f>((((((Table8[[#This Row],[OLD-WT]]-(Table8[[#This Row],[OLD-WT]]*1%))*Table8[[#This Row],[MELTING2]])/100))*80)/100)*Table8[[#This Row],[P-RATE3]]</f>
        <v>0</v>
      </c>
      <c r="Q267" s="38"/>
      <c r="R267" s="263">
        <f t="shared" si="37"/>
        <v>0</v>
      </c>
    </row>
    <row r="268" spans="1:18" x14ac:dyDescent="0.45">
      <c r="A268" s="73">
        <v>45636</v>
      </c>
      <c r="B268" s="1" t="s">
        <v>1375</v>
      </c>
      <c r="C268" s="38"/>
      <c r="D268" s="74"/>
      <c r="E268" s="75">
        <f>VLOOKUP(B268,'ALL-DATA'!A:F,2,FALSE)</f>
        <v>16</v>
      </c>
      <c r="F268" s="38">
        <f>VLOOKUP(B268,'ALL-DATA'!A:F,3,FALSE)</f>
        <v>0</v>
      </c>
      <c r="G268" s="38">
        <f>VLOOKUP(B268,'ALL-DATA'!A:F,4,FALSE)</f>
        <v>300</v>
      </c>
      <c r="H268" s="76">
        <f>VLOOKUP(B268,'ALL-DATA'!A:F,5,FALSE)</f>
        <v>1100</v>
      </c>
      <c r="I268" s="76">
        <f>VLOOKUP(B268,'ALL-DATA'!A:F,6,FALSE)</f>
        <v>1400</v>
      </c>
      <c r="J268" s="44">
        <v>2600</v>
      </c>
      <c r="K268" s="48"/>
      <c r="L268" s="77">
        <f>((J268+R268)-I268)</f>
        <v>1200</v>
      </c>
      <c r="M268" s="37"/>
      <c r="N268" s="38"/>
      <c r="O268" s="38"/>
      <c r="P268" s="38">
        <f>((((((Table8[[#This Row],[OLD-WT]]-(Table8[[#This Row],[OLD-WT]]*1%))*Table8[[#This Row],[MELTING2]])/100))*80)/100)*Table8[[#This Row],[P-RATE3]]</f>
        <v>0</v>
      </c>
      <c r="Q268" s="38"/>
      <c r="R268" s="263">
        <f t="shared" si="37"/>
        <v>0</v>
      </c>
    </row>
    <row r="269" spans="1:18" x14ac:dyDescent="0.45">
      <c r="A269" s="73">
        <v>45639</v>
      </c>
      <c r="B269" s="38" t="str">
        <f t="shared" ref="B269:B275" si="40">C269&amp;D269</f>
        <v>G-STUD-10</v>
      </c>
      <c r="C269" s="38" t="s">
        <v>720</v>
      </c>
      <c r="D269" s="74" t="s">
        <v>792</v>
      </c>
      <c r="E269" s="75">
        <f>VLOOKUP(B269,'ALL-DATA'!A:F,2,FALSE)</f>
        <v>1.17</v>
      </c>
      <c r="F269" s="38">
        <f>VLOOKUP(B269,'ALL-DATA'!A:F,3,FALSE)</f>
        <v>97</v>
      </c>
      <c r="G269" s="38">
        <f>VLOOKUP(B269,'ALL-DATA'!A:F,4,FALSE)</f>
        <v>-5</v>
      </c>
      <c r="H269" s="76">
        <f>VLOOKUP(B269,'ALL-DATA'!A:F,5,FALSE)</f>
        <v>7218.2</v>
      </c>
      <c r="I269" s="76">
        <f>VLOOKUP(B269,'ALL-DATA'!A:F,6,FALSE)</f>
        <v>8191.9351799999995</v>
      </c>
      <c r="J269" s="170">
        <v>9900</v>
      </c>
      <c r="K269" s="165">
        <v>7400</v>
      </c>
      <c r="L269" s="77">
        <f t="shared" si="39"/>
        <v>1708.0648200000005</v>
      </c>
      <c r="M269" s="37"/>
      <c r="N269" s="38"/>
      <c r="O269" s="38"/>
      <c r="P269" s="38">
        <f>((((((Table8[[#This Row],[OLD-WT]]-(Table8[[#This Row],[OLD-WT]]*1%))*Table8[[#This Row],[MELTING2]])/100))*80)/100)*Table8[[#This Row],[P-RATE3]]</f>
        <v>0</v>
      </c>
      <c r="Q269" s="38"/>
      <c r="R269" s="263">
        <f t="shared" si="37"/>
        <v>0</v>
      </c>
    </row>
    <row r="270" spans="1:18" x14ac:dyDescent="0.45">
      <c r="A270" s="73">
        <v>45640</v>
      </c>
      <c r="B270" s="38" t="str">
        <f t="shared" si="40"/>
        <v>S-BARACELET-B-30</v>
      </c>
      <c r="C270" s="38" t="s">
        <v>737</v>
      </c>
      <c r="D270" s="74" t="s">
        <v>1456</v>
      </c>
      <c r="E270" s="75">
        <f>VLOOKUP(B270,'ALL-DATA'!A:F,2,FALSE)</f>
        <v>66.7</v>
      </c>
      <c r="F270" s="38">
        <f>VLOOKUP(B270,'ALL-DATA'!A:F,3,FALSE)</f>
        <v>82</v>
      </c>
      <c r="G270" s="38">
        <f>VLOOKUP(B270,'ALL-DATA'!A:F,4,FALSE)</f>
        <v>-17</v>
      </c>
      <c r="H270" s="76">
        <f>VLOOKUP(B270,'ALL-DATA'!A:F,5,FALSE)</f>
        <v>95</v>
      </c>
      <c r="I270" s="76">
        <f>VLOOKUP(B270,'ALL-DATA'!A:F,6,FALSE)</f>
        <v>5195.93</v>
      </c>
      <c r="J270" s="44">
        <v>7100</v>
      </c>
      <c r="K270" s="48"/>
      <c r="L270" s="77">
        <f t="shared" ref="L270:L275" si="41">((J270+R270)-I270)</f>
        <v>928.20893599999999</v>
      </c>
      <c r="M270" s="37">
        <v>62.77</v>
      </c>
      <c r="N270" s="38">
        <v>81</v>
      </c>
      <c r="O270" s="38">
        <v>90</v>
      </c>
      <c r="P270" s="38">
        <f>((((((Table8[[#This Row],[OLD-WT]]-(Table8[[#This Row],[OLD-WT]]*1%))*Table8[[#This Row],[MELTING2]])/100))*80)/100)*Table8[[#This Row],[P-RATE3]]</f>
        <v>3624.1389360000003</v>
      </c>
      <c r="Q270" s="38">
        <v>4600</v>
      </c>
      <c r="R270" s="263">
        <f t="shared" si="37"/>
        <v>-975.86106399999971</v>
      </c>
    </row>
    <row r="271" spans="1:18" x14ac:dyDescent="0.45">
      <c r="A271" s="73">
        <v>45640</v>
      </c>
      <c r="B271" s="38" t="str">
        <f t="shared" si="40"/>
        <v>S-RING-228</v>
      </c>
      <c r="C271" s="38" t="s">
        <v>731</v>
      </c>
      <c r="D271" s="74" t="s">
        <v>1467</v>
      </c>
      <c r="E271" s="75">
        <f>VLOOKUP(B271,'ALL-DATA'!A:F,2,FALSE)</f>
        <v>4.66</v>
      </c>
      <c r="F271" s="38">
        <f>VLOOKUP(B271,'ALL-DATA'!A:F,3,FALSE)</f>
        <v>92.5</v>
      </c>
      <c r="G271" s="38">
        <f>VLOOKUP(B271,'ALL-DATA'!A:F,4,FALSE)</f>
        <v>92.5</v>
      </c>
      <c r="H271" s="76">
        <f>VLOOKUP(B271,'ALL-DATA'!A:F,5,FALSE)</f>
        <v>125.57</v>
      </c>
      <c r="I271" s="76">
        <f>VLOOKUP(B271,'ALL-DATA'!A:F,6,FALSE)</f>
        <v>585.15620000000001</v>
      </c>
      <c r="J271" s="44">
        <v>1000</v>
      </c>
      <c r="K271" s="48"/>
      <c r="L271" s="77">
        <f t="shared" si="41"/>
        <v>414.84379999999999</v>
      </c>
      <c r="M271" s="37"/>
      <c r="N271" s="38"/>
      <c r="O271" s="38"/>
      <c r="P271" s="38">
        <f>((((((Table8[[#This Row],[OLD-WT]]-(Table8[[#This Row],[OLD-WT]]*1%))*Table8[[#This Row],[MELTING2]])/100))*80)/100)*Table8[[#This Row],[P-RATE3]]</f>
        <v>0</v>
      </c>
      <c r="Q271" s="38"/>
      <c r="R271" s="263">
        <f t="shared" si="37"/>
        <v>0</v>
      </c>
    </row>
    <row r="272" spans="1:18" x14ac:dyDescent="0.45">
      <c r="A272" s="73">
        <v>45640</v>
      </c>
      <c r="B272" s="38" t="str">
        <f t="shared" si="40"/>
        <v>S-RING-139</v>
      </c>
      <c r="C272" s="38" t="s">
        <v>731</v>
      </c>
      <c r="D272" s="74" t="s">
        <v>1468</v>
      </c>
      <c r="E272" s="75">
        <f>VLOOKUP(B272,'ALL-DATA'!A:F,2,FALSE)</f>
        <v>2.14</v>
      </c>
      <c r="F272" s="38">
        <f>VLOOKUP(B272,'ALL-DATA'!A:F,3,FALSE)</f>
        <v>92.5</v>
      </c>
      <c r="G272" s="38">
        <f>VLOOKUP(B272,'ALL-DATA'!A:F,4,FALSE)</f>
        <v>92.5</v>
      </c>
      <c r="H272" s="76">
        <f>VLOOKUP(B272,'ALL-DATA'!A:F,5,FALSE)</f>
        <v>131.65</v>
      </c>
      <c r="I272" s="76">
        <f>VLOOKUP(B272,'ALL-DATA'!A:F,6,FALSE)</f>
        <v>281.73100000000005</v>
      </c>
      <c r="J272" s="44">
        <v>400</v>
      </c>
      <c r="K272" s="48"/>
      <c r="L272" s="77">
        <f t="shared" si="41"/>
        <v>118.26899999999995</v>
      </c>
      <c r="M272" s="37"/>
      <c r="N272" s="38"/>
      <c r="O272" s="38"/>
      <c r="P272" s="38">
        <f>((((((Table8[[#This Row],[OLD-WT]]-(Table8[[#This Row],[OLD-WT]]*1%))*Table8[[#This Row],[MELTING2]])/100))*80)/100)*Table8[[#This Row],[P-RATE3]]</f>
        <v>0</v>
      </c>
      <c r="Q272" s="38"/>
      <c r="R272" s="263">
        <f t="shared" si="37"/>
        <v>0</v>
      </c>
    </row>
    <row r="273" spans="1:18" x14ac:dyDescent="0.45">
      <c r="A273" s="73">
        <v>45640</v>
      </c>
      <c r="B273" s="38" t="str">
        <f t="shared" si="40"/>
        <v>S-RING-153</v>
      </c>
      <c r="C273" s="38" t="s">
        <v>731</v>
      </c>
      <c r="D273" s="74" t="s">
        <v>1469</v>
      </c>
      <c r="E273" s="75">
        <f>VLOOKUP(B273,'ALL-DATA'!A:F,2,FALSE)</f>
        <v>3.5</v>
      </c>
      <c r="F273" s="38">
        <f>VLOOKUP(B273,'ALL-DATA'!A:F,3,FALSE)</f>
        <v>92.5</v>
      </c>
      <c r="G273" s="38">
        <f>VLOOKUP(B273,'ALL-DATA'!A:F,4,FALSE)</f>
        <v>92.5</v>
      </c>
      <c r="H273" s="76">
        <f>VLOOKUP(B273,'ALL-DATA'!A:F,5,FALSE)</f>
        <v>131.65</v>
      </c>
      <c r="I273" s="76">
        <f>VLOOKUP(B273,'ALL-DATA'!A:F,6,FALSE)</f>
        <v>460.77500000000003</v>
      </c>
      <c r="J273" s="44">
        <v>800</v>
      </c>
      <c r="K273" s="48"/>
      <c r="L273" s="77">
        <f t="shared" si="41"/>
        <v>409.4346000000001</v>
      </c>
      <c r="M273" s="37">
        <v>22</v>
      </c>
      <c r="N273" s="38">
        <v>81</v>
      </c>
      <c r="O273" s="38">
        <v>90</v>
      </c>
      <c r="P273" s="38">
        <f>((((((Table8[[#This Row],[OLD-WT]]-(Table8[[#This Row],[OLD-WT]]*1%))*Table8[[#This Row],[MELTING2]])/100))*80)/100)*Table8[[#This Row],[P-RATE3]]</f>
        <v>1270.2096000000001</v>
      </c>
      <c r="Q273" s="38">
        <v>1200</v>
      </c>
      <c r="R273" s="263">
        <f t="shared" si="37"/>
        <v>70.209600000000137</v>
      </c>
    </row>
    <row r="274" spans="1:18" x14ac:dyDescent="0.45">
      <c r="A274" s="73">
        <v>45640</v>
      </c>
      <c r="B274" s="38" t="str">
        <f t="shared" si="40"/>
        <v>S-RING-222</v>
      </c>
      <c r="C274" s="38" t="s">
        <v>731</v>
      </c>
      <c r="D274" s="74" t="s">
        <v>1470</v>
      </c>
      <c r="E274" s="75">
        <f>VLOOKUP(B274,'ALL-DATA'!A:F,2,FALSE)</f>
        <v>1.93</v>
      </c>
      <c r="F274" s="38">
        <f>VLOOKUP(B274,'ALL-DATA'!A:F,3,FALSE)</f>
        <v>92.5</v>
      </c>
      <c r="G274" s="38">
        <f>VLOOKUP(B274,'ALL-DATA'!A:F,4,FALSE)</f>
        <v>92.5</v>
      </c>
      <c r="H274" s="76">
        <f>VLOOKUP(B274,'ALL-DATA'!A:F,5,FALSE)</f>
        <v>125.57</v>
      </c>
      <c r="I274" s="76">
        <f>VLOOKUP(B274,'ALL-DATA'!A:F,6,FALSE)</f>
        <v>242.35009999999997</v>
      </c>
      <c r="J274" s="44">
        <v>400</v>
      </c>
      <c r="K274" s="48"/>
      <c r="L274" s="77">
        <f t="shared" si="41"/>
        <v>157.64990000000003</v>
      </c>
      <c r="M274" s="37"/>
      <c r="N274" s="38"/>
      <c r="O274" s="38"/>
      <c r="P274" s="38">
        <f>((((((Table8[[#This Row],[OLD-WT]]-(Table8[[#This Row],[OLD-WT]]*1%))*Table8[[#This Row],[MELTING2]])/100))*80)/100)*Table8[[#This Row],[P-RATE3]]</f>
        <v>0</v>
      </c>
      <c r="Q274" s="38"/>
      <c r="R274" s="263">
        <f t="shared" si="37"/>
        <v>0</v>
      </c>
    </row>
    <row r="275" spans="1:18" x14ac:dyDescent="0.45">
      <c r="A275" s="73">
        <v>45640</v>
      </c>
      <c r="B275" s="38" t="str">
        <f t="shared" si="40"/>
        <v>S-RING-334</v>
      </c>
      <c r="C275" s="38" t="s">
        <v>731</v>
      </c>
      <c r="D275" s="74" t="s">
        <v>1471</v>
      </c>
      <c r="E275" s="75">
        <f>VLOOKUP(B275,'ALL-DATA'!A:F,2,FALSE)</f>
        <v>1</v>
      </c>
      <c r="F275" s="38">
        <f>VLOOKUP(B275,'ALL-DATA'!A:F,3,FALSE)</f>
        <v>92.5</v>
      </c>
      <c r="G275" s="38">
        <f>VLOOKUP(B275,'ALL-DATA'!A:F,4,FALSE)</f>
        <v>92.5</v>
      </c>
      <c r="H275" s="76">
        <f>VLOOKUP(B275,'ALL-DATA'!A:F,5,FALSE)</f>
        <v>132</v>
      </c>
      <c r="I275" s="76">
        <f>VLOOKUP(B275,'ALL-DATA'!A:F,6,FALSE)</f>
        <v>132</v>
      </c>
      <c r="J275" s="44">
        <v>250</v>
      </c>
      <c r="K275" s="48"/>
      <c r="L275" s="77">
        <f t="shared" si="41"/>
        <v>92.134119999999939</v>
      </c>
      <c r="M275" s="37">
        <v>2.15</v>
      </c>
      <c r="N275" s="38">
        <v>81</v>
      </c>
      <c r="O275" s="38">
        <v>90</v>
      </c>
      <c r="P275" s="38">
        <f>((((((Table8[[#This Row],[OLD-WT]]-(Table8[[#This Row],[OLD-WT]]*1%))*Table8[[#This Row],[MELTING2]])/100))*80)/100)*Table8[[#This Row],[P-RATE3]]</f>
        <v>124.13411999999995</v>
      </c>
      <c r="Q275" s="38">
        <v>150</v>
      </c>
      <c r="R275" s="263">
        <f t="shared" si="37"/>
        <v>-25.865880000000047</v>
      </c>
    </row>
    <row r="276" spans="1:18" x14ac:dyDescent="0.45">
      <c r="A276" s="73">
        <v>45644</v>
      </c>
      <c r="B276" s="1" t="s">
        <v>1570</v>
      </c>
      <c r="C276" s="38"/>
      <c r="D276" s="74"/>
      <c r="E276" s="75">
        <f>VLOOKUP(B276,'ALL-DATA'!A:F,2,FALSE)</f>
        <v>55.2</v>
      </c>
      <c r="F276" s="38">
        <f>VLOOKUP(B276,'ALL-DATA'!A:F,3,FALSE)</f>
        <v>0</v>
      </c>
      <c r="G276" s="38">
        <f>VLOOKUP(B276,'ALL-DATA'!A:F,4,FALSE)</f>
        <v>0</v>
      </c>
      <c r="H276" s="76">
        <f>VLOOKUP(B276,'ALL-DATA'!A:F,5,FALSE)</f>
        <v>0</v>
      </c>
      <c r="I276" s="76">
        <f>VLOOKUP(B276,'ALL-DATA'!A:F,6,FALSE)</f>
        <v>2600</v>
      </c>
      <c r="J276" s="44">
        <v>3100</v>
      </c>
      <c r="K276" s="48"/>
      <c r="L276" s="77">
        <f t="shared" ref="L276:L281" si="42">((J276+R276)-I276)</f>
        <v>500</v>
      </c>
      <c r="M276" s="37"/>
      <c r="N276" s="38"/>
      <c r="O276" s="38"/>
      <c r="P276" s="38"/>
      <c r="Q276" s="38"/>
      <c r="R276" s="263"/>
    </row>
    <row r="277" spans="1:18" x14ac:dyDescent="0.45">
      <c r="A277" s="73">
        <v>45644</v>
      </c>
      <c r="B277" s="38" t="str">
        <f t="shared" ref="B277:B282" si="43">C277&amp;D277</f>
        <v>G-RING-63</v>
      </c>
      <c r="C277" s="38" t="s">
        <v>1473</v>
      </c>
      <c r="D277" s="74" t="s">
        <v>1083</v>
      </c>
      <c r="E277" s="75">
        <f>VLOOKUP(B277,'ALL-DATA'!A:F,2,FALSE)</f>
        <v>1.02</v>
      </c>
      <c r="F277" s="38">
        <f>VLOOKUP(B277,'ALL-DATA'!A:F,3,FALSE)</f>
        <v>97.5</v>
      </c>
      <c r="G277" s="38">
        <f>VLOOKUP(B277,'ALL-DATA'!A:F,4,FALSE)</f>
        <v>5.5</v>
      </c>
      <c r="H277" s="76">
        <f>VLOOKUP(B277,'ALL-DATA'!A:F,5,FALSE)</f>
        <v>7087</v>
      </c>
      <c r="I277" s="76">
        <f>VLOOKUP(B277,'ALL-DATA'!A:F,6,FALSE)</f>
        <v>7048.0215000000007</v>
      </c>
      <c r="J277" s="44">
        <v>8400</v>
      </c>
      <c r="K277" s="48"/>
      <c r="L277" s="77">
        <f t="shared" si="42"/>
        <v>1351.9784999999993</v>
      </c>
      <c r="M277" s="37"/>
      <c r="N277" s="38"/>
      <c r="O277" s="38"/>
      <c r="P277" s="38">
        <f>((((((Table8[[#This Row],[OLD-WT]]-(Table8[[#This Row],[OLD-WT]]*1%))*Table8[[#This Row],[MELTING2]])/100))*80)/100)*Table8[[#This Row],[P-RATE3]]</f>
        <v>0</v>
      </c>
      <c r="Q277" s="38"/>
      <c r="R277" s="263">
        <f t="shared" si="37"/>
        <v>0</v>
      </c>
    </row>
    <row r="278" spans="1:18" x14ac:dyDescent="0.45">
      <c r="A278" s="73">
        <v>45644</v>
      </c>
      <c r="B278" s="38" t="str">
        <f t="shared" si="43"/>
        <v>G-STUD-51</v>
      </c>
      <c r="C278" s="38" t="s">
        <v>720</v>
      </c>
      <c r="D278" s="74" t="s">
        <v>791</v>
      </c>
      <c r="E278" s="75">
        <f>VLOOKUP(B278,'ALL-DATA'!A:F,2,FALSE)</f>
        <v>4.05</v>
      </c>
      <c r="F278" s="38">
        <f>VLOOKUP(B278,'ALL-DATA'!A:F,3,FALSE)</f>
        <v>97</v>
      </c>
      <c r="G278" s="38">
        <f>VLOOKUP(B278,'ALL-DATA'!A:F,4,FALSE)</f>
        <v>-5</v>
      </c>
      <c r="H278" s="76">
        <f>VLOOKUP(B278,'ALL-DATA'!A:F,5,FALSE)</f>
        <v>7420</v>
      </c>
      <c r="I278" s="76">
        <f>VLOOKUP(B278,'ALL-DATA'!A:F,6,FALSE)</f>
        <v>29149.469999999998</v>
      </c>
      <c r="J278" s="44">
        <v>31600</v>
      </c>
      <c r="K278" s="48">
        <v>16200</v>
      </c>
      <c r="L278" s="77">
        <f t="shared" si="42"/>
        <v>2450.5300000000025</v>
      </c>
      <c r="M278" s="37"/>
      <c r="N278" s="38"/>
      <c r="O278" s="38"/>
      <c r="P278" s="38">
        <f>((((((Table8[[#This Row],[OLD-WT]]-(Table8[[#This Row],[OLD-WT]]*1%))*Table8[[#This Row],[MELTING2]])/100))*80)/100)*Table8[[#This Row],[P-RATE3]]</f>
        <v>0</v>
      </c>
      <c r="Q278" s="38"/>
      <c r="R278" s="263">
        <f t="shared" si="37"/>
        <v>0</v>
      </c>
    </row>
    <row r="279" spans="1:18" x14ac:dyDescent="0.45">
      <c r="A279" s="73">
        <v>45646</v>
      </c>
      <c r="B279" s="38" t="str">
        <f t="shared" si="43"/>
        <v>S-RING-309</v>
      </c>
      <c r="C279" s="38" t="s">
        <v>731</v>
      </c>
      <c r="D279" s="74" t="s">
        <v>1474</v>
      </c>
      <c r="E279" s="75">
        <f>VLOOKUP(B279,'ALL-DATA'!A:F,2,FALSE)</f>
        <v>1.9</v>
      </c>
      <c r="F279" s="38">
        <f>VLOOKUP(B279,'ALL-DATA'!A:F,3,FALSE)</f>
        <v>92.5</v>
      </c>
      <c r="G279" s="38">
        <f>VLOOKUP(B279,'ALL-DATA'!A:F,4,FALSE)</f>
        <v>92.5</v>
      </c>
      <c r="H279" s="76">
        <f>VLOOKUP(B279,'ALL-DATA'!A:F,5,FALSE)</f>
        <v>132</v>
      </c>
      <c r="I279" s="76">
        <f>VLOOKUP(B279,'ALL-DATA'!A:F,6,FALSE)</f>
        <v>250.79999999999998</v>
      </c>
      <c r="J279" s="44">
        <v>400</v>
      </c>
      <c r="K279" s="48"/>
      <c r="L279" s="77">
        <f t="shared" si="42"/>
        <v>149.20000000000002</v>
      </c>
      <c r="M279" s="37"/>
      <c r="N279" s="38"/>
      <c r="O279" s="38"/>
      <c r="P279" s="38">
        <f>((((((Table8[[#This Row],[OLD-WT]]-(Table8[[#This Row],[OLD-WT]]*1%))*Table8[[#This Row],[MELTING2]])/100))*80)/100)*Table8[[#This Row],[P-RATE3]]</f>
        <v>0</v>
      </c>
      <c r="Q279" s="38"/>
      <c r="R279" s="263">
        <f t="shared" si="37"/>
        <v>0</v>
      </c>
    </row>
    <row r="280" spans="1:18" x14ac:dyDescent="0.45">
      <c r="A280" s="73">
        <v>45646</v>
      </c>
      <c r="B280" s="38" t="str">
        <f t="shared" si="43"/>
        <v>S-RING-316</v>
      </c>
      <c r="C280" s="38" t="s">
        <v>731</v>
      </c>
      <c r="D280" s="74" t="s">
        <v>1475</v>
      </c>
      <c r="E280" s="75">
        <f>VLOOKUP(B280,'ALL-DATA'!A:F,2,FALSE)</f>
        <v>2</v>
      </c>
      <c r="F280" s="38">
        <f>VLOOKUP(B280,'ALL-DATA'!A:F,3,FALSE)</f>
        <v>92.5</v>
      </c>
      <c r="G280" s="38">
        <f>VLOOKUP(B280,'ALL-DATA'!A:F,4,FALSE)</f>
        <v>92.5</v>
      </c>
      <c r="H280" s="76">
        <f>VLOOKUP(B280,'ALL-DATA'!A:F,5,FALSE)</f>
        <v>132</v>
      </c>
      <c r="I280" s="76">
        <f>VLOOKUP(B280,'ALL-DATA'!A:F,6,FALSE)</f>
        <v>264</v>
      </c>
      <c r="J280" s="44">
        <v>500</v>
      </c>
      <c r="K280" s="48"/>
      <c r="L280" s="77">
        <f t="shared" si="42"/>
        <v>236</v>
      </c>
      <c r="M280" s="37"/>
      <c r="N280" s="38"/>
      <c r="O280" s="38"/>
      <c r="P280" s="38">
        <f>((((((Table8[[#This Row],[OLD-WT]]-(Table8[[#This Row],[OLD-WT]]*1%))*Table8[[#This Row],[MELTING2]])/100))*80)/100)*Table8[[#This Row],[P-RATE3]]</f>
        <v>0</v>
      </c>
      <c r="Q280" s="38"/>
      <c r="R280" s="263">
        <f t="shared" si="37"/>
        <v>0</v>
      </c>
    </row>
    <row r="281" spans="1:18" x14ac:dyDescent="0.45">
      <c r="A281" s="73">
        <v>45647</v>
      </c>
      <c r="B281" s="38" t="str">
        <f t="shared" si="43"/>
        <v>S-RING-212</v>
      </c>
      <c r="C281" s="38" t="s">
        <v>731</v>
      </c>
      <c r="D281" s="74" t="s">
        <v>1495</v>
      </c>
      <c r="E281" s="75">
        <f>VLOOKUP(B281,'ALL-DATA'!A:F,2,FALSE)</f>
        <v>1.85</v>
      </c>
      <c r="F281" s="38">
        <f>VLOOKUP(B281,'ALL-DATA'!A:F,3,FALSE)</f>
        <v>92.5</v>
      </c>
      <c r="G281" s="38">
        <f>VLOOKUP(B281,'ALL-DATA'!A:F,4,FALSE)</f>
        <v>92.5</v>
      </c>
      <c r="H281" s="76">
        <f>VLOOKUP(B281,'ALL-DATA'!A:F,5,FALSE)</f>
        <v>125.57</v>
      </c>
      <c r="I281" s="76">
        <f>VLOOKUP(B281,'ALL-DATA'!A:F,6,FALSE)</f>
        <v>232.30449999999999</v>
      </c>
      <c r="J281" s="44">
        <v>420</v>
      </c>
      <c r="K281" s="48"/>
      <c r="L281" s="77">
        <f t="shared" si="42"/>
        <v>187.69550000000001</v>
      </c>
      <c r="M281" s="37"/>
      <c r="N281" s="38"/>
      <c r="O281" s="38"/>
      <c r="P281" s="38">
        <f>((((((Table8[[#This Row],[OLD-WT]]-(Table8[[#This Row],[OLD-WT]]*1%))*Table8[[#This Row],[MELTING2]])/100))*80)/100)*Table8[[#This Row],[P-RATE3]]</f>
        <v>0</v>
      </c>
      <c r="Q281" s="38"/>
      <c r="R281" s="263">
        <f t="shared" si="37"/>
        <v>0</v>
      </c>
    </row>
    <row r="282" spans="1:18" x14ac:dyDescent="0.45">
      <c r="A282" s="73">
        <v>45651</v>
      </c>
      <c r="B282" s="38" t="str">
        <f t="shared" si="43"/>
        <v>S-S-KOLUSU-71</v>
      </c>
      <c r="C282" s="38" t="s">
        <v>726</v>
      </c>
      <c r="D282" s="74" t="s">
        <v>1496</v>
      </c>
      <c r="E282" s="75">
        <f>VLOOKUP(B282,'ALL-DATA'!A:F,2,FALSE)</f>
        <v>93.6</v>
      </c>
      <c r="F282" s="38">
        <f>VLOOKUP(B282,'ALL-DATA'!A:F,3,FALSE)</f>
        <v>82</v>
      </c>
      <c r="G282" s="38">
        <f>VLOOKUP(B282,'ALL-DATA'!A:F,4,FALSE)</f>
        <v>-17</v>
      </c>
      <c r="H282" s="76">
        <f>VLOOKUP(B282,'ALL-DATA'!A:F,5,FALSE)</f>
        <v>90</v>
      </c>
      <c r="I282" s="76">
        <f>VLOOKUP(B282,'ALL-DATA'!A:F,6,FALSE)</f>
        <v>6907.6799999999994</v>
      </c>
      <c r="J282" s="44">
        <v>10200</v>
      </c>
      <c r="K282" s="48"/>
      <c r="L282" s="77">
        <f>((J282+R282)-I282)+R283</f>
        <v>2587.9379200000012</v>
      </c>
      <c r="M282" s="37">
        <v>74.400000000000006</v>
      </c>
      <c r="N282" s="38">
        <v>81</v>
      </c>
      <c r="O282" s="38">
        <v>90</v>
      </c>
      <c r="P282" s="38">
        <f>((((((Table8[[#This Row],[OLD-WT]]-(Table8[[#This Row],[OLD-WT]]*1%))*Table8[[#This Row],[MELTING2]])/100))*80)/100)*Table8[[#This Row],[P-RATE3]]</f>
        <v>4295.6179200000006</v>
      </c>
      <c r="Q282" s="38">
        <v>5200</v>
      </c>
      <c r="R282" s="276">
        <f t="shared" si="37"/>
        <v>-904.38207999999941</v>
      </c>
    </row>
    <row r="283" spans="1:18" x14ac:dyDescent="0.45">
      <c r="A283" s="73">
        <v>45651</v>
      </c>
      <c r="B283" s="38">
        <v>0</v>
      </c>
      <c r="C283" s="38"/>
      <c r="D283" s="74"/>
      <c r="E283" s="75">
        <v>0</v>
      </c>
      <c r="F283" s="38">
        <v>0</v>
      </c>
      <c r="G283" s="38">
        <v>0</v>
      </c>
      <c r="H283" s="76">
        <v>0</v>
      </c>
      <c r="I283" s="76">
        <v>0</v>
      </c>
      <c r="J283" s="44"/>
      <c r="K283" s="48"/>
      <c r="L283" s="77">
        <v>0</v>
      </c>
      <c r="M283" s="37">
        <v>0.76</v>
      </c>
      <c r="N283" s="38">
        <v>60</v>
      </c>
      <c r="O283" s="38">
        <v>7500</v>
      </c>
      <c r="P283" s="38">
        <v>2700</v>
      </c>
      <c r="Q283" s="38">
        <v>2500</v>
      </c>
      <c r="R283" s="276">
        <f t="shared" si="37"/>
        <v>200</v>
      </c>
    </row>
    <row r="284" spans="1:18" x14ac:dyDescent="0.45">
      <c r="A284" s="73">
        <v>45651</v>
      </c>
      <c r="B284" s="38" t="str">
        <f>C284&amp;D284</f>
        <v>S-S-KOLUSU-92</v>
      </c>
      <c r="C284" s="38" t="s">
        <v>726</v>
      </c>
      <c r="D284" s="74" t="s">
        <v>1497</v>
      </c>
      <c r="E284" s="75">
        <f>VLOOKUP(B284,'ALL-DATA'!A:F,2,FALSE)</f>
        <v>169.55</v>
      </c>
      <c r="F284" s="38">
        <f>VLOOKUP(B284,'ALL-DATA'!A:F,3,FALSE)</f>
        <v>80</v>
      </c>
      <c r="G284" s="38">
        <f>VLOOKUP(B284,'ALL-DATA'!A:F,4,FALSE)</f>
        <v>-15</v>
      </c>
      <c r="H284" s="76">
        <f>VLOOKUP(B284,'ALL-DATA'!A:F,5,FALSE)</f>
        <v>86.4</v>
      </c>
      <c r="I284" s="76">
        <f>VLOOKUP(B284,'ALL-DATA'!A:F,6,FALSE)</f>
        <v>11719.296</v>
      </c>
      <c r="J284" s="44">
        <v>16700</v>
      </c>
      <c r="K284" s="48"/>
      <c r="L284" s="77">
        <f>((J284+R284)-I284)</f>
        <v>2750.2319040000002</v>
      </c>
      <c r="M284" s="37">
        <v>162.28</v>
      </c>
      <c r="N284" s="38">
        <v>81</v>
      </c>
      <c r="O284" s="38">
        <v>90</v>
      </c>
      <c r="P284" s="38">
        <f>((((((Table8[[#This Row],[OLD-WT]]-(Table8[[#This Row],[OLD-WT]]*1%))*Table8[[#This Row],[MELTING2]])/100))*80)/100)*Table8[[#This Row],[P-RATE3]]</f>
        <v>9369.5279040000005</v>
      </c>
      <c r="Q284" s="38">
        <v>11600</v>
      </c>
      <c r="R284" s="263">
        <f t="shared" si="37"/>
        <v>-2230.4720959999995</v>
      </c>
    </row>
    <row r="285" spans="1:18" x14ac:dyDescent="0.45">
      <c r="A285" s="73">
        <v>45653</v>
      </c>
      <c r="B285" s="38" t="str">
        <f>C285&amp;D285</f>
        <v>S-RING-21</v>
      </c>
      <c r="C285" s="38" t="s">
        <v>731</v>
      </c>
      <c r="D285" s="74" t="s">
        <v>1498</v>
      </c>
      <c r="E285" s="75">
        <f>VLOOKUP(B285,'ALL-DATA'!A:F,2,FALSE)</f>
        <v>2.57</v>
      </c>
      <c r="F285" s="38">
        <f>VLOOKUP(B285,'ALL-DATA'!A:F,3,FALSE)</f>
        <v>92.5</v>
      </c>
      <c r="G285" s="38">
        <f>VLOOKUP(B285,'ALL-DATA'!A:F,4,FALSE)</f>
        <v>92.5</v>
      </c>
      <c r="H285" s="76">
        <f>VLOOKUP(B285,'ALL-DATA'!A:F,5,FALSE)</f>
        <v>140</v>
      </c>
      <c r="I285" s="76">
        <f>VLOOKUP(B285,'ALL-DATA'!A:F,6,FALSE)</f>
        <v>359.79999999999995</v>
      </c>
      <c r="J285" s="44">
        <v>550</v>
      </c>
      <c r="K285" s="48"/>
      <c r="L285" s="77">
        <f>((J285+R285)-I285)</f>
        <v>190.20000000000005</v>
      </c>
      <c r="M285" s="37"/>
      <c r="N285" s="38"/>
      <c r="O285" s="38"/>
      <c r="P285" s="38">
        <f>((((((Table8[[#This Row],[OLD-WT]]-(Table8[[#This Row],[OLD-WT]]*1%))*Table8[[#This Row],[MELTING2]])/100))*80)/100)*Table8[[#This Row],[P-RATE3]]</f>
        <v>0</v>
      </c>
      <c r="Q285" s="38"/>
      <c r="R285" s="263">
        <f t="shared" si="37"/>
        <v>0</v>
      </c>
    </row>
    <row r="286" spans="1:18" x14ac:dyDescent="0.45">
      <c r="A286" s="73">
        <v>45654</v>
      </c>
      <c r="B286" s="23" t="s">
        <v>1081</v>
      </c>
      <c r="C286" s="38"/>
      <c r="D286" s="74"/>
      <c r="E286" s="75">
        <f>VLOOKUP(B286,'ALL-DATA'!A:F,2,FALSE)</f>
        <v>1</v>
      </c>
      <c r="F286" s="38">
        <f>VLOOKUP(B286,'ALL-DATA'!A:F,3,FALSE)</f>
        <v>0</v>
      </c>
      <c r="G286" s="38">
        <f>VLOOKUP(B286,'ALL-DATA'!A:F,4,FALSE)</f>
        <v>0</v>
      </c>
      <c r="H286" s="76">
        <f>VLOOKUP(B286,'ALL-DATA'!A:F,5,FALSE)</f>
        <v>0</v>
      </c>
      <c r="I286" s="76">
        <f>VLOOKUP(B286,'ALL-DATA'!A:F,6,FALSE)</f>
        <v>100</v>
      </c>
      <c r="J286" s="44">
        <v>150</v>
      </c>
      <c r="K286" s="48"/>
      <c r="L286" s="77">
        <f>((J286+R286)-I286)</f>
        <v>50</v>
      </c>
      <c r="M286" s="37"/>
      <c r="N286" s="38"/>
      <c r="O286" s="38"/>
      <c r="P286" s="38">
        <f>((((((Table8[[#This Row],[OLD-WT]]-(Table8[[#This Row],[OLD-WT]]*1%))*Table8[[#This Row],[MELTING2]])/100))*80)/100)*Table8[[#This Row],[P-RATE3]]</f>
        <v>0</v>
      </c>
      <c r="Q286" s="38"/>
      <c r="R286" s="263">
        <f t="shared" si="37"/>
        <v>0</v>
      </c>
    </row>
    <row r="287" spans="1:18" x14ac:dyDescent="0.45">
      <c r="A287" s="73">
        <v>45654</v>
      </c>
      <c r="B287" s="38" t="str">
        <f>C287&amp;D287</f>
        <v>S-B-KOLUSU--42</v>
      </c>
      <c r="C287" s="38" t="s">
        <v>727</v>
      </c>
      <c r="D287" s="74" t="s">
        <v>1499</v>
      </c>
      <c r="E287" s="75">
        <f>VLOOKUP(B287,'ALL-DATA'!A:F,2,FALSE)</f>
        <v>34</v>
      </c>
      <c r="F287" s="38">
        <f>VLOOKUP(B287,'ALL-DATA'!A:F,3,FALSE)</f>
        <v>82</v>
      </c>
      <c r="G287" s="38">
        <f>VLOOKUP(B287,'ALL-DATA'!A:F,4,FALSE)</f>
        <v>-17</v>
      </c>
      <c r="H287" s="76">
        <f>VLOOKUP(B287,'ALL-DATA'!A:F,5,FALSE)</f>
        <v>90</v>
      </c>
      <c r="I287" s="76">
        <f>VLOOKUP(B287,'ALL-DATA'!A:F,6,FALSE)</f>
        <v>2509.1999999999998</v>
      </c>
      <c r="J287" s="44">
        <v>4400</v>
      </c>
      <c r="K287" s="48"/>
      <c r="L287" s="77">
        <f>((J287+R287)-I287)-I288</f>
        <v>688.03455999999949</v>
      </c>
      <c r="M287" s="37">
        <v>54.2</v>
      </c>
      <c r="N287" s="38">
        <v>81</v>
      </c>
      <c r="O287" s="38">
        <v>90</v>
      </c>
      <c r="P287" s="38">
        <f>((((((Table8[[#This Row],[OLD-WT]]-(Table8[[#This Row],[OLD-WT]]*1%))*Table8[[#This Row],[MELTING2]])/100))*80)/100)*Table8[[#This Row],[P-RATE3]]</f>
        <v>3129.3345599999993</v>
      </c>
      <c r="Q287" s="38">
        <v>4000</v>
      </c>
      <c r="R287" s="263">
        <f t="shared" si="37"/>
        <v>-870.66544000000067</v>
      </c>
    </row>
    <row r="288" spans="1:18" x14ac:dyDescent="0.45">
      <c r="A288" s="73">
        <v>45654</v>
      </c>
      <c r="B288" s="121" t="s">
        <v>1184</v>
      </c>
      <c r="C288" s="38"/>
      <c r="D288" s="74"/>
      <c r="E288" s="75">
        <f>VLOOKUP(B288,'ALL-DATA'!A:F,2,FALSE)</f>
        <v>4.5</v>
      </c>
      <c r="F288" s="38">
        <f>VLOOKUP(B288,'ALL-DATA'!A:F,3,FALSE)</f>
        <v>82</v>
      </c>
      <c r="G288" s="38">
        <f>VLOOKUP(B288,'ALL-DATA'!A:F,4,FALSE)</f>
        <v>0</v>
      </c>
      <c r="H288" s="76">
        <f>VLOOKUP(B288,'ALL-DATA'!A:F,5,FALSE)</f>
        <v>90</v>
      </c>
      <c r="I288" s="76">
        <f>VLOOKUP(B288,'ALL-DATA'!A:F,6,FALSE)</f>
        <v>332.1</v>
      </c>
      <c r="J288" s="44"/>
      <c r="K288" s="48"/>
      <c r="L288" s="77">
        <v>0</v>
      </c>
      <c r="M288" s="37"/>
      <c r="N288" s="38"/>
      <c r="O288" s="38"/>
      <c r="P288" s="38">
        <f>((((((Table8[[#This Row],[OLD-WT]]-(Table8[[#This Row],[OLD-WT]]*1%))*Table8[[#This Row],[MELTING2]])/100))*80)/100)*Table8[[#This Row],[P-RATE3]]</f>
        <v>0</v>
      </c>
      <c r="Q288" s="38"/>
      <c r="R288" s="263">
        <f t="shared" si="37"/>
        <v>0</v>
      </c>
    </row>
    <row r="289" spans="1:18" x14ac:dyDescent="0.45">
      <c r="A289" s="73">
        <v>45654</v>
      </c>
      <c r="B289" s="38" t="str">
        <f>C289&amp;D289</f>
        <v>S-RING-318</v>
      </c>
      <c r="C289" s="38" t="s">
        <v>731</v>
      </c>
      <c r="D289" s="74" t="s">
        <v>1500</v>
      </c>
      <c r="E289" s="75">
        <f>VLOOKUP(B289,'ALL-DATA'!A:F,2,FALSE)</f>
        <v>1.6</v>
      </c>
      <c r="F289" s="38">
        <f>VLOOKUP(B289,'ALL-DATA'!A:F,3,FALSE)</f>
        <v>92.5</v>
      </c>
      <c r="G289" s="38">
        <f>VLOOKUP(B289,'ALL-DATA'!A:F,4,FALSE)</f>
        <v>92.5</v>
      </c>
      <c r="H289" s="76">
        <f>VLOOKUP(B289,'ALL-DATA'!A:F,5,FALSE)</f>
        <v>132</v>
      </c>
      <c r="I289" s="76">
        <f>VLOOKUP(B289,'ALL-DATA'!A:F,6,FALSE)</f>
        <v>211.20000000000002</v>
      </c>
      <c r="J289" s="44">
        <v>400</v>
      </c>
      <c r="K289" s="48"/>
      <c r="L289" s="77">
        <f>((J289+R289)-I289)</f>
        <v>188.79999999999998</v>
      </c>
      <c r="M289" s="37"/>
      <c r="N289" s="38"/>
      <c r="O289" s="38"/>
      <c r="P289" s="38">
        <f>((((((Table8[[#This Row],[OLD-WT]]-(Table8[[#This Row],[OLD-WT]]*1%))*Table8[[#This Row],[MELTING2]])/100))*80)/100)*Table8[[#This Row],[P-RATE3]]</f>
        <v>0</v>
      </c>
      <c r="Q289" s="38"/>
      <c r="R289" s="263">
        <f t="shared" si="37"/>
        <v>0</v>
      </c>
    </row>
    <row r="290" spans="1:18" x14ac:dyDescent="0.45">
      <c r="A290" s="73">
        <v>45654</v>
      </c>
      <c r="B290" s="131" t="s">
        <v>1501</v>
      </c>
      <c r="C290" s="38"/>
      <c r="D290" s="74"/>
      <c r="E290" s="75">
        <f>VLOOKUP(B290,'ALL-DATA'!A:F,2,FALSE)</f>
        <v>9.6</v>
      </c>
      <c r="F290" s="38">
        <f>VLOOKUP(B290,'ALL-DATA'!A:F,3,FALSE)</f>
        <v>80</v>
      </c>
      <c r="G290" s="38">
        <f>VLOOKUP(B290,'ALL-DATA'!A:F,4,FALSE)</f>
        <v>-15</v>
      </c>
      <c r="H290" s="76">
        <f>VLOOKUP(B290,'ALL-DATA'!A:F,5,FALSE)</f>
        <v>93</v>
      </c>
      <c r="I290" s="76">
        <f>VLOOKUP(B290,'ALL-DATA'!A:F,6,FALSE)</f>
        <v>714.24</v>
      </c>
      <c r="J290" s="44">
        <v>1200</v>
      </c>
      <c r="K290" s="48"/>
      <c r="L290" s="77">
        <f>((J290+R290)-I290)</f>
        <v>485.76</v>
      </c>
      <c r="M290" s="37"/>
      <c r="N290" s="38"/>
      <c r="O290" s="38"/>
      <c r="P290" s="38">
        <f>((((((Table8[[#This Row],[OLD-WT]]-(Table8[[#This Row],[OLD-WT]]*1%))*Table8[[#This Row],[MELTING2]])/100))*80)/100)*Table8[[#This Row],[P-RATE3]]</f>
        <v>0</v>
      </c>
      <c r="Q290" s="38"/>
      <c r="R290" s="263">
        <f t="shared" si="37"/>
        <v>0</v>
      </c>
    </row>
    <row r="291" spans="1:18" x14ac:dyDescent="0.45">
      <c r="A291" s="73">
        <v>45656</v>
      </c>
      <c r="B291" s="38" t="str">
        <f>C291&amp;D291</f>
        <v>S-B-KOLUSU--87</v>
      </c>
      <c r="C291" s="38" t="s">
        <v>727</v>
      </c>
      <c r="D291" s="74" t="s">
        <v>1502</v>
      </c>
      <c r="E291" s="75">
        <f>VLOOKUP(B291,'ALL-DATA'!A:F,2,FALSE)</f>
        <v>47.5</v>
      </c>
      <c r="F291" s="38">
        <f>VLOOKUP(B291,'ALL-DATA'!A:F,3,FALSE)</f>
        <v>80.02</v>
      </c>
      <c r="G291" s="38">
        <f>VLOOKUP(B291,'ALL-DATA'!A:F,4,FALSE)</f>
        <v>-15.019999999999996</v>
      </c>
      <c r="H291" s="76">
        <f>VLOOKUP(B291,'ALL-DATA'!A:F,5,FALSE)</f>
        <v>95</v>
      </c>
      <c r="I291" s="76">
        <f>VLOOKUP(B291,'ALL-DATA'!A:F,6,FALSE)</f>
        <v>3610.9024999999997</v>
      </c>
      <c r="J291" s="44">
        <v>5600</v>
      </c>
      <c r="K291" s="48"/>
      <c r="L291" s="77">
        <f>((J291+R291)-I291)-I292</f>
        <v>1583.1975000000002</v>
      </c>
      <c r="M291" s="37"/>
      <c r="N291" s="38"/>
      <c r="O291" s="38"/>
      <c r="P291" s="38">
        <f>((((((Table8[[#This Row],[OLD-WT]]-(Table8[[#This Row],[OLD-WT]]*1%))*Table8[[#This Row],[MELTING2]])/100))*80)/100)*Table8[[#This Row],[P-RATE3]]</f>
        <v>0</v>
      </c>
      <c r="Q291" s="38"/>
      <c r="R291" s="263">
        <f t="shared" si="37"/>
        <v>0</v>
      </c>
    </row>
    <row r="292" spans="1:18" x14ac:dyDescent="0.45">
      <c r="A292" s="73">
        <v>45656</v>
      </c>
      <c r="B292" s="120" t="s">
        <v>1183</v>
      </c>
      <c r="C292" s="38"/>
      <c r="D292" s="74"/>
      <c r="E292" s="75">
        <f>VLOOKUP(B292,'ALL-DATA'!A:F,2,FALSE)</f>
        <v>5.5</v>
      </c>
      <c r="F292" s="38">
        <f>VLOOKUP(B292,'ALL-DATA'!A:F,3,FALSE)</f>
        <v>82</v>
      </c>
      <c r="G292" s="38">
        <f>VLOOKUP(B292,'ALL-DATA'!A:F,4,FALSE)</f>
        <v>0</v>
      </c>
      <c r="H292" s="76">
        <f>VLOOKUP(B292,'ALL-DATA'!A:F,5,FALSE)</f>
        <v>90</v>
      </c>
      <c r="I292" s="76">
        <f>VLOOKUP(B292,'ALL-DATA'!A:F,6,FALSE)</f>
        <v>405.9</v>
      </c>
      <c r="J292" s="44"/>
      <c r="K292" s="48"/>
      <c r="L292" s="77">
        <v>0</v>
      </c>
      <c r="M292" s="37"/>
      <c r="N292" s="38"/>
      <c r="O292" s="38"/>
      <c r="P292" s="38">
        <f>((((((Table8[[#This Row],[OLD-WT]]-(Table8[[#This Row],[OLD-WT]]*1%))*Table8[[#This Row],[MELTING2]])/100))*80)/100)*Table8[[#This Row],[P-RATE3]]</f>
        <v>0</v>
      </c>
      <c r="Q292" s="38"/>
      <c r="R292" s="263">
        <f t="shared" si="37"/>
        <v>0</v>
      </c>
    </row>
    <row r="293" spans="1:18" x14ac:dyDescent="0.45">
      <c r="A293" s="73">
        <v>45656</v>
      </c>
      <c r="B293" s="38" t="str">
        <f>C293&amp;D293</f>
        <v>S-AARUNA-14</v>
      </c>
      <c r="C293" s="38" t="s">
        <v>729</v>
      </c>
      <c r="D293" s="74" t="s">
        <v>1162</v>
      </c>
      <c r="E293" s="75">
        <f>VLOOKUP(B293,'ALL-DATA'!A:F,2,FALSE)</f>
        <v>49.2</v>
      </c>
      <c r="F293" s="38">
        <f>VLOOKUP(B293,'ALL-DATA'!A:F,3,FALSE)</f>
        <v>82</v>
      </c>
      <c r="G293" s="38">
        <f>VLOOKUP(B293,'ALL-DATA'!A:F,4,FALSE)</f>
        <v>-27</v>
      </c>
      <c r="H293" s="76">
        <f>VLOOKUP(B293,'ALL-DATA'!A:F,5,FALSE)</f>
        <v>92</v>
      </c>
      <c r="I293" s="76">
        <f>VLOOKUP(B293,'ALL-DATA'!A:F,6,FALSE)</f>
        <v>3711.6480000000001</v>
      </c>
      <c r="J293" s="44">
        <v>5200</v>
      </c>
      <c r="K293" s="48"/>
      <c r="L293" s="77">
        <f t="shared" ref="L293:L316" si="44">((J293+R293)-I293)</f>
        <v>357.29599999999937</v>
      </c>
      <c r="M293" s="37">
        <f>160/2</f>
        <v>80</v>
      </c>
      <c r="N293" s="38">
        <v>81</v>
      </c>
      <c r="O293" s="38">
        <v>90</v>
      </c>
      <c r="P293" s="38">
        <f>((((((Table8[[#This Row],[OLD-WT]]-(Table8[[#This Row],[OLD-WT]]*1%))*Table8[[#This Row],[MELTING2]])/100))*80)/100)*Table8[[#This Row],[P-RATE3]]</f>
        <v>4618.9439999999995</v>
      </c>
      <c r="Q293" s="38">
        <f>11500/2</f>
        <v>5750</v>
      </c>
      <c r="R293" s="263">
        <f>(P293-Q293)</f>
        <v>-1131.0560000000005</v>
      </c>
    </row>
    <row r="294" spans="1:18" x14ac:dyDescent="0.45">
      <c r="A294" s="73">
        <v>45656</v>
      </c>
      <c r="B294" s="38" t="str">
        <f>C294&amp;D294</f>
        <v>S-BANGLE-6</v>
      </c>
      <c r="C294" s="38" t="s">
        <v>988</v>
      </c>
      <c r="D294" s="74" t="s">
        <v>986</v>
      </c>
      <c r="E294" s="75">
        <f>VLOOKUP(B294,'ALL-DATA'!A:F,2,FALSE)</f>
        <v>35.700000000000003</v>
      </c>
      <c r="F294" s="38">
        <f>VLOOKUP(B294,'ALL-DATA'!A:F,3,FALSE)</f>
        <v>65</v>
      </c>
      <c r="G294" s="38">
        <f>VLOOKUP(B294,'ALL-DATA'!A:F,4,FALSE)</f>
        <v>60.9</v>
      </c>
      <c r="H294" s="76">
        <f>VLOOKUP(B294,'ALL-DATA'!A:F,5,FALSE)</f>
        <v>88.1</v>
      </c>
      <c r="I294" s="76">
        <f>VLOOKUP(B294,'ALL-DATA'!A:F,6,FALSE)</f>
        <v>2401.3605000000002</v>
      </c>
      <c r="J294" s="44">
        <v>4200</v>
      </c>
      <c r="K294" s="48"/>
      <c r="L294" s="77">
        <f t="shared" si="44"/>
        <v>667.58349999999928</v>
      </c>
      <c r="M294" s="37">
        <f>160/2</f>
        <v>80</v>
      </c>
      <c r="N294" s="38">
        <v>81</v>
      </c>
      <c r="O294" s="38">
        <v>90</v>
      </c>
      <c r="P294" s="38">
        <f>((((((Table8[[#This Row],[OLD-WT]]-(Table8[[#This Row],[OLD-WT]]*1%))*Table8[[#This Row],[MELTING2]])/100))*80)/100)*Table8[[#This Row],[P-RATE3]]</f>
        <v>4618.9439999999995</v>
      </c>
      <c r="Q294" s="38">
        <f>11500/2</f>
        <v>5750</v>
      </c>
      <c r="R294" s="263">
        <f>(P294-Q294)</f>
        <v>-1131.0560000000005</v>
      </c>
    </row>
    <row r="295" spans="1:18" x14ac:dyDescent="0.45">
      <c r="A295" s="73">
        <v>45656</v>
      </c>
      <c r="B295" s="38" t="str">
        <f>C295&amp;D295</f>
        <v>S-CHAIN-N-65</v>
      </c>
      <c r="C295" s="38" t="s">
        <v>732</v>
      </c>
      <c r="D295" s="74" t="s">
        <v>1503</v>
      </c>
      <c r="E295" s="75">
        <f>VLOOKUP(B295,'ALL-DATA'!A:F,2,FALSE)</f>
        <v>11.9</v>
      </c>
      <c r="F295" s="38">
        <f>VLOOKUP(B295,'ALL-DATA'!A:F,3,FALSE)</f>
        <v>77</v>
      </c>
      <c r="G295" s="38">
        <f>VLOOKUP(B295,'ALL-DATA'!A:F,4,FALSE)</f>
        <v>-12</v>
      </c>
      <c r="H295" s="76">
        <f>VLOOKUP(B295,'ALL-DATA'!A:F,5,FALSE)</f>
        <v>91.5</v>
      </c>
      <c r="I295" s="76">
        <f>VLOOKUP(B295,'ALL-DATA'!A:F,6,FALSE)</f>
        <v>838.41449999999998</v>
      </c>
      <c r="J295" s="44">
        <v>1500</v>
      </c>
      <c r="K295" s="48"/>
      <c r="L295" s="77">
        <f t="shared" si="44"/>
        <v>463.31898000000012</v>
      </c>
      <c r="M295" s="37">
        <v>17.350000000000001</v>
      </c>
      <c r="N295" s="38">
        <v>81</v>
      </c>
      <c r="O295" s="38">
        <v>90</v>
      </c>
      <c r="P295" s="38">
        <f>((((((Table8[[#This Row],[OLD-WT]]-(Table8[[#This Row],[OLD-WT]]*1%))*Table8[[#This Row],[MELTING2]])/100))*80)/100)*Table8[[#This Row],[P-RATE3]]</f>
        <v>1001.7334800000001</v>
      </c>
      <c r="Q295" s="38">
        <v>1200</v>
      </c>
      <c r="R295" s="263">
        <f>(P295-Q295)</f>
        <v>-198.2665199999999</v>
      </c>
    </row>
    <row r="296" spans="1:18" x14ac:dyDescent="0.45">
      <c r="A296" s="73">
        <v>45657</v>
      </c>
      <c r="B296" s="38" t="str">
        <f>C296&amp;D296</f>
        <v>G-TLI-MNI-THAYTH-20</v>
      </c>
      <c r="C296" s="38" t="s">
        <v>723</v>
      </c>
      <c r="D296" s="74" t="s">
        <v>777</v>
      </c>
      <c r="E296" s="75">
        <f>VLOOKUP(B296,'ALL-DATA'!A:F,2,FALSE)</f>
        <v>1.1100000000000001</v>
      </c>
      <c r="F296" s="38">
        <f>VLOOKUP(B296,'ALL-DATA'!A:F,3,FALSE)</f>
        <v>85</v>
      </c>
      <c r="G296" s="38">
        <f>VLOOKUP(B296,'ALL-DATA'!A:F,4,FALSE)</f>
        <v>-8</v>
      </c>
      <c r="H296" s="76">
        <f>VLOOKUP(B296,'ALL-DATA'!A:F,5,FALSE)</f>
        <v>7290</v>
      </c>
      <c r="I296" s="76">
        <f>VLOOKUP(B296,'ALL-DATA'!A:F,6,FALSE)</f>
        <v>6878.1150000000007</v>
      </c>
      <c r="J296" s="44">
        <v>8650</v>
      </c>
      <c r="K296" s="48"/>
      <c r="L296" s="77">
        <f t="shared" si="44"/>
        <v>2421.8849999999993</v>
      </c>
      <c r="M296" s="37">
        <v>1.97</v>
      </c>
      <c r="N296" s="38">
        <v>65</v>
      </c>
      <c r="O296" s="38">
        <v>7500</v>
      </c>
      <c r="P296" s="38">
        <v>8600</v>
      </c>
      <c r="Q296" s="38">
        <v>7950</v>
      </c>
      <c r="R296" s="263">
        <f t="shared" ref="R296:R343" si="45">(P296-Q296)</f>
        <v>650</v>
      </c>
    </row>
    <row r="297" spans="1:18" x14ac:dyDescent="0.45">
      <c r="A297" s="73">
        <v>45657</v>
      </c>
      <c r="B297" s="23" t="s">
        <v>803</v>
      </c>
      <c r="C297" s="38"/>
      <c r="D297" s="74"/>
      <c r="E297" s="75">
        <f>VLOOKUP(B297,'ALL-DATA'!A:F,2,FALSE)</f>
        <v>0</v>
      </c>
      <c r="F297" s="38">
        <f>VLOOKUP(B297,'ALL-DATA'!A:F,3,FALSE)</f>
        <v>0</v>
      </c>
      <c r="G297" s="38">
        <f>VLOOKUP(B297,'ALL-DATA'!A:F,4,FALSE)</f>
        <v>0</v>
      </c>
      <c r="H297" s="76">
        <f>VLOOKUP(B297,'ALL-DATA'!A:F,5,FALSE)</f>
        <v>0</v>
      </c>
      <c r="I297" s="76">
        <f>VLOOKUP(B297,'ALL-DATA'!A:F,6,FALSE)</f>
        <v>135</v>
      </c>
      <c r="J297" s="44">
        <v>350</v>
      </c>
      <c r="K297" s="48"/>
      <c r="L297" s="77">
        <f t="shared" si="44"/>
        <v>421.93048000000044</v>
      </c>
      <c r="M297" s="37">
        <v>26.1</v>
      </c>
      <c r="N297" s="38">
        <v>81</v>
      </c>
      <c r="O297" s="38">
        <v>90</v>
      </c>
      <c r="P297" s="38">
        <f>((((((Table8[[#This Row],[OLD-WT]]-(Table8[[#This Row],[OLD-WT]]*1%))*Table8[[#This Row],[MELTING2]])/100))*80)/100)*Table8[[#This Row],[P-RATE3]]</f>
        <v>1506.9304800000004</v>
      </c>
      <c r="Q297" s="38">
        <v>1300</v>
      </c>
      <c r="R297" s="263">
        <f t="shared" si="45"/>
        <v>206.93048000000044</v>
      </c>
    </row>
    <row r="298" spans="1:18" x14ac:dyDescent="0.45">
      <c r="A298" s="73">
        <v>45657</v>
      </c>
      <c r="B298" s="1" t="s">
        <v>1504</v>
      </c>
      <c r="C298" s="38"/>
      <c r="D298" s="74"/>
      <c r="E298" s="75">
        <f>VLOOKUP(B298,'ALL-DATA'!A:F,2,FALSE)</f>
        <v>23</v>
      </c>
      <c r="F298" s="38">
        <f>VLOOKUP(B298,'ALL-DATA'!A:F,3,FALSE)</f>
        <v>0</v>
      </c>
      <c r="G298" s="38">
        <f>VLOOKUP(B298,'ALL-DATA'!A:F,4,FALSE)</f>
        <v>0</v>
      </c>
      <c r="H298" s="76">
        <f>VLOOKUP(B298,'ALL-DATA'!A:F,5,FALSE)</f>
        <v>0</v>
      </c>
      <c r="I298" s="76">
        <f>VLOOKUP(B298,'ALL-DATA'!A:F,6,FALSE)</f>
        <v>1750</v>
      </c>
      <c r="J298" s="44">
        <v>2450</v>
      </c>
      <c r="K298" s="48"/>
      <c r="L298" s="77">
        <f t="shared" si="44"/>
        <v>716.51471999999967</v>
      </c>
      <c r="M298" s="37">
        <v>25.4</v>
      </c>
      <c r="N298" s="38">
        <v>81</v>
      </c>
      <c r="O298" s="38">
        <v>90</v>
      </c>
      <c r="P298" s="38">
        <f>((((((Table8[[#This Row],[OLD-WT]]-(Table8[[#This Row],[OLD-WT]]*1%))*Table8[[#This Row],[MELTING2]])/100))*80)/100)*Table8[[#This Row],[P-RATE3]]</f>
        <v>1466.5147199999997</v>
      </c>
      <c r="Q298" s="38">
        <v>1450</v>
      </c>
      <c r="R298" s="263">
        <f t="shared" si="45"/>
        <v>16.51471999999967</v>
      </c>
    </row>
    <row r="299" spans="1:18" x14ac:dyDescent="0.45">
      <c r="A299" s="73">
        <v>45657</v>
      </c>
      <c r="B299" s="38" t="str">
        <f>C299&amp;D299</f>
        <v>S-RING-221</v>
      </c>
      <c r="C299" s="38" t="s">
        <v>731</v>
      </c>
      <c r="D299" s="74" t="s">
        <v>1505</v>
      </c>
      <c r="E299" s="75">
        <f>VLOOKUP(B299,'ALL-DATA'!A:F,2,FALSE)</f>
        <v>2.12</v>
      </c>
      <c r="F299" s="38">
        <f>VLOOKUP(B299,'ALL-DATA'!A:F,3,FALSE)</f>
        <v>92.5</v>
      </c>
      <c r="G299" s="38">
        <f>VLOOKUP(B299,'ALL-DATA'!A:F,4,FALSE)</f>
        <v>92.5</v>
      </c>
      <c r="H299" s="76">
        <f>VLOOKUP(B299,'ALL-DATA'!A:F,5,FALSE)</f>
        <v>125.57</v>
      </c>
      <c r="I299" s="76">
        <f>VLOOKUP(B299,'ALL-DATA'!A:F,6,FALSE)</f>
        <v>266.20839999999998</v>
      </c>
      <c r="J299" s="44">
        <v>500</v>
      </c>
      <c r="K299" s="48"/>
      <c r="L299" s="77">
        <f t="shared" si="44"/>
        <v>233.79160000000002</v>
      </c>
      <c r="M299" s="37"/>
      <c r="N299" s="38"/>
      <c r="O299" s="38"/>
      <c r="P299" s="38">
        <f>((((((Table8[[#This Row],[OLD-WT]]-(Table8[[#This Row],[OLD-WT]]*1%))*Table8[[#This Row],[MELTING2]])/100))*80)/100)*Table8[[#This Row],[P-RATE3]]</f>
        <v>0</v>
      </c>
      <c r="Q299" s="38"/>
      <c r="R299" s="263">
        <f t="shared" si="45"/>
        <v>0</v>
      </c>
    </row>
    <row r="300" spans="1:18" x14ac:dyDescent="0.45">
      <c r="A300" s="73">
        <v>45657</v>
      </c>
      <c r="B300" s="131" t="s">
        <v>1506</v>
      </c>
      <c r="C300" s="38"/>
      <c r="D300" s="74"/>
      <c r="E300" s="75">
        <f>VLOOKUP(B300,'ALL-DATA'!A:F,2,FALSE)</f>
        <v>7</v>
      </c>
      <c r="F300" s="38">
        <f>VLOOKUP(B300,'ALL-DATA'!A:F,3,FALSE)</f>
        <v>80</v>
      </c>
      <c r="G300" s="38">
        <f>VLOOKUP(B300,'ALL-DATA'!A:F,4,FALSE)</f>
        <v>-15</v>
      </c>
      <c r="H300" s="76">
        <f>VLOOKUP(B300,'ALL-DATA'!A:F,5,FALSE)</f>
        <v>93</v>
      </c>
      <c r="I300" s="76">
        <f>VLOOKUP(B300,'ALL-DATA'!A:F,6,FALSE)</f>
        <v>520.79999999999995</v>
      </c>
      <c r="J300" s="44">
        <v>800</v>
      </c>
      <c r="K300" s="48"/>
      <c r="L300" s="77">
        <f t="shared" si="44"/>
        <v>242.94184000000007</v>
      </c>
      <c r="M300" s="37">
        <v>6.3</v>
      </c>
      <c r="N300" s="38">
        <v>81</v>
      </c>
      <c r="O300" s="38">
        <v>90</v>
      </c>
      <c r="P300" s="38">
        <f>((((((Table8[[#This Row],[OLD-WT]]-(Table8[[#This Row],[OLD-WT]]*1%))*Table8[[#This Row],[MELTING2]])/100))*80)/100)*Table8[[#This Row],[P-RATE3]]</f>
        <v>363.74184000000002</v>
      </c>
      <c r="Q300" s="38">
        <v>400</v>
      </c>
      <c r="R300" s="263">
        <f t="shared" si="45"/>
        <v>-36.258159999999975</v>
      </c>
    </row>
    <row r="301" spans="1:18" x14ac:dyDescent="0.45">
      <c r="A301" s="73">
        <v>45657</v>
      </c>
      <c r="B301" s="38" t="str">
        <f t="shared" ref="B301:B309" si="46">C301&amp;D301</f>
        <v>S-RING-3</v>
      </c>
      <c r="C301" s="38" t="s">
        <v>731</v>
      </c>
      <c r="D301" s="74" t="s">
        <v>1002</v>
      </c>
      <c r="E301" s="75">
        <f>VLOOKUP(B301,'ALL-DATA'!A:F,2,FALSE)</f>
        <v>4.6500000000000004</v>
      </c>
      <c r="F301" s="38">
        <f>VLOOKUP(B301,'ALL-DATA'!A:F,3,FALSE)</f>
        <v>92.5</v>
      </c>
      <c r="G301" s="38">
        <f>VLOOKUP(B301,'ALL-DATA'!A:F,4,FALSE)</f>
        <v>92.5</v>
      </c>
      <c r="H301" s="76">
        <f>VLOOKUP(B301,'ALL-DATA'!A:F,5,FALSE)</f>
        <v>140</v>
      </c>
      <c r="I301" s="76">
        <f>VLOOKUP(B301,'ALL-DATA'!A:F,6,FALSE)</f>
        <v>651</v>
      </c>
      <c r="J301" s="44">
        <v>800</v>
      </c>
      <c r="K301" s="48"/>
      <c r="L301" s="77">
        <f t="shared" si="44"/>
        <v>149</v>
      </c>
      <c r="M301" s="37"/>
      <c r="N301" s="38"/>
      <c r="O301" s="38"/>
      <c r="P301" s="38">
        <f>((((((Table8[[#This Row],[OLD-WT]]-(Table8[[#This Row],[OLD-WT]]*1%))*Table8[[#This Row],[MELTING2]])/100))*80)/100)*Table8[[#This Row],[P-RATE3]]</f>
        <v>0</v>
      </c>
      <c r="Q301" s="38"/>
      <c r="R301" s="263">
        <f t="shared" si="45"/>
        <v>0</v>
      </c>
    </row>
    <row r="302" spans="1:18" x14ac:dyDescent="0.45">
      <c r="A302" s="73">
        <v>45658</v>
      </c>
      <c r="B302" s="38" t="str">
        <f t="shared" si="46"/>
        <v>S-RING-320</v>
      </c>
      <c r="C302" s="38" t="s">
        <v>731</v>
      </c>
      <c r="D302" s="74" t="s">
        <v>1507</v>
      </c>
      <c r="E302" s="75">
        <f>VLOOKUP(B302,'ALL-DATA'!A:F,2,FALSE)</f>
        <v>1.65</v>
      </c>
      <c r="F302" s="38">
        <f>VLOOKUP(B302,'ALL-DATA'!A:F,3,FALSE)</f>
        <v>92.5</v>
      </c>
      <c r="G302" s="38">
        <f>VLOOKUP(B302,'ALL-DATA'!A:F,4,FALSE)</f>
        <v>92.5</v>
      </c>
      <c r="H302" s="76">
        <f>VLOOKUP(B302,'ALL-DATA'!A:F,5,FALSE)</f>
        <v>132</v>
      </c>
      <c r="I302" s="76">
        <f>VLOOKUP(B302,'ALL-DATA'!A:F,6,FALSE)</f>
        <v>217.79999999999998</v>
      </c>
      <c r="J302" s="44">
        <v>300</v>
      </c>
      <c r="K302" s="48"/>
      <c r="L302" s="77">
        <f t="shared" si="44"/>
        <v>82.200000000000017</v>
      </c>
      <c r="M302" s="37"/>
      <c r="N302" s="38"/>
      <c r="O302" s="38"/>
      <c r="P302" s="38">
        <f>((((((Table8[[#This Row],[OLD-WT]]-(Table8[[#This Row],[OLD-WT]]*1%))*Table8[[#This Row],[MELTING2]])/100))*80)/100)*Table8[[#This Row],[P-RATE3]]</f>
        <v>0</v>
      </c>
      <c r="Q302" s="38"/>
      <c r="R302" s="263">
        <f t="shared" si="45"/>
        <v>0</v>
      </c>
    </row>
    <row r="303" spans="1:18" x14ac:dyDescent="0.45">
      <c r="A303" s="73">
        <v>45658</v>
      </c>
      <c r="B303" s="38" t="str">
        <f t="shared" si="46"/>
        <v>G-RING-G28</v>
      </c>
      <c r="C303" s="38" t="s">
        <v>718</v>
      </c>
      <c r="D303" s="74" t="s">
        <v>1508</v>
      </c>
      <c r="E303" s="75">
        <f>VLOOKUP(B303,'ALL-DATA'!A:F,2,FALSE)</f>
        <v>1.07</v>
      </c>
      <c r="F303" s="38">
        <f>VLOOKUP(B303,'ALL-DATA'!A:F,3,FALSE)</f>
        <v>96.75</v>
      </c>
      <c r="G303" s="38">
        <f>VLOOKUP(B303,'ALL-DATA'!A:F,4,FALSE)</f>
        <v>-4.75</v>
      </c>
      <c r="H303" s="76">
        <f>VLOOKUP(B303,'ALL-DATA'!A:F,5,FALSE)</f>
        <v>7218.2</v>
      </c>
      <c r="I303" s="76">
        <f>VLOOKUP(B303,'ALL-DATA'!A:F,6,FALSE)</f>
        <v>7472.4610950000006</v>
      </c>
      <c r="J303" s="44">
        <v>9000</v>
      </c>
      <c r="K303" s="48"/>
      <c r="L303" s="77">
        <f t="shared" si="44"/>
        <v>1527.5389049999994</v>
      </c>
      <c r="M303" s="37"/>
      <c r="N303" s="38"/>
      <c r="O303" s="38"/>
      <c r="P303" s="38">
        <f>((((((Table8[[#This Row],[OLD-WT]]-(Table8[[#This Row],[OLD-WT]]*1%))*Table8[[#This Row],[MELTING2]])/100))*80)/100)*Table8[[#This Row],[P-RATE3]]</f>
        <v>0</v>
      </c>
      <c r="Q303" s="38"/>
      <c r="R303" s="263">
        <f t="shared" si="45"/>
        <v>0</v>
      </c>
    </row>
    <row r="304" spans="1:18" x14ac:dyDescent="0.45">
      <c r="A304" s="73">
        <v>45658</v>
      </c>
      <c r="B304" s="38" t="str">
        <f t="shared" si="46"/>
        <v>S-RING-112</v>
      </c>
      <c r="C304" s="38" t="s">
        <v>731</v>
      </c>
      <c r="D304" s="74" t="s">
        <v>1509</v>
      </c>
      <c r="E304" s="75">
        <f>VLOOKUP(B304,'ALL-DATA'!A:F,2,FALSE)</f>
        <v>0.98</v>
      </c>
      <c r="F304" s="38">
        <f>VLOOKUP(B304,'ALL-DATA'!A:F,3,FALSE)</f>
        <v>92.5</v>
      </c>
      <c r="G304" s="38">
        <f>VLOOKUP(B304,'ALL-DATA'!A:F,4,FALSE)</f>
        <v>92.5</v>
      </c>
      <c r="H304" s="76">
        <f>VLOOKUP(B304,'ALL-DATA'!A:F,5,FALSE)</f>
        <v>127</v>
      </c>
      <c r="I304" s="76">
        <f>VLOOKUP(B304,'ALL-DATA'!A:F,6,FALSE)</f>
        <v>124.46</v>
      </c>
      <c r="J304" s="44">
        <v>250</v>
      </c>
      <c r="K304" s="48"/>
      <c r="L304" s="77">
        <f t="shared" si="44"/>
        <v>125.54</v>
      </c>
      <c r="M304" s="37"/>
      <c r="N304" s="38"/>
      <c r="O304" s="38"/>
      <c r="P304" s="38">
        <f>((((((Table8[[#This Row],[OLD-WT]]-(Table8[[#This Row],[OLD-WT]]*1%))*Table8[[#This Row],[MELTING2]])/100))*80)/100)*Table8[[#This Row],[P-RATE3]]</f>
        <v>0</v>
      </c>
      <c r="Q304" s="38"/>
      <c r="R304" s="263">
        <f t="shared" si="45"/>
        <v>0</v>
      </c>
    </row>
    <row r="305" spans="1:18" x14ac:dyDescent="0.45">
      <c r="A305" s="73">
        <v>45658</v>
      </c>
      <c r="B305" s="38" t="str">
        <f t="shared" si="46"/>
        <v>S-RING-237</v>
      </c>
      <c r="C305" s="38" t="s">
        <v>731</v>
      </c>
      <c r="D305" s="74" t="s">
        <v>1510</v>
      </c>
      <c r="E305" s="75">
        <f>VLOOKUP(B305,'ALL-DATA'!A:F,2,FALSE)</f>
        <v>2.4500000000000002</v>
      </c>
      <c r="F305" s="38">
        <f>VLOOKUP(B305,'ALL-DATA'!A:F,3,FALSE)</f>
        <v>92.5</v>
      </c>
      <c r="G305" s="38">
        <f>VLOOKUP(B305,'ALL-DATA'!A:F,4,FALSE)</f>
        <v>92.5</v>
      </c>
      <c r="H305" s="76">
        <f>VLOOKUP(B305,'ALL-DATA'!A:F,5,FALSE)</f>
        <v>135</v>
      </c>
      <c r="I305" s="76">
        <f>VLOOKUP(B305,'ALL-DATA'!A:F,6,FALSE)</f>
        <v>330.75</v>
      </c>
      <c r="J305" s="44">
        <v>625</v>
      </c>
      <c r="K305" s="48"/>
      <c r="L305" s="77">
        <f t="shared" si="44"/>
        <v>294.25</v>
      </c>
      <c r="M305" s="37"/>
      <c r="N305" s="38"/>
      <c r="O305" s="38"/>
      <c r="P305" s="38">
        <f>((((((Table8[[#This Row],[OLD-WT]]-(Table8[[#This Row],[OLD-WT]]*1%))*Table8[[#This Row],[MELTING2]])/100))*80)/100)*Table8[[#This Row],[P-RATE3]]</f>
        <v>0</v>
      </c>
      <c r="Q305" s="38"/>
      <c r="R305" s="263">
        <f t="shared" si="45"/>
        <v>0</v>
      </c>
    </row>
    <row r="306" spans="1:18" x14ac:dyDescent="0.45">
      <c r="A306" s="73">
        <v>45658</v>
      </c>
      <c r="B306" s="38" t="str">
        <f t="shared" si="46"/>
        <v>S-RING-131</v>
      </c>
      <c r="C306" s="38" t="s">
        <v>731</v>
      </c>
      <c r="D306" s="74" t="s">
        <v>1511</v>
      </c>
      <c r="E306" s="75">
        <f>VLOOKUP(B306,'ALL-DATA'!A:F,2,FALSE)</f>
        <v>1.1200000000000001</v>
      </c>
      <c r="F306" s="38">
        <f>VLOOKUP(B306,'ALL-DATA'!A:F,3,FALSE)</f>
        <v>92.5</v>
      </c>
      <c r="G306" s="38">
        <f>VLOOKUP(B306,'ALL-DATA'!A:F,4,FALSE)</f>
        <v>92.5</v>
      </c>
      <c r="H306" s="76">
        <f>VLOOKUP(B306,'ALL-DATA'!A:F,5,FALSE)</f>
        <v>127</v>
      </c>
      <c r="I306" s="76">
        <f>VLOOKUP(B306,'ALL-DATA'!A:F,6,FALSE)</f>
        <v>142.24</v>
      </c>
      <c r="J306" s="44">
        <v>280</v>
      </c>
      <c r="K306" s="48"/>
      <c r="L306" s="77">
        <f t="shared" si="44"/>
        <v>137.76</v>
      </c>
      <c r="M306" s="37"/>
      <c r="N306" s="38"/>
      <c r="O306" s="38"/>
      <c r="P306" s="38">
        <f>((((((Table8[[#This Row],[OLD-WT]]-(Table8[[#This Row],[OLD-WT]]*1%))*Table8[[#This Row],[MELTING2]])/100))*80)/100)*Table8[[#This Row],[P-RATE3]]</f>
        <v>0</v>
      </c>
      <c r="Q306" s="38"/>
      <c r="R306" s="263">
        <f t="shared" si="45"/>
        <v>0</v>
      </c>
    </row>
    <row r="307" spans="1:18" x14ac:dyDescent="0.45">
      <c r="A307" s="73">
        <v>45658</v>
      </c>
      <c r="B307" s="38" t="str">
        <f t="shared" si="46"/>
        <v>S-RING-232</v>
      </c>
      <c r="C307" s="38" t="s">
        <v>731</v>
      </c>
      <c r="D307" s="74" t="s">
        <v>1512</v>
      </c>
      <c r="E307" s="75">
        <f>VLOOKUP(B307,'ALL-DATA'!A:F,2,FALSE)</f>
        <v>4.74</v>
      </c>
      <c r="F307" s="38">
        <f>VLOOKUP(B307,'ALL-DATA'!A:F,3,FALSE)</f>
        <v>92.5</v>
      </c>
      <c r="G307" s="38">
        <f>VLOOKUP(B307,'ALL-DATA'!A:F,4,FALSE)</f>
        <v>92.5</v>
      </c>
      <c r="H307" s="76">
        <f>VLOOKUP(B307,'ALL-DATA'!A:F,5,FALSE)</f>
        <v>125.57</v>
      </c>
      <c r="I307" s="76">
        <f>VLOOKUP(B307,'ALL-DATA'!A:F,6,FALSE)</f>
        <v>595.20180000000005</v>
      </c>
      <c r="J307" s="44">
        <v>1190</v>
      </c>
      <c r="K307" s="48"/>
      <c r="L307" s="77">
        <f t="shared" si="44"/>
        <v>173.52667999999994</v>
      </c>
      <c r="M307" s="37">
        <f t="shared" ref="M307:M308" si="47">95.8/3</f>
        <v>31.933333333333334</v>
      </c>
      <c r="N307" s="38">
        <v>81</v>
      </c>
      <c r="O307" s="38">
        <v>90</v>
      </c>
      <c r="P307" s="38">
        <f>((((((Table8[[#This Row],[OLD-WT]]-(Table8[[#This Row],[OLD-WT]]*1%))*Table8[[#This Row],[MELTING2]])/100))*80)/100)*Table8[[#This Row],[P-RATE3]]</f>
        <v>1843.72848</v>
      </c>
      <c r="Q307" s="38">
        <f t="shared" ref="Q307:Q308" si="48">6795/3</f>
        <v>2265</v>
      </c>
      <c r="R307" s="263">
        <f t="shared" ref="R307:R308" si="49">(P307-Q307)</f>
        <v>-421.27152000000001</v>
      </c>
    </row>
    <row r="308" spans="1:18" x14ac:dyDescent="0.45">
      <c r="A308" s="73">
        <v>45658</v>
      </c>
      <c r="B308" s="38" t="str">
        <f t="shared" si="46"/>
        <v>S-CHAIN-N-3</v>
      </c>
      <c r="C308" s="38" t="s">
        <v>732</v>
      </c>
      <c r="D308" s="74" t="s">
        <v>1002</v>
      </c>
      <c r="E308" s="75">
        <f>VLOOKUP(B308,'ALL-DATA'!A:F,2,FALSE)</f>
        <v>21.75</v>
      </c>
      <c r="F308" s="38">
        <f>VLOOKUP(B308,'ALL-DATA'!A:F,3,FALSE)</f>
        <v>86</v>
      </c>
      <c r="G308" s="38">
        <f>VLOOKUP(B308,'ALL-DATA'!A:F,4,FALSE)</f>
        <v>-21</v>
      </c>
      <c r="H308" s="76">
        <f>VLOOKUP(B308,'ALL-DATA'!A:F,5,FALSE)</f>
        <v>90</v>
      </c>
      <c r="I308" s="76">
        <f>VLOOKUP(B308,'ALL-DATA'!A:F,6,FALSE)</f>
        <v>1683.4499999999998</v>
      </c>
      <c r="J308" s="44">
        <v>2450</v>
      </c>
      <c r="K308" s="48"/>
      <c r="L308" s="77">
        <f t="shared" si="44"/>
        <v>345.27848000000017</v>
      </c>
      <c r="M308" s="37">
        <f t="shared" si="47"/>
        <v>31.933333333333334</v>
      </c>
      <c r="N308" s="38">
        <v>81</v>
      </c>
      <c r="O308" s="38">
        <v>90</v>
      </c>
      <c r="P308" s="38">
        <f>((((((Table8[[#This Row],[OLD-WT]]-(Table8[[#This Row],[OLD-WT]]*1%))*Table8[[#This Row],[MELTING2]])/100))*80)/100)*Table8[[#This Row],[P-RATE3]]</f>
        <v>1843.72848</v>
      </c>
      <c r="Q308" s="38">
        <f t="shared" si="48"/>
        <v>2265</v>
      </c>
      <c r="R308" s="263">
        <f t="shared" si="49"/>
        <v>-421.27152000000001</v>
      </c>
    </row>
    <row r="309" spans="1:18" x14ac:dyDescent="0.45">
      <c r="A309" s="73">
        <v>45658</v>
      </c>
      <c r="B309" s="38" t="str">
        <f t="shared" si="46"/>
        <v>S-KAPPU-N-7</v>
      </c>
      <c r="C309" s="38" t="s">
        <v>739</v>
      </c>
      <c r="D309" s="74" t="s">
        <v>876</v>
      </c>
      <c r="E309" s="75">
        <f>VLOOKUP(B309,'ALL-DATA'!A:F,2,FALSE)</f>
        <v>13.9</v>
      </c>
      <c r="F309" s="38">
        <f>VLOOKUP(B309,'ALL-DATA'!A:F,3,FALSE)</f>
        <v>85</v>
      </c>
      <c r="G309" s="38">
        <f>VLOOKUP(B309,'ALL-DATA'!A:F,4,FALSE)</f>
        <v>-64</v>
      </c>
      <c r="H309" s="76">
        <f>VLOOKUP(B309,'ALL-DATA'!A:F,5,FALSE)</f>
        <v>89</v>
      </c>
      <c r="I309" s="76">
        <f>VLOOKUP(B309,'ALL-DATA'!A:F,6,FALSE)</f>
        <v>1051.5349999999999</v>
      </c>
      <c r="J309" s="44">
        <v>1700</v>
      </c>
      <c r="K309" s="48"/>
      <c r="L309" s="77">
        <f t="shared" si="44"/>
        <v>227.19348000000014</v>
      </c>
      <c r="M309" s="37">
        <f>95.8/3</f>
        <v>31.933333333333334</v>
      </c>
      <c r="N309" s="38">
        <v>81</v>
      </c>
      <c r="O309" s="38">
        <v>90</v>
      </c>
      <c r="P309" s="38">
        <f>((((((Table8[[#This Row],[OLD-WT]]-(Table8[[#This Row],[OLD-WT]]*1%))*Table8[[#This Row],[MELTING2]])/100))*80)/100)*Table8[[#This Row],[P-RATE3]]</f>
        <v>1843.72848</v>
      </c>
      <c r="Q309" s="38">
        <f>6795/3</f>
        <v>2265</v>
      </c>
      <c r="R309" s="263">
        <f t="shared" si="45"/>
        <v>-421.27152000000001</v>
      </c>
    </row>
    <row r="310" spans="1:18" x14ac:dyDescent="0.45">
      <c r="A310" s="73">
        <v>45658</v>
      </c>
      <c r="B310" s="38" t="s">
        <v>1513</v>
      </c>
      <c r="C310" s="38"/>
      <c r="D310" s="74"/>
      <c r="E310" s="75">
        <f>VLOOKUP(B310,'ALL-DATA'!A:F,2,FALSE)</f>
        <v>2.08</v>
      </c>
      <c r="F310" s="38">
        <f>VLOOKUP(B310,'ALL-DATA'!A:F,3,FALSE)</f>
        <v>0</v>
      </c>
      <c r="G310" s="38">
        <f>VLOOKUP(B310,'ALL-DATA'!A:F,4,FALSE)</f>
        <v>0</v>
      </c>
      <c r="H310" s="76">
        <f>VLOOKUP(B310,'ALL-DATA'!A:F,5,FALSE)</f>
        <v>0</v>
      </c>
      <c r="I310" s="76">
        <f>VLOOKUP(B310,'ALL-DATA'!A:F,6,FALSE)</f>
        <v>15100</v>
      </c>
      <c r="J310" s="44">
        <v>16500</v>
      </c>
      <c r="K310" s="48"/>
      <c r="L310" s="77">
        <f t="shared" si="44"/>
        <v>1400</v>
      </c>
      <c r="M310" s="37"/>
      <c r="N310" s="38"/>
      <c r="O310" s="38"/>
      <c r="P310" s="38">
        <f>((((((Table8[[#This Row],[OLD-WT]]-(Table8[[#This Row],[OLD-WT]]*1%))*Table8[[#This Row],[MELTING2]])/100))*80)/100)*Table8[[#This Row],[P-RATE3]]</f>
        <v>0</v>
      </c>
      <c r="Q310" s="38">
        <v>0</v>
      </c>
      <c r="R310" s="263">
        <f t="shared" si="45"/>
        <v>0</v>
      </c>
    </row>
    <row r="311" spans="1:18" x14ac:dyDescent="0.45">
      <c r="A311" s="73">
        <v>45659</v>
      </c>
      <c r="B311" s="131" t="s">
        <v>1514</v>
      </c>
      <c r="C311" s="38"/>
      <c r="D311" s="74"/>
      <c r="E311" s="75">
        <f>VLOOKUP(B311,'ALL-DATA'!A:F,2,FALSE)</f>
        <v>7.25</v>
      </c>
      <c r="F311" s="38">
        <f>VLOOKUP(B311,'ALL-DATA'!A:F,3,FALSE)</f>
        <v>80</v>
      </c>
      <c r="G311" s="38">
        <f>VLOOKUP(B311,'ALL-DATA'!A:F,4,FALSE)</f>
        <v>-15</v>
      </c>
      <c r="H311" s="76">
        <f>VLOOKUP(B311,'ALL-DATA'!A:F,5,FALSE)</f>
        <v>93</v>
      </c>
      <c r="I311" s="76">
        <f>VLOOKUP(B311,'ALL-DATA'!A:F,6,FALSE)</f>
        <v>539.4</v>
      </c>
      <c r="J311" s="44">
        <v>1250</v>
      </c>
      <c r="K311" s="48"/>
      <c r="L311" s="77">
        <f t="shared" si="44"/>
        <v>723.30244000000005</v>
      </c>
      <c r="M311" s="37">
        <v>4.55</v>
      </c>
      <c r="N311" s="38">
        <v>81</v>
      </c>
      <c r="O311" s="38">
        <v>90</v>
      </c>
      <c r="P311" s="38">
        <f>((((((Table8[[#This Row],[OLD-WT]]-(Table8[[#This Row],[OLD-WT]]*1%))*Table8[[#This Row],[MELTING2]])/100))*80)/100)*Table8[[#This Row],[P-RATE3]]</f>
        <v>262.70244000000002</v>
      </c>
      <c r="Q311" s="38">
        <v>250</v>
      </c>
      <c r="R311" s="263">
        <f t="shared" si="45"/>
        <v>12.702440000000024</v>
      </c>
    </row>
    <row r="312" spans="1:18" x14ac:dyDescent="0.45">
      <c r="A312" s="73">
        <v>45659</v>
      </c>
      <c r="B312" s="23" t="s">
        <v>803</v>
      </c>
      <c r="C312" s="38"/>
      <c r="D312" s="74"/>
      <c r="E312" s="75">
        <f>VLOOKUP(B312,'ALL-DATA'!A:F,2,FALSE)</f>
        <v>0</v>
      </c>
      <c r="F312" s="38">
        <f>VLOOKUP(B312,'ALL-DATA'!A:F,3,FALSE)</f>
        <v>0</v>
      </c>
      <c r="G312" s="38">
        <f>VLOOKUP(B312,'ALL-DATA'!A:F,4,FALSE)</f>
        <v>0</v>
      </c>
      <c r="H312" s="76">
        <f>VLOOKUP(B312,'ALL-DATA'!A:F,5,FALSE)</f>
        <v>0</v>
      </c>
      <c r="I312" s="76">
        <f>VLOOKUP(B312,'ALL-DATA'!A:F,6,FALSE)</f>
        <v>135</v>
      </c>
      <c r="J312" s="44">
        <v>400</v>
      </c>
      <c r="K312" s="48"/>
      <c r="L312" s="77">
        <f t="shared" si="44"/>
        <v>265</v>
      </c>
      <c r="M312" s="37"/>
      <c r="N312" s="38"/>
      <c r="O312" s="38"/>
      <c r="P312" s="38">
        <f>((((((Table8[[#This Row],[OLD-WT]]-(Table8[[#This Row],[OLD-WT]]*1%))*Table8[[#This Row],[MELTING2]])/100))*80)/100)*Table8[[#This Row],[P-RATE3]]</f>
        <v>0</v>
      </c>
      <c r="Q312" s="38"/>
      <c r="R312" s="263">
        <f t="shared" si="45"/>
        <v>0</v>
      </c>
    </row>
    <row r="313" spans="1:18" x14ac:dyDescent="0.45">
      <c r="A313" s="73">
        <v>45659</v>
      </c>
      <c r="B313" s="23" t="s">
        <v>803</v>
      </c>
      <c r="C313" s="38"/>
      <c r="D313" s="74"/>
      <c r="E313" s="75">
        <f>VLOOKUP(B313,'ALL-DATA'!A:F,2,FALSE)</f>
        <v>0</v>
      </c>
      <c r="F313" s="38">
        <f>VLOOKUP(B313,'ALL-DATA'!A:F,3,FALSE)</f>
        <v>0</v>
      </c>
      <c r="G313" s="38">
        <f>VLOOKUP(B313,'ALL-DATA'!A:F,4,FALSE)</f>
        <v>0</v>
      </c>
      <c r="H313" s="76">
        <f>VLOOKUP(B313,'ALL-DATA'!A:F,5,FALSE)</f>
        <v>0</v>
      </c>
      <c r="I313" s="76">
        <f>VLOOKUP(B313,'ALL-DATA'!A:F,6,FALSE)</f>
        <v>135</v>
      </c>
      <c r="J313" s="44">
        <v>400</v>
      </c>
      <c r="K313" s="48"/>
      <c r="L313" s="77">
        <f t="shared" si="44"/>
        <v>265</v>
      </c>
      <c r="M313" s="37"/>
      <c r="N313" s="38"/>
      <c r="O313" s="38"/>
      <c r="P313" s="38">
        <f>((((((Table8[[#This Row],[OLD-WT]]-(Table8[[#This Row],[OLD-WT]]*1%))*Table8[[#This Row],[MELTING2]])/100))*80)/100)*Table8[[#This Row],[P-RATE3]]</f>
        <v>0</v>
      </c>
      <c r="Q313" s="38"/>
      <c r="R313" s="263">
        <f t="shared" si="45"/>
        <v>0</v>
      </c>
    </row>
    <row r="314" spans="1:18" x14ac:dyDescent="0.45">
      <c r="A314" s="73">
        <v>45659</v>
      </c>
      <c r="B314" s="38" t="str">
        <f>C314&amp;D314</f>
        <v>S-RING-173</v>
      </c>
      <c r="C314" s="38" t="s">
        <v>731</v>
      </c>
      <c r="D314" s="74" t="s">
        <v>1515</v>
      </c>
      <c r="E314" s="75">
        <f>VLOOKUP(B314,'ALL-DATA'!A:F,2,FALSE)</f>
        <v>1.1499999999999999</v>
      </c>
      <c r="F314" s="38">
        <f>VLOOKUP(B314,'ALL-DATA'!A:F,3,FALSE)</f>
        <v>92.5</v>
      </c>
      <c r="G314" s="38">
        <f>VLOOKUP(B314,'ALL-DATA'!A:F,4,FALSE)</f>
        <v>92.5</v>
      </c>
      <c r="H314" s="76">
        <f>VLOOKUP(B314,'ALL-DATA'!A:F,5,FALSE)</f>
        <v>131.65</v>
      </c>
      <c r="I314" s="76">
        <f>VLOOKUP(B314,'ALL-DATA'!A:F,6,FALSE)</f>
        <v>151.39750000000001</v>
      </c>
      <c r="J314" s="44">
        <v>250</v>
      </c>
      <c r="K314" s="48"/>
      <c r="L314" s="77">
        <f t="shared" si="44"/>
        <v>98.602499999999992</v>
      </c>
      <c r="M314" s="37"/>
      <c r="N314" s="38"/>
      <c r="O314" s="38"/>
      <c r="P314" s="38">
        <f>((((((Table8[[#This Row],[OLD-WT]]-(Table8[[#This Row],[OLD-WT]]*1%))*Table8[[#This Row],[MELTING2]])/100))*80)/100)*Table8[[#This Row],[P-RATE3]]</f>
        <v>0</v>
      </c>
      <c r="Q314" s="38"/>
      <c r="R314" s="263">
        <f t="shared" si="45"/>
        <v>0</v>
      </c>
    </row>
    <row r="315" spans="1:18" x14ac:dyDescent="0.45">
      <c r="A315" s="73">
        <v>45660</v>
      </c>
      <c r="B315" s="38" t="str">
        <f>C315&amp;D315</f>
        <v>S-RING-343</v>
      </c>
      <c r="C315" s="38" t="s">
        <v>731</v>
      </c>
      <c r="D315" s="74" t="s">
        <v>1516</v>
      </c>
      <c r="E315" s="75">
        <f>VLOOKUP(B315,'ALL-DATA'!A:F,2,FALSE)</f>
        <v>4.5</v>
      </c>
      <c r="F315" s="38">
        <f>VLOOKUP(B315,'ALL-DATA'!A:F,3,FALSE)</f>
        <v>92.5</v>
      </c>
      <c r="G315" s="38">
        <f>VLOOKUP(B315,'ALL-DATA'!A:F,4,FALSE)</f>
        <v>92.5</v>
      </c>
      <c r="H315" s="76">
        <f>VLOOKUP(B315,'ALL-DATA'!A:F,5,FALSE)</f>
        <v>132</v>
      </c>
      <c r="I315" s="76">
        <f>VLOOKUP(B315,'ALL-DATA'!A:F,6,FALSE)</f>
        <v>594</v>
      </c>
      <c r="J315" s="44">
        <v>950</v>
      </c>
      <c r="K315" s="48"/>
      <c r="L315" s="77">
        <f t="shared" si="44"/>
        <v>356</v>
      </c>
      <c r="M315" s="37"/>
      <c r="N315" s="38"/>
      <c r="O315" s="38"/>
      <c r="P315" s="38">
        <f>((((((Table8[[#This Row],[OLD-WT]]-(Table8[[#This Row],[OLD-WT]]*1%))*Table8[[#This Row],[MELTING2]])/100))*80)/100)*Table8[[#This Row],[P-RATE3]]</f>
        <v>0</v>
      </c>
      <c r="Q315" s="38"/>
      <c r="R315" s="263">
        <f t="shared" si="45"/>
        <v>0</v>
      </c>
    </row>
    <row r="316" spans="1:18" x14ac:dyDescent="0.45">
      <c r="A316" s="73">
        <v>45660</v>
      </c>
      <c r="B316" s="38" t="s">
        <v>1517</v>
      </c>
      <c r="C316" s="38"/>
      <c r="D316" s="74"/>
      <c r="E316" s="75">
        <f>VLOOKUP(B316,'ALL-DATA'!A:F,2,FALSE)</f>
        <v>0.74</v>
      </c>
      <c r="F316" s="38">
        <f>VLOOKUP(B316,'ALL-DATA'!A:F,3,FALSE)</f>
        <v>0</v>
      </c>
      <c r="G316" s="38">
        <f>VLOOKUP(B316,'ALL-DATA'!A:F,4,FALSE)</f>
        <v>0</v>
      </c>
      <c r="H316" s="76">
        <f>VLOOKUP(B316,'ALL-DATA'!A:F,5,FALSE)</f>
        <v>0</v>
      </c>
      <c r="I316" s="76">
        <f>VLOOKUP(B316,'ALL-DATA'!A:F,6,FALSE)</f>
        <v>5700</v>
      </c>
      <c r="J316" s="44">
        <v>6700</v>
      </c>
      <c r="K316" s="48"/>
      <c r="L316" s="77">
        <f t="shared" si="44"/>
        <v>1000</v>
      </c>
      <c r="M316" s="37"/>
      <c r="N316" s="38"/>
      <c r="O316" s="38"/>
      <c r="P316" s="38">
        <f>((((((Table8[[#This Row],[OLD-WT]]-(Table8[[#This Row],[OLD-WT]]*1%))*Table8[[#This Row],[MELTING2]])/100))*80)/100)*Table8[[#This Row],[P-RATE3]]</f>
        <v>0</v>
      </c>
      <c r="Q316" s="38"/>
      <c r="R316" s="263">
        <f t="shared" si="45"/>
        <v>0</v>
      </c>
    </row>
    <row r="317" spans="1:18" x14ac:dyDescent="0.45">
      <c r="A317" s="73">
        <v>45661</v>
      </c>
      <c r="B317" s="38" t="str">
        <f>C317&amp;D317</f>
        <v>S-B-KOLUSU--7</v>
      </c>
      <c r="C317" s="38" t="s">
        <v>727</v>
      </c>
      <c r="D317" s="74" t="s">
        <v>876</v>
      </c>
      <c r="E317" s="75">
        <f>VLOOKUP(B317,'ALL-DATA'!A:F,2,FALSE)</f>
        <v>59.32</v>
      </c>
      <c r="F317" s="38">
        <f>VLOOKUP(B317,'ALL-DATA'!A:F,3,FALSE)</f>
        <v>65</v>
      </c>
      <c r="G317" s="38">
        <f>VLOOKUP(B317,'ALL-DATA'!A:F,4,FALSE)</f>
        <v>-10</v>
      </c>
      <c r="H317" s="76">
        <f>VLOOKUP(B317,'ALL-DATA'!A:F,5,FALSE)</f>
        <v>89</v>
      </c>
      <c r="I317" s="76">
        <f>VLOOKUP(B317,'ALL-DATA'!A:F,6,FALSE)</f>
        <v>3431.6619999999998</v>
      </c>
      <c r="J317" s="44">
        <v>6600</v>
      </c>
      <c r="K317" s="48"/>
      <c r="L317" s="77">
        <f>((J317+R317)-I317)-I318</f>
        <v>2953.3271200000004</v>
      </c>
      <c r="M317" s="37">
        <v>8.4</v>
      </c>
      <c r="N317" s="38">
        <v>81</v>
      </c>
      <c r="O317" s="38">
        <v>90</v>
      </c>
      <c r="P317" s="38">
        <f>((((((Table8[[#This Row],[OLD-WT]]-(Table8[[#This Row],[OLD-WT]]*1%))*Table8[[#This Row],[MELTING2]])/100))*80)/100)*Table8[[#This Row],[P-RATE3]]</f>
        <v>484.98911999999996</v>
      </c>
      <c r="Q317" s="38">
        <v>600</v>
      </c>
      <c r="R317" s="263">
        <f t="shared" si="45"/>
        <v>-115.01088000000004</v>
      </c>
    </row>
    <row r="318" spans="1:18" x14ac:dyDescent="0.45">
      <c r="A318" s="73">
        <v>45661</v>
      </c>
      <c r="B318" s="120" t="s">
        <v>1081</v>
      </c>
      <c r="C318" s="38"/>
      <c r="D318" s="74"/>
      <c r="E318" s="75">
        <f>VLOOKUP(B318,'ALL-DATA'!A:F,2,FALSE)</f>
        <v>1</v>
      </c>
      <c r="F318" s="38">
        <f>VLOOKUP(B318,'ALL-DATA'!A:F,3,FALSE)</f>
        <v>0</v>
      </c>
      <c r="G318" s="38">
        <f>VLOOKUP(B318,'ALL-DATA'!A:F,4,FALSE)</f>
        <v>0</v>
      </c>
      <c r="H318" s="76">
        <f>VLOOKUP(B318,'ALL-DATA'!A:F,5,FALSE)</f>
        <v>0</v>
      </c>
      <c r="I318" s="76">
        <f>VLOOKUP(B318,'ALL-DATA'!A:F,6,FALSE)</f>
        <v>100</v>
      </c>
      <c r="J318" s="44"/>
      <c r="K318" s="48"/>
      <c r="L318" s="77">
        <v>0</v>
      </c>
      <c r="M318" s="37"/>
      <c r="N318" s="38"/>
      <c r="O318" s="38"/>
      <c r="P318" s="38">
        <f>((((((Table8[[#This Row],[OLD-WT]]-(Table8[[#This Row],[OLD-WT]]*1%))*Table8[[#This Row],[MELTING2]])/100))*80)/100)*Table8[[#This Row],[P-RATE3]]</f>
        <v>0</v>
      </c>
      <c r="Q318" s="38"/>
      <c r="R318" s="263">
        <f t="shared" si="45"/>
        <v>0</v>
      </c>
    </row>
    <row r="319" spans="1:18" x14ac:dyDescent="0.45">
      <c r="A319" s="73">
        <v>45662</v>
      </c>
      <c r="B319" s="38" t="str">
        <f>C319&amp;D319</f>
        <v>S-CHAIN-N-72</v>
      </c>
      <c r="C319" s="38" t="s">
        <v>732</v>
      </c>
      <c r="D319" s="74" t="s">
        <v>1202</v>
      </c>
      <c r="E319" s="75">
        <f>VLOOKUP(B319,'ALL-DATA'!A:F,2,FALSE)</f>
        <v>10.6</v>
      </c>
      <c r="F319" s="38">
        <f>VLOOKUP(B319,'ALL-DATA'!A:F,3,FALSE)</f>
        <v>77</v>
      </c>
      <c r="G319" s="38">
        <f>VLOOKUP(B319,'ALL-DATA'!A:F,4,FALSE)</f>
        <v>-12</v>
      </c>
      <c r="H319" s="76">
        <f>VLOOKUP(B319,'ALL-DATA'!A:F,5,FALSE)</f>
        <v>91.5</v>
      </c>
      <c r="I319" s="76">
        <f>VLOOKUP(B319,'ALL-DATA'!A:F,6,FALSE)</f>
        <v>746.82299999999987</v>
      </c>
      <c r="J319" s="44">
        <v>1500</v>
      </c>
      <c r="K319" s="48"/>
      <c r="L319" s="77">
        <f t="shared" ref="L319:L329" si="50">((J319+R319)-I319)</f>
        <v>753.17700000000013</v>
      </c>
      <c r="M319" s="37"/>
      <c r="N319" s="38"/>
      <c r="O319" s="38"/>
      <c r="P319" s="38">
        <f>((((((Table8[[#This Row],[OLD-WT]]-(Table8[[#This Row],[OLD-WT]]*1%))*Table8[[#This Row],[MELTING2]])/100))*80)/100)*Table8[[#This Row],[P-RATE3]]</f>
        <v>0</v>
      </c>
      <c r="Q319" s="38"/>
      <c r="R319" s="263">
        <f t="shared" si="45"/>
        <v>0</v>
      </c>
    </row>
    <row r="320" spans="1:18" x14ac:dyDescent="0.45">
      <c r="A320" s="73">
        <v>45663</v>
      </c>
      <c r="B320" s="23" t="s">
        <v>1081</v>
      </c>
      <c r="C320" s="38"/>
      <c r="D320" s="74"/>
      <c r="E320" s="75">
        <f>VLOOKUP(B320,'ALL-DATA'!A:F,2,FALSE)</f>
        <v>1</v>
      </c>
      <c r="F320" s="38">
        <f>VLOOKUP(B320,'ALL-DATA'!A:F,3,FALSE)</f>
        <v>0</v>
      </c>
      <c r="G320" s="38">
        <f>VLOOKUP(B320,'ALL-DATA'!A:F,4,FALSE)</f>
        <v>0</v>
      </c>
      <c r="H320" s="76">
        <f>VLOOKUP(B320,'ALL-DATA'!A:F,5,FALSE)</f>
        <v>0</v>
      </c>
      <c r="I320" s="76">
        <f>VLOOKUP(B320,'ALL-DATA'!A:F,6,FALSE)</f>
        <v>100</v>
      </c>
      <c r="J320" s="44">
        <v>150</v>
      </c>
      <c r="K320" s="48"/>
      <c r="L320" s="77">
        <f t="shared" si="50"/>
        <v>50</v>
      </c>
      <c r="M320" s="37"/>
      <c r="N320" s="38"/>
      <c r="O320" s="38"/>
      <c r="P320" s="38">
        <f>((((((Table8[[#This Row],[OLD-WT]]-(Table8[[#This Row],[OLD-WT]]*1%))*Table8[[#This Row],[MELTING2]])/100))*80)/100)*Table8[[#This Row],[P-RATE3]]</f>
        <v>0</v>
      </c>
      <c r="Q320" s="38"/>
      <c r="R320" s="263">
        <f t="shared" si="45"/>
        <v>0</v>
      </c>
    </row>
    <row r="321" spans="1:18" x14ac:dyDescent="0.45">
      <c r="A321" s="73">
        <v>45663</v>
      </c>
      <c r="B321" s="38" t="str">
        <f>C321&amp;D321</f>
        <v>S-BARACELET-B-25</v>
      </c>
      <c r="C321" s="38" t="s">
        <v>737</v>
      </c>
      <c r="D321" s="74" t="s">
        <v>893</v>
      </c>
      <c r="E321" s="75">
        <f>VLOOKUP(B321,'ALL-DATA'!A:F,2,FALSE)</f>
        <v>8</v>
      </c>
      <c r="F321" s="38">
        <f>VLOOKUP(B321,'ALL-DATA'!A:F,3,FALSE)</f>
        <v>77</v>
      </c>
      <c r="G321" s="38">
        <f>VLOOKUP(B321,'ALL-DATA'!A:F,4,FALSE)</f>
        <v>-12</v>
      </c>
      <c r="H321" s="76">
        <f>VLOOKUP(B321,'ALL-DATA'!A:F,5,FALSE)</f>
        <v>91.5</v>
      </c>
      <c r="I321" s="76">
        <f>VLOOKUP(B321,'ALL-DATA'!A:F,6,FALSE)</f>
        <v>563.64</v>
      </c>
      <c r="J321" s="44">
        <v>1400</v>
      </c>
      <c r="K321" s="48"/>
      <c r="L321" s="77">
        <f t="shared" si="50"/>
        <v>836.36</v>
      </c>
      <c r="M321" s="37"/>
      <c r="N321" s="38"/>
      <c r="O321" s="38"/>
      <c r="P321" s="38">
        <f>((((((Table8[[#This Row],[OLD-WT]]-(Table8[[#This Row],[OLD-WT]]*1%))*Table8[[#This Row],[MELTING2]])/100))*80)/100)*Table8[[#This Row],[P-RATE3]]</f>
        <v>0</v>
      </c>
      <c r="Q321" s="38"/>
      <c r="R321" s="263">
        <f t="shared" si="45"/>
        <v>0</v>
      </c>
    </row>
    <row r="322" spans="1:18" x14ac:dyDescent="0.45">
      <c r="A322" s="73">
        <v>45663</v>
      </c>
      <c r="B322" s="38" t="s">
        <v>1518</v>
      </c>
      <c r="C322" s="38"/>
      <c r="D322" s="74"/>
      <c r="E322" s="75">
        <f>VLOOKUP(B322,'ALL-DATA'!A:F,2,FALSE)</f>
        <v>42</v>
      </c>
      <c r="F322" s="38">
        <f>VLOOKUP(B322,'ALL-DATA'!A:F,3,FALSE)</f>
        <v>0</v>
      </c>
      <c r="G322" s="38">
        <f>VLOOKUP(B322,'ALL-DATA'!A:F,4,FALSE)</f>
        <v>0</v>
      </c>
      <c r="H322" s="76">
        <f>VLOOKUP(B322,'ALL-DATA'!A:F,5,FALSE)</f>
        <v>0</v>
      </c>
      <c r="I322" s="76">
        <f>VLOOKUP(B322,'ALL-DATA'!A:F,6,FALSE)</f>
        <v>3450</v>
      </c>
      <c r="J322" s="44">
        <v>5900</v>
      </c>
      <c r="K322" s="48"/>
      <c r="L322" s="77">
        <f t="shared" si="50"/>
        <v>2450</v>
      </c>
      <c r="M322" s="37"/>
      <c r="N322" s="38"/>
      <c r="O322" s="38"/>
      <c r="P322" s="38">
        <f>((((((Table8[[#This Row],[OLD-WT]]-(Table8[[#This Row],[OLD-WT]]*1%))*Table8[[#This Row],[MELTING2]])/100))*80)/100)*Table8[[#This Row],[P-RATE3]]</f>
        <v>0</v>
      </c>
      <c r="Q322" s="38"/>
      <c r="R322" s="263">
        <f t="shared" si="45"/>
        <v>0</v>
      </c>
    </row>
    <row r="323" spans="1:18" x14ac:dyDescent="0.45">
      <c r="A323" s="73">
        <v>45664</v>
      </c>
      <c r="B323" s="131" t="s">
        <v>1519</v>
      </c>
      <c r="C323" s="38"/>
      <c r="D323" s="74"/>
      <c r="E323" s="75">
        <f>VLOOKUP(B323,'ALL-DATA'!A:F,2,FALSE)</f>
        <v>8.6999999999999993</v>
      </c>
      <c r="F323" s="38">
        <f>VLOOKUP(B323,'ALL-DATA'!A:F,3,FALSE)</f>
        <v>80</v>
      </c>
      <c r="G323" s="38">
        <f>VLOOKUP(B323,'ALL-DATA'!A:F,4,FALSE)</f>
        <v>-15</v>
      </c>
      <c r="H323" s="76">
        <f>VLOOKUP(B323,'ALL-DATA'!A:F,5,FALSE)</f>
        <v>93</v>
      </c>
      <c r="I323" s="76">
        <f>VLOOKUP(B323,'ALL-DATA'!A:F,6,FALSE)</f>
        <v>647.28</v>
      </c>
      <c r="J323" s="44">
        <v>1050</v>
      </c>
      <c r="K323" s="48"/>
      <c r="L323" s="77">
        <f t="shared" si="50"/>
        <v>340.59595999999988</v>
      </c>
      <c r="M323" s="37">
        <v>8.4499999999999993</v>
      </c>
      <c r="N323" s="38">
        <v>81</v>
      </c>
      <c r="O323" s="38">
        <v>90</v>
      </c>
      <c r="P323" s="38">
        <f>((((((Table8[[#This Row],[OLD-WT]]-(Table8[[#This Row],[OLD-WT]]*1%))*Table8[[#This Row],[MELTING2]])/100))*80)/100)*Table8[[#This Row],[P-RATE3]]</f>
        <v>487.87595999999991</v>
      </c>
      <c r="Q323" s="38">
        <v>550</v>
      </c>
      <c r="R323" s="263">
        <f t="shared" si="45"/>
        <v>-62.124040000000093</v>
      </c>
    </row>
    <row r="324" spans="1:18" x14ac:dyDescent="0.45">
      <c r="A324" s="73">
        <v>45665</v>
      </c>
      <c r="B324" s="38" t="str">
        <f>C324&amp;D324</f>
        <v>S-RING-143</v>
      </c>
      <c r="C324" s="38" t="s">
        <v>731</v>
      </c>
      <c r="D324" s="74" t="s">
        <v>1520</v>
      </c>
      <c r="E324" s="75">
        <f>VLOOKUP(B324,'ALL-DATA'!A:F,2,FALSE)</f>
        <v>3</v>
      </c>
      <c r="F324" s="38">
        <f>VLOOKUP(B324,'ALL-DATA'!A:F,3,FALSE)</f>
        <v>92.5</v>
      </c>
      <c r="G324" s="38">
        <f>VLOOKUP(B324,'ALL-DATA'!A:F,4,FALSE)</f>
        <v>92.5</v>
      </c>
      <c r="H324" s="76">
        <f>VLOOKUP(B324,'ALL-DATA'!A:F,5,FALSE)</f>
        <v>131.65</v>
      </c>
      <c r="I324" s="76">
        <f>VLOOKUP(B324,'ALL-DATA'!A:F,6,FALSE)</f>
        <v>394.95000000000005</v>
      </c>
      <c r="J324" s="44">
        <v>700</v>
      </c>
      <c r="K324" s="48"/>
      <c r="L324" s="77">
        <f t="shared" si="50"/>
        <v>292.00224000000003</v>
      </c>
      <c r="M324" s="37">
        <v>9.3000000000000007</v>
      </c>
      <c r="N324" s="38">
        <v>81</v>
      </c>
      <c r="O324" s="38">
        <v>90</v>
      </c>
      <c r="P324" s="38">
        <f>((((((Table8[[#This Row],[OLD-WT]]-(Table8[[#This Row],[OLD-WT]]*1%))*Table8[[#This Row],[MELTING2]])/100))*80)/100)*Table8[[#This Row],[P-RATE3]]</f>
        <v>536.95224000000007</v>
      </c>
      <c r="Q324" s="38">
        <v>550</v>
      </c>
      <c r="R324" s="263">
        <f t="shared" si="45"/>
        <v>-13.047759999999926</v>
      </c>
    </row>
    <row r="325" spans="1:18" x14ac:dyDescent="0.45">
      <c r="A325" s="73">
        <v>45665</v>
      </c>
      <c r="B325" s="38" t="s">
        <v>1521</v>
      </c>
      <c r="C325" s="38"/>
      <c r="D325" s="74"/>
      <c r="E325" s="75">
        <f>VLOOKUP(B325,'ALL-DATA'!A:F,2,FALSE)</f>
        <v>0.21</v>
      </c>
      <c r="F325" s="38">
        <f>VLOOKUP(B325,'ALL-DATA'!A:F,3,FALSE)</f>
        <v>0</v>
      </c>
      <c r="G325" s="38">
        <f>VLOOKUP(B325,'ALL-DATA'!A:F,4,FALSE)</f>
        <v>0</v>
      </c>
      <c r="H325" s="76">
        <f>VLOOKUP(B325,'ALL-DATA'!A:F,5,FALSE)</f>
        <v>0</v>
      </c>
      <c r="I325" s="76">
        <f>VLOOKUP(B325,'ALL-DATA'!A:F,6,FALSE)</f>
        <v>0</v>
      </c>
      <c r="J325" s="44">
        <v>1650</v>
      </c>
      <c r="K325" s="48"/>
      <c r="L325" s="77">
        <f t="shared" si="50"/>
        <v>1650</v>
      </c>
      <c r="M325" s="37"/>
      <c r="N325" s="38"/>
      <c r="O325" s="38"/>
      <c r="P325" s="38">
        <f>((((((Table8[[#This Row],[OLD-WT]]-(Table8[[#This Row],[OLD-WT]]*1%))*Table8[[#This Row],[MELTING2]])/100))*80)/100)*Table8[[#This Row],[P-RATE3]]</f>
        <v>0</v>
      </c>
      <c r="Q325" s="38"/>
      <c r="R325" s="263">
        <f t="shared" si="45"/>
        <v>0</v>
      </c>
    </row>
    <row r="326" spans="1:18" x14ac:dyDescent="0.45">
      <c r="A326" s="73">
        <v>45666</v>
      </c>
      <c r="B326" s="1" t="s">
        <v>1522</v>
      </c>
      <c r="C326" s="38"/>
      <c r="D326" s="74"/>
      <c r="E326" s="75">
        <f>VLOOKUP(B326,'ALL-DATA'!A:F,2,FALSE)</f>
        <v>69.5</v>
      </c>
      <c r="F326" s="38">
        <f>VLOOKUP(B326,'ALL-DATA'!A:F,3,FALSE)</f>
        <v>0</v>
      </c>
      <c r="G326" s="38">
        <f>VLOOKUP(B326,'ALL-DATA'!A:F,4,FALSE)</f>
        <v>0</v>
      </c>
      <c r="H326" s="76">
        <f>VLOOKUP(B326,'ALL-DATA'!A:F,5,FALSE)</f>
        <v>0</v>
      </c>
      <c r="I326" s="76">
        <f>VLOOKUP(B326,'ALL-DATA'!A:F,6,FALSE)</f>
        <v>5300</v>
      </c>
      <c r="J326" s="44">
        <v>6900</v>
      </c>
      <c r="K326" s="48"/>
      <c r="L326" s="77">
        <f t="shared" si="50"/>
        <v>944.57680000000073</v>
      </c>
      <c r="M326" s="37">
        <v>51</v>
      </c>
      <c r="N326" s="38">
        <v>81</v>
      </c>
      <c r="O326" s="38">
        <v>90</v>
      </c>
      <c r="P326" s="38">
        <f>((((((Table8[[#This Row],[OLD-WT]]-(Table8[[#This Row],[OLD-WT]]*1%))*Table8[[#This Row],[MELTING2]])/100))*80)/100)*Table8[[#This Row],[P-RATE3]]</f>
        <v>2944.5768000000007</v>
      </c>
      <c r="Q326" s="38">
        <v>3600</v>
      </c>
      <c r="R326" s="263">
        <f t="shared" si="45"/>
        <v>-655.42319999999927</v>
      </c>
    </row>
    <row r="327" spans="1:18" x14ac:dyDescent="0.45">
      <c r="A327" s="73">
        <v>45666</v>
      </c>
      <c r="B327" s="38" t="str">
        <f>C327&amp;D327</f>
        <v>S-RING-102</v>
      </c>
      <c r="C327" s="38" t="s">
        <v>731</v>
      </c>
      <c r="D327" s="74" t="s">
        <v>1523</v>
      </c>
      <c r="E327" s="75">
        <f>VLOOKUP(B327,'ALL-DATA'!A:F,2,FALSE)</f>
        <v>1.88</v>
      </c>
      <c r="F327" s="38">
        <f>VLOOKUP(B327,'ALL-DATA'!A:F,3,FALSE)</f>
        <v>92.5</v>
      </c>
      <c r="G327" s="38">
        <f>VLOOKUP(B327,'ALL-DATA'!A:F,4,FALSE)</f>
        <v>92.5</v>
      </c>
      <c r="H327" s="76">
        <f>VLOOKUP(B327,'ALL-DATA'!A:F,5,FALSE)</f>
        <v>127</v>
      </c>
      <c r="I327" s="76">
        <f>VLOOKUP(B327,'ALL-DATA'!A:F,6,FALSE)</f>
        <v>238.76</v>
      </c>
      <c r="J327" s="44">
        <v>470</v>
      </c>
      <c r="K327" s="48"/>
      <c r="L327" s="77">
        <f t="shared" si="50"/>
        <v>231.24</v>
      </c>
      <c r="M327" s="37"/>
      <c r="N327" s="38"/>
      <c r="O327" s="38"/>
      <c r="P327" s="38">
        <f>((((((Table8[[#This Row],[OLD-WT]]-(Table8[[#This Row],[OLD-WT]]*1%))*Table8[[#This Row],[MELTING2]])/100))*80)/100)*Table8[[#This Row],[P-RATE3]]</f>
        <v>0</v>
      </c>
      <c r="Q327" s="38"/>
      <c r="R327" s="263">
        <f t="shared" si="45"/>
        <v>0</v>
      </c>
    </row>
    <row r="328" spans="1:18" x14ac:dyDescent="0.45">
      <c r="A328" s="73">
        <v>45666</v>
      </c>
      <c r="B328" s="38" t="str">
        <f>C328&amp;D328</f>
        <v>S-RING-207</v>
      </c>
      <c r="C328" s="38" t="s">
        <v>731</v>
      </c>
      <c r="D328" s="74" t="s">
        <v>1524</v>
      </c>
      <c r="E328" s="75">
        <f>VLOOKUP(B328,'ALL-DATA'!A:F,2,FALSE)</f>
        <v>1.68</v>
      </c>
      <c r="F328" s="38">
        <f>VLOOKUP(B328,'ALL-DATA'!A:F,3,FALSE)</f>
        <v>92.5</v>
      </c>
      <c r="G328" s="38">
        <f>VLOOKUP(B328,'ALL-DATA'!A:F,4,FALSE)</f>
        <v>92.5</v>
      </c>
      <c r="H328" s="76">
        <f>VLOOKUP(B328,'ALL-DATA'!A:F,5,FALSE)</f>
        <v>125.57</v>
      </c>
      <c r="I328" s="76">
        <f>VLOOKUP(B328,'ALL-DATA'!A:F,6,FALSE)</f>
        <v>210.95759999999999</v>
      </c>
      <c r="J328" s="44">
        <v>420</v>
      </c>
      <c r="K328" s="48"/>
      <c r="L328" s="77">
        <f t="shared" si="50"/>
        <v>209.04240000000001</v>
      </c>
      <c r="M328" s="37"/>
      <c r="N328" s="38"/>
      <c r="O328" s="38"/>
      <c r="P328" s="38">
        <f>((((((Table8[[#This Row],[OLD-WT]]-(Table8[[#This Row],[OLD-WT]]*1%))*Table8[[#This Row],[MELTING2]])/100))*80)/100)*Table8[[#This Row],[P-RATE3]]</f>
        <v>0</v>
      </c>
      <c r="Q328" s="38"/>
      <c r="R328" s="263">
        <f t="shared" si="45"/>
        <v>0</v>
      </c>
    </row>
    <row r="329" spans="1:18" x14ac:dyDescent="0.45">
      <c r="A329" s="73">
        <v>45666</v>
      </c>
      <c r="B329" s="38" t="str">
        <f>C329&amp;D329</f>
        <v>S-RING-346</v>
      </c>
      <c r="C329" s="38" t="s">
        <v>731</v>
      </c>
      <c r="D329" s="74" t="s">
        <v>1525</v>
      </c>
      <c r="E329" s="75">
        <f>VLOOKUP(B329,'ALL-DATA'!A:F,2,FALSE)</f>
        <v>2</v>
      </c>
      <c r="F329" s="38">
        <f>VLOOKUP(B329,'ALL-DATA'!A:F,3,FALSE)</f>
        <v>92.5</v>
      </c>
      <c r="G329" s="38">
        <f>VLOOKUP(B329,'ALL-DATA'!A:F,4,FALSE)</f>
        <v>92.5</v>
      </c>
      <c r="H329" s="76">
        <f>VLOOKUP(B329,'ALL-DATA'!A:F,5,FALSE)</f>
        <v>132</v>
      </c>
      <c r="I329" s="76">
        <f>VLOOKUP(B329,'ALL-DATA'!A:F,6,FALSE)</f>
        <v>264</v>
      </c>
      <c r="J329" s="44">
        <v>264</v>
      </c>
      <c r="K329" s="48"/>
      <c r="L329" s="77">
        <f t="shared" si="50"/>
        <v>0</v>
      </c>
      <c r="M329" s="37"/>
      <c r="N329" s="38"/>
      <c r="O329" s="38"/>
      <c r="P329" s="38">
        <f>((((((Table8[[#This Row],[OLD-WT]]-(Table8[[#This Row],[OLD-WT]]*1%))*Table8[[#This Row],[MELTING2]])/100))*80)/100)*Table8[[#This Row],[P-RATE3]]</f>
        <v>0</v>
      </c>
      <c r="Q329" s="38"/>
      <c r="R329" s="263">
        <f t="shared" si="45"/>
        <v>0</v>
      </c>
    </row>
    <row r="330" spans="1:18" x14ac:dyDescent="0.45">
      <c r="A330" s="73">
        <v>45668</v>
      </c>
      <c r="B330" s="38" t="str">
        <f>C330&amp;D330</f>
        <v>S-RING-165</v>
      </c>
      <c r="C330" s="38" t="s">
        <v>731</v>
      </c>
      <c r="D330" s="74" t="s">
        <v>1565</v>
      </c>
      <c r="E330" s="75">
        <f>VLOOKUP(B330,'ALL-DATA'!A:F,2,FALSE)</f>
        <v>1.31</v>
      </c>
      <c r="F330" s="38">
        <f>VLOOKUP(B330,'ALL-DATA'!A:F,3,FALSE)</f>
        <v>92.5</v>
      </c>
      <c r="G330" s="38">
        <f>VLOOKUP(B330,'ALL-DATA'!A:F,4,FALSE)</f>
        <v>92.5</v>
      </c>
      <c r="H330" s="76">
        <f>VLOOKUP(B330,'ALL-DATA'!A:F,5,FALSE)</f>
        <v>131.65</v>
      </c>
      <c r="I330" s="76">
        <f>VLOOKUP(B330,'ALL-DATA'!A:F,6,FALSE)</f>
        <v>172.4615</v>
      </c>
      <c r="J330" s="44">
        <v>300</v>
      </c>
      <c r="K330" s="48"/>
      <c r="L330" s="77">
        <f>((J330+R330)-I330)</f>
        <v>127.5385</v>
      </c>
      <c r="M330" s="37"/>
      <c r="N330" s="38"/>
      <c r="O330" s="38"/>
      <c r="P330" s="38">
        <f>((((((Table8[[#This Row],[OLD-WT]]-(Table8[[#This Row],[OLD-WT]]*1%))*Table8[[#This Row],[MELTING2]])/100))*80)/100)*Table8[[#This Row],[P-RATE3]]</f>
        <v>0</v>
      </c>
      <c r="Q330" s="38"/>
      <c r="R330" s="263">
        <f t="shared" si="45"/>
        <v>0</v>
      </c>
    </row>
    <row r="331" spans="1:18" x14ac:dyDescent="0.45">
      <c r="A331" s="73">
        <v>45670</v>
      </c>
      <c r="B331" s="23" t="s">
        <v>1566</v>
      </c>
      <c r="C331" s="38"/>
      <c r="D331" s="74"/>
      <c r="E331" s="75">
        <f>VLOOKUP(B331,'ALL-DATA'!A:F,2,FALSE)</f>
        <v>6.85</v>
      </c>
      <c r="F331" s="38">
        <f>VLOOKUP(B331,'ALL-DATA'!A:F,3,FALSE)</f>
        <v>80</v>
      </c>
      <c r="G331" s="38">
        <f>VLOOKUP(B331,'ALL-DATA'!A:F,4,FALSE)</f>
        <v>-15</v>
      </c>
      <c r="H331" s="76">
        <f>VLOOKUP(B331,'ALL-DATA'!A:F,5,FALSE)</f>
        <v>93</v>
      </c>
      <c r="I331" s="76">
        <f>VLOOKUP(B331,'ALL-DATA'!A:F,6,FALSE)</f>
        <v>509.64000000000004</v>
      </c>
      <c r="J331" s="44">
        <v>810</v>
      </c>
      <c r="K331" s="48"/>
      <c r="L331" s="77">
        <f>((J331+R331)-I331)</f>
        <v>300.35999999999996</v>
      </c>
      <c r="M331" s="37"/>
      <c r="N331" s="38"/>
      <c r="O331" s="38"/>
      <c r="P331" s="38">
        <f>((((((Table8[[#This Row],[OLD-WT]]-(Table8[[#This Row],[OLD-WT]]*1%))*Table8[[#This Row],[MELTING2]])/100))*80)/100)*Table8[[#This Row],[P-RATE3]]</f>
        <v>0</v>
      </c>
      <c r="Q331" s="38"/>
      <c r="R331" s="263">
        <f t="shared" si="45"/>
        <v>0</v>
      </c>
    </row>
    <row r="332" spans="1:18" x14ac:dyDescent="0.45">
      <c r="A332" s="73">
        <v>45670</v>
      </c>
      <c r="B332" s="38" t="str">
        <f>C332&amp;D332</f>
        <v>S-RING-251</v>
      </c>
      <c r="C332" s="38" t="s">
        <v>731</v>
      </c>
      <c r="D332" s="74" t="s">
        <v>1567</v>
      </c>
      <c r="E332" s="75">
        <f>VLOOKUP(B332,'ALL-DATA'!A:F,2,FALSE)</f>
        <v>3.45</v>
      </c>
      <c r="F332" s="38">
        <f>VLOOKUP(B332,'ALL-DATA'!A:F,3,FALSE)</f>
        <v>92.5</v>
      </c>
      <c r="G332" s="38">
        <f>VLOOKUP(B332,'ALL-DATA'!A:F,4,FALSE)</f>
        <v>92.5</v>
      </c>
      <c r="H332" s="76">
        <f>VLOOKUP(B332,'ALL-DATA'!A:F,5,FALSE)</f>
        <v>123</v>
      </c>
      <c r="I332" s="76">
        <f>VLOOKUP(B332,'ALL-DATA'!A:F,6,FALSE)</f>
        <v>424.35</v>
      </c>
      <c r="J332" s="44">
        <v>650</v>
      </c>
      <c r="K332" s="48"/>
      <c r="L332" s="77">
        <f>((J332+R332)-I332)</f>
        <v>203.5379999999999</v>
      </c>
      <c r="M332" s="37">
        <v>5.75</v>
      </c>
      <c r="N332" s="38">
        <v>80</v>
      </c>
      <c r="O332" s="38">
        <v>90</v>
      </c>
      <c r="P332" s="38">
        <f>((((((Table8[[#This Row],[OLD-WT]]-(Table8[[#This Row],[OLD-WT]]*1%))*Table8[[#This Row],[MELTING2]])/100))*80)/100)*Table8[[#This Row],[P-RATE3]]</f>
        <v>327.88799999999992</v>
      </c>
      <c r="Q332" s="38">
        <v>350</v>
      </c>
      <c r="R332" s="263">
        <f t="shared" si="45"/>
        <v>-22.11200000000008</v>
      </c>
    </row>
    <row r="333" spans="1:18" x14ac:dyDescent="0.45">
      <c r="A333" s="73">
        <v>45670</v>
      </c>
      <c r="B333" s="38" t="s">
        <v>1530</v>
      </c>
      <c r="C333" s="38"/>
      <c r="D333" s="74"/>
      <c r="E333" s="75">
        <f>VLOOKUP(B333,'ALL-DATA'!A:F,2,FALSE)</f>
        <v>81</v>
      </c>
      <c r="F333" s="38">
        <f>VLOOKUP(B333,'ALL-DATA'!A:F,3,FALSE)</f>
        <v>80.650000000000006</v>
      </c>
      <c r="G333" s="38">
        <f>VLOOKUP(B333,'ALL-DATA'!A:F,4,FALSE)</f>
        <v>0</v>
      </c>
      <c r="H333" s="76">
        <f>VLOOKUP(B333,'ALL-DATA'!A:F,5,FALSE)</f>
        <v>90</v>
      </c>
      <c r="I333" s="76">
        <f>VLOOKUP(B333,'ALL-DATA'!A:F,6,FALSE)</f>
        <v>5879.3850000000011</v>
      </c>
      <c r="J333" s="44">
        <v>8400</v>
      </c>
      <c r="K333" s="48"/>
      <c r="L333" s="77">
        <f>((J333+R333)-I333)</f>
        <v>808.06139999999868</v>
      </c>
      <c r="M333" s="37">
        <v>93.6</v>
      </c>
      <c r="N333" s="38">
        <v>80</v>
      </c>
      <c r="O333" s="38">
        <v>90</v>
      </c>
      <c r="P333" s="38">
        <f>((((((Table8[[#This Row],[OLD-WT]]-(Table8[[#This Row],[OLD-WT]]*1%))*Table8[[#This Row],[MELTING2]])/100))*80)/100)*Table8[[#This Row],[P-RATE3]]</f>
        <v>5337.4463999999998</v>
      </c>
      <c r="Q333" s="38">
        <v>7050</v>
      </c>
      <c r="R333" s="263">
        <f t="shared" si="45"/>
        <v>-1712.5536000000002</v>
      </c>
    </row>
    <row r="334" spans="1:18" x14ac:dyDescent="0.45">
      <c r="A334" s="73">
        <v>45670</v>
      </c>
      <c r="B334" s="38" t="str">
        <f>C334&amp;D334</f>
        <v>S-AARUNA-9</v>
      </c>
      <c r="C334" s="38" t="s">
        <v>729</v>
      </c>
      <c r="D334" s="74" t="s">
        <v>1318</v>
      </c>
      <c r="E334" s="75">
        <f>VLOOKUP(B334,'ALL-DATA'!A:F,2,FALSE)</f>
        <v>40.200000000000003</v>
      </c>
      <c r="F334" s="38">
        <f>VLOOKUP(B334,'ALL-DATA'!A:F,3,FALSE)</f>
        <v>76.5</v>
      </c>
      <c r="G334" s="38">
        <f>VLOOKUP(B334,'ALL-DATA'!A:F,4,FALSE)</f>
        <v>-21.5</v>
      </c>
      <c r="H334" s="76">
        <f>VLOOKUP(B334,'ALL-DATA'!A:F,5,FALSE)</f>
        <v>89.9</v>
      </c>
      <c r="I334" s="76">
        <f>VLOOKUP(B334,'ALL-DATA'!A:F,6,FALSE)</f>
        <v>2764.6947</v>
      </c>
      <c r="J334" s="44">
        <v>4350</v>
      </c>
      <c r="K334" s="48"/>
      <c r="L334" s="77">
        <f>((J334+R334)-I334)</f>
        <v>1585.3053</v>
      </c>
      <c r="M334" s="37"/>
      <c r="N334" s="38"/>
      <c r="O334" s="38"/>
      <c r="P334" s="38">
        <f>((((((Table8[[#This Row],[OLD-WT]]-(Table8[[#This Row],[OLD-WT]]*1%))*Table8[[#This Row],[MELTING2]])/100))*80)/100)*Table8[[#This Row],[P-RATE3]]</f>
        <v>0</v>
      </c>
      <c r="Q334" s="38"/>
      <c r="R334" s="263">
        <f t="shared" si="45"/>
        <v>0</v>
      </c>
    </row>
    <row r="335" spans="1:18" x14ac:dyDescent="0.45">
      <c r="A335" s="73">
        <v>45670</v>
      </c>
      <c r="B335" s="131" t="s">
        <v>1542</v>
      </c>
      <c r="C335" s="38"/>
      <c r="D335" s="74"/>
      <c r="E335" s="75">
        <f>VLOOKUP(B335,'ALL-DATA'!A:F,2,FALSE)</f>
        <v>60.45</v>
      </c>
      <c r="F335" s="38">
        <f>VLOOKUP(B335,'ALL-DATA'!A:F,3,FALSE)</f>
        <v>80.650000000000006</v>
      </c>
      <c r="G335" s="38">
        <f>VLOOKUP(B335,'ALL-DATA'!A:F,4,FALSE)</f>
        <v>-31.75</v>
      </c>
      <c r="H335" s="76">
        <f>VLOOKUP(B335,'ALL-DATA'!A:F,5,FALSE)</f>
        <v>90</v>
      </c>
      <c r="I335" s="76">
        <f>VLOOKUP(B335,'ALL-DATA'!A:F,6,FALSE)</f>
        <v>4992.2632500000009</v>
      </c>
      <c r="J335" s="44">
        <v>6700</v>
      </c>
      <c r="K335" s="48"/>
      <c r="L335" s="77">
        <f>((J335+R335)-I335)-I336-I337</f>
        <v>1557.7367499999991</v>
      </c>
      <c r="M335" s="37"/>
      <c r="N335" s="38"/>
      <c r="O335" s="38"/>
      <c r="P335" s="38">
        <f>((((((Table8[[#This Row],[OLD-WT]]-(Table8[[#This Row],[OLD-WT]]*1%))*Table8[[#This Row],[MELTING2]])/100))*80)/100)*Table8[[#This Row],[P-RATE3]]</f>
        <v>0</v>
      </c>
      <c r="Q335" s="38"/>
      <c r="R335" s="263">
        <f t="shared" si="45"/>
        <v>0</v>
      </c>
    </row>
    <row r="336" spans="1:18" x14ac:dyDescent="0.45">
      <c r="A336" s="73">
        <v>45670</v>
      </c>
      <c r="B336" s="120" t="s">
        <v>1081</v>
      </c>
      <c r="C336" s="38"/>
      <c r="D336" s="74"/>
      <c r="E336" s="75">
        <f>VLOOKUP(B336,'ALL-DATA'!A:F,2,FALSE)</f>
        <v>1</v>
      </c>
      <c r="F336" s="38">
        <f>VLOOKUP(B336,'ALL-DATA'!A:F,3,FALSE)</f>
        <v>0</v>
      </c>
      <c r="G336" s="38">
        <f>VLOOKUP(B336,'ALL-DATA'!A:F,4,FALSE)</f>
        <v>0</v>
      </c>
      <c r="H336" s="76">
        <f>VLOOKUP(B336,'ALL-DATA'!A:F,5,FALSE)</f>
        <v>0</v>
      </c>
      <c r="I336" s="76">
        <f>VLOOKUP(B336,'ALL-DATA'!A:F,6,FALSE)</f>
        <v>100</v>
      </c>
      <c r="J336" s="44"/>
      <c r="K336" s="48"/>
      <c r="L336" s="77">
        <v>0</v>
      </c>
      <c r="M336" s="37"/>
      <c r="N336" s="38"/>
      <c r="O336" s="38"/>
      <c r="P336" s="38">
        <f>((((((Table8[[#This Row],[OLD-WT]]-(Table8[[#This Row],[OLD-WT]]*1%))*Table8[[#This Row],[MELTING2]])/100))*80)/100)*Table8[[#This Row],[P-RATE3]]</f>
        <v>0</v>
      </c>
      <c r="Q336" s="38"/>
      <c r="R336" s="263">
        <f t="shared" si="45"/>
        <v>0</v>
      </c>
    </row>
    <row r="337" spans="1:18" x14ac:dyDescent="0.45">
      <c r="A337" s="73">
        <v>45670</v>
      </c>
      <c r="B337" s="120" t="s">
        <v>1284</v>
      </c>
      <c r="C337" s="38"/>
      <c r="D337" s="74"/>
      <c r="E337" s="75">
        <f>VLOOKUP(B337,'ALL-DATA'!A:F,2,FALSE)</f>
        <v>0</v>
      </c>
      <c r="F337" s="38">
        <f>VLOOKUP(B337,'ALL-DATA'!A:F,3,FALSE)</f>
        <v>0</v>
      </c>
      <c r="G337" s="38">
        <f>VLOOKUP(B337,'ALL-DATA'!A:F,4,FALSE)</f>
        <v>0</v>
      </c>
      <c r="H337" s="76">
        <f>VLOOKUP(B337,'ALL-DATA'!A:F,5,FALSE)</f>
        <v>0</v>
      </c>
      <c r="I337" s="76">
        <f>VLOOKUP(B337,'ALL-DATA'!A:F,6,FALSE)</f>
        <v>50</v>
      </c>
      <c r="J337" s="44"/>
      <c r="K337" s="48"/>
      <c r="L337" s="77">
        <v>0</v>
      </c>
      <c r="M337" s="37"/>
      <c r="N337" s="38"/>
      <c r="O337" s="38"/>
      <c r="P337" s="38">
        <f>((((((Table8[[#This Row],[OLD-WT]]-(Table8[[#This Row],[OLD-WT]]*1%))*Table8[[#This Row],[MELTING2]])/100))*80)/100)*Table8[[#This Row],[P-RATE3]]</f>
        <v>0</v>
      </c>
      <c r="Q337" s="38"/>
      <c r="R337" s="263">
        <f t="shared" si="45"/>
        <v>0</v>
      </c>
    </row>
    <row r="338" spans="1:18" x14ac:dyDescent="0.45">
      <c r="A338" s="73">
        <v>45670</v>
      </c>
      <c r="B338" s="38" t="s">
        <v>1555</v>
      </c>
      <c r="C338" s="38"/>
      <c r="D338" s="74"/>
      <c r="E338" s="75">
        <f>VLOOKUP(B338,'ALL-DATA'!A:F,2,FALSE)</f>
        <v>9.85</v>
      </c>
      <c r="F338" s="38">
        <f>VLOOKUP(B338,'ALL-DATA'!A:F,3,FALSE)</f>
        <v>80.650000000000006</v>
      </c>
      <c r="G338" s="38">
        <f>VLOOKUP(B338,'ALL-DATA'!A:F,4,FALSE)</f>
        <v>0</v>
      </c>
      <c r="H338" s="76">
        <f>VLOOKUP(B338,'ALL-DATA'!A:F,5,FALSE)</f>
        <v>90</v>
      </c>
      <c r="I338" s="76">
        <f>VLOOKUP(B338,'ALL-DATA'!A:F,6,FALSE)</f>
        <v>714.96225000000004</v>
      </c>
      <c r="J338" s="44">
        <v>1270</v>
      </c>
      <c r="K338" s="48"/>
      <c r="L338" s="77">
        <f t="shared" ref="L338:L349" si="51">((J338+R338)-I338)</f>
        <v>421.0633499999999</v>
      </c>
      <c r="M338" s="37">
        <v>9.4</v>
      </c>
      <c r="N338" s="38">
        <v>80</v>
      </c>
      <c r="O338" s="38">
        <v>90</v>
      </c>
      <c r="P338" s="38">
        <f>((((((Table8[[#This Row],[OLD-WT]]-(Table8[[#This Row],[OLD-WT]]*1%))*Table8[[#This Row],[MELTING2]])/100))*80)/100)*Table8[[#This Row],[P-RATE3]]</f>
        <v>536.02559999999994</v>
      </c>
      <c r="Q338" s="38">
        <v>670</v>
      </c>
      <c r="R338" s="263">
        <f t="shared" si="45"/>
        <v>-133.97440000000006</v>
      </c>
    </row>
    <row r="339" spans="1:18" x14ac:dyDescent="0.45">
      <c r="A339" s="73">
        <v>45670</v>
      </c>
      <c r="B339" s="38" t="s">
        <v>1529</v>
      </c>
      <c r="C339" s="38"/>
      <c r="D339" s="74"/>
      <c r="E339" s="75">
        <f>VLOOKUP(B339,'ALL-DATA'!A:F,2,FALSE)</f>
        <v>46.38</v>
      </c>
      <c r="F339" s="38">
        <f>VLOOKUP(B339,'ALL-DATA'!A:F,3,FALSE)</f>
        <v>80.650000000000006</v>
      </c>
      <c r="G339" s="38">
        <f>VLOOKUP(B339,'ALL-DATA'!A:F,4,FALSE)</f>
        <v>35</v>
      </c>
      <c r="H339" s="76">
        <f>VLOOKUP(B339,'ALL-DATA'!A:F,5,FALSE)</f>
        <v>90</v>
      </c>
      <c r="I339" s="76">
        <f>VLOOKUP(B339,'ALL-DATA'!A:F,6,FALSE)</f>
        <v>4989.792300000001</v>
      </c>
      <c r="J339" s="44">
        <v>6000</v>
      </c>
      <c r="K339" s="48"/>
      <c r="L339" s="77">
        <f t="shared" si="51"/>
        <v>1010.207699999999</v>
      </c>
      <c r="M339" s="37"/>
      <c r="N339" s="38"/>
      <c r="O339" s="38"/>
      <c r="P339" s="38">
        <f>((((((Table8[[#This Row],[OLD-WT]]-(Table8[[#This Row],[OLD-WT]]*1%))*Table8[[#This Row],[MELTING2]])/100))*80)/100)*Table8[[#This Row],[P-RATE3]]</f>
        <v>0</v>
      </c>
      <c r="Q339" s="38"/>
      <c r="R339" s="263">
        <f t="shared" si="45"/>
        <v>0</v>
      </c>
    </row>
    <row r="340" spans="1:18" x14ac:dyDescent="0.45">
      <c r="A340" s="73">
        <v>45670</v>
      </c>
      <c r="B340" s="120" t="s">
        <v>114</v>
      </c>
      <c r="C340" s="38"/>
      <c r="D340" s="74"/>
      <c r="E340" s="75">
        <f>VLOOKUP(B340,'ALL-DATA'!A:F,2,FALSE)</f>
        <v>0.68</v>
      </c>
      <c r="F340" s="38">
        <f>VLOOKUP(B340,'ALL-DATA'!A:F,3,FALSE)</f>
        <v>80.39</v>
      </c>
      <c r="G340" s="38">
        <f>VLOOKUP(B340,'ALL-DATA'!A:F,4,FALSE)</f>
        <v>-10</v>
      </c>
      <c r="H340" s="76">
        <f>VLOOKUP(B340,'ALL-DATA'!A:F,5,FALSE)</f>
        <v>7218.2</v>
      </c>
      <c r="I340" s="76">
        <f>VLOOKUP(B340,'ALL-DATA'!A:F,6,FALSE)</f>
        <v>3945.8434664000001</v>
      </c>
      <c r="J340" s="44">
        <v>5400</v>
      </c>
      <c r="K340" s="48"/>
      <c r="L340" s="77">
        <f t="shared" si="51"/>
        <v>1529.1565335999999</v>
      </c>
      <c r="M340" s="37">
        <v>0.25</v>
      </c>
      <c r="N340" s="38">
        <v>65</v>
      </c>
      <c r="O340" s="38">
        <v>7500</v>
      </c>
      <c r="P340" s="38">
        <f>0.2*Table8[[#This Row],[MELTING2]]/100*Table8[[#This Row],[P-RATE3]]</f>
        <v>975</v>
      </c>
      <c r="Q340" s="38">
        <v>900</v>
      </c>
      <c r="R340" s="263">
        <f t="shared" si="45"/>
        <v>75</v>
      </c>
    </row>
    <row r="341" spans="1:18" x14ac:dyDescent="0.45">
      <c r="A341" s="73">
        <v>45672</v>
      </c>
      <c r="B341" s="38" t="str">
        <f>C341&amp;D341</f>
        <v>S-CHAIN-92.5-85</v>
      </c>
      <c r="C341" s="38" t="s">
        <v>734</v>
      </c>
      <c r="D341" s="74" t="s">
        <v>1568</v>
      </c>
      <c r="E341" s="75">
        <f>VLOOKUP(B341,'ALL-DATA'!A:F,2,FALSE)</f>
        <v>19.600000000000001</v>
      </c>
      <c r="F341" s="38">
        <f>VLOOKUP(B341,'ALL-DATA'!A:F,3,FALSE)</f>
        <v>92.5</v>
      </c>
      <c r="G341" s="38">
        <f>VLOOKUP(B341,'ALL-DATA'!A:F,4,FALSE)</f>
        <v>92.5</v>
      </c>
      <c r="H341" s="76">
        <f>VLOOKUP(B341,'ALL-DATA'!A:F,5,FALSE)</f>
        <v>105.6</v>
      </c>
      <c r="I341" s="76">
        <f>VLOOKUP(B341,'ALL-DATA'!A:F,6,FALSE)</f>
        <v>2069.7600000000002</v>
      </c>
      <c r="J341" s="44">
        <v>3500</v>
      </c>
      <c r="K341" s="48"/>
      <c r="L341" s="77">
        <f t="shared" si="51"/>
        <v>1430.2399999999998</v>
      </c>
      <c r="M341" s="37"/>
      <c r="N341" s="38"/>
      <c r="O341" s="38"/>
      <c r="P341" s="38">
        <v>0</v>
      </c>
      <c r="Q341" s="38"/>
      <c r="R341" s="263">
        <f t="shared" si="45"/>
        <v>0</v>
      </c>
    </row>
    <row r="342" spans="1:18" x14ac:dyDescent="0.45">
      <c r="A342" s="73">
        <v>45673</v>
      </c>
      <c r="B342" s="38" t="str">
        <f>C342&amp;D342</f>
        <v>S-RING-137</v>
      </c>
      <c r="C342" s="38" t="s">
        <v>731</v>
      </c>
      <c r="D342" s="74" t="s">
        <v>1571</v>
      </c>
      <c r="E342" s="75">
        <f>VLOOKUP(B342,'ALL-DATA'!A:F,2,FALSE)</f>
        <v>2.0499999999999998</v>
      </c>
      <c r="F342" s="38">
        <f>VLOOKUP(B342,'ALL-DATA'!A:F,3,FALSE)</f>
        <v>92.5</v>
      </c>
      <c r="G342" s="38">
        <f>VLOOKUP(B342,'ALL-DATA'!A:F,4,FALSE)</f>
        <v>92.5</v>
      </c>
      <c r="H342" s="76">
        <f>VLOOKUP(B342,'ALL-DATA'!A:F,5,FALSE)</f>
        <v>131.65</v>
      </c>
      <c r="I342" s="76">
        <f>VLOOKUP(B342,'ALL-DATA'!A:F,6,FALSE)</f>
        <v>269.88249999999999</v>
      </c>
      <c r="J342" s="44">
        <v>450</v>
      </c>
      <c r="K342" s="48"/>
      <c r="L342" s="77">
        <f t="shared" si="51"/>
        <v>180.11750000000001</v>
      </c>
      <c r="M342" s="37"/>
      <c r="N342" s="38"/>
      <c r="O342" s="38"/>
      <c r="P342" s="38">
        <v>0</v>
      </c>
      <c r="Q342" s="38"/>
      <c r="R342" s="263">
        <f t="shared" si="45"/>
        <v>0</v>
      </c>
    </row>
    <row r="343" spans="1:18" x14ac:dyDescent="0.45">
      <c r="A343" s="73">
        <v>45673</v>
      </c>
      <c r="B343" s="38" t="str">
        <f>C343&amp;D343</f>
        <v>S-RING-152</v>
      </c>
      <c r="C343" s="38" t="s">
        <v>731</v>
      </c>
      <c r="D343" s="74" t="s">
        <v>1572</v>
      </c>
      <c r="E343" s="75">
        <f>VLOOKUP(B343,'ALL-DATA'!A:F,2,FALSE)</f>
        <v>3.4</v>
      </c>
      <c r="F343" s="38">
        <f>VLOOKUP(B343,'ALL-DATA'!A:F,3,FALSE)</f>
        <v>92.5</v>
      </c>
      <c r="G343" s="38">
        <f>VLOOKUP(B343,'ALL-DATA'!A:F,4,FALSE)</f>
        <v>92.5</v>
      </c>
      <c r="H343" s="76">
        <f>VLOOKUP(B343,'ALL-DATA'!A:F,5,FALSE)</f>
        <v>131.65</v>
      </c>
      <c r="I343" s="76">
        <f>VLOOKUP(B343,'ALL-DATA'!A:F,6,FALSE)</f>
        <v>447.61</v>
      </c>
      <c r="J343" s="44">
        <v>750</v>
      </c>
      <c r="K343" s="48"/>
      <c r="L343" s="77">
        <f t="shared" si="51"/>
        <v>302.39</v>
      </c>
      <c r="M343" s="37"/>
      <c r="N343" s="38"/>
      <c r="O343" s="38"/>
      <c r="P343" s="38">
        <v>0</v>
      </c>
      <c r="Q343" s="38"/>
      <c r="R343" s="263">
        <f t="shared" si="45"/>
        <v>0</v>
      </c>
    </row>
    <row r="344" spans="1:18" x14ac:dyDescent="0.45">
      <c r="A344" s="73">
        <v>45674</v>
      </c>
      <c r="B344" s="38" t="str">
        <f>C344&amp;D344</f>
        <v>S-S-KOLUSU-97</v>
      </c>
      <c r="C344" s="38" t="s">
        <v>726</v>
      </c>
      <c r="D344" s="74" t="s">
        <v>1573</v>
      </c>
      <c r="E344" s="75">
        <f>VLOOKUP(B344,'ALL-DATA'!A:F,2,FALSE)</f>
        <v>118.5</v>
      </c>
      <c r="F344" s="38">
        <f>VLOOKUP(B344,'ALL-DATA'!A:F,3,FALSE)</f>
        <v>80</v>
      </c>
      <c r="G344" s="38">
        <f>VLOOKUP(B344,'ALL-DATA'!A:F,4,FALSE)</f>
        <v>-15</v>
      </c>
      <c r="H344" s="76">
        <f>VLOOKUP(B344,'ALL-DATA'!A:F,5,FALSE)</f>
        <v>86.4</v>
      </c>
      <c r="I344" s="76">
        <f>VLOOKUP(B344,'ALL-DATA'!A:F,6,FALSE)</f>
        <v>8190.72</v>
      </c>
      <c r="J344" s="44">
        <v>12920</v>
      </c>
      <c r="K344" s="48"/>
      <c r="L344" s="77">
        <f t="shared" si="51"/>
        <v>3288.7040000000006</v>
      </c>
      <c r="M344" s="37">
        <v>101</v>
      </c>
      <c r="N344" s="38">
        <v>80</v>
      </c>
      <c r="O344" s="38">
        <v>90</v>
      </c>
      <c r="P344" s="38">
        <f>((((((Table8[[#This Row],[OLD-WT]]-(Table8[[#This Row],[OLD-WT]]*1%))*Table8[[#This Row],[MELTING2]])/100))*80)/100)*Table8[[#This Row],[P-RATE3]]</f>
        <v>5759.4240000000009</v>
      </c>
      <c r="Q344" s="38">
        <v>7200</v>
      </c>
      <c r="R344" s="263">
        <f>(P344-Q344)</f>
        <v>-1440.5759999999991</v>
      </c>
    </row>
    <row r="345" spans="1:18" x14ac:dyDescent="0.45">
      <c r="A345" s="73">
        <v>45674</v>
      </c>
      <c r="B345" s="38" t="str">
        <f>C345&amp;D345</f>
        <v>S-BARACELET-B-28</v>
      </c>
      <c r="C345" s="38" t="s">
        <v>737</v>
      </c>
      <c r="D345" s="74" t="s">
        <v>1508</v>
      </c>
      <c r="E345" s="75">
        <f>VLOOKUP(B345,'ALL-DATA'!A:F,2,FALSE)</f>
        <v>23.5</v>
      </c>
      <c r="F345" s="38">
        <f>VLOOKUP(B345,'ALL-DATA'!A:F,3,FALSE)</f>
        <v>77</v>
      </c>
      <c r="G345" s="38">
        <f>VLOOKUP(B345,'ALL-DATA'!A:F,4,FALSE)</f>
        <v>-12</v>
      </c>
      <c r="H345" s="76">
        <f>VLOOKUP(B345,'ALL-DATA'!A:F,5,FALSE)</f>
        <v>91.5</v>
      </c>
      <c r="I345" s="76">
        <f>VLOOKUP(B345,'ALL-DATA'!A:F,6,FALSE)</f>
        <v>1655.6924999999999</v>
      </c>
      <c r="J345" s="44">
        <v>3180</v>
      </c>
      <c r="K345" s="48"/>
      <c r="L345" s="77">
        <f t="shared" si="51"/>
        <v>1001.4838200000002</v>
      </c>
      <c r="M345" s="37">
        <v>38.18</v>
      </c>
      <c r="N345" s="38">
        <v>80</v>
      </c>
      <c r="O345" s="38">
        <v>90</v>
      </c>
      <c r="P345" s="38">
        <f>((((((Table8[[#This Row],[OLD-WT]]-(Table8[[#This Row],[OLD-WT]]*1%))*Table8[[#This Row],[MELTING2]])/100))*80)/100)*Table8[[#This Row],[P-RATE3]]</f>
        <v>2177.17632</v>
      </c>
      <c r="Q345" s="38">
        <v>2700</v>
      </c>
      <c r="R345" s="263">
        <f>(P345-Q345)</f>
        <v>-522.82367999999997</v>
      </c>
    </row>
    <row r="346" spans="1:18" x14ac:dyDescent="0.45">
      <c r="A346" s="73">
        <v>45674</v>
      </c>
      <c r="B346" s="131" t="s">
        <v>1574</v>
      </c>
      <c r="C346" s="38"/>
      <c r="D346" s="74"/>
      <c r="E346" s="75">
        <f>VLOOKUP(B346,'ALL-DATA'!A:F,2,FALSE)</f>
        <v>20.78</v>
      </c>
      <c r="F346" s="38">
        <f>VLOOKUP(B346,'ALL-DATA'!A:F,3,FALSE)</f>
        <v>80</v>
      </c>
      <c r="G346" s="38">
        <f>VLOOKUP(B346,'ALL-DATA'!A:F,4,FALSE)</f>
        <v>-15</v>
      </c>
      <c r="H346" s="76">
        <f>VLOOKUP(B346,'ALL-DATA'!A:F,5,FALSE)</f>
        <v>93</v>
      </c>
      <c r="I346" s="76">
        <f>VLOOKUP(B346,'ALL-DATA'!A:F,6,FALSE)</f>
        <v>1546.0320000000002</v>
      </c>
      <c r="J346" s="44">
        <v>2300</v>
      </c>
      <c r="K346" s="48"/>
      <c r="L346" s="77">
        <f t="shared" si="51"/>
        <v>753.96799999999985</v>
      </c>
      <c r="M346" s="37"/>
      <c r="N346" s="38"/>
      <c r="O346" s="38"/>
      <c r="P346" s="38">
        <f>((((((Table8[[#This Row],[OLD-WT]]-(Table8[[#This Row],[OLD-WT]]*1%))*Table8[[#This Row],[MELTING2]])/100))*80)/100)*Table8[[#This Row],[P-RATE3]]</f>
        <v>0</v>
      </c>
      <c r="Q346" s="38"/>
      <c r="R346" s="263">
        <f t="shared" ref="R346:R414" si="52">(P346-Q346)</f>
        <v>0</v>
      </c>
    </row>
    <row r="347" spans="1:18" x14ac:dyDescent="0.45">
      <c r="A347" s="73">
        <v>45674</v>
      </c>
      <c r="B347" s="131" t="s">
        <v>805</v>
      </c>
      <c r="C347" s="38"/>
      <c r="D347" s="74"/>
      <c r="E347" s="75">
        <f>VLOOKUP(B347,'ALL-DATA'!A:F,2,FALSE)</f>
        <v>0</v>
      </c>
      <c r="F347" s="38">
        <f>VLOOKUP(B347,'ALL-DATA'!A:F,3,FALSE)</f>
        <v>0</v>
      </c>
      <c r="G347" s="38">
        <f>VLOOKUP(B347,'ALL-DATA'!A:F,4,FALSE)</f>
        <v>0</v>
      </c>
      <c r="H347" s="76">
        <f>VLOOKUP(B347,'ALL-DATA'!A:F,5,FALSE)</f>
        <v>0</v>
      </c>
      <c r="I347" s="76">
        <f>VLOOKUP(B347,'ALL-DATA'!A:F,6,FALSE)</f>
        <v>500</v>
      </c>
      <c r="J347" s="44">
        <v>900</v>
      </c>
      <c r="K347" s="48"/>
      <c r="L347" s="77">
        <f t="shared" si="51"/>
        <v>400</v>
      </c>
      <c r="M347" s="37"/>
      <c r="N347" s="38"/>
      <c r="O347" s="38"/>
      <c r="P347" s="38">
        <f>((((((Table8[[#This Row],[OLD-WT]]-(Table8[[#This Row],[OLD-WT]]*1%))*Table8[[#This Row],[MELTING2]])/100))*80)/100)*Table8[[#This Row],[P-RATE3]]</f>
        <v>0</v>
      </c>
      <c r="Q347" s="38"/>
      <c r="R347" s="263">
        <f t="shared" si="52"/>
        <v>0</v>
      </c>
    </row>
    <row r="348" spans="1:18" x14ac:dyDescent="0.45">
      <c r="A348" s="73">
        <v>45675</v>
      </c>
      <c r="B348" s="131" t="str">
        <f>C348&amp;D348</f>
        <v>S-S-KOLUSU-2</v>
      </c>
      <c r="C348" s="38" t="s">
        <v>726</v>
      </c>
      <c r="D348" s="74" t="s">
        <v>796</v>
      </c>
      <c r="E348" s="75">
        <f>VLOOKUP(B348,'ALL-DATA'!A:F,2,FALSE)</f>
        <v>118.4</v>
      </c>
      <c r="F348" s="38">
        <f>VLOOKUP(B348,'ALL-DATA'!A:F,3,FALSE)</f>
        <v>76.5</v>
      </c>
      <c r="G348" s="38">
        <f>VLOOKUP(B348,'ALL-DATA'!A:F,4,FALSE)</f>
        <v>-11.5</v>
      </c>
      <c r="H348" s="76">
        <f>VLOOKUP(B348,'ALL-DATA'!A:F,5,FALSE)</f>
        <v>89.9</v>
      </c>
      <c r="I348" s="76">
        <f>VLOOKUP(B348,'ALL-DATA'!A:F,6,FALSE)</f>
        <v>8142.782400000001</v>
      </c>
      <c r="J348" s="44">
        <v>9700</v>
      </c>
      <c r="K348" s="48"/>
      <c r="L348" s="77">
        <f>((J348+R348)-I348)</f>
        <v>1557.217599999999</v>
      </c>
      <c r="M348" s="37"/>
      <c r="N348" s="38"/>
      <c r="O348" s="38"/>
      <c r="P348" s="38"/>
      <c r="Q348" s="38"/>
      <c r="R348" s="263"/>
    </row>
    <row r="349" spans="1:18" x14ac:dyDescent="0.45">
      <c r="A349" s="73">
        <v>45675</v>
      </c>
      <c r="B349" s="38" t="str">
        <f>C349&amp;D349</f>
        <v>S-BARACELET-G-92.5-18</v>
      </c>
      <c r="C349" s="38" t="s">
        <v>738</v>
      </c>
      <c r="D349" s="74" t="s">
        <v>1197</v>
      </c>
      <c r="E349" s="75">
        <f>VLOOKUP(B349,'ALL-DATA'!A:F,2,FALSE)</f>
        <v>6.69</v>
      </c>
      <c r="F349" s="38">
        <f>VLOOKUP(B349,'ALL-DATA'!A:F,3,FALSE)</f>
        <v>92.5</v>
      </c>
      <c r="G349" s="38">
        <f>VLOOKUP(B349,'ALL-DATA'!A:F,4,FALSE)</f>
        <v>-71.5</v>
      </c>
      <c r="H349" s="76">
        <f>VLOOKUP(B349,'ALL-DATA'!A:F,5,FALSE)</f>
        <v>127</v>
      </c>
      <c r="I349" s="76">
        <f>VLOOKUP(B349,'ALL-DATA'!A:F,6,FALSE)</f>
        <v>849.63</v>
      </c>
      <c r="J349" s="44">
        <v>1300</v>
      </c>
      <c r="K349" s="48"/>
      <c r="L349" s="77">
        <f t="shared" si="51"/>
        <v>450.37</v>
      </c>
      <c r="M349" s="37"/>
      <c r="N349" s="38"/>
      <c r="O349" s="38"/>
      <c r="P349" s="38">
        <f>((((((Table8[[#This Row],[OLD-WT]]-(Table8[[#This Row],[OLD-WT]]*1%))*Table8[[#This Row],[MELTING2]])/100))*80)/100)*Table8[[#This Row],[P-RATE3]]</f>
        <v>0</v>
      </c>
      <c r="Q349" s="38"/>
      <c r="R349" s="263">
        <f t="shared" si="52"/>
        <v>0</v>
      </c>
    </row>
    <row r="350" spans="1:18" x14ac:dyDescent="0.45">
      <c r="A350" s="73">
        <v>45675</v>
      </c>
      <c r="B350" s="38" t="str">
        <f>C350&amp;D350</f>
        <v>G-TLI-MNI-THAYTH-4</v>
      </c>
      <c r="C350" s="38" t="s">
        <v>723</v>
      </c>
      <c r="D350" s="74" t="s">
        <v>773</v>
      </c>
      <c r="E350" s="75">
        <f>VLOOKUP(B350,'ALL-DATA'!A:F,2,FALSE)</f>
        <v>1</v>
      </c>
      <c r="F350" s="38">
        <f>VLOOKUP(B350,'ALL-DATA'!A:F,3,FALSE)</f>
        <v>84</v>
      </c>
      <c r="G350" s="38">
        <f>VLOOKUP(B350,'ALL-DATA'!A:F,4,FALSE)</f>
        <v>-7</v>
      </c>
      <c r="H350" s="76">
        <f>VLOOKUP(B350,'ALL-DATA'!A:F,5,FALSE)</f>
        <v>7218.2</v>
      </c>
      <c r="I350" s="76">
        <f>VLOOKUP(B350,'ALL-DATA'!A:F,6,FALSE)</f>
        <v>6063.2879999999996</v>
      </c>
      <c r="J350" s="44">
        <v>8200</v>
      </c>
      <c r="K350" s="48"/>
      <c r="L350" s="77">
        <f>((J350+R350)-I350)-I352</f>
        <v>2086.7120000000004</v>
      </c>
      <c r="M350" s="37"/>
      <c r="N350" s="38"/>
      <c r="O350" s="38"/>
      <c r="P350" s="38">
        <f>((((((Table8[[#This Row],[OLD-WT]]-(Table8[[#This Row],[OLD-WT]]*1%))*Table8[[#This Row],[MELTING2]])/100))*80)/100)*Table8[[#This Row],[P-RATE3]]</f>
        <v>0</v>
      </c>
      <c r="Q350" s="38"/>
      <c r="R350" s="263">
        <f t="shared" si="52"/>
        <v>0</v>
      </c>
    </row>
    <row r="351" spans="1:18" x14ac:dyDescent="0.45">
      <c r="A351" s="73">
        <v>45675</v>
      </c>
      <c r="B351" s="38" t="str">
        <f>C351&amp;D351</f>
        <v>S-CHAIN-N-49</v>
      </c>
      <c r="C351" s="38" t="s">
        <v>732</v>
      </c>
      <c r="D351" s="74" t="s">
        <v>1576</v>
      </c>
      <c r="E351" s="75">
        <f>VLOOKUP(B351,'ALL-DATA'!A:F,2,FALSE)</f>
        <v>13</v>
      </c>
      <c r="F351" s="38">
        <f>VLOOKUP(B351,'ALL-DATA'!A:F,3,FALSE)</f>
        <v>86</v>
      </c>
      <c r="G351" s="38">
        <f>VLOOKUP(B351,'ALL-DATA'!A:F,4,FALSE)</f>
        <v>-21</v>
      </c>
      <c r="H351" s="76">
        <f>VLOOKUP(B351,'ALL-DATA'!A:F,5,FALSE)</f>
        <v>94.8</v>
      </c>
      <c r="I351" s="76">
        <f>VLOOKUP(B351,'ALL-DATA'!A:F,6,FALSE)</f>
        <v>1059.864</v>
      </c>
      <c r="J351" s="44">
        <v>1500</v>
      </c>
      <c r="K351" s="48"/>
      <c r="L351" s="77">
        <f>((J351+R351)-I351)</f>
        <v>440.13599999999997</v>
      </c>
      <c r="M351" s="37"/>
      <c r="N351" s="38"/>
      <c r="O351" s="38"/>
      <c r="P351" s="38">
        <f>((((((Table8[[#This Row],[OLD-WT]]-(Table8[[#This Row],[OLD-WT]]*1%))*Table8[[#This Row],[MELTING2]])/100))*80)/100)*Table8[[#This Row],[P-RATE3]]</f>
        <v>0</v>
      </c>
      <c r="Q351" s="38"/>
      <c r="R351" s="263">
        <f t="shared" si="52"/>
        <v>0</v>
      </c>
    </row>
    <row r="352" spans="1:18" x14ac:dyDescent="0.45">
      <c r="A352" s="73">
        <v>45675</v>
      </c>
      <c r="B352" s="120" t="s">
        <v>1284</v>
      </c>
      <c r="C352" s="38"/>
      <c r="D352" s="74"/>
      <c r="E352" s="75">
        <f>VLOOKUP(B352,'ALL-DATA'!A:F,2,FALSE)</f>
        <v>0</v>
      </c>
      <c r="F352" s="38">
        <f>VLOOKUP(B352,'ALL-DATA'!A:F,3,FALSE)</f>
        <v>0</v>
      </c>
      <c r="G352" s="38">
        <f>VLOOKUP(B352,'ALL-DATA'!A:F,4,FALSE)</f>
        <v>0</v>
      </c>
      <c r="H352" s="76">
        <f>VLOOKUP(B352,'ALL-DATA'!A:F,5,FALSE)</f>
        <v>0</v>
      </c>
      <c r="I352" s="76">
        <f>VLOOKUP(B352,'ALL-DATA'!A:F,6,FALSE)</f>
        <v>50</v>
      </c>
      <c r="J352" s="44"/>
      <c r="K352" s="48"/>
      <c r="L352" s="77">
        <v>0</v>
      </c>
      <c r="M352" s="37"/>
      <c r="N352" s="38"/>
      <c r="O352" s="38"/>
      <c r="P352" s="38">
        <f>((((((Table8[[#This Row],[OLD-WT]]-(Table8[[#This Row],[OLD-WT]]*1%))*Table8[[#This Row],[MELTING2]])/100))*80)/100)*Table8[[#This Row],[P-RATE3]]</f>
        <v>0</v>
      </c>
      <c r="Q352" s="38"/>
      <c r="R352" s="263">
        <f t="shared" si="52"/>
        <v>0</v>
      </c>
    </row>
    <row r="353" spans="1:18" x14ac:dyDescent="0.45">
      <c r="A353" s="73">
        <v>45676</v>
      </c>
      <c r="B353" s="131" t="s">
        <v>1577</v>
      </c>
      <c r="C353" s="38"/>
      <c r="D353" s="74"/>
      <c r="E353" s="75">
        <f>VLOOKUP(B353,'ALL-DATA'!A:F,2,FALSE)</f>
        <v>6.35</v>
      </c>
      <c r="F353" s="38">
        <f>VLOOKUP(B353,'ALL-DATA'!A:F,3,FALSE)</f>
        <v>80</v>
      </c>
      <c r="G353" s="38">
        <f>VLOOKUP(B353,'ALL-DATA'!A:F,4,FALSE)</f>
        <v>-15</v>
      </c>
      <c r="H353" s="76">
        <f>VLOOKUP(B353,'ALL-DATA'!A:F,5,FALSE)</f>
        <v>93</v>
      </c>
      <c r="I353" s="76">
        <f>VLOOKUP(B353,'ALL-DATA'!A:F,6,FALSE)</f>
        <v>472.44</v>
      </c>
      <c r="J353" s="44">
        <v>750</v>
      </c>
      <c r="K353" s="48"/>
      <c r="L353" s="77">
        <f>((J353+R353)-I353)</f>
        <v>272.76319999999993</v>
      </c>
      <c r="M353" s="37">
        <v>4.3</v>
      </c>
      <c r="N353" s="38">
        <v>80</v>
      </c>
      <c r="O353" s="38">
        <v>90</v>
      </c>
      <c r="P353" s="38">
        <f>((((((Table8[[#This Row],[OLD-WT]]-(Table8[[#This Row],[OLD-WT]]*1%))*Table8[[#This Row],[MELTING2]])/100))*80)/100)*Table8[[#This Row],[P-RATE3]]</f>
        <v>245.20319999999995</v>
      </c>
      <c r="Q353" s="38">
        <v>250</v>
      </c>
      <c r="R353" s="263">
        <f t="shared" si="52"/>
        <v>-4.7968000000000472</v>
      </c>
    </row>
    <row r="354" spans="1:18" x14ac:dyDescent="0.45">
      <c r="A354" s="73">
        <v>45676</v>
      </c>
      <c r="B354" s="38" t="str">
        <f>C354&amp;D354</f>
        <v>S-S-KOLUSU-13</v>
      </c>
      <c r="C354" s="38" t="s">
        <v>726</v>
      </c>
      <c r="D354" s="74" t="s">
        <v>1265</v>
      </c>
      <c r="E354" s="75">
        <f>VLOOKUP(B354,'ALL-DATA'!A:F,2,FALSE)</f>
        <v>69.12</v>
      </c>
      <c r="F354" s="38">
        <f>VLOOKUP(B354,'ALL-DATA'!A:F,3,FALSE)</f>
        <v>76.5</v>
      </c>
      <c r="G354" s="38">
        <f>VLOOKUP(B354,'ALL-DATA'!A:F,4,FALSE)</f>
        <v>-11.5</v>
      </c>
      <c r="H354" s="76">
        <f>VLOOKUP(B354,'ALL-DATA'!A:F,5,FALSE)</f>
        <v>89.9</v>
      </c>
      <c r="I354" s="76">
        <f>VLOOKUP(B354,'ALL-DATA'!A:F,6,FALSE)</f>
        <v>4753.6243200000008</v>
      </c>
      <c r="J354" s="44">
        <v>7750</v>
      </c>
      <c r="K354" s="48"/>
      <c r="L354" s="77">
        <f>((J354+R354)-I354)-50</f>
        <v>1901.6876799999991</v>
      </c>
      <c r="M354" s="37">
        <v>75.5</v>
      </c>
      <c r="N354" s="38">
        <v>80</v>
      </c>
      <c r="O354" s="38">
        <v>90</v>
      </c>
      <c r="P354" s="38">
        <f>((((((Table8[[#This Row],[OLD-WT]]-(Table8[[#This Row],[OLD-WT]]*1%))*Table8[[#This Row],[MELTING2]])/100))*80)/100)*Table8[[#This Row],[P-RATE3]]</f>
        <v>4305.3119999999999</v>
      </c>
      <c r="Q354" s="38">
        <v>5350</v>
      </c>
      <c r="R354" s="263">
        <f t="shared" si="52"/>
        <v>-1044.6880000000001</v>
      </c>
    </row>
    <row r="355" spans="1:18" x14ac:dyDescent="0.45">
      <c r="A355" s="73">
        <v>45676</v>
      </c>
      <c r="B355" s="38" t="str">
        <f>C355&amp;D355</f>
        <v>S-RING-277</v>
      </c>
      <c r="C355" s="38" t="s">
        <v>731</v>
      </c>
      <c r="D355" s="74" t="s">
        <v>1578</v>
      </c>
      <c r="E355" s="75">
        <f>VLOOKUP(B355,'ALL-DATA'!A:F,2,FALSE)</f>
        <v>4.18</v>
      </c>
      <c r="F355" s="38">
        <f>VLOOKUP(B355,'ALL-DATA'!A:F,3,FALSE)</f>
        <v>92.5</v>
      </c>
      <c r="G355" s="38">
        <f>VLOOKUP(B355,'ALL-DATA'!A:F,4,FALSE)</f>
        <v>92.5</v>
      </c>
      <c r="H355" s="76">
        <f>VLOOKUP(B355,'ALL-DATA'!A:F,5,FALSE)</f>
        <v>123</v>
      </c>
      <c r="I355" s="76">
        <f>VLOOKUP(B355,'ALL-DATA'!A:F,6,FALSE)</f>
        <v>514.14</v>
      </c>
      <c r="J355" s="44">
        <v>800</v>
      </c>
      <c r="K355" s="48"/>
      <c r="L355" s="77">
        <f>((J355+R355)-I355)</f>
        <v>285.86</v>
      </c>
      <c r="M355" s="37"/>
      <c r="N355" s="38"/>
      <c r="O355" s="38"/>
      <c r="P355" s="38">
        <f>((((((Table8[[#This Row],[OLD-WT]]-(Table8[[#This Row],[OLD-WT]]*1%))*Table8[[#This Row],[MELTING2]])/100))*80)/100)*Table8[[#This Row],[P-RATE3]]</f>
        <v>0</v>
      </c>
      <c r="Q355" s="38"/>
      <c r="R355" s="263">
        <f t="shared" si="52"/>
        <v>0</v>
      </c>
    </row>
    <row r="356" spans="1:18" x14ac:dyDescent="0.45">
      <c r="A356" s="73">
        <v>45676</v>
      </c>
      <c r="B356" s="283" t="s">
        <v>1284</v>
      </c>
      <c r="C356" s="38"/>
      <c r="D356" s="74"/>
      <c r="E356" s="75">
        <f>VLOOKUP(B356,'ALL-DATA'!A:F,2,FALSE)</f>
        <v>0</v>
      </c>
      <c r="F356" s="38">
        <f>VLOOKUP(B356,'ALL-DATA'!A:F,3,FALSE)</f>
        <v>0</v>
      </c>
      <c r="G356" s="38">
        <f>VLOOKUP(B356,'ALL-DATA'!A:F,4,FALSE)</f>
        <v>0</v>
      </c>
      <c r="H356" s="76">
        <f>VLOOKUP(B356,'ALL-DATA'!A:F,5,FALSE)</f>
        <v>0</v>
      </c>
      <c r="I356" s="76">
        <f>VLOOKUP(B356,'ALL-DATA'!A:F,6,FALSE)</f>
        <v>50</v>
      </c>
      <c r="J356" s="44"/>
      <c r="K356" s="48"/>
      <c r="L356" s="77">
        <v>0</v>
      </c>
      <c r="M356" s="37"/>
      <c r="N356" s="38"/>
      <c r="O356" s="38"/>
      <c r="P356" s="38">
        <f>((((((Table8[[#This Row],[OLD-WT]]-(Table8[[#This Row],[OLD-WT]]*1%))*Table8[[#This Row],[MELTING2]])/100))*80)/100)*Table8[[#This Row],[P-RATE3]]</f>
        <v>0</v>
      </c>
      <c r="Q356" s="38"/>
      <c r="R356" s="263">
        <f t="shared" si="52"/>
        <v>0</v>
      </c>
    </row>
    <row r="357" spans="1:18" x14ac:dyDescent="0.45">
      <c r="A357" s="73">
        <v>45677</v>
      </c>
      <c r="B357" s="131" t="s">
        <v>1579</v>
      </c>
      <c r="C357" s="38"/>
      <c r="D357" s="74"/>
      <c r="E357" s="75">
        <f>VLOOKUP(B357,'ALL-DATA'!A:F,2,FALSE)</f>
        <v>16.3</v>
      </c>
      <c r="F357" s="38">
        <f>VLOOKUP(B357,'ALL-DATA'!A:F,3,FALSE)</f>
        <v>80</v>
      </c>
      <c r="G357" s="38">
        <f>VLOOKUP(B357,'ALL-DATA'!A:F,4,FALSE)</f>
        <v>-15</v>
      </c>
      <c r="H357" s="76">
        <f>VLOOKUP(B357,'ALL-DATA'!A:F,5,FALSE)</f>
        <v>93</v>
      </c>
      <c r="I357" s="76">
        <f>VLOOKUP(B357,'ALL-DATA'!A:F,6,FALSE)</f>
        <v>1212.72</v>
      </c>
      <c r="J357" s="44">
        <v>2000</v>
      </c>
      <c r="K357" s="48"/>
      <c r="L357" s="77">
        <f t="shared" ref="L357:L365" si="53">((J357+R357)-I357)</f>
        <v>1166.5759999999998</v>
      </c>
      <c r="M357" s="37">
        <v>54</v>
      </c>
      <c r="N357" s="38">
        <v>80</v>
      </c>
      <c r="O357" s="38">
        <v>90</v>
      </c>
      <c r="P357" s="38">
        <f>((((((Table8[[#This Row],[OLD-WT]]-(Table8[[#This Row],[OLD-WT]]*1%))*Table8[[#This Row],[MELTING2]])/100))*80)/100)*Table8[[#This Row],[P-RATE3]]</f>
        <v>3079.2959999999998</v>
      </c>
      <c r="Q357" s="38">
        <v>2700</v>
      </c>
      <c r="R357" s="263">
        <f t="shared" si="52"/>
        <v>379.29599999999982</v>
      </c>
    </row>
    <row r="358" spans="1:18" x14ac:dyDescent="0.45">
      <c r="A358" s="73">
        <v>45677</v>
      </c>
      <c r="B358" s="38" t="str">
        <f t="shared" ref="B358:B366" si="54">C358&amp;D358</f>
        <v>S-BARACELET-B-32</v>
      </c>
      <c r="C358" s="38" t="s">
        <v>737</v>
      </c>
      <c r="D358" s="74" t="s">
        <v>1015</v>
      </c>
      <c r="E358" s="75">
        <f>VLOOKUP(B358,'ALL-DATA'!A:F,2,FALSE)</f>
        <v>9.1999999999999993</v>
      </c>
      <c r="F358" s="38">
        <f>VLOOKUP(B358,'ALL-DATA'!A:F,3,FALSE)</f>
        <v>80.650000000000006</v>
      </c>
      <c r="G358" s="38">
        <f>VLOOKUP(B358,'ALL-DATA'!A:F,4,FALSE)</f>
        <v>-15.650000000000006</v>
      </c>
      <c r="H358" s="76">
        <f>VLOOKUP(B358,'ALL-DATA'!A:F,5,FALSE)</f>
        <v>90</v>
      </c>
      <c r="I358" s="76">
        <f>VLOOKUP(B358,'ALL-DATA'!A:F,6,FALSE)</f>
        <v>667.78200000000004</v>
      </c>
      <c r="J358" s="44">
        <v>1470</v>
      </c>
      <c r="K358" s="48"/>
      <c r="L358" s="77">
        <f t="shared" si="53"/>
        <v>620.26280000000008</v>
      </c>
      <c r="M358" s="37">
        <v>16.45</v>
      </c>
      <c r="N358" s="38">
        <v>80</v>
      </c>
      <c r="O358" s="38">
        <v>90</v>
      </c>
      <c r="P358" s="38">
        <f>((((((Table8[[#This Row],[OLD-WT]]-(Table8[[#This Row],[OLD-WT]]*1%))*Table8[[#This Row],[MELTING2]])/100))*80)/100)*Table8[[#This Row],[P-RATE3]]</f>
        <v>938.04480000000001</v>
      </c>
      <c r="Q358" s="38">
        <v>1120</v>
      </c>
      <c r="R358" s="263">
        <f t="shared" si="52"/>
        <v>-181.95519999999999</v>
      </c>
    </row>
    <row r="359" spans="1:18" x14ac:dyDescent="0.45">
      <c r="A359" s="73">
        <v>45677</v>
      </c>
      <c r="B359" s="38" t="str">
        <f t="shared" si="54"/>
        <v>S-RING-299</v>
      </c>
      <c r="C359" s="38" t="s">
        <v>731</v>
      </c>
      <c r="D359" s="74" t="s">
        <v>1580</v>
      </c>
      <c r="E359" s="75">
        <f>VLOOKUP(B359,'ALL-DATA'!A:F,2,FALSE)</f>
        <v>3.1</v>
      </c>
      <c r="F359" s="38">
        <f>VLOOKUP(B359,'ALL-DATA'!A:F,3,FALSE)</f>
        <v>92.5</v>
      </c>
      <c r="G359" s="38">
        <f>VLOOKUP(B359,'ALL-DATA'!A:F,4,FALSE)</f>
        <v>92.5</v>
      </c>
      <c r="H359" s="76">
        <f>VLOOKUP(B359,'ALL-DATA'!A:F,5,FALSE)</f>
        <v>132</v>
      </c>
      <c r="I359" s="76">
        <f>VLOOKUP(B359,'ALL-DATA'!A:F,6,FALSE)</f>
        <v>409.2</v>
      </c>
      <c r="J359" s="44">
        <v>650</v>
      </c>
      <c r="K359" s="48"/>
      <c r="L359" s="77">
        <f t="shared" si="53"/>
        <v>240.8</v>
      </c>
      <c r="M359" s="37"/>
      <c r="N359" s="38"/>
      <c r="O359" s="38"/>
      <c r="P359" s="38">
        <f>((((((Table8[[#This Row],[OLD-WT]]-(Table8[[#This Row],[OLD-WT]]*1%))*Table8[[#This Row],[MELTING2]])/100))*80)/100)*Table8[[#This Row],[P-RATE3]]</f>
        <v>0</v>
      </c>
      <c r="Q359" s="38"/>
      <c r="R359" s="263">
        <f t="shared" si="52"/>
        <v>0</v>
      </c>
    </row>
    <row r="360" spans="1:18" x14ac:dyDescent="0.45">
      <c r="A360" s="73">
        <v>45679</v>
      </c>
      <c r="B360" s="38" t="str">
        <f t="shared" si="54"/>
        <v>S-S-KOLUSU-43</v>
      </c>
      <c r="C360" s="38" t="s">
        <v>726</v>
      </c>
      <c r="D360" s="74" t="s">
        <v>1020</v>
      </c>
      <c r="E360" s="75">
        <f>VLOOKUP(B360,'ALL-DATA'!A:F,2,FALSE)</f>
        <v>151.59</v>
      </c>
      <c r="F360" s="38">
        <f>VLOOKUP(B360,'ALL-DATA'!A:F,3,FALSE)</f>
        <v>76.5</v>
      </c>
      <c r="G360" s="38">
        <f>VLOOKUP(B360,'ALL-DATA'!A:F,4,FALSE)</f>
        <v>-11.5</v>
      </c>
      <c r="H360" s="76">
        <f>VLOOKUP(B360,'ALL-DATA'!A:F,5,FALSE)</f>
        <v>89.9</v>
      </c>
      <c r="I360" s="76">
        <f>VLOOKUP(B360,'ALL-DATA'!A:F,6,FALSE)</f>
        <v>10425.374865000002</v>
      </c>
      <c r="J360" s="44">
        <v>10425</v>
      </c>
      <c r="K360" s="48"/>
      <c r="L360" s="77">
        <f t="shared" si="53"/>
        <v>-0.3748650000015914</v>
      </c>
      <c r="M360" s="37"/>
      <c r="N360" s="38"/>
      <c r="O360" s="38"/>
      <c r="P360" s="38">
        <f>((((((Table8[[#This Row],[OLD-WT]]-(Table8[[#This Row],[OLD-WT]]*1%))*Table8[[#This Row],[MELTING2]])/100))*80)/100)*Table8[[#This Row],[P-RATE3]]</f>
        <v>0</v>
      </c>
      <c r="Q360" s="38"/>
      <c r="R360" s="263">
        <f t="shared" si="52"/>
        <v>0</v>
      </c>
    </row>
    <row r="361" spans="1:18" x14ac:dyDescent="0.45">
      <c r="A361" s="73">
        <v>45679</v>
      </c>
      <c r="B361" s="38" t="str">
        <f t="shared" si="54"/>
        <v>S-DOLLER-21</v>
      </c>
      <c r="C361" s="38" t="s">
        <v>730</v>
      </c>
      <c r="D361" s="74" t="s">
        <v>1498</v>
      </c>
      <c r="E361" s="75">
        <f>VLOOKUP(B361,'ALL-DATA'!A:F,2,FALSE)</f>
        <v>2.4500000000000002</v>
      </c>
      <c r="F361" s="38">
        <f>VLOOKUP(B361,'ALL-DATA'!A:F,3,FALSE)</f>
        <v>92.5</v>
      </c>
      <c r="G361" s="38">
        <f>VLOOKUP(B361,'ALL-DATA'!A:F,4,FALSE)</f>
        <v>92.5</v>
      </c>
      <c r="H361" s="76">
        <f>VLOOKUP(B361,'ALL-DATA'!A:F,5,FALSE)</f>
        <v>145</v>
      </c>
      <c r="I361" s="76">
        <f>VLOOKUP(B361,'ALL-DATA'!A:F,6,FALSE)</f>
        <v>355.25</v>
      </c>
      <c r="J361" s="44">
        <v>355</v>
      </c>
      <c r="K361" s="48"/>
      <c r="L361" s="77">
        <f t="shared" si="53"/>
        <v>-0.25</v>
      </c>
      <c r="M361" s="37"/>
      <c r="N361" s="38"/>
      <c r="O361" s="38"/>
      <c r="P361" s="38">
        <f>((((((Table8[[#This Row],[OLD-WT]]-(Table8[[#This Row],[OLD-WT]]*1%))*Table8[[#This Row],[MELTING2]])/100))*80)/100)*Table8[[#This Row],[P-RATE3]]</f>
        <v>0</v>
      </c>
      <c r="Q361" s="38"/>
      <c r="R361" s="263">
        <f t="shared" si="52"/>
        <v>0</v>
      </c>
    </row>
    <row r="362" spans="1:18" x14ac:dyDescent="0.45">
      <c r="A362" s="73">
        <v>45679</v>
      </c>
      <c r="B362" s="38" t="str">
        <f t="shared" si="54"/>
        <v>S-DOLLER-22</v>
      </c>
      <c r="C362" s="38" t="s">
        <v>730</v>
      </c>
      <c r="D362" s="74" t="s">
        <v>1286</v>
      </c>
      <c r="E362" s="75">
        <f>VLOOKUP(B362,'ALL-DATA'!A:F,2,FALSE)</f>
        <v>2.6</v>
      </c>
      <c r="F362" s="38">
        <f>VLOOKUP(B362,'ALL-DATA'!A:F,3,FALSE)</f>
        <v>92.5</v>
      </c>
      <c r="G362" s="38">
        <f>VLOOKUP(B362,'ALL-DATA'!A:F,4,FALSE)</f>
        <v>92.5</v>
      </c>
      <c r="H362" s="76">
        <f>VLOOKUP(B362,'ALL-DATA'!A:F,5,FALSE)</f>
        <v>145</v>
      </c>
      <c r="I362" s="76">
        <f>VLOOKUP(B362,'ALL-DATA'!A:F,6,FALSE)</f>
        <v>377</v>
      </c>
      <c r="J362" s="44">
        <v>377</v>
      </c>
      <c r="K362" s="48"/>
      <c r="L362" s="77">
        <f t="shared" si="53"/>
        <v>0</v>
      </c>
      <c r="M362" s="37"/>
      <c r="N362" s="38"/>
      <c r="O362" s="38"/>
      <c r="P362" s="38">
        <f>((((((Table8[[#This Row],[OLD-WT]]-(Table8[[#This Row],[OLD-WT]]*1%))*Table8[[#This Row],[MELTING2]])/100))*80)/100)*Table8[[#This Row],[P-RATE3]]</f>
        <v>0</v>
      </c>
      <c r="Q362" s="38"/>
      <c r="R362" s="263">
        <f t="shared" si="52"/>
        <v>0</v>
      </c>
    </row>
    <row r="363" spans="1:18" x14ac:dyDescent="0.45">
      <c r="A363" s="73">
        <v>45679</v>
      </c>
      <c r="B363" s="38" t="str">
        <f>C363&amp;D363</f>
        <v>G-TLI-MNI-THAYTH-23</v>
      </c>
      <c r="C363" s="38" t="s">
        <v>723</v>
      </c>
      <c r="D363" s="74" t="s">
        <v>800</v>
      </c>
      <c r="E363" s="75">
        <f>VLOOKUP(B363,'ALL-DATA'!A:F,2,FALSE)</f>
        <v>2.06</v>
      </c>
      <c r="F363" s="38">
        <f>VLOOKUP(B363,'ALL-DATA'!A:F,3,FALSE)</f>
        <v>85</v>
      </c>
      <c r="G363" s="38">
        <f>VLOOKUP(B363,'ALL-DATA'!A:F,4,FALSE)</f>
        <v>-8</v>
      </c>
      <c r="H363" s="76">
        <f>VLOOKUP(B363,'ALL-DATA'!A:F,5,FALSE)</f>
        <v>7290</v>
      </c>
      <c r="I363" s="76">
        <f>VLOOKUP(B363,'ALL-DATA'!A:F,6,FALSE)</f>
        <v>12764.789999999999</v>
      </c>
      <c r="J363" s="44">
        <v>12764</v>
      </c>
      <c r="K363" s="48"/>
      <c r="L363" s="77">
        <f>((J363+R363)-I363)</f>
        <v>-0.78999999999905413</v>
      </c>
      <c r="M363" s="37"/>
      <c r="N363" s="38"/>
      <c r="O363" s="38"/>
      <c r="P363" s="38"/>
      <c r="Q363" s="38"/>
      <c r="R363" s="263"/>
    </row>
    <row r="364" spans="1:18" x14ac:dyDescent="0.45">
      <c r="A364" s="73">
        <v>45680</v>
      </c>
      <c r="B364" s="38" t="str">
        <f t="shared" si="54"/>
        <v>G-RING-B15</v>
      </c>
      <c r="C364" s="38" t="s">
        <v>719</v>
      </c>
      <c r="D364" s="74" t="s">
        <v>774</v>
      </c>
      <c r="E364" s="75">
        <f>VLOOKUP(B364,'ALL-DATA'!A:F,2,FALSE)</f>
        <v>2</v>
      </c>
      <c r="F364" s="38">
        <f>VLOOKUP(B364,'ALL-DATA'!A:F,3,FALSE)</f>
        <v>95.5</v>
      </c>
      <c r="G364" s="38">
        <f>VLOOKUP(B364,'ALL-DATA'!A:F,4,FALSE)</f>
        <v>-3.5</v>
      </c>
      <c r="H364" s="76">
        <f>VLOOKUP(B364,'ALL-DATA'!A:F,5,FALSE)</f>
        <v>7218.2</v>
      </c>
      <c r="I364" s="76">
        <f>VLOOKUP(B364,'ALL-DATA'!A:F,6,FALSE)</f>
        <v>13786.761999999999</v>
      </c>
      <c r="J364" s="44">
        <v>17350</v>
      </c>
      <c r="K364" s="48"/>
      <c r="L364" s="77">
        <f t="shared" si="53"/>
        <v>3563.2380000000012</v>
      </c>
      <c r="M364" s="37">
        <v>2.1</v>
      </c>
      <c r="N364" s="38">
        <v>90</v>
      </c>
      <c r="O364" s="38">
        <v>7900</v>
      </c>
      <c r="P364" s="38">
        <v>13000</v>
      </c>
      <c r="Q364" s="38">
        <v>13000</v>
      </c>
      <c r="R364" s="263">
        <f t="shared" si="52"/>
        <v>0</v>
      </c>
    </row>
    <row r="365" spans="1:18" x14ac:dyDescent="0.45">
      <c r="A365" s="73">
        <v>45680</v>
      </c>
      <c r="B365" s="38" t="str">
        <f t="shared" si="54"/>
        <v>G-PESERI-4</v>
      </c>
      <c r="C365" s="38" t="s">
        <v>725</v>
      </c>
      <c r="D365" s="74" t="s">
        <v>773</v>
      </c>
      <c r="E365" s="75">
        <f>VLOOKUP(B365,'ALL-DATA'!A:F,2,FALSE)</f>
        <v>0.5</v>
      </c>
      <c r="F365" s="38">
        <f>VLOOKUP(B365,'ALL-DATA'!A:F,3,FALSE)</f>
        <v>80.39</v>
      </c>
      <c r="G365" s="38">
        <f>VLOOKUP(B365,'ALL-DATA'!A:F,4,FALSE)</f>
        <v>-10</v>
      </c>
      <c r="H365" s="76">
        <f>VLOOKUP(B365,'ALL-DATA'!A:F,5,FALSE)</f>
        <v>7218.2</v>
      </c>
      <c r="I365" s="76">
        <f>VLOOKUP(B365,'ALL-DATA'!A:F,6,FALSE)</f>
        <v>2901.3554899999999</v>
      </c>
      <c r="J365" s="44">
        <v>4100</v>
      </c>
      <c r="K365" s="48"/>
      <c r="L365" s="77">
        <f t="shared" si="53"/>
        <v>1198.6445100000001</v>
      </c>
      <c r="M365" s="37">
        <v>1.36</v>
      </c>
      <c r="N365" s="38">
        <v>60</v>
      </c>
      <c r="O365" s="38">
        <v>7900</v>
      </c>
      <c r="P365" s="38">
        <v>5800</v>
      </c>
      <c r="Q365" s="38">
        <v>5800</v>
      </c>
      <c r="R365" s="263">
        <f t="shared" si="52"/>
        <v>0</v>
      </c>
    </row>
    <row r="366" spans="1:18" x14ac:dyDescent="0.45">
      <c r="A366" s="73">
        <v>45680</v>
      </c>
      <c r="B366" s="38" t="str">
        <f t="shared" si="54"/>
        <v>S-B-KOLUSU--29</v>
      </c>
      <c r="C366" s="38" t="s">
        <v>727</v>
      </c>
      <c r="D366" s="74" t="s">
        <v>1581</v>
      </c>
      <c r="E366" s="75">
        <f>VLOOKUP(B366,'ALL-DATA'!A:F,2,FALSE)</f>
        <v>71.08</v>
      </c>
      <c r="F366" s="38">
        <f>VLOOKUP(B366,'ALL-DATA'!A:F,3,FALSE)</f>
        <v>82</v>
      </c>
      <c r="G366" s="38">
        <f>VLOOKUP(B366,'ALL-DATA'!A:F,4,FALSE)</f>
        <v>-17</v>
      </c>
      <c r="H366" s="76">
        <f>VLOOKUP(B366,'ALL-DATA'!A:F,5,FALSE)</f>
        <v>90</v>
      </c>
      <c r="I366" s="76">
        <f>VLOOKUP(B366,'ALL-DATA'!A:F,6,FALSE)</f>
        <v>5245.7039999999997</v>
      </c>
      <c r="J366" s="44">
        <v>7850</v>
      </c>
      <c r="K366" s="48"/>
      <c r="L366" s="77">
        <f>((J366+R366)-I366)-I367</f>
        <v>2374.2960000000003</v>
      </c>
      <c r="M366" s="37"/>
      <c r="N366" s="38"/>
      <c r="O366" s="38"/>
      <c r="P366" s="38">
        <f>((((((Table8[[#This Row],[OLD-WT]]-(Table8[[#This Row],[OLD-WT]]*1%))*Table8[[#This Row],[MELTING2]])/100))*80)/100)*Table8[[#This Row],[P-RATE3]]</f>
        <v>0</v>
      </c>
      <c r="Q366" s="38"/>
      <c r="R366" s="263">
        <f t="shared" si="52"/>
        <v>0</v>
      </c>
    </row>
    <row r="367" spans="1:18" x14ac:dyDescent="0.45">
      <c r="A367" s="73">
        <v>45680</v>
      </c>
      <c r="B367" s="120" t="s">
        <v>1082</v>
      </c>
      <c r="C367" s="38"/>
      <c r="D367" s="74"/>
      <c r="E367" s="75">
        <f>VLOOKUP(B367,'ALL-DATA'!A:F,2,FALSE)</f>
        <v>0</v>
      </c>
      <c r="F367" s="38">
        <f>VLOOKUP(B367,'ALL-DATA'!A:F,3,FALSE)</f>
        <v>0</v>
      </c>
      <c r="G367" s="38">
        <f>VLOOKUP(B367,'ALL-DATA'!A:F,4,FALSE)</f>
        <v>0</v>
      </c>
      <c r="H367" s="76">
        <f>VLOOKUP(B367,'ALL-DATA'!A:F,5,FALSE)</f>
        <v>0</v>
      </c>
      <c r="I367" s="76">
        <f>VLOOKUP(B367,'ALL-DATA'!A:F,6,FALSE)</f>
        <v>230</v>
      </c>
      <c r="J367" s="44"/>
      <c r="K367" s="48"/>
      <c r="L367" s="77">
        <v>0</v>
      </c>
      <c r="M367" s="37"/>
      <c r="N367" s="38"/>
      <c r="O367" s="38"/>
      <c r="P367" s="38">
        <f>((((((Table8[[#This Row],[OLD-WT]]-(Table8[[#This Row],[OLD-WT]]*1%))*Table8[[#This Row],[MELTING2]])/100))*80)/100)*Table8[[#This Row],[P-RATE3]]</f>
        <v>0</v>
      </c>
      <c r="Q367" s="38"/>
      <c r="R367" s="263">
        <f t="shared" si="52"/>
        <v>0</v>
      </c>
    </row>
    <row r="368" spans="1:18" x14ac:dyDescent="0.45">
      <c r="A368" s="73">
        <v>45681</v>
      </c>
      <c r="B368" s="38" t="str">
        <f t="shared" ref="B368:B375" si="55">C368&amp;D368</f>
        <v>S-RING-177</v>
      </c>
      <c r="C368" s="38" t="s">
        <v>731</v>
      </c>
      <c r="D368" s="74" t="s">
        <v>1582</v>
      </c>
      <c r="E368" s="75">
        <f>VLOOKUP(B368,'ALL-DATA'!A:F,2,FALSE)</f>
        <v>1.2</v>
      </c>
      <c r="F368" s="38">
        <f>VLOOKUP(B368,'ALL-DATA'!A:F,3,FALSE)</f>
        <v>92.5</v>
      </c>
      <c r="G368" s="38">
        <f>VLOOKUP(B368,'ALL-DATA'!A:F,4,FALSE)</f>
        <v>92.5</v>
      </c>
      <c r="H368" s="76">
        <f>VLOOKUP(B368,'ALL-DATA'!A:F,5,FALSE)</f>
        <v>131.65</v>
      </c>
      <c r="I368" s="76">
        <f>VLOOKUP(B368,'ALL-DATA'!A:F,6,FALSE)</f>
        <v>157.97999999999999</v>
      </c>
      <c r="J368" s="44">
        <v>300</v>
      </c>
      <c r="K368" s="48"/>
      <c r="L368" s="77">
        <f t="shared" ref="L368:L409" si="56">((J368+R368)-I368)</f>
        <v>142.02000000000001</v>
      </c>
      <c r="M368" s="37"/>
      <c r="N368" s="38"/>
      <c r="O368" s="38"/>
      <c r="P368" s="38">
        <f>((((((Table8[[#This Row],[OLD-WT]]-(Table8[[#This Row],[OLD-WT]]*1%))*Table8[[#This Row],[MELTING2]])/100))*80)/100)*Table8[[#This Row],[P-RATE3]]</f>
        <v>0</v>
      </c>
      <c r="Q368" s="38"/>
      <c r="R368" s="263">
        <f t="shared" si="52"/>
        <v>0</v>
      </c>
    </row>
    <row r="369" spans="1:18" x14ac:dyDescent="0.45">
      <c r="A369" s="73">
        <v>45682</v>
      </c>
      <c r="B369" s="38" t="str">
        <f t="shared" si="55"/>
        <v>S-THANDA-K3</v>
      </c>
      <c r="C369" s="38" t="s">
        <v>728</v>
      </c>
      <c r="D369" s="74" t="s">
        <v>1002</v>
      </c>
      <c r="E369" s="75">
        <f>VLOOKUP(B369,'ALL-DATA'!A:F,2,FALSE)</f>
        <v>20.11</v>
      </c>
      <c r="F369" s="38">
        <f>VLOOKUP(B369,'ALL-DATA'!A:F,3,FALSE)</f>
        <v>65</v>
      </c>
      <c r="G369" s="38">
        <f>VLOOKUP(B369,'ALL-DATA'!A:F,4,FALSE)</f>
        <v>-10</v>
      </c>
      <c r="H369" s="76">
        <f>VLOOKUP(B369,'ALL-DATA'!A:F,5,FALSE)</f>
        <v>89</v>
      </c>
      <c r="I369" s="76">
        <f>VLOOKUP(B369,'ALL-DATA'!A:F,6,FALSE)</f>
        <v>1163.3634999999999</v>
      </c>
      <c r="J369" s="44">
        <v>2750</v>
      </c>
      <c r="K369" s="48"/>
      <c r="L369" s="77">
        <f t="shared" si="56"/>
        <v>1586.6365000000001</v>
      </c>
      <c r="M369" s="37"/>
      <c r="N369" s="38"/>
      <c r="O369" s="38"/>
      <c r="P369" s="38">
        <f>((((((Table8[[#This Row],[OLD-WT]]-(Table8[[#This Row],[OLD-WT]]*1%))*Table8[[#This Row],[MELTING2]])/100))*80)/100)*Table8[[#This Row],[P-RATE3]]</f>
        <v>0</v>
      </c>
      <c r="Q369" s="38"/>
      <c r="R369" s="263">
        <f t="shared" si="52"/>
        <v>0</v>
      </c>
    </row>
    <row r="370" spans="1:18" x14ac:dyDescent="0.45">
      <c r="A370" s="73">
        <v>45682</v>
      </c>
      <c r="B370" s="38" t="str">
        <f t="shared" si="55"/>
        <v>S-S-KOLUSU-44</v>
      </c>
      <c r="C370" s="38" t="s">
        <v>726</v>
      </c>
      <c r="D370" s="74" t="s">
        <v>797</v>
      </c>
      <c r="E370" s="75">
        <f>VLOOKUP(B370,'ALL-DATA'!A:F,2,FALSE)</f>
        <v>140.76</v>
      </c>
      <c r="F370" s="38">
        <f>VLOOKUP(B370,'ALL-DATA'!A:F,3,FALSE)</f>
        <v>76.5</v>
      </c>
      <c r="G370" s="38">
        <f>VLOOKUP(B370,'ALL-DATA'!A:F,4,FALSE)</f>
        <v>-11.5</v>
      </c>
      <c r="H370" s="76">
        <f>VLOOKUP(B370,'ALL-DATA'!A:F,5,FALSE)</f>
        <v>89.9</v>
      </c>
      <c r="I370" s="76">
        <f>VLOOKUP(B370,'ALL-DATA'!A:F,6,FALSE)</f>
        <v>9680.5578600000008</v>
      </c>
      <c r="J370" s="44">
        <v>12950</v>
      </c>
      <c r="K370" s="48"/>
      <c r="L370" s="77">
        <f t="shared" si="56"/>
        <v>3269.4421399999992</v>
      </c>
      <c r="M370" s="37"/>
      <c r="N370" s="38"/>
      <c r="O370" s="38"/>
      <c r="P370" s="38">
        <f>((((((Table8[[#This Row],[OLD-WT]]-(Table8[[#This Row],[OLD-WT]]*1%))*Table8[[#This Row],[MELTING2]])/100))*80)/100)*Table8[[#This Row],[P-RATE3]]</f>
        <v>0</v>
      </c>
      <c r="Q370" s="38"/>
      <c r="R370" s="263">
        <f t="shared" si="52"/>
        <v>0</v>
      </c>
    </row>
    <row r="371" spans="1:18" x14ac:dyDescent="0.45">
      <c r="A371" s="73">
        <v>45682</v>
      </c>
      <c r="B371" s="38" t="str">
        <f t="shared" si="55"/>
        <v>S-S-KOLUSU-94</v>
      </c>
      <c r="C371" s="38" t="s">
        <v>726</v>
      </c>
      <c r="D371" s="74" t="s">
        <v>1583</v>
      </c>
      <c r="E371" s="75">
        <f>VLOOKUP(B371,'ALL-DATA'!A:F,2,FALSE)</f>
        <v>208.6</v>
      </c>
      <c r="F371" s="38">
        <f>VLOOKUP(B371,'ALL-DATA'!A:F,3,FALSE)</f>
        <v>80</v>
      </c>
      <c r="G371" s="38">
        <f>VLOOKUP(B371,'ALL-DATA'!A:F,4,FALSE)</f>
        <v>-15</v>
      </c>
      <c r="H371" s="76">
        <f>VLOOKUP(B371,'ALL-DATA'!A:F,5,FALSE)</f>
        <v>86.4</v>
      </c>
      <c r="I371" s="76">
        <f>VLOOKUP(B371,'ALL-DATA'!A:F,6,FALSE)</f>
        <v>14418.432000000001</v>
      </c>
      <c r="J371" s="44">
        <v>19250</v>
      </c>
      <c r="K371" s="48"/>
      <c r="L371" s="77">
        <f t="shared" si="56"/>
        <v>1983.5040000000008</v>
      </c>
      <c r="M371" s="37">
        <v>164</v>
      </c>
      <c r="N371" s="38">
        <v>80</v>
      </c>
      <c r="O371" s="38">
        <v>90</v>
      </c>
      <c r="P371" s="38">
        <f>((((((Table8[[#This Row],[OLD-WT]]-(Table8[[#This Row],[OLD-WT]]*1%))*Table8[[#This Row],[MELTING2]])/100))*80)/100)*Table8[[#This Row],[P-RATE3]]</f>
        <v>9351.9360000000015</v>
      </c>
      <c r="Q371" s="38">
        <v>12200</v>
      </c>
      <c r="R371" s="263">
        <f t="shared" si="52"/>
        <v>-2848.0639999999985</v>
      </c>
    </row>
    <row r="372" spans="1:18" x14ac:dyDescent="0.45">
      <c r="A372" s="73">
        <v>45683</v>
      </c>
      <c r="B372" s="38" t="str">
        <f t="shared" si="55"/>
        <v>S-RING-341</v>
      </c>
      <c r="C372" s="38" t="s">
        <v>731</v>
      </c>
      <c r="D372" s="74" t="s">
        <v>1651</v>
      </c>
      <c r="E372" s="75">
        <f>VLOOKUP(B372,'ALL-DATA'!A:F,2,FALSE)</f>
        <v>1.7</v>
      </c>
      <c r="F372" s="38">
        <f>VLOOKUP(B372,'ALL-DATA'!A:F,3,FALSE)</f>
        <v>92.5</v>
      </c>
      <c r="G372" s="38">
        <f>VLOOKUP(B372,'ALL-DATA'!A:F,4,FALSE)</f>
        <v>92.5</v>
      </c>
      <c r="H372" s="76">
        <f>VLOOKUP(B372,'ALL-DATA'!A:F,5,FALSE)</f>
        <v>132</v>
      </c>
      <c r="I372" s="76">
        <f>VLOOKUP(B372,'ALL-DATA'!A:F,6,FALSE)</f>
        <v>224.4</v>
      </c>
      <c r="J372" s="44"/>
      <c r="K372" s="48"/>
      <c r="L372" s="77">
        <f t="shared" si="56"/>
        <v>-224.4</v>
      </c>
      <c r="M372" s="37"/>
      <c r="N372" s="38"/>
      <c r="O372" s="38"/>
      <c r="P372" s="38">
        <f>((((((Table8[[#This Row],[OLD-WT]]-(Table8[[#This Row],[OLD-WT]]*1%))*Table8[[#This Row],[MELTING2]])/100))*80)/100)*Table8[[#This Row],[P-RATE3]]</f>
        <v>0</v>
      </c>
      <c r="Q372" s="38"/>
      <c r="R372" s="263">
        <f t="shared" si="52"/>
        <v>0</v>
      </c>
    </row>
    <row r="373" spans="1:18" x14ac:dyDescent="0.45">
      <c r="A373" s="73">
        <v>45684</v>
      </c>
      <c r="B373" s="38" t="str">
        <f t="shared" si="55"/>
        <v>S-RING-319</v>
      </c>
      <c r="C373" s="38" t="s">
        <v>731</v>
      </c>
      <c r="D373" s="74" t="s">
        <v>1652</v>
      </c>
      <c r="E373" s="75">
        <f>VLOOKUP(B373,'ALL-DATA'!A:F,2,FALSE)</f>
        <v>2.4</v>
      </c>
      <c r="F373" s="38">
        <f>VLOOKUP(B373,'ALL-DATA'!A:F,3,FALSE)</f>
        <v>92.5</v>
      </c>
      <c r="G373" s="38">
        <f>VLOOKUP(B373,'ALL-DATA'!A:F,4,FALSE)</f>
        <v>92.5</v>
      </c>
      <c r="H373" s="76">
        <f>VLOOKUP(B373,'ALL-DATA'!A:F,5,FALSE)</f>
        <v>132</v>
      </c>
      <c r="I373" s="76">
        <f>VLOOKUP(B373,'ALL-DATA'!A:F,6,FALSE)</f>
        <v>316.8</v>
      </c>
      <c r="J373" s="44">
        <v>550</v>
      </c>
      <c r="K373" s="48"/>
      <c r="L373" s="77">
        <f t="shared" si="56"/>
        <v>233.2</v>
      </c>
      <c r="M373" s="37"/>
      <c r="N373" s="38"/>
      <c r="O373" s="38"/>
      <c r="P373" s="38">
        <f>((((((Table8[[#This Row],[OLD-WT]]-(Table8[[#This Row],[OLD-WT]]*1%))*Table8[[#This Row],[MELTING2]])/100))*80)/100)*Table8[[#This Row],[P-RATE3]]</f>
        <v>0</v>
      </c>
      <c r="Q373" s="38"/>
      <c r="R373" s="263">
        <f t="shared" si="52"/>
        <v>0</v>
      </c>
    </row>
    <row r="374" spans="1:18" x14ac:dyDescent="0.45">
      <c r="A374" s="73">
        <v>45684</v>
      </c>
      <c r="B374" s="38" t="str">
        <f t="shared" si="55"/>
        <v>S-RING-76</v>
      </c>
      <c r="C374" s="38" t="s">
        <v>731</v>
      </c>
      <c r="D374" s="74" t="s">
        <v>1367</v>
      </c>
      <c r="E374" s="75">
        <f>VLOOKUP(B374,'ALL-DATA'!A:F,2,FALSE)</f>
        <v>2.09</v>
      </c>
      <c r="F374" s="38">
        <f>VLOOKUP(B374,'ALL-DATA'!A:F,3,FALSE)</f>
        <v>92.5</v>
      </c>
      <c r="G374" s="38">
        <f>VLOOKUP(B374,'ALL-DATA'!A:F,4,FALSE)</f>
        <v>92.5</v>
      </c>
      <c r="H374" s="76">
        <f>VLOOKUP(B374,'ALL-DATA'!A:F,5,FALSE)</f>
        <v>127</v>
      </c>
      <c r="I374" s="76">
        <f>VLOOKUP(B374,'ALL-DATA'!A:F,6,FALSE)</f>
        <v>265.43</v>
      </c>
      <c r="J374" s="44">
        <v>700</v>
      </c>
      <c r="K374" s="48"/>
      <c r="L374" s="77">
        <f t="shared" si="56"/>
        <v>401.26119999999997</v>
      </c>
      <c r="M374" s="37">
        <v>3.8</v>
      </c>
      <c r="N374" s="38">
        <v>80</v>
      </c>
      <c r="O374" s="38">
        <v>90</v>
      </c>
      <c r="P374" s="38">
        <f>((((((Table8[[#This Row],[OLD-WT]]-(Table8[[#This Row],[OLD-WT]]*1%))*Table8[[#This Row],[MELTING2]])/100))*80)/100)*Table8[[#This Row],[P-RATE3]]</f>
        <v>216.69119999999995</v>
      </c>
      <c r="Q374" s="38">
        <v>250</v>
      </c>
      <c r="R374" s="263">
        <f t="shared" si="52"/>
        <v>-33.308800000000048</v>
      </c>
    </row>
    <row r="375" spans="1:18" x14ac:dyDescent="0.45">
      <c r="A375" s="73">
        <v>45684</v>
      </c>
      <c r="B375" s="38" t="str">
        <f t="shared" si="55"/>
        <v>S-RING-350</v>
      </c>
      <c r="C375" s="38" t="s">
        <v>731</v>
      </c>
      <c r="D375" s="74" t="s">
        <v>1653</v>
      </c>
      <c r="E375" s="75">
        <f>VLOOKUP(B375,'ALL-DATA'!A:F,2,FALSE)</f>
        <v>2.7</v>
      </c>
      <c r="F375" s="38">
        <f>VLOOKUP(B375,'ALL-DATA'!A:F,3,FALSE)</f>
        <v>92.5</v>
      </c>
      <c r="G375" s="38">
        <f>VLOOKUP(B375,'ALL-DATA'!A:F,4,FALSE)</f>
        <v>92.5</v>
      </c>
      <c r="H375" s="76">
        <f>VLOOKUP(B375,'ALL-DATA'!A:F,5,FALSE)</f>
        <v>132</v>
      </c>
      <c r="I375" s="76">
        <f>VLOOKUP(B375,'ALL-DATA'!A:F,6,FALSE)</f>
        <v>356.40000000000003</v>
      </c>
      <c r="J375" s="44">
        <v>600</v>
      </c>
      <c r="K375" s="48"/>
      <c r="L375" s="77">
        <f t="shared" si="56"/>
        <v>243.59999999999997</v>
      </c>
      <c r="M375" s="37"/>
      <c r="N375" s="38"/>
      <c r="O375" s="38"/>
      <c r="P375" s="38">
        <f>((((((Table8[[#This Row],[OLD-WT]]-(Table8[[#This Row],[OLD-WT]]*1%))*Table8[[#This Row],[MELTING2]])/100))*80)/100)*Table8[[#This Row],[P-RATE3]]</f>
        <v>0</v>
      </c>
      <c r="Q375" s="38"/>
      <c r="R375" s="263">
        <f t="shared" si="52"/>
        <v>0</v>
      </c>
    </row>
    <row r="376" spans="1:18" x14ac:dyDescent="0.45">
      <c r="A376" s="73">
        <v>45684</v>
      </c>
      <c r="B376" s="131" t="s">
        <v>1654</v>
      </c>
      <c r="C376" s="38"/>
      <c r="D376" s="74"/>
      <c r="E376" s="75">
        <f>VLOOKUP(B376,'ALL-DATA'!A:F,2,FALSE)</f>
        <v>7</v>
      </c>
      <c r="F376" s="38">
        <f>VLOOKUP(B376,'ALL-DATA'!A:F,3,FALSE)</f>
        <v>80</v>
      </c>
      <c r="G376" s="38">
        <f>VLOOKUP(B376,'ALL-DATA'!A:F,4,FALSE)</f>
        <v>-15</v>
      </c>
      <c r="H376" s="76">
        <f>VLOOKUP(B376,'ALL-DATA'!A:F,5,FALSE)</f>
        <v>93</v>
      </c>
      <c r="I376" s="76">
        <f>VLOOKUP(B376,'ALL-DATA'!A:F,6,FALSE)</f>
        <v>520.79999999999995</v>
      </c>
      <c r="J376" s="44">
        <v>900</v>
      </c>
      <c r="K376" s="48"/>
      <c r="L376" s="77">
        <f t="shared" si="56"/>
        <v>379.20000000000005</v>
      </c>
      <c r="M376" s="37"/>
      <c r="N376" s="38"/>
      <c r="O376" s="38"/>
      <c r="P376" s="38">
        <f>((((((Table8[[#This Row],[OLD-WT]]-(Table8[[#This Row],[OLD-WT]]*1%))*Table8[[#This Row],[MELTING2]])/100))*80)/100)*Table8[[#This Row],[P-RATE3]]</f>
        <v>0</v>
      </c>
      <c r="Q376" s="38"/>
      <c r="R376" s="263">
        <f t="shared" si="52"/>
        <v>0</v>
      </c>
    </row>
    <row r="377" spans="1:18" x14ac:dyDescent="0.45">
      <c r="A377" s="73">
        <v>45686</v>
      </c>
      <c r="B377" s="38" t="str">
        <f t="shared" ref="B377:B382" si="57">C377&amp;D377</f>
        <v>G-CHAIN-1</v>
      </c>
      <c r="C377" s="38" t="s">
        <v>724</v>
      </c>
      <c r="D377" s="74" t="s">
        <v>787</v>
      </c>
      <c r="E377" s="75">
        <f>VLOOKUP(B377,'ALL-DATA'!A:F,2,FALSE)</f>
        <v>7.96</v>
      </c>
      <c r="F377" s="38">
        <f>VLOOKUP(B377,'ALL-DATA'!A:F,3,FALSE)</f>
        <v>94.25</v>
      </c>
      <c r="G377" s="38">
        <f>VLOOKUP(B377,'ALL-DATA'!A:F,4,FALSE)</f>
        <v>-2.25</v>
      </c>
      <c r="H377" s="76">
        <f>VLOOKUP(B377,'ALL-DATA'!A:F,5,FALSE)</f>
        <v>7218.2</v>
      </c>
      <c r="I377" s="76">
        <f>VLOOKUP(B377,'ALL-DATA'!A:F,6,FALSE)</f>
        <v>54153.101859999995</v>
      </c>
      <c r="J377" s="44">
        <v>66000</v>
      </c>
      <c r="K377" s="48"/>
      <c r="L377" s="77">
        <f t="shared" si="56"/>
        <v>11846.898140000005</v>
      </c>
      <c r="M377" s="37"/>
      <c r="N377" s="38"/>
      <c r="O377" s="38"/>
      <c r="P377" s="38">
        <f>((((((Table8[[#This Row],[OLD-WT]]-(Table8[[#This Row],[OLD-WT]]*1%))*Table8[[#This Row],[MELTING2]])/100))*80)/100)*Table8[[#This Row],[P-RATE3]]</f>
        <v>0</v>
      </c>
      <c r="Q377" s="38"/>
      <c r="R377" s="263">
        <f t="shared" si="52"/>
        <v>0</v>
      </c>
    </row>
    <row r="378" spans="1:18" x14ac:dyDescent="0.45">
      <c r="A378" s="73">
        <v>45686</v>
      </c>
      <c r="B378" s="38" t="str">
        <f t="shared" si="57"/>
        <v>S-RING-297</v>
      </c>
      <c r="C378" s="38" t="s">
        <v>731</v>
      </c>
      <c r="D378" s="74" t="s">
        <v>1655</v>
      </c>
      <c r="E378" s="75">
        <f>VLOOKUP(B378,'ALL-DATA'!A:F,2,FALSE)</f>
        <v>2</v>
      </c>
      <c r="F378" s="38">
        <f>VLOOKUP(B378,'ALL-DATA'!A:F,3,FALSE)</f>
        <v>92.5</v>
      </c>
      <c r="G378" s="38">
        <f>VLOOKUP(B378,'ALL-DATA'!A:F,4,FALSE)</f>
        <v>92.5</v>
      </c>
      <c r="H378" s="76">
        <f>VLOOKUP(B378,'ALL-DATA'!A:F,5,FALSE)</f>
        <v>132</v>
      </c>
      <c r="I378" s="76">
        <f>VLOOKUP(B378,'ALL-DATA'!A:F,6,FALSE)</f>
        <v>264</v>
      </c>
      <c r="J378" s="44">
        <v>400</v>
      </c>
      <c r="K378" s="48"/>
      <c r="L378" s="77">
        <f t="shared" si="56"/>
        <v>136</v>
      </c>
      <c r="M378" s="37"/>
      <c r="N378" s="38"/>
      <c r="O378" s="38"/>
      <c r="P378" s="38">
        <f>((((((Table8[[#This Row],[OLD-WT]]-(Table8[[#This Row],[OLD-WT]]*1%))*Table8[[#This Row],[MELTING2]])/100))*80)/100)*Table8[[#This Row],[P-RATE3]]</f>
        <v>0</v>
      </c>
      <c r="Q378" s="38"/>
      <c r="R378" s="263">
        <f t="shared" si="52"/>
        <v>0</v>
      </c>
    </row>
    <row r="379" spans="1:18" x14ac:dyDescent="0.45">
      <c r="A379" s="73">
        <v>45686</v>
      </c>
      <c r="B379" s="38" t="str">
        <f t="shared" si="57"/>
        <v>S-RING-62</v>
      </c>
      <c r="C379" s="38" t="s">
        <v>731</v>
      </c>
      <c r="D379" s="74" t="s">
        <v>1656</v>
      </c>
      <c r="E379" s="75">
        <f>VLOOKUP(B379,'ALL-DATA'!A:F,2,FALSE)</f>
        <v>5.8</v>
      </c>
      <c r="F379" s="38">
        <f>VLOOKUP(B379,'ALL-DATA'!A:F,3,FALSE)</f>
        <v>92.5</v>
      </c>
      <c r="G379" s="38">
        <f>VLOOKUP(B379,'ALL-DATA'!A:F,4,FALSE)</f>
        <v>92.5</v>
      </c>
      <c r="H379" s="76">
        <f>VLOOKUP(B379,'ALL-DATA'!A:F,5,FALSE)</f>
        <v>127</v>
      </c>
      <c r="I379" s="76">
        <f>VLOOKUP(B379,'ALL-DATA'!A:F,6,FALSE)</f>
        <v>736.6</v>
      </c>
      <c r="J379" s="44">
        <v>1400</v>
      </c>
      <c r="K379" s="48"/>
      <c r="L379" s="77">
        <f t="shared" si="56"/>
        <v>663.4</v>
      </c>
      <c r="M379" s="37">
        <v>0.5</v>
      </c>
      <c r="N379" s="38">
        <v>60</v>
      </c>
      <c r="O379" s="38">
        <v>8000</v>
      </c>
      <c r="P379" s="38">
        <v>1400</v>
      </c>
      <c r="Q379" s="38">
        <v>1400</v>
      </c>
      <c r="R379" s="263">
        <f t="shared" si="52"/>
        <v>0</v>
      </c>
    </row>
    <row r="380" spans="1:18" x14ac:dyDescent="0.45">
      <c r="A380" s="73">
        <v>45687</v>
      </c>
      <c r="B380" s="38" t="str">
        <f t="shared" si="57"/>
        <v>G-RING-69</v>
      </c>
      <c r="C380" s="38" t="s">
        <v>1473</v>
      </c>
      <c r="D380" s="74" t="s">
        <v>1657</v>
      </c>
      <c r="E380" s="75">
        <f>VLOOKUP(B380,'ALL-DATA'!A:F,2,FALSE)</f>
        <v>2.02</v>
      </c>
      <c r="F380" s="38">
        <f>VLOOKUP(B380,'ALL-DATA'!A:F,3,FALSE)</f>
        <v>92</v>
      </c>
      <c r="G380" s="38">
        <f>VLOOKUP(B380,'ALL-DATA'!A:F,4,FALSE)</f>
        <v>0</v>
      </c>
      <c r="H380" s="76">
        <f>VLOOKUP(B380,'ALL-DATA'!A:F,5,FALSE)</f>
        <v>0</v>
      </c>
      <c r="I380" s="76">
        <f>VLOOKUP(B380,'ALL-DATA'!A:F,6,FALSE)</f>
        <v>12000</v>
      </c>
      <c r="J380" s="44">
        <v>17000</v>
      </c>
      <c r="K380" s="48"/>
      <c r="L380" s="77">
        <f t="shared" si="56"/>
        <v>5000</v>
      </c>
      <c r="M380" s="37"/>
      <c r="N380" s="38"/>
      <c r="O380" s="38"/>
      <c r="P380" s="38">
        <f>((((((Table8[[#This Row],[OLD-WT]]-(Table8[[#This Row],[OLD-WT]]*1%))*Table8[[#This Row],[MELTING2]])/100))*80)/100)*Table8[[#This Row],[P-RATE3]]</f>
        <v>0</v>
      </c>
      <c r="Q380" s="38"/>
      <c r="R380" s="263">
        <f t="shared" si="52"/>
        <v>0</v>
      </c>
    </row>
    <row r="381" spans="1:18" x14ac:dyDescent="0.45">
      <c r="A381" s="73">
        <v>45687</v>
      </c>
      <c r="B381" s="38" t="str">
        <f t="shared" si="57"/>
        <v>S-S-KOLUSU-98</v>
      </c>
      <c r="C381" s="38" t="s">
        <v>726</v>
      </c>
      <c r="D381" s="74" t="s">
        <v>1658</v>
      </c>
      <c r="E381" s="75">
        <f>VLOOKUP(B381,'ALL-DATA'!A:F,2,FALSE)</f>
        <v>104.25</v>
      </c>
      <c r="F381" s="38">
        <f>VLOOKUP(B381,'ALL-DATA'!A:F,3,FALSE)</f>
        <v>80.02</v>
      </c>
      <c r="G381" s="38">
        <f>VLOOKUP(B381,'ALL-DATA'!A:F,4,FALSE)</f>
        <v>-15.019999999999996</v>
      </c>
      <c r="H381" s="76">
        <f>VLOOKUP(B381,'ALL-DATA'!A:F,5,FALSE)</f>
        <v>95</v>
      </c>
      <c r="I381" s="76">
        <f>VLOOKUP(B381,'ALL-DATA'!A:F,6,FALSE)</f>
        <v>7924.9807499999988</v>
      </c>
      <c r="J381" s="44">
        <v>11000</v>
      </c>
      <c r="K381" s="48"/>
      <c r="L381" s="77">
        <f t="shared" si="56"/>
        <v>2038.1872500000009</v>
      </c>
      <c r="M381" s="37">
        <v>69.5</v>
      </c>
      <c r="N381" s="38">
        <v>80</v>
      </c>
      <c r="O381" s="38">
        <v>90</v>
      </c>
      <c r="P381" s="38">
        <f>((((((Table8[[#This Row],[OLD-WT]]-(Table8[[#This Row],[OLD-WT]]*1%))*Table8[[#This Row],[MELTING2]])/100))*80)/100)*Table8[[#This Row],[P-RATE3]]</f>
        <v>3963.1680000000001</v>
      </c>
      <c r="Q381" s="38">
        <v>5000</v>
      </c>
      <c r="R381" s="263">
        <f t="shared" si="52"/>
        <v>-1036.8319999999999</v>
      </c>
    </row>
    <row r="382" spans="1:18" x14ac:dyDescent="0.45">
      <c r="A382" s="73">
        <v>45687</v>
      </c>
      <c r="B382" s="38" t="str">
        <f t="shared" si="57"/>
        <v>G-RING-B13</v>
      </c>
      <c r="C382" s="38" t="s">
        <v>719</v>
      </c>
      <c r="D382" s="74" t="s">
        <v>1265</v>
      </c>
      <c r="E382" s="75">
        <f>VLOOKUP(B382,'ALL-DATA'!A:F,2,FALSE)</f>
        <v>2</v>
      </c>
      <c r="F382" s="38">
        <f>VLOOKUP(B382,'ALL-DATA'!A:F,3,FALSE)</f>
        <v>95.5</v>
      </c>
      <c r="G382" s="38">
        <f>VLOOKUP(B382,'ALL-DATA'!A:F,4,FALSE)</f>
        <v>-3.5</v>
      </c>
      <c r="H382" s="76">
        <f>VLOOKUP(B382,'ALL-DATA'!A:F,5,FALSE)</f>
        <v>7218.2</v>
      </c>
      <c r="I382" s="76">
        <f>VLOOKUP(B382,'ALL-DATA'!A:F,6,FALSE)</f>
        <v>13786.761999999999</v>
      </c>
      <c r="J382" s="44">
        <v>17100</v>
      </c>
      <c r="K382" s="48"/>
      <c r="L382" s="77">
        <f t="shared" si="56"/>
        <v>3313.2380000000012</v>
      </c>
      <c r="M382" s="37">
        <v>1.02</v>
      </c>
      <c r="N382" s="38">
        <v>92</v>
      </c>
      <c r="O382" s="38">
        <v>8200</v>
      </c>
      <c r="P382" s="38">
        <v>7100</v>
      </c>
      <c r="Q382" s="38">
        <v>7100</v>
      </c>
      <c r="R382" s="263">
        <f t="shared" si="52"/>
        <v>0</v>
      </c>
    </row>
    <row r="383" spans="1:18" x14ac:dyDescent="0.45">
      <c r="A383" s="73">
        <v>45688</v>
      </c>
      <c r="B383" s="1" t="s">
        <v>1659</v>
      </c>
      <c r="C383" s="38"/>
      <c r="D383" s="74"/>
      <c r="E383" s="75">
        <f>VLOOKUP(B383,'ALL-DATA'!A:F,2,FALSE)</f>
        <v>139</v>
      </c>
      <c r="F383" s="38">
        <f>VLOOKUP(B383,'ALL-DATA'!A:F,3,FALSE)</f>
        <v>0</v>
      </c>
      <c r="G383" s="38">
        <f>VLOOKUP(B383,'ALL-DATA'!A:F,4,FALSE)</f>
        <v>0</v>
      </c>
      <c r="H383" s="76">
        <f>VLOOKUP(B383,'ALL-DATA'!A:F,5,FALSE)</f>
        <v>0</v>
      </c>
      <c r="I383" s="76">
        <f>VLOOKUP(B383,'ALL-DATA'!A:F,6,FALSE)</f>
        <v>11700</v>
      </c>
      <c r="J383" s="44">
        <v>16000</v>
      </c>
      <c r="K383" s="48"/>
      <c r="L383" s="77">
        <f t="shared" si="56"/>
        <v>2022.5919999999969</v>
      </c>
      <c r="M383" s="37">
        <v>170.5</v>
      </c>
      <c r="N383" s="38">
        <v>80</v>
      </c>
      <c r="O383" s="38">
        <v>90</v>
      </c>
      <c r="P383" s="38">
        <f>((((((Table8[[#This Row],[OLD-WT]]-(Table8[[#This Row],[OLD-WT]]*1%))*Table8[[#This Row],[MELTING2]])/100))*80)/100)*Table8[[#This Row],[P-RATE3]]</f>
        <v>9722.5919999999969</v>
      </c>
      <c r="Q383" s="38">
        <v>12000</v>
      </c>
      <c r="R383" s="263">
        <f t="shared" si="52"/>
        <v>-2277.4080000000031</v>
      </c>
    </row>
    <row r="384" spans="1:18" x14ac:dyDescent="0.45">
      <c r="A384" s="73">
        <v>45689</v>
      </c>
      <c r="B384" s="38" t="str">
        <f t="shared" ref="B384:B389" si="58">C384&amp;D384</f>
        <v>G-RING-G1</v>
      </c>
      <c r="C384" s="38" t="s">
        <v>718</v>
      </c>
      <c r="D384" s="74" t="s">
        <v>787</v>
      </c>
      <c r="E384" s="75">
        <f>VLOOKUP(B384,'ALL-DATA'!A:F,2,FALSE)</f>
        <v>2.0299999999999998</v>
      </c>
      <c r="F384" s="38">
        <f>VLOOKUP(B384,'ALL-DATA'!A:F,3,FALSE)</f>
        <v>96.75</v>
      </c>
      <c r="G384" s="38">
        <f>VLOOKUP(B384,'ALL-DATA'!A:F,4,FALSE)</f>
        <v>-4.75</v>
      </c>
      <c r="H384" s="76">
        <f>VLOOKUP(B384,'ALL-DATA'!A:F,5,FALSE)</f>
        <v>7218.2</v>
      </c>
      <c r="I384" s="76">
        <f>VLOOKUP(B384,'ALL-DATA'!A:F,6,FALSE)</f>
        <v>14176.725254999998</v>
      </c>
      <c r="J384" s="44">
        <v>18000</v>
      </c>
      <c r="K384" s="48"/>
      <c r="L384" s="77">
        <f t="shared" si="56"/>
        <v>3823.2747450000024</v>
      </c>
      <c r="M384" s="37"/>
      <c r="N384" s="38"/>
      <c r="O384" s="38"/>
      <c r="P384" s="38">
        <f>((((((Table8[[#This Row],[OLD-WT]]-(Table8[[#This Row],[OLD-WT]]*1%))*Table8[[#This Row],[MELTING2]])/100))*80)/100)*Table8[[#This Row],[P-RATE3]]</f>
        <v>0</v>
      </c>
      <c r="Q384" s="38"/>
      <c r="R384" s="263">
        <f t="shared" si="52"/>
        <v>0</v>
      </c>
    </row>
    <row r="385" spans="1:18" x14ac:dyDescent="0.45">
      <c r="A385" s="73">
        <v>45689</v>
      </c>
      <c r="B385" s="38" t="str">
        <f t="shared" si="58"/>
        <v>S-BARACELET-B-38</v>
      </c>
      <c r="C385" s="38" t="s">
        <v>737</v>
      </c>
      <c r="D385" s="74" t="s">
        <v>895</v>
      </c>
      <c r="E385" s="75">
        <f>VLOOKUP(B385,'ALL-DATA'!A:F,2,FALSE)</f>
        <v>6.55</v>
      </c>
      <c r="F385" s="38">
        <f>VLOOKUP(B385,'ALL-DATA'!A:F,3,FALSE)</f>
        <v>80.650000000000006</v>
      </c>
      <c r="G385" s="38">
        <f>VLOOKUP(B385,'ALL-DATA'!A:F,4,FALSE)</f>
        <v>-15.650000000000006</v>
      </c>
      <c r="H385" s="76">
        <f>VLOOKUP(B385,'ALL-DATA'!A:F,5,FALSE)</f>
        <v>90</v>
      </c>
      <c r="I385" s="76">
        <f>VLOOKUP(B385,'ALL-DATA'!A:F,6,FALSE)</f>
        <v>475.43175000000002</v>
      </c>
      <c r="J385" s="44">
        <v>1200</v>
      </c>
      <c r="K385" s="48"/>
      <c r="L385" s="77">
        <f t="shared" si="56"/>
        <v>724.56825000000003</v>
      </c>
      <c r="M385" s="37"/>
      <c r="N385" s="38"/>
      <c r="O385" s="38"/>
      <c r="P385" s="38">
        <f>((((((Table8[[#This Row],[OLD-WT]]-(Table8[[#This Row],[OLD-WT]]*1%))*Table8[[#This Row],[MELTING2]])/100))*80)/100)*Table8[[#This Row],[P-RATE3]]</f>
        <v>0</v>
      </c>
      <c r="Q385" s="38"/>
      <c r="R385" s="263">
        <f t="shared" si="52"/>
        <v>0</v>
      </c>
    </row>
    <row r="386" spans="1:18" x14ac:dyDescent="0.45">
      <c r="A386" s="73">
        <v>45689</v>
      </c>
      <c r="B386" s="38" t="str">
        <f t="shared" si="58"/>
        <v>G-RING-66</v>
      </c>
      <c r="C386" s="38" t="s">
        <v>1473</v>
      </c>
      <c r="D386" s="74" t="s">
        <v>795</v>
      </c>
      <c r="E386" s="75">
        <f>VLOOKUP(B386,'ALL-DATA'!A:F,2,FALSE)</f>
        <v>1.46</v>
      </c>
      <c r="F386" s="38">
        <f>VLOOKUP(B386,'ALL-DATA'!A:F,3,FALSE)</f>
        <v>96.5</v>
      </c>
      <c r="G386" s="38">
        <f>VLOOKUP(B386,'ALL-DATA'!A:F,4,FALSE)</f>
        <v>-4.5</v>
      </c>
      <c r="H386" s="76">
        <f>VLOOKUP(B386,'ALL-DATA'!A:F,5,FALSE)</f>
        <v>6305</v>
      </c>
      <c r="I386" s="76">
        <f>VLOOKUP(B386,'ALL-DATA'!A:F,6,FALSE)</f>
        <v>8883.1144999999997</v>
      </c>
      <c r="J386" s="44">
        <v>13800</v>
      </c>
      <c r="K386" s="48"/>
      <c r="L386" s="77">
        <f t="shared" si="56"/>
        <v>2573.0896600000015</v>
      </c>
      <c r="M386" s="37">
        <v>2.04</v>
      </c>
      <c r="N386" s="38">
        <v>91</v>
      </c>
      <c r="O386" s="38">
        <v>8200</v>
      </c>
      <c r="P386" s="38">
        <f>((((((Table8[[#This Row],[OLD-WT]]-(Table8[[#This Row],[OLD-WT]]*1%))*Table8[[#This Row],[MELTING2]])/100))*80)/100)*Table8[[#This Row],[P-RATE3]]</f>
        <v>12056.204160000001</v>
      </c>
      <c r="Q386" s="38">
        <v>14400</v>
      </c>
      <c r="R386" s="263">
        <f t="shared" si="52"/>
        <v>-2343.7958399999989</v>
      </c>
    </row>
    <row r="387" spans="1:18" x14ac:dyDescent="0.45">
      <c r="A387" s="73">
        <v>45689</v>
      </c>
      <c r="B387" s="38" t="str">
        <f t="shared" si="58"/>
        <v>S-B-KOLUSU--81</v>
      </c>
      <c r="C387" s="38" t="s">
        <v>727</v>
      </c>
      <c r="D387" s="74" t="s">
        <v>786</v>
      </c>
      <c r="E387" s="75">
        <f>VLOOKUP(B387,'ALL-DATA'!A:F,2,FALSE)</f>
        <v>40.700000000000003</v>
      </c>
      <c r="F387" s="38">
        <f>VLOOKUP(B387,'ALL-DATA'!A:F,3,FALSE)</f>
        <v>79</v>
      </c>
      <c r="G387" s="38">
        <f>VLOOKUP(B387,'ALL-DATA'!A:F,4,FALSE)</f>
        <v>-14</v>
      </c>
      <c r="H387" s="76">
        <f>VLOOKUP(B387,'ALL-DATA'!A:F,5,FALSE)</f>
        <v>86.4</v>
      </c>
      <c r="I387" s="76">
        <f>VLOOKUP(B387,'ALL-DATA'!A:F,6,FALSE)</f>
        <v>2778.0192000000002</v>
      </c>
      <c r="J387" s="44">
        <v>4800</v>
      </c>
      <c r="K387" s="48"/>
      <c r="L387" s="77">
        <f t="shared" si="56"/>
        <v>2021.9807999999998</v>
      </c>
      <c r="M387" s="37"/>
      <c r="N387" s="38"/>
      <c r="O387" s="38"/>
      <c r="P387" s="38">
        <f>((((((Table8[[#This Row],[OLD-WT]]-(Table8[[#This Row],[OLD-WT]]*1%))*Table8[[#This Row],[MELTING2]])/100))*80)/100)*Table8[[#This Row],[P-RATE3]]</f>
        <v>0</v>
      </c>
      <c r="Q387" s="38"/>
      <c r="R387" s="263">
        <f t="shared" si="52"/>
        <v>0</v>
      </c>
    </row>
    <row r="388" spans="1:18" x14ac:dyDescent="0.45">
      <c r="A388" s="73">
        <v>45690</v>
      </c>
      <c r="B388" s="38" t="str">
        <f t="shared" si="58"/>
        <v>S-S-KOLUSU-47</v>
      </c>
      <c r="C388" s="38" t="s">
        <v>726</v>
      </c>
      <c r="D388" s="74" t="s">
        <v>1218</v>
      </c>
      <c r="E388" s="75">
        <f>VLOOKUP(B388,'ALL-DATA'!A:F,2,FALSE)</f>
        <v>116.71</v>
      </c>
      <c r="F388" s="38">
        <f>VLOOKUP(B388,'ALL-DATA'!A:F,3,FALSE)</f>
        <v>76.5</v>
      </c>
      <c r="G388" s="38">
        <f>VLOOKUP(B388,'ALL-DATA'!A:F,4,FALSE)</f>
        <v>-11.5</v>
      </c>
      <c r="H388" s="76">
        <f>VLOOKUP(B388,'ALL-DATA'!A:F,5,FALSE)</f>
        <v>89.9</v>
      </c>
      <c r="I388" s="76">
        <f>VLOOKUP(B388,'ALL-DATA'!A:F,6,FALSE)</f>
        <v>8026.5551850000002</v>
      </c>
      <c r="J388" s="44">
        <v>13000</v>
      </c>
      <c r="K388" s="48"/>
      <c r="L388" s="77">
        <f t="shared" si="56"/>
        <v>4973.4448149999998</v>
      </c>
      <c r="M388" s="37"/>
      <c r="N388" s="38"/>
      <c r="O388" s="38"/>
      <c r="P388" s="38">
        <f>((((((Table8[[#This Row],[OLD-WT]]-(Table8[[#This Row],[OLD-WT]]*1%))*Table8[[#This Row],[MELTING2]])/100))*80)/100)*Table8[[#This Row],[P-RATE3]]</f>
        <v>0</v>
      </c>
      <c r="Q388" s="38"/>
      <c r="R388" s="263">
        <f t="shared" si="52"/>
        <v>0</v>
      </c>
    </row>
    <row r="389" spans="1:18" x14ac:dyDescent="0.45">
      <c r="A389" s="73">
        <v>45691</v>
      </c>
      <c r="B389" s="38" t="str">
        <f t="shared" si="58"/>
        <v>S-RING-254</v>
      </c>
      <c r="C389" s="38" t="s">
        <v>731</v>
      </c>
      <c r="D389" s="74" t="s">
        <v>1660</v>
      </c>
      <c r="E389" s="75">
        <f>VLOOKUP(B389,'ALL-DATA'!A:F,2,FALSE)</f>
        <v>3.3</v>
      </c>
      <c r="F389" s="38">
        <f>VLOOKUP(B389,'ALL-DATA'!A:F,3,FALSE)</f>
        <v>92.5</v>
      </c>
      <c r="G389" s="38">
        <f>VLOOKUP(B389,'ALL-DATA'!A:F,4,FALSE)</f>
        <v>92.5</v>
      </c>
      <c r="H389" s="76">
        <f>VLOOKUP(B389,'ALL-DATA'!A:F,5,FALSE)</f>
        <v>123</v>
      </c>
      <c r="I389" s="76">
        <f>VLOOKUP(B389,'ALL-DATA'!A:F,6,FALSE)</f>
        <v>405.9</v>
      </c>
      <c r="J389" s="44">
        <v>700</v>
      </c>
      <c r="K389" s="48"/>
      <c r="L389" s="77">
        <f t="shared" si="56"/>
        <v>294.10000000000002</v>
      </c>
      <c r="M389" s="37"/>
      <c r="N389" s="38"/>
      <c r="O389" s="38"/>
      <c r="P389" s="38">
        <f>((((((Table8[[#This Row],[OLD-WT]]-(Table8[[#This Row],[OLD-WT]]*1%))*Table8[[#This Row],[MELTING2]])/100))*80)/100)*Table8[[#This Row],[P-RATE3]]</f>
        <v>0</v>
      </c>
      <c r="Q389" s="38"/>
      <c r="R389" s="263">
        <f t="shared" si="52"/>
        <v>0</v>
      </c>
    </row>
    <row r="390" spans="1:18" x14ac:dyDescent="0.45">
      <c r="A390" s="73">
        <v>45692</v>
      </c>
      <c r="B390" s="38" t="s">
        <v>1596</v>
      </c>
      <c r="C390" s="38"/>
      <c r="D390" s="74"/>
      <c r="E390" s="75">
        <f>VLOOKUP(B390,'ALL-DATA'!A:F,2,FALSE)</f>
        <v>19.899999999999999</v>
      </c>
      <c r="F390" s="38">
        <f>VLOOKUP(B390,'ALL-DATA'!A:F,3,FALSE)</f>
        <v>1000</v>
      </c>
      <c r="G390" s="38">
        <f>VLOOKUP(B390,'ALL-DATA'!A:F,4,FALSE)</f>
        <v>0</v>
      </c>
      <c r="H390" s="76">
        <f>VLOOKUP(B390,'ALL-DATA'!A:F,5,FALSE)</f>
        <v>94.7</v>
      </c>
      <c r="I390" s="76">
        <f>VLOOKUP(B390,'ALL-DATA'!A:F,6,FALSE)</f>
        <v>1935</v>
      </c>
      <c r="J390" s="44">
        <v>2500</v>
      </c>
      <c r="K390" s="48"/>
      <c r="L390" s="77">
        <f t="shared" si="56"/>
        <v>565</v>
      </c>
      <c r="M390" s="37"/>
      <c r="N390" s="38"/>
      <c r="O390" s="38"/>
      <c r="P390" s="38">
        <f>((((((Table8[[#This Row],[OLD-WT]]-(Table8[[#This Row],[OLD-WT]]*1%))*Table8[[#This Row],[MELTING2]])/100))*80)/100)*Table8[[#This Row],[P-RATE3]]</f>
        <v>0</v>
      </c>
      <c r="Q390" s="38"/>
      <c r="R390" s="263">
        <f t="shared" si="52"/>
        <v>0</v>
      </c>
    </row>
    <row r="391" spans="1:18" x14ac:dyDescent="0.45">
      <c r="A391" s="73">
        <v>45693</v>
      </c>
      <c r="B391" s="38" t="str">
        <f>C391&amp;D391</f>
        <v>S-S-KOLUSU-105</v>
      </c>
      <c r="C391" s="38" t="s">
        <v>726</v>
      </c>
      <c r="D391" s="74" t="s">
        <v>1662</v>
      </c>
      <c r="E391" s="75">
        <f>VLOOKUP(B391,'ALL-DATA'!A:F,2,FALSE)</f>
        <v>77.3</v>
      </c>
      <c r="F391" s="38">
        <f>VLOOKUP(B391,'ALL-DATA'!A:F,3,FALSE)</f>
        <v>80</v>
      </c>
      <c r="G391" s="38">
        <f>VLOOKUP(B391,'ALL-DATA'!A:F,4,FALSE)</f>
        <v>-15</v>
      </c>
      <c r="H391" s="76">
        <f>VLOOKUP(B391,'ALL-DATA'!A:F,5,FALSE)</f>
        <v>93.1</v>
      </c>
      <c r="I391" s="76">
        <f>VLOOKUP(B391,'ALL-DATA'!A:F,6,FALSE)</f>
        <v>5757.3040000000001</v>
      </c>
      <c r="J391" s="44">
        <v>9275</v>
      </c>
      <c r="K391" s="48"/>
      <c r="L391" s="77">
        <f t="shared" si="56"/>
        <v>1212.6080000000002</v>
      </c>
      <c r="M391" s="37">
        <v>163</v>
      </c>
      <c r="N391" s="38">
        <v>80</v>
      </c>
      <c r="O391" s="38">
        <v>90</v>
      </c>
      <c r="P391" s="38">
        <f>((((((Table8[[#This Row],[OLD-WT]]-(Table8[[#This Row],[OLD-WT]]*1%))*Table8[[#This Row],[MELTING2]])/100))*80)/100)*Table8[[#This Row],[P-RATE3]]</f>
        <v>9294.9120000000003</v>
      </c>
      <c r="Q391" s="38">
        <v>11600</v>
      </c>
      <c r="R391" s="263">
        <f t="shared" si="52"/>
        <v>-2305.0879999999997</v>
      </c>
    </row>
    <row r="392" spans="1:18" x14ac:dyDescent="0.45">
      <c r="A392" s="73">
        <v>45693</v>
      </c>
      <c r="B392" s="38" t="str">
        <f>C392&amp;D392</f>
        <v>S-CHAIN-92.5-82</v>
      </c>
      <c r="C392" s="38" t="s">
        <v>734</v>
      </c>
      <c r="D392" s="74" t="s">
        <v>1198</v>
      </c>
      <c r="E392" s="75">
        <f>VLOOKUP(B392,'ALL-DATA'!A:F,2,FALSE)</f>
        <v>15.7</v>
      </c>
      <c r="F392" s="38">
        <f>VLOOKUP(B392,'ALL-DATA'!A:F,3,FALSE)</f>
        <v>92.5</v>
      </c>
      <c r="G392" s="38">
        <f>VLOOKUP(B392,'ALL-DATA'!A:F,4,FALSE)</f>
        <v>92.5</v>
      </c>
      <c r="H392" s="76">
        <f>VLOOKUP(B392,'ALL-DATA'!A:F,5,FALSE)</f>
        <v>106</v>
      </c>
      <c r="I392" s="76">
        <f>VLOOKUP(B392,'ALL-DATA'!A:F,6,FALSE)</f>
        <v>1539.385</v>
      </c>
      <c r="J392" s="44">
        <v>3140</v>
      </c>
      <c r="K392" s="48"/>
      <c r="L392" s="77">
        <f t="shared" si="56"/>
        <v>862.31099999999992</v>
      </c>
      <c r="M392" s="37">
        <v>17</v>
      </c>
      <c r="N392" s="38">
        <v>80</v>
      </c>
      <c r="O392" s="38">
        <v>80</v>
      </c>
      <c r="P392" s="38">
        <f>((((((Table8[[#This Row],[OLD-WT]]-(Table8[[#This Row],[OLD-WT]]*1%))*Table8[[#This Row],[MELTING2]])/100))*80)/100)*Table8[[#This Row],[P-RATE3]]</f>
        <v>861.69599999999991</v>
      </c>
      <c r="Q392" s="38">
        <v>1600</v>
      </c>
      <c r="R392" s="263">
        <f t="shared" si="52"/>
        <v>-738.30400000000009</v>
      </c>
    </row>
    <row r="393" spans="1:18" x14ac:dyDescent="0.45">
      <c r="A393" s="73">
        <v>45693</v>
      </c>
      <c r="B393" s="38" t="str">
        <f>C393&amp;D393</f>
        <v>S-RING-342</v>
      </c>
      <c r="C393" s="38" t="s">
        <v>731</v>
      </c>
      <c r="D393" s="74" t="s">
        <v>1663</v>
      </c>
      <c r="E393" s="75">
        <f>VLOOKUP(B393,'ALL-DATA'!A:F,2,FALSE)</f>
        <v>2.9</v>
      </c>
      <c r="F393" s="38">
        <f>VLOOKUP(B393,'ALL-DATA'!A:F,3,FALSE)</f>
        <v>92.5</v>
      </c>
      <c r="G393" s="38">
        <f>VLOOKUP(B393,'ALL-DATA'!A:F,4,FALSE)</f>
        <v>92.5</v>
      </c>
      <c r="H393" s="76">
        <f>VLOOKUP(B393,'ALL-DATA'!A:F,5,FALSE)</f>
        <v>132</v>
      </c>
      <c r="I393" s="76">
        <f>VLOOKUP(B393,'ALL-DATA'!A:F,6,FALSE)</f>
        <v>382.8</v>
      </c>
      <c r="J393" s="44">
        <v>725</v>
      </c>
      <c r="K393" s="48"/>
      <c r="L393" s="77">
        <f t="shared" si="56"/>
        <v>342.2</v>
      </c>
      <c r="M393" s="37"/>
      <c r="N393" s="38"/>
      <c r="O393" s="38"/>
      <c r="P393" s="38">
        <f>((((((Table8[[#This Row],[OLD-WT]]-(Table8[[#This Row],[OLD-WT]]*1%))*Table8[[#This Row],[MELTING2]])/100))*80)/100)*Table8[[#This Row],[P-RATE3]]</f>
        <v>0</v>
      </c>
      <c r="Q393" s="38"/>
      <c r="R393" s="263">
        <f t="shared" si="52"/>
        <v>0</v>
      </c>
    </row>
    <row r="394" spans="1:18" x14ac:dyDescent="0.45">
      <c r="A394" s="73">
        <v>45693</v>
      </c>
      <c r="B394" s="38" t="str">
        <f>C394&amp;D394</f>
        <v>S-BANGLE-2</v>
      </c>
      <c r="C394" s="38" t="s">
        <v>988</v>
      </c>
      <c r="D394" s="74" t="s">
        <v>796</v>
      </c>
      <c r="E394" s="75">
        <f>VLOOKUP(B394,'ALL-DATA'!A:F,2,FALSE)</f>
        <v>18.899999999999999</v>
      </c>
      <c r="F394" s="38">
        <f>VLOOKUP(B394,'ALL-DATA'!A:F,3,FALSE)</f>
        <v>65</v>
      </c>
      <c r="G394" s="38">
        <f>VLOOKUP(B394,'ALL-DATA'!A:F,4,FALSE)</f>
        <v>82</v>
      </c>
      <c r="H394" s="76">
        <f>VLOOKUP(B394,'ALL-DATA'!A:F,5,FALSE)</f>
        <v>88.1</v>
      </c>
      <c r="I394" s="76">
        <f>VLOOKUP(B394,'ALL-DATA'!A:F,6,FALSE)</f>
        <v>1271.3084999999999</v>
      </c>
      <c r="J394" s="44">
        <v>2730</v>
      </c>
      <c r="K394" s="48"/>
      <c r="L394" s="77">
        <f t="shared" si="56"/>
        <v>1458.6915000000001</v>
      </c>
      <c r="M394" s="37"/>
      <c r="N394" s="38"/>
      <c r="O394" s="38"/>
      <c r="P394" s="38">
        <v>300</v>
      </c>
      <c r="Q394" s="38">
        <v>300</v>
      </c>
      <c r="R394" s="263">
        <f t="shared" si="52"/>
        <v>0</v>
      </c>
    </row>
    <row r="395" spans="1:18" x14ac:dyDescent="0.45">
      <c r="A395" s="73">
        <v>45693</v>
      </c>
      <c r="B395" s="38" t="str">
        <f>C395&amp;D395</f>
        <v>S-RING-57</v>
      </c>
      <c r="C395" s="38" t="s">
        <v>731</v>
      </c>
      <c r="D395" s="74" t="s">
        <v>1206</v>
      </c>
      <c r="E395" s="75">
        <f>VLOOKUP(B395,'ALL-DATA'!A:F,2,FALSE)</f>
        <v>5.31</v>
      </c>
      <c r="F395" s="38">
        <f>VLOOKUP(B395,'ALL-DATA'!A:F,3,FALSE)</f>
        <v>92.5</v>
      </c>
      <c r="G395" s="38">
        <f>VLOOKUP(B395,'ALL-DATA'!A:F,4,FALSE)</f>
        <v>92.5</v>
      </c>
      <c r="H395" s="76">
        <f>VLOOKUP(B395,'ALL-DATA'!A:F,5,FALSE)</f>
        <v>127</v>
      </c>
      <c r="I395" s="76">
        <f>VLOOKUP(B395,'ALL-DATA'!A:F,6,FALSE)</f>
        <v>674.37</v>
      </c>
      <c r="J395" s="44">
        <v>1030</v>
      </c>
      <c r="K395" s="48"/>
      <c r="L395" s="77">
        <f t="shared" si="56"/>
        <v>355.63</v>
      </c>
      <c r="M395" s="37"/>
      <c r="N395" s="38"/>
      <c r="O395" s="38"/>
      <c r="P395" s="38">
        <f>((((((Table8[[#This Row],[OLD-WT]]-(Table8[[#This Row],[OLD-WT]]*1%))*Table8[[#This Row],[MELTING2]])/100))*80)/100)*Table8[[#This Row],[P-RATE3]]</f>
        <v>0</v>
      </c>
      <c r="Q395" s="38"/>
      <c r="R395" s="263">
        <f t="shared" si="52"/>
        <v>0</v>
      </c>
    </row>
    <row r="396" spans="1:18" x14ac:dyDescent="0.45">
      <c r="A396" s="73">
        <v>45693</v>
      </c>
      <c r="B396" s="131" t="s">
        <v>804</v>
      </c>
      <c r="C396" s="38"/>
      <c r="D396" s="74"/>
      <c r="E396" s="75">
        <f>VLOOKUP(B396,'ALL-DATA'!A:F,2,FALSE)</f>
        <v>0</v>
      </c>
      <c r="F396" s="38">
        <f>VLOOKUP(B396,'ALL-DATA'!A:F,3,FALSE)</f>
        <v>0</v>
      </c>
      <c r="G396" s="38">
        <f>VLOOKUP(B396,'ALL-DATA'!A:F,4,FALSE)</f>
        <v>0</v>
      </c>
      <c r="H396" s="76">
        <f>VLOOKUP(B396,'ALL-DATA'!A:F,5,FALSE)</f>
        <v>0</v>
      </c>
      <c r="I396" s="76">
        <f>VLOOKUP(B396,'ALL-DATA'!A:F,6,FALSE)</f>
        <v>242</v>
      </c>
      <c r="J396" s="44">
        <v>600</v>
      </c>
      <c r="K396" s="48"/>
      <c r="L396" s="77">
        <f t="shared" si="56"/>
        <v>358</v>
      </c>
      <c r="M396" s="37"/>
      <c r="N396" s="38"/>
      <c r="O396" s="38"/>
      <c r="P396" s="38">
        <f>((((((Table8[[#This Row],[OLD-WT]]-(Table8[[#This Row],[OLD-WT]]*1%))*Table8[[#This Row],[MELTING2]])/100))*80)/100)*Table8[[#This Row],[P-RATE3]]</f>
        <v>0</v>
      </c>
      <c r="Q396" s="38"/>
      <c r="R396" s="263">
        <f t="shared" si="52"/>
        <v>0</v>
      </c>
    </row>
    <row r="397" spans="1:18" x14ac:dyDescent="0.45">
      <c r="A397" s="73">
        <v>45694</v>
      </c>
      <c r="B397" s="38" t="str">
        <f>C397&amp;D397</f>
        <v>S-RING-60</v>
      </c>
      <c r="C397" s="38" t="s">
        <v>731</v>
      </c>
      <c r="D397" s="74" t="s">
        <v>1664</v>
      </c>
      <c r="E397" s="75">
        <f>VLOOKUP(B397,'ALL-DATA'!A:F,2,FALSE)</f>
        <v>5.58</v>
      </c>
      <c r="F397" s="38">
        <f>VLOOKUP(B397,'ALL-DATA'!A:F,3,FALSE)</f>
        <v>92.5</v>
      </c>
      <c r="G397" s="38">
        <f>VLOOKUP(B397,'ALL-DATA'!A:F,4,FALSE)</f>
        <v>92.5</v>
      </c>
      <c r="H397" s="76">
        <f>VLOOKUP(B397,'ALL-DATA'!A:F,5,FALSE)</f>
        <v>127</v>
      </c>
      <c r="I397" s="76">
        <f>VLOOKUP(B397,'ALL-DATA'!A:F,6,FALSE)</f>
        <v>708.66</v>
      </c>
      <c r="J397" s="44">
        <v>1000</v>
      </c>
      <c r="K397" s="48"/>
      <c r="L397" s="77">
        <f t="shared" si="56"/>
        <v>291.34000000000003</v>
      </c>
      <c r="M397" s="37"/>
      <c r="N397" s="38"/>
      <c r="O397" s="38"/>
      <c r="P397" s="38">
        <f>((((((Table8[[#This Row],[OLD-WT]]-(Table8[[#This Row],[OLD-WT]]*1%))*Table8[[#This Row],[MELTING2]])/100))*80)/100)*Table8[[#This Row],[P-RATE3]]</f>
        <v>0</v>
      </c>
      <c r="Q397" s="38"/>
      <c r="R397" s="263">
        <f t="shared" si="52"/>
        <v>0</v>
      </c>
    </row>
    <row r="398" spans="1:18" x14ac:dyDescent="0.45">
      <c r="A398" s="73">
        <v>45694</v>
      </c>
      <c r="B398" s="131" t="s">
        <v>1665</v>
      </c>
      <c r="C398" s="38"/>
      <c r="D398" s="74"/>
      <c r="E398" s="75">
        <f>VLOOKUP(B398,'ALL-DATA'!A:F,2,FALSE)</f>
        <v>9.86</v>
      </c>
      <c r="F398" s="38">
        <f>VLOOKUP(B398,'ALL-DATA'!A:F,3,FALSE)</f>
        <v>80</v>
      </c>
      <c r="G398" s="38">
        <f>VLOOKUP(B398,'ALL-DATA'!A:F,4,FALSE)</f>
        <v>-15</v>
      </c>
      <c r="H398" s="76">
        <f>VLOOKUP(B398,'ALL-DATA'!A:F,5,FALSE)</f>
        <v>93</v>
      </c>
      <c r="I398" s="76">
        <f>VLOOKUP(B398,'ALL-DATA'!A:F,6,FALSE)</f>
        <v>733.58399999999995</v>
      </c>
      <c r="J398" s="44">
        <v>1400</v>
      </c>
      <c r="K398" s="48"/>
      <c r="L398" s="77">
        <f t="shared" si="56"/>
        <v>666.41600000000005</v>
      </c>
      <c r="M398" s="37"/>
      <c r="N398" s="38"/>
      <c r="O398" s="38"/>
      <c r="P398" s="38">
        <f>((((((Table8[[#This Row],[OLD-WT]]-(Table8[[#This Row],[OLD-WT]]*1%))*Table8[[#This Row],[MELTING2]])/100))*80)/100)*Table8[[#This Row],[P-RATE3]]</f>
        <v>0</v>
      </c>
      <c r="Q398" s="38"/>
      <c r="R398" s="263">
        <f t="shared" si="52"/>
        <v>0</v>
      </c>
    </row>
    <row r="399" spans="1:18" x14ac:dyDescent="0.45">
      <c r="A399" s="73">
        <v>45694</v>
      </c>
      <c r="B399" s="131" t="str">
        <f>Table8[[#This Row],[Column2]]&amp;Table8[[#This Row],[Column1]]</f>
        <v>G-TLI-MNI-THAYTH-14</v>
      </c>
      <c r="C399" s="38" t="s">
        <v>723</v>
      </c>
      <c r="D399" s="74" t="s">
        <v>1162</v>
      </c>
      <c r="E399" s="75">
        <f>VLOOKUP(B399,'ALL-DATA'!A:F,2,FALSE)</f>
        <v>2.0699999999999998</v>
      </c>
      <c r="F399" s="38">
        <f>VLOOKUP(B399,'ALL-DATA'!A:F,3,FALSE)</f>
        <v>85</v>
      </c>
      <c r="G399" s="38">
        <f>VLOOKUP(B399,'ALL-DATA'!A:F,4,FALSE)</f>
        <v>-8</v>
      </c>
      <c r="H399" s="76">
        <f>VLOOKUP(B399,'ALL-DATA'!A:F,5,FALSE)</f>
        <v>7290</v>
      </c>
      <c r="I399" s="76">
        <f>VLOOKUP(B399,'ALL-DATA'!A:F,6,FALSE)</f>
        <v>12826.754999999999</v>
      </c>
      <c r="J399" s="44">
        <v>16700</v>
      </c>
      <c r="K399" s="48"/>
      <c r="L399" s="77">
        <f t="shared" si="56"/>
        <v>3873.2450000000008</v>
      </c>
      <c r="M399" s="37"/>
      <c r="N399" s="38"/>
      <c r="O399" s="38"/>
      <c r="P399" s="38"/>
      <c r="Q399" s="38"/>
      <c r="R399" s="263"/>
    </row>
    <row r="400" spans="1:18" x14ac:dyDescent="0.45">
      <c r="A400" s="73">
        <v>45694</v>
      </c>
      <c r="B400" s="131" t="str">
        <f>C400&amp;D400</f>
        <v>S-S-KOLUSU-43</v>
      </c>
      <c r="C400" s="38" t="s">
        <v>726</v>
      </c>
      <c r="D400" s="74" t="s">
        <v>1020</v>
      </c>
      <c r="E400" s="75">
        <f>VLOOKUP(B400,'ALL-DATA'!A:F,2,FALSE)</f>
        <v>151.59</v>
      </c>
      <c r="F400" s="38">
        <f>VLOOKUP(B400,'ALL-DATA'!A:F,3,FALSE)</f>
        <v>76.5</v>
      </c>
      <c r="G400" s="38">
        <f>VLOOKUP(B400,'ALL-DATA'!A:F,4,FALSE)</f>
        <v>-11.5</v>
      </c>
      <c r="H400" s="76">
        <f>VLOOKUP(B400,'ALL-DATA'!A:F,5,FALSE)</f>
        <v>89.9</v>
      </c>
      <c r="I400" s="76">
        <f>VLOOKUP(B400,'ALL-DATA'!A:F,6,FALSE)</f>
        <v>10425.374865000002</v>
      </c>
      <c r="J400" s="44">
        <v>12700</v>
      </c>
      <c r="K400" s="48"/>
      <c r="L400" s="77">
        <f>((J400+R400)-I400)</f>
        <v>2274.6251349999984</v>
      </c>
      <c r="M400" s="37"/>
      <c r="N400" s="38"/>
      <c r="O400" s="38"/>
      <c r="P400" s="38"/>
      <c r="Q400" s="38"/>
      <c r="R400" s="263"/>
    </row>
    <row r="401" spans="1:18" x14ac:dyDescent="0.45">
      <c r="A401" s="73">
        <v>45694</v>
      </c>
      <c r="B401" s="131" t="str">
        <f>C401&amp;D401</f>
        <v>S-DOLLER-21</v>
      </c>
      <c r="C401" s="38" t="s">
        <v>730</v>
      </c>
      <c r="D401" s="74" t="s">
        <v>1498</v>
      </c>
      <c r="E401" s="75">
        <f>VLOOKUP(B401,'ALL-DATA'!A:F,2,FALSE)</f>
        <v>2.4500000000000002</v>
      </c>
      <c r="F401" s="38">
        <f>VLOOKUP(B401,'ALL-DATA'!A:F,3,FALSE)</f>
        <v>92.5</v>
      </c>
      <c r="G401" s="38">
        <f>VLOOKUP(B401,'ALL-DATA'!A:F,4,FALSE)</f>
        <v>92.5</v>
      </c>
      <c r="H401" s="76">
        <f>VLOOKUP(B401,'ALL-DATA'!A:F,5,FALSE)</f>
        <v>145</v>
      </c>
      <c r="I401" s="76">
        <f>VLOOKUP(B401,'ALL-DATA'!A:F,6,FALSE)</f>
        <v>355.25</v>
      </c>
      <c r="J401" s="44">
        <v>525</v>
      </c>
      <c r="K401" s="48"/>
      <c r="L401" s="77">
        <f>((J401+R401)-I401)</f>
        <v>169.75</v>
      </c>
      <c r="M401" s="37"/>
      <c r="N401" s="38"/>
      <c r="O401" s="38"/>
      <c r="P401" s="38"/>
      <c r="Q401" s="38"/>
      <c r="R401" s="263"/>
    </row>
    <row r="402" spans="1:18" x14ac:dyDescent="0.45">
      <c r="A402" s="73">
        <v>45694</v>
      </c>
      <c r="B402" s="131" t="str">
        <f>C402&amp;D402</f>
        <v>S-DOLLER-22</v>
      </c>
      <c r="C402" s="38" t="s">
        <v>730</v>
      </c>
      <c r="D402" s="74" t="s">
        <v>1286</v>
      </c>
      <c r="E402" s="75">
        <f>VLOOKUP(B402,'ALL-DATA'!A:F,2,FALSE)</f>
        <v>2.6</v>
      </c>
      <c r="F402" s="38">
        <f>VLOOKUP(B402,'ALL-DATA'!A:F,3,FALSE)</f>
        <v>92.5</v>
      </c>
      <c r="G402" s="38">
        <f>VLOOKUP(B402,'ALL-DATA'!A:F,4,FALSE)</f>
        <v>92.5</v>
      </c>
      <c r="H402" s="76">
        <f>VLOOKUP(B402,'ALL-DATA'!A:F,5,FALSE)</f>
        <v>145</v>
      </c>
      <c r="I402" s="76">
        <f>VLOOKUP(B402,'ALL-DATA'!A:F,6,FALSE)</f>
        <v>377</v>
      </c>
      <c r="J402" s="44">
        <v>525</v>
      </c>
      <c r="K402" s="48"/>
      <c r="L402" s="77">
        <f>((J402+R402)-I402)</f>
        <v>148</v>
      </c>
      <c r="M402" s="37"/>
      <c r="N402" s="38"/>
      <c r="O402" s="38"/>
      <c r="P402" s="38"/>
      <c r="Q402" s="38"/>
      <c r="R402" s="263"/>
    </row>
    <row r="403" spans="1:18" x14ac:dyDescent="0.45">
      <c r="A403" s="73">
        <v>45695</v>
      </c>
      <c r="B403" s="38" t="s">
        <v>1666</v>
      </c>
      <c r="C403" s="38"/>
      <c r="D403" s="74"/>
      <c r="E403" s="75">
        <f>VLOOKUP(B403,'ALL-DATA'!A:F,2,FALSE)</f>
        <v>1.9</v>
      </c>
      <c r="F403" s="38">
        <f>VLOOKUP(B403,'ALL-DATA'!A:F,3,FALSE)</f>
        <v>0</v>
      </c>
      <c r="G403" s="38">
        <f>VLOOKUP(B403,'ALL-DATA'!A:F,4,FALSE)</f>
        <v>0</v>
      </c>
      <c r="H403" s="76">
        <f>VLOOKUP(B403,'ALL-DATA'!A:F,5,FALSE)</f>
        <v>0</v>
      </c>
      <c r="I403" s="76">
        <f>VLOOKUP(B403,'ALL-DATA'!A:F,6,FALSE)</f>
        <v>9700</v>
      </c>
      <c r="J403" s="44">
        <v>11200</v>
      </c>
      <c r="K403" s="48"/>
      <c r="L403" s="77">
        <f t="shared" si="56"/>
        <v>1500</v>
      </c>
      <c r="M403" s="37"/>
      <c r="N403" s="38"/>
      <c r="O403" s="38"/>
      <c r="P403" s="38">
        <f>((((((Table8[[#This Row],[OLD-WT]]-(Table8[[#This Row],[OLD-WT]]*1%))*Table8[[#This Row],[MELTING2]])/100))*80)/100)*Table8[[#This Row],[P-RATE3]]</f>
        <v>0</v>
      </c>
      <c r="Q403" s="38"/>
      <c r="R403" s="263">
        <f t="shared" si="52"/>
        <v>0</v>
      </c>
    </row>
    <row r="404" spans="1:18" x14ac:dyDescent="0.45">
      <c r="A404" s="73">
        <v>45695</v>
      </c>
      <c r="B404" s="131" t="s">
        <v>1669</v>
      </c>
      <c r="C404" s="38"/>
      <c r="D404" s="74"/>
      <c r="E404" s="75">
        <f>VLOOKUP(B404,'ALL-DATA'!A:F,2,FALSE)</f>
        <v>12.5</v>
      </c>
      <c r="F404" s="38">
        <f>VLOOKUP(B404,'ALL-DATA'!A:F,3,FALSE)</f>
        <v>80</v>
      </c>
      <c r="G404" s="38">
        <f>VLOOKUP(B404,'ALL-DATA'!A:F,4,FALSE)</f>
        <v>-15</v>
      </c>
      <c r="H404" s="76">
        <f>VLOOKUP(B404,'ALL-DATA'!A:F,5,FALSE)</f>
        <v>93</v>
      </c>
      <c r="I404" s="76">
        <f>VLOOKUP(B404,'ALL-DATA'!A:F,6,FALSE)</f>
        <v>930</v>
      </c>
      <c r="J404" s="44">
        <v>1200</v>
      </c>
      <c r="K404" s="48"/>
      <c r="L404" s="77">
        <f t="shared" si="56"/>
        <v>269.58400000000006</v>
      </c>
      <c r="M404" s="37">
        <v>3.5</v>
      </c>
      <c r="N404" s="38">
        <v>80</v>
      </c>
      <c r="O404" s="38">
        <v>90</v>
      </c>
      <c r="P404" s="38">
        <f>((((((Table8[[#This Row],[OLD-WT]]-(Table8[[#This Row],[OLD-WT]]*1%))*Table8[[#This Row],[MELTING2]])/100))*80)/100)*Table8[[#This Row],[P-RATE3]]</f>
        <v>199.584</v>
      </c>
      <c r="Q404" s="38">
        <v>200</v>
      </c>
      <c r="R404" s="263">
        <f t="shared" si="52"/>
        <v>-0.41599999999999682</v>
      </c>
    </row>
    <row r="405" spans="1:18" x14ac:dyDescent="0.45">
      <c r="A405" s="73">
        <v>45695</v>
      </c>
      <c r="B405" s="38" t="str">
        <f>C405&amp;D405</f>
        <v>S-RING-67</v>
      </c>
      <c r="C405" s="38" t="s">
        <v>731</v>
      </c>
      <c r="D405" s="74" t="s">
        <v>1670</v>
      </c>
      <c r="E405" s="75">
        <f>VLOOKUP(B405,'ALL-DATA'!A:F,2,FALSE)</f>
        <v>5</v>
      </c>
      <c r="F405" s="38">
        <f>VLOOKUP(B405,'ALL-DATA'!A:F,3,FALSE)</f>
        <v>92.5</v>
      </c>
      <c r="G405" s="38">
        <f>VLOOKUP(B405,'ALL-DATA'!A:F,4,FALSE)</f>
        <v>92.5</v>
      </c>
      <c r="H405" s="76">
        <f>VLOOKUP(B405,'ALL-DATA'!A:F,5,FALSE)</f>
        <v>127</v>
      </c>
      <c r="I405" s="76">
        <f>VLOOKUP(B405,'ALL-DATA'!A:F,6,FALSE)</f>
        <v>635</v>
      </c>
      <c r="J405" s="44">
        <v>1000</v>
      </c>
      <c r="K405" s="48"/>
      <c r="L405" s="77">
        <f t="shared" si="56"/>
        <v>365</v>
      </c>
      <c r="M405" s="37"/>
      <c r="N405" s="38"/>
      <c r="O405" s="38"/>
      <c r="P405" s="38">
        <f>((((((Table8[[#This Row],[OLD-WT]]-(Table8[[#This Row],[OLD-WT]]*1%))*Table8[[#This Row],[MELTING2]])/100))*80)/100)*Table8[[#This Row],[P-RATE3]]</f>
        <v>0</v>
      </c>
      <c r="Q405" s="38"/>
      <c r="R405" s="263">
        <f t="shared" si="52"/>
        <v>0</v>
      </c>
    </row>
    <row r="406" spans="1:18" x14ac:dyDescent="0.45">
      <c r="A406" s="73">
        <v>45696</v>
      </c>
      <c r="B406" s="38" t="str">
        <f>C406&amp;D406</f>
        <v>S-RING-93</v>
      </c>
      <c r="C406" s="38" t="s">
        <v>731</v>
      </c>
      <c r="D406" s="74" t="s">
        <v>1671</v>
      </c>
      <c r="E406" s="75">
        <f>VLOOKUP(B406,'ALL-DATA'!A:F,2,FALSE)</f>
        <v>2.88</v>
      </c>
      <c r="F406" s="38">
        <f>VLOOKUP(B406,'ALL-DATA'!A:F,3,FALSE)</f>
        <v>92.5</v>
      </c>
      <c r="G406" s="38">
        <f>VLOOKUP(B406,'ALL-DATA'!A:F,4,FALSE)</f>
        <v>92.5</v>
      </c>
      <c r="H406" s="76">
        <f>VLOOKUP(B406,'ALL-DATA'!A:F,5,FALSE)</f>
        <v>127</v>
      </c>
      <c r="I406" s="76">
        <f>VLOOKUP(B406,'ALL-DATA'!A:F,6,FALSE)</f>
        <v>365.76</v>
      </c>
      <c r="J406" s="44">
        <v>600</v>
      </c>
      <c r="K406" s="48"/>
      <c r="L406" s="77">
        <f t="shared" si="56"/>
        <v>234.24</v>
      </c>
      <c r="M406" s="37"/>
      <c r="N406" s="38"/>
      <c r="O406" s="38"/>
      <c r="P406" s="38">
        <f>((((((Table8[[#This Row],[OLD-WT]]-(Table8[[#This Row],[OLD-WT]]*1%))*Table8[[#This Row],[MELTING2]])/100))*80)/100)*Table8[[#This Row],[P-RATE3]]</f>
        <v>0</v>
      </c>
      <c r="Q406" s="38"/>
      <c r="R406" s="263">
        <f t="shared" si="52"/>
        <v>0</v>
      </c>
    </row>
    <row r="407" spans="1:18" x14ac:dyDescent="0.45">
      <c r="A407" s="73">
        <v>45696</v>
      </c>
      <c r="B407" s="38" t="str">
        <f>C407&amp;D407</f>
        <v>S-RING-97</v>
      </c>
      <c r="C407" s="38" t="s">
        <v>731</v>
      </c>
      <c r="D407" s="74" t="s">
        <v>1573</v>
      </c>
      <c r="E407" s="75">
        <f>VLOOKUP(B407,'ALL-DATA'!A:F,2,FALSE)</f>
        <v>2.85</v>
      </c>
      <c r="F407" s="38">
        <f>VLOOKUP(B407,'ALL-DATA'!A:F,3,FALSE)</f>
        <v>92.5</v>
      </c>
      <c r="G407" s="38">
        <f>VLOOKUP(B407,'ALL-DATA'!A:F,4,FALSE)</f>
        <v>92.5</v>
      </c>
      <c r="H407" s="76">
        <f>VLOOKUP(B407,'ALL-DATA'!A:F,5,FALSE)</f>
        <v>127</v>
      </c>
      <c r="I407" s="76">
        <f>VLOOKUP(B407,'ALL-DATA'!A:F,6,FALSE)</f>
        <v>361.95</v>
      </c>
      <c r="J407" s="44">
        <v>650</v>
      </c>
      <c r="K407" s="48"/>
      <c r="L407" s="77">
        <f t="shared" si="56"/>
        <v>288.05</v>
      </c>
      <c r="M407" s="37"/>
      <c r="N407" s="38"/>
      <c r="O407" s="38"/>
      <c r="P407" s="38">
        <f>((((((Table8[[#This Row],[OLD-WT]]-(Table8[[#This Row],[OLD-WT]]*1%))*Table8[[#This Row],[MELTING2]])/100))*80)/100)*Table8[[#This Row],[P-RATE3]]</f>
        <v>0</v>
      </c>
      <c r="Q407" s="38"/>
      <c r="R407" s="263">
        <f t="shared" si="52"/>
        <v>0</v>
      </c>
    </row>
    <row r="408" spans="1:18" x14ac:dyDescent="0.45">
      <c r="A408" s="73">
        <v>45696</v>
      </c>
      <c r="B408" s="38" t="str">
        <f>C408&amp;D408</f>
        <v>S-RING-90</v>
      </c>
      <c r="C408" s="38" t="s">
        <v>731</v>
      </c>
      <c r="D408" s="74" t="s">
        <v>1672</v>
      </c>
      <c r="E408" s="75">
        <f>VLOOKUP(B408,'ALL-DATA'!A:F,2,FALSE)</f>
        <v>2.76</v>
      </c>
      <c r="F408" s="38">
        <f>VLOOKUP(B408,'ALL-DATA'!A:F,3,FALSE)</f>
        <v>92.5</v>
      </c>
      <c r="G408" s="38">
        <f>VLOOKUP(B408,'ALL-DATA'!A:F,4,FALSE)</f>
        <v>92.5</v>
      </c>
      <c r="H408" s="76">
        <f>VLOOKUP(B408,'ALL-DATA'!A:F,5,FALSE)</f>
        <v>127</v>
      </c>
      <c r="I408" s="76">
        <f>VLOOKUP(B408,'ALL-DATA'!A:F,6,FALSE)</f>
        <v>350.52</v>
      </c>
      <c r="J408" s="44">
        <v>650</v>
      </c>
      <c r="K408" s="48"/>
      <c r="L408" s="77">
        <f t="shared" si="56"/>
        <v>299.48</v>
      </c>
      <c r="M408" s="37"/>
      <c r="N408" s="38"/>
      <c r="O408" s="38"/>
      <c r="P408" s="38">
        <f>((((((Table8[[#This Row],[OLD-WT]]-(Table8[[#This Row],[OLD-WT]]*1%))*Table8[[#This Row],[MELTING2]])/100))*80)/100)*Table8[[#This Row],[P-RATE3]]</f>
        <v>0</v>
      </c>
      <c r="Q408" s="38"/>
      <c r="R408" s="263">
        <f t="shared" si="52"/>
        <v>0</v>
      </c>
    </row>
    <row r="409" spans="1:18" x14ac:dyDescent="0.45">
      <c r="A409" s="73">
        <v>45696</v>
      </c>
      <c r="B409" s="38" t="str">
        <f>C409&amp;D409</f>
        <v>S-RING-345</v>
      </c>
      <c r="C409" s="38" t="s">
        <v>731</v>
      </c>
      <c r="D409" s="74" t="s">
        <v>1673</v>
      </c>
      <c r="E409" s="75">
        <f>VLOOKUP(B409,'ALL-DATA'!A:F,2,FALSE)</f>
        <v>4</v>
      </c>
      <c r="F409" s="38">
        <f>VLOOKUP(B409,'ALL-DATA'!A:F,3,FALSE)</f>
        <v>92.5</v>
      </c>
      <c r="G409" s="38">
        <f>VLOOKUP(B409,'ALL-DATA'!A:F,4,FALSE)</f>
        <v>92.5</v>
      </c>
      <c r="H409" s="76">
        <f>VLOOKUP(B409,'ALL-DATA'!A:F,5,FALSE)</f>
        <v>132</v>
      </c>
      <c r="I409" s="76">
        <f>VLOOKUP(B409,'ALL-DATA'!A:F,6,FALSE)</f>
        <v>528</v>
      </c>
      <c r="J409" s="44">
        <v>860</v>
      </c>
      <c r="K409" s="48"/>
      <c r="L409" s="77">
        <f t="shared" si="56"/>
        <v>332</v>
      </c>
      <c r="M409" s="37"/>
      <c r="N409" s="38"/>
      <c r="O409" s="38"/>
      <c r="P409" s="38">
        <f>((((((Table8[[#This Row],[OLD-WT]]-(Table8[[#This Row],[OLD-WT]]*1%))*Table8[[#This Row],[MELTING2]])/100))*80)/100)*Table8[[#This Row],[P-RATE3]]</f>
        <v>0</v>
      </c>
      <c r="Q409" s="38"/>
      <c r="R409" s="263">
        <f t="shared" si="52"/>
        <v>0</v>
      </c>
    </row>
    <row r="410" spans="1:18" x14ac:dyDescent="0.45">
      <c r="A410" s="73">
        <v>45698</v>
      </c>
      <c r="B410" s="38" t="s">
        <v>1674</v>
      </c>
      <c r="C410" s="38"/>
      <c r="D410" s="74"/>
      <c r="E410" s="75">
        <f>VLOOKUP(B410,'ALL-DATA'!A:F,2,FALSE)</f>
        <v>59.74</v>
      </c>
      <c r="F410" s="38">
        <f>VLOOKUP(B410,'ALL-DATA'!A:F,3,FALSE)</f>
        <v>0</v>
      </c>
      <c r="G410" s="38">
        <f>VLOOKUP(B410,'ALL-DATA'!A:F,4,FALSE)</f>
        <v>0</v>
      </c>
      <c r="H410" s="76">
        <f>VLOOKUP(B410,'ALL-DATA'!A:F,5,FALSE)</f>
        <v>0</v>
      </c>
      <c r="I410" s="76">
        <f>VLOOKUP(B410,'ALL-DATA'!A:F,6,FALSE)</f>
        <v>354345</v>
      </c>
      <c r="J410" s="44">
        <v>399760</v>
      </c>
      <c r="K410" s="48"/>
      <c r="L410" s="77">
        <f t="shared" ref="L410:L423" si="59">((J410+R410)-I410)</f>
        <v>45415</v>
      </c>
      <c r="M410" s="37"/>
      <c r="N410" s="38"/>
      <c r="O410" s="38"/>
      <c r="P410" s="38">
        <f>((((((Table8[[#This Row],[OLD-WT]]-(Table8[[#This Row],[OLD-WT]]*1%))*Table8[[#This Row],[MELTING2]])/100))*80)/100)*Table8[[#This Row],[P-RATE3]]</f>
        <v>0</v>
      </c>
      <c r="Q410" s="38"/>
      <c r="R410" s="263">
        <f t="shared" si="52"/>
        <v>0</v>
      </c>
    </row>
    <row r="411" spans="1:18" x14ac:dyDescent="0.45">
      <c r="A411" s="73">
        <v>45698</v>
      </c>
      <c r="B411" s="131" t="s">
        <v>1675</v>
      </c>
      <c r="C411" s="38"/>
      <c r="D411" s="74"/>
      <c r="E411" s="75">
        <f>VLOOKUP(B411,'ALL-DATA'!A:F,2,FALSE)</f>
        <v>6</v>
      </c>
      <c r="F411" s="38">
        <f>VLOOKUP(B411,'ALL-DATA'!A:F,3,FALSE)</f>
        <v>80</v>
      </c>
      <c r="G411" s="38">
        <f>VLOOKUP(B411,'ALL-DATA'!A:F,4,FALSE)</f>
        <v>-15</v>
      </c>
      <c r="H411" s="76">
        <f>VLOOKUP(B411,'ALL-DATA'!A:F,5,FALSE)</f>
        <v>93</v>
      </c>
      <c r="I411" s="76">
        <f>VLOOKUP(B411,'ALL-DATA'!A:F,6,FALSE)</f>
        <v>446.4</v>
      </c>
      <c r="J411" s="44">
        <v>650</v>
      </c>
      <c r="K411" s="48"/>
      <c r="L411" s="77">
        <f t="shared" si="59"/>
        <v>223.30080000000009</v>
      </c>
      <c r="M411" s="37">
        <v>3.65</v>
      </c>
      <c r="N411" s="38">
        <v>80</v>
      </c>
      <c r="O411" s="38">
        <v>95</v>
      </c>
      <c r="P411" s="38">
        <f>((((((Table8[[#This Row],[OLD-WT]]-(Table8[[#This Row],[OLD-WT]]*1%))*Table8[[#This Row],[MELTING2]])/100))*80)/100)*Table8[[#This Row],[P-RATE3]]</f>
        <v>219.70080000000002</v>
      </c>
      <c r="Q411" s="38">
        <v>200</v>
      </c>
      <c r="R411" s="263">
        <f t="shared" si="52"/>
        <v>19.700800000000015</v>
      </c>
    </row>
    <row r="412" spans="1:18" x14ac:dyDescent="0.45">
      <c r="A412" s="73">
        <v>45698</v>
      </c>
      <c r="B412" s="23" t="str">
        <f>C412&amp;D412</f>
        <v>G-CHAIN-6</v>
      </c>
      <c r="C412" s="38" t="s">
        <v>724</v>
      </c>
      <c r="D412" s="74" t="s">
        <v>986</v>
      </c>
      <c r="E412" s="75">
        <f>VLOOKUP(B412,'ALL-DATA'!A:F,2,FALSE)</f>
        <v>16</v>
      </c>
      <c r="F412" s="38">
        <f>VLOOKUP(B412,'ALL-DATA'!A:F,3,FALSE)</f>
        <v>94.25</v>
      </c>
      <c r="G412" s="38">
        <f>VLOOKUP(B412,'ALL-DATA'!A:F,4,FALSE)</f>
        <v>-2.25</v>
      </c>
      <c r="H412" s="76">
        <f>VLOOKUP(B412,'ALL-DATA'!A:F,5,FALSE)</f>
        <v>7218.2</v>
      </c>
      <c r="I412" s="76">
        <f>VLOOKUP(B412,'ALL-DATA'!A:F,6,FALSE)</f>
        <v>108850.45599999999</v>
      </c>
      <c r="J412" s="44">
        <v>115000</v>
      </c>
      <c r="K412" s="48"/>
      <c r="L412" s="77">
        <f>((J412+R412)-I412)</f>
        <v>6149.544000000009</v>
      </c>
      <c r="M412" s="37"/>
      <c r="N412" s="38"/>
      <c r="O412" s="38"/>
      <c r="P412" s="38"/>
      <c r="Q412" s="38"/>
      <c r="R412" s="263"/>
    </row>
    <row r="413" spans="1:18" x14ac:dyDescent="0.45">
      <c r="A413" s="73">
        <v>45699</v>
      </c>
      <c r="B413" s="23" t="s">
        <v>1676</v>
      </c>
      <c r="C413" s="38"/>
      <c r="D413" s="74"/>
      <c r="E413" s="75">
        <f>VLOOKUP(B413,'ALL-DATA'!A:F,2,FALSE)</f>
        <v>7.5</v>
      </c>
      <c r="F413" s="38">
        <f>VLOOKUP(B413,'ALL-DATA'!A:F,3,FALSE)</f>
        <v>80</v>
      </c>
      <c r="G413" s="38">
        <f>VLOOKUP(B413,'ALL-DATA'!A:F,4,FALSE)</f>
        <v>-15</v>
      </c>
      <c r="H413" s="76">
        <f>VLOOKUP(B413,'ALL-DATA'!A:F,5,FALSE)</f>
        <v>93</v>
      </c>
      <c r="I413" s="76">
        <f>VLOOKUP(B413,'ALL-DATA'!A:F,6,FALSE)</f>
        <v>558</v>
      </c>
      <c r="J413" s="44">
        <v>1000</v>
      </c>
      <c r="K413" s="48"/>
      <c r="L413" s="77">
        <f t="shared" si="59"/>
        <v>1515.6320000000005</v>
      </c>
      <c r="M413" s="37">
        <v>71</v>
      </c>
      <c r="N413" s="38">
        <v>80</v>
      </c>
      <c r="O413" s="38">
        <v>95</v>
      </c>
      <c r="P413" s="38">
        <f>((((((Table8[[#This Row],[OLD-WT]]-(Table8[[#This Row],[OLD-WT]]*1%))*Table8[[#This Row],[MELTING2]])/100))*80)/100)*Table8[[#This Row],[P-RATE3]]</f>
        <v>4273.6320000000005</v>
      </c>
      <c r="Q413" s="38">
        <v>3200</v>
      </c>
      <c r="R413" s="263">
        <f t="shared" si="52"/>
        <v>1073.6320000000005</v>
      </c>
    </row>
    <row r="414" spans="1:18" x14ac:dyDescent="0.45">
      <c r="A414" s="73">
        <v>45701</v>
      </c>
      <c r="B414" s="38" t="str">
        <f>C414&amp;D414</f>
        <v>S-BARACELET-B-26</v>
      </c>
      <c r="C414" s="38" t="s">
        <v>737</v>
      </c>
      <c r="D414" s="74" t="s">
        <v>1084</v>
      </c>
      <c r="E414" s="75">
        <f>VLOOKUP(B414,'ALL-DATA'!A:F,2,FALSE)</f>
        <v>12.7</v>
      </c>
      <c r="F414" s="38">
        <f>VLOOKUP(B414,'ALL-DATA'!A:F,3,FALSE)</f>
        <v>77</v>
      </c>
      <c r="G414" s="38">
        <f>VLOOKUP(B414,'ALL-DATA'!A:F,4,FALSE)</f>
        <v>-12</v>
      </c>
      <c r="H414" s="76">
        <f>VLOOKUP(B414,'ALL-DATA'!A:F,5,FALSE)</f>
        <v>91.5</v>
      </c>
      <c r="I414" s="76">
        <f>VLOOKUP(B414,'ALL-DATA'!A:F,6,FALSE)</f>
        <v>894.77850000000001</v>
      </c>
      <c r="J414" s="44">
        <v>2000</v>
      </c>
      <c r="K414" s="48"/>
      <c r="L414" s="77">
        <f t="shared" si="59"/>
        <v>1105.2215000000001</v>
      </c>
      <c r="M414" s="37"/>
      <c r="N414" s="38"/>
      <c r="O414" s="38"/>
      <c r="P414" s="38">
        <f>((((((Table8[[#This Row],[OLD-WT]]-(Table8[[#This Row],[OLD-WT]]*1%))*Table8[[#This Row],[MELTING2]])/100))*80)/100)*Table8[[#This Row],[P-RATE3]]</f>
        <v>0</v>
      </c>
      <c r="Q414" s="38"/>
      <c r="R414" s="263">
        <f t="shared" si="52"/>
        <v>0</v>
      </c>
    </row>
    <row r="415" spans="1:18" x14ac:dyDescent="0.45">
      <c r="A415" s="73">
        <v>45701</v>
      </c>
      <c r="B415" s="38" t="str">
        <f>C415&amp;D415</f>
        <v>S-RING-226</v>
      </c>
      <c r="C415" s="38" t="s">
        <v>731</v>
      </c>
      <c r="D415" s="74" t="s">
        <v>1677</v>
      </c>
      <c r="E415" s="75">
        <f>VLOOKUP(B415,'ALL-DATA'!A:F,2,FALSE)</f>
        <v>3.1</v>
      </c>
      <c r="F415" s="38">
        <f>VLOOKUP(B415,'ALL-DATA'!A:F,3,FALSE)</f>
        <v>92.5</v>
      </c>
      <c r="G415" s="38">
        <f>VLOOKUP(B415,'ALL-DATA'!A:F,4,FALSE)</f>
        <v>92.5</v>
      </c>
      <c r="H415" s="76">
        <f>VLOOKUP(B415,'ALL-DATA'!A:F,5,FALSE)</f>
        <v>125.57</v>
      </c>
      <c r="I415" s="76">
        <f>VLOOKUP(B415,'ALL-DATA'!A:F,6,FALSE)</f>
        <v>389.267</v>
      </c>
      <c r="J415" s="44">
        <v>800</v>
      </c>
      <c r="K415" s="48"/>
      <c r="L415" s="77">
        <f t="shared" si="59"/>
        <v>333.03700000000021</v>
      </c>
      <c r="M415" s="37">
        <v>12</v>
      </c>
      <c r="N415" s="38">
        <v>80</v>
      </c>
      <c r="O415" s="38">
        <v>95</v>
      </c>
      <c r="P415" s="38">
        <f>((((((Table8[[#This Row],[OLD-WT]]-(Table8[[#This Row],[OLD-WT]]*1%))*Table8[[#This Row],[MELTING2]])/100))*80)/100)*Table8[[#This Row],[P-RATE3]]</f>
        <v>722.3040000000002</v>
      </c>
      <c r="Q415" s="38">
        <v>800</v>
      </c>
      <c r="R415" s="263">
        <f t="shared" ref="R415:R478" si="60">(P415-Q415)</f>
        <v>-77.695999999999799</v>
      </c>
    </row>
    <row r="416" spans="1:18" x14ac:dyDescent="0.45">
      <c r="A416" s="73">
        <v>45702</v>
      </c>
      <c r="B416" s="38" t="s">
        <v>1678</v>
      </c>
      <c r="C416" s="38"/>
      <c r="D416" s="74"/>
      <c r="E416" s="75">
        <f>VLOOKUP(B416,'ALL-DATA'!A:F,2,FALSE)</f>
        <v>1.1399999999999999</v>
      </c>
      <c r="F416" s="38">
        <f>VLOOKUP(B416,'ALL-DATA'!A:F,3,FALSE)</f>
        <v>0</v>
      </c>
      <c r="G416" s="38">
        <f>VLOOKUP(B416,'ALL-DATA'!A:F,4,FALSE)</f>
        <v>0</v>
      </c>
      <c r="H416" s="76">
        <f>VLOOKUP(B416,'ALL-DATA'!A:F,5,FALSE)</f>
        <v>0</v>
      </c>
      <c r="I416" s="76">
        <f>VLOOKUP(B416,'ALL-DATA'!A:F,6,FALSE)</f>
        <v>3200</v>
      </c>
      <c r="J416" s="44">
        <v>4800</v>
      </c>
      <c r="K416" s="48"/>
      <c r="L416" s="77">
        <f t="shared" si="59"/>
        <v>1600</v>
      </c>
      <c r="M416" s="37"/>
      <c r="N416" s="38"/>
      <c r="O416" s="38"/>
      <c r="P416" s="38">
        <f>((((((Table8[[#This Row],[OLD-WT]]-(Table8[[#This Row],[OLD-WT]]*1%))*Table8[[#This Row],[MELTING2]])/100))*80)/100)*Table8[[#This Row],[P-RATE3]]</f>
        <v>0</v>
      </c>
      <c r="Q416" s="38"/>
      <c r="R416" s="263">
        <f t="shared" si="60"/>
        <v>0</v>
      </c>
    </row>
    <row r="417" spans="1:18" x14ac:dyDescent="0.45">
      <c r="A417" s="73">
        <v>45702</v>
      </c>
      <c r="B417" s="38" t="str">
        <f>C417&amp;D417</f>
        <v>S-RING-95</v>
      </c>
      <c r="C417" s="38" t="s">
        <v>731</v>
      </c>
      <c r="D417" s="74" t="s">
        <v>1679</v>
      </c>
      <c r="E417" s="75">
        <f>VLOOKUP(B417,'ALL-DATA'!A:F,2,FALSE)</f>
        <v>3.03</v>
      </c>
      <c r="F417" s="38">
        <f>VLOOKUP(B417,'ALL-DATA'!A:F,3,FALSE)</f>
        <v>92.5</v>
      </c>
      <c r="G417" s="38">
        <f>VLOOKUP(B417,'ALL-DATA'!A:F,4,FALSE)</f>
        <v>92.5</v>
      </c>
      <c r="H417" s="76">
        <f>VLOOKUP(B417,'ALL-DATA'!A:F,5,FALSE)</f>
        <v>127</v>
      </c>
      <c r="I417" s="76">
        <f>VLOOKUP(B417,'ALL-DATA'!A:F,6,FALSE)</f>
        <v>384.81</v>
      </c>
      <c r="J417" s="44">
        <v>700</v>
      </c>
      <c r="K417" s="48"/>
      <c r="L417" s="77">
        <f t="shared" si="59"/>
        <v>355.27480000000008</v>
      </c>
      <c r="M417" s="37">
        <v>5.65</v>
      </c>
      <c r="N417" s="38">
        <v>80</v>
      </c>
      <c r="O417" s="38">
        <v>95</v>
      </c>
      <c r="P417" s="38">
        <f>((((((Table8[[#This Row],[OLD-WT]]-(Table8[[#This Row],[OLD-WT]]*1%))*Table8[[#This Row],[MELTING2]])/100))*80)/100)*Table8[[#This Row],[P-RATE3]]</f>
        <v>340.08480000000003</v>
      </c>
      <c r="Q417" s="38">
        <v>300</v>
      </c>
      <c r="R417" s="263">
        <f t="shared" si="60"/>
        <v>40.08480000000003</v>
      </c>
    </row>
    <row r="418" spans="1:18" x14ac:dyDescent="0.45">
      <c r="A418" s="73">
        <v>45702</v>
      </c>
      <c r="B418" s="38" t="str">
        <f>C418&amp;D418</f>
        <v>S-CHAIN-N-100</v>
      </c>
      <c r="C418" s="38" t="s">
        <v>732</v>
      </c>
      <c r="D418" s="74" t="s">
        <v>1680</v>
      </c>
      <c r="E418" s="75">
        <f>VLOOKUP(B418,'ALL-DATA'!A:F,2,FALSE)</f>
        <v>10.8</v>
      </c>
      <c r="F418" s="38">
        <f>VLOOKUP(B418,'ALL-DATA'!A:F,3,FALSE)</f>
        <v>82</v>
      </c>
      <c r="G418" s="38">
        <f>VLOOKUP(B418,'ALL-DATA'!A:F,4,FALSE)</f>
        <v>17</v>
      </c>
      <c r="H418" s="76">
        <f>VLOOKUP(B418,'ALL-DATA'!A:F,5,FALSE)</f>
        <v>92.18</v>
      </c>
      <c r="I418" s="76">
        <f>VLOOKUP(B418,'ALL-DATA'!A:F,6,FALSE)</f>
        <v>816.34608000000003</v>
      </c>
      <c r="J418" s="44">
        <v>1900</v>
      </c>
      <c r="K418" s="48"/>
      <c r="L418" s="77">
        <f t="shared" si="59"/>
        <v>1059.8715200000004</v>
      </c>
      <c r="M418" s="37">
        <v>42.8</v>
      </c>
      <c r="N418" s="38">
        <v>80</v>
      </c>
      <c r="O418" s="38">
        <v>95</v>
      </c>
      <c r="P418" s="38">
        <f>((((((Table8[[#This Row],[OLD-WT]]-(Table8[[#This Row],[OLD-WT]]*1%))*Table8[[#This Row],[MELTING2]])/100))*80)/100)*Table8[[#This Row],[P-RATE3]]</f>
        <v>2576.2176000000004</v>
      </c>
      <c r="Q418" s="38">
        <v>2600</v>
      </c>
      <c r="R418" s="263">
        <f t="shared" si="60"/>
        <v>-23.782399999999598</v>
      </c>
    </row>
    <row r="419" spans="1:18" x14ac:dyDescent="0.45">
      <c r="A419" s="73">
        <v>45702</v>
      </c>
      <c r="B419" s="38" t="str">
        <f>C419&amp;D419</f>
        <v>S-RING-98</v>
      </c>
      <c r="C419" s="38" t="s">
        <v>731</v>
      </c>
      <c r="D419" s="74" t="s">
        <v>1658</v>
      </c>
      <c r="E419" s="75">
        <f>VLOOKUP(B419,'ALL-DATA'!A:F,2,FALSE)</f>
        <v>2.73</v>
      </c>
      <c r="F419" s="38">
        <f>VLOOKUP(B419,'ALL-DATA'!A:F,3,FALSE)</f>
        <v>92.5</v>
      </c>
      <c r="G419" s="38">
        <f>VLOOKUP(B419,'ALL-DATA'!A:F,4,FALSE)</f>
        <v>92.5</v>
      </c>
      <c r="H419" s="76">
        <f>VLOOKUP(B419,'ALL-DATA'!A:F,5,FALSE)</f>
        <v>127</v>
      </c>
      <c r="I419" s="76">
        <f>VLOOKUP(B419,'ALL-DATA'!A:F,6,FALSE)</f>
        <v>346.71</v>
      </c>
      <c r="J419" s="44">
        <v>700</v>
      </c>
      <c r="K419" s="48"/>
      <c r="L419" s="77">
        <f t="shared" si="59"/>
        <v>353.29</v>
      </c>
      <c r="M419" s="37"/>
      <c r="N419" s="38"/>
      <c r="O419" s="38"/>
      <c r="P419" s="38">
        <f>((((((Table8[[#This Row],[OLD-WT]]-(Table8[[#This Row],[OLD-WT]]*1%))*Table8[[#This Row],[MELTING2]])/100))*80)/100)*Table8[[#This Row],[P-RATE3]]</f>
        <v>0</v>
      </c>
      <c r="Q419" s="38"/>
      <c r="R419" s="263">
        <f t="shared" si="60"/>
        <v>0</v>
      </c>
    </row>
    <row r="420" spans="1:18" x14ac:dyDescent="0.45">
      <c r="A420" s="73">
        <v>45703</v>
      </c>
      <c r="B420" s="38" t="str">
        <f>C420&amp;D420</f>
        <v>G-TLI-MNI-THAYTH-30</v>
      </c>
      <c r="C420" s="38" t="s">
        <v>723</v>
      </c>
      <c r="D420" s="74" t="s">
        <v>1456</v>
      </c>
      <c r="E420" s="75">
        <f>VLOOKUP(B420,'ALL-DATA'!A:F,2,FALSE)</f>
        <v>1.04</v>
      </c>
      <c r="F420" s="38">
        <f>VLOOKUP(B420,'ALL-DATA'!A:F,3,FALSE)</f>
        <v>85</v>
      </c>
      <c r="G420" s="38">
        <f>VLOOKUP(B420,'ALL-DATA'!A:F,4,FALSE)</f>
        <v>-8</v>
      </c>
      <c r="H420" s="76">
        <f>VLOOKUP(B420,'ALL-DATA'!A:F,5,FALSE)</f>
        <v>7290</v>
      </c>
      <c r="I420" s="76">
        <f>VLOOKUP(B420,'ALL-DATA'!A:F,6,FALSE)</f>
        <v>6444.36</v>
      </c>
      <c r="J420" s="44">
        <v>9700</v>
      </c>
      <c r="K420" s="48"/>
      <c r="L420" s="77">
        <f t="shared" si="59"/>
        <v>3255.6400000000003</v>
      </c>
      <c r="M420" s="37"/>
      <c r="N420" s="38"/>
      <c r="O420" s="38"/>
      <c r="P420" s="38">
        <f>((((((Table8[[#This Row],[OLD-WT]]-(Table8[[#This Row],[OLD-WT]]*1%))*Table8[[#This Row],[MELTING2]])/100))*80)/100)*Table8[[#This Row],[P-RATE3]]</f>
        <v>0</v>
      </c>
      <c r="Q420" s="38"/>
      <c r="R420" s="263">
        <f t="shared" si="60"/>
        <v>0</v>
      </c>
    </row>
    <row r="421" spans="1:18" x14ac:dyDescent="0.45">
      <c r="A421" s="73">
        <v>45703</v>
      </c>
      <c r="B421" s="131" t="s">
        <v>1681</v>
      </c>
      <c r="C421" s="38"/>
      <c r="D421" s="74"/>
      <c r="E421" s="75">
        <f>VLOOKUP(B421,'ALL-DATA'!A:F,2,FALSE)</f>
        <v>11.5</v>
      </c>
      <c r="F421" s="38">
        <f>VLOOKUP(B421,'ALL-DATA'!A:F,3,FALSE)</f>
        <v>80</v>
      </c>
      <c r="G421" s="38">
        <f>VLOOKUP(B421,'ALL-DATA'!A:F,4,FALSE)</f>
        <v>-15</v>
      </c>
      <c r="H421" s="76">
        <f>VLOOKUP(B421,'ALL-DATA'!A:F,5,FALSE)</f>
        <v>93</v>
      </c>
      <c r="I421" s="76">
        <f>VLOOKUP(B421,'ALL-DATA'!A:F,6,FALSE)</f>
        <v>855.59999999999991</v>
      </c>
      <c r="J421" s="44">
        <v>1450</v>
      </c>
      <c r="K421" s="48"/>
      <c r="L421" s="77">
        <f t="shared" si="59"/>
        <v>594.40000000000009</v>
      </c>
      <c r="M421" s="37"/>
      <c r="N421" s="38"/>
      <c r="O421" s="38"/>
      <c r="P421" s="38">
        <f>((((((Table8[[#This Row],[OLD-WT]]-(Table8[[#This Row],[OLD-WT]]*1%))*Table8[[#This Row],[MELTING2]])/100))*80)/100)*Table8[[#This Row],[P-RATE3]]</f>
        <v>0</v>
      </c>
      <c r="Q421" s="38"/>
      <c r="R421" s="263">
        <f t="shared" si="60"/>
        <v>0</v>
      </c>
    </row>
    <row r="422" spans="1:18" x14ac:dyDescent="0.45">
      <c r="A422" s="73">
        <v>45703</v>
      </c>
      <c r="B422" s="131" t="s">
        <v>1682</v>
      </c>
      <c r="C422" s="38"/>
      <c r="D422" s="74"/>
      <c r="E422" s="75">
        <f>VLOOKUP(B422,'ALL-DATA'!A:F,2,FALSE)</f>
        <v>10.9</v>
      </c>
      <c r="F422" s="38">
        <f>VLOOKUP(B422,'ALL-DATA'!A:F,3,FALSE)</f>
        <v>80</v>
      </c>
      <c r="G422" s="38">
        <f>VLOOKUP(B422,'ALL-DATA'!A:F,4,FALSE)</f>
        <v>-15</v>
      </c>
      <c r="H422" s="76">
        <f>VLOOKUP(B422,'ALL-DATA'!A:F,5,FALSE)</f>
        <v>93</v>
      </c>
      <c r="I422" s="76">
        <f>VLOOKUP(B422,'ALL-DATA'!A:F,6,FALSE)</f>
        <v>810.96</v>
      </c>
      <c r="J422" s="44">
        <v>1400</v>
      </c>
      <c r="K422" s="48"/>
      <c r="L422" s="77">
        <f t="shared" si="59"/>
        <v>568.2496000000001</v>
      </c>
      <c r="M422" s="37">
        <v>6.3</v>
      </c>
      <c r="N422" s="38">
        <v>80</v>
      </c>
      <c r="O422" s="38">
        <v>95</v>
      </c>
      <c r="P422" s="38">
        <f>((((((Table8[[#This Row],[OLD-WT]]-(Table8[[#This Row],[OLD-WT]]*1%))*Table8[[#This Row],[MELTING2]])/100))*80)/100)*Table8[[#This Row],[P-RATE3]]</f>
        <v>379.20960000000002</v>
      </c>
      <c r="Q422" s="38">
        <v>400</v>
      </c>
      <c r="R422" s="263">
        <f t="shared" si="60"/>
        <v>-20.790399999999977</v>
      </c>
    </row>
    <row r="423" spans="1:18" x14ac:dyDescent="0.45">
      <c r="A423" s="73">
        <v>45703</v>
      </c>
      <c r="B423" s="38" t="str">
        <f>C423&amp;D423</f>
        <v>S-RING-310</v>
      </c>
      <c r="C423" s="38" t="s">
        <v>731</v>
      </c>
      <c r="D423" s="74" t="s">
        <v>1683</v>
      </c>
      <c r="E423" s="75">
        <f>VLOOKUP(B423,'ALL-DATA'!A:F,2,FALSE)</f>
        <v>2.2000000000000002</v>
      </c>
      <c r="F423" s="38">
        <f>VLOOKUP(B423,'ALL-DATA'!A:F,3,FALSE)</f>
        <v>92.5</v>
      </c>
      <c r="G423" s="38">
        <f>VLOOKUP(B423,'ALL-DATA'!A:F,4,FALSE)</f>
        <v>92.5</v>
      </c>
      <c r="H423" s="76">
        <f>VLOOKUP(B423,'ALL-DATA'!A:F,5,FALSE)</f>
        <v>132</v>
      </c>
      <c r="I423" s="76">
        <f>VLOOKUP(B423,'ALL-DATA'!A:F,6,FALSE)</f>
        <v>290.40000000000003</v>
      </c>
      <c r="J423" s="44">
        <v>550</v>
      </c>
      <c r="K423" s="48"/>
      <c r="L423" s="77">
        <f t="shared" si="59"/>
        <v>259.59999999999997</v>
      </c>
      <c r="M423" s="37"/>
      <c r="N423" s="38"/>
      <c r="O423" s="38"/>
      <c r="P423" s="38">
        <f>((((((Table8[[#This Row],[OLD-WT]]-(Table8[[#This Row],[OLD-WT]]*1%))*Table8[[#This Row],[MELTING2]])/100))*80)/100)*Table8[[#This Row],[P-RATE3]]</f>
        <v>0</v>
      </c>
      <c r="Q423" s="38"/>
      <c r="R423" s="263">
        <f t="shared" si="60"/>
        <v>0</v>
      </c>
    </row>
    <row r="424" spans="1:18" x14ac:dyDescent="0.45">
      <c r="A424" s="73">
        <v>45705</v>
      </c>
      <c r="B424" s="38" t="str">
        <f>C424&amp;D424</f>
        <v>S-RING-101</v>
      </c>
      <c r="C424" s="38" t="s">
        <v>731</v>
      </c>
      <c r="D424" s="74" t="s">
        <v>1685</v>
      </c>
      <c r="E424" s="75">
        <f>VLOOKUP(B424,'ALL-DATA'!A:F,2,FALSE)</f>
        <v>3.06</v>
      </c>
      <c r="F424" s="38">
        <f>VLOOKUP(B424,'ALL-DATA'!A:F,3,FALSE)</f>
        <v>92.5</v>
      </c>
      <c r="G424" s="38">
        <f>VLOOKUP(B424,'ALL-DATA'!A:F,4,FALSE)</f>
        <v>92.5</v>
      </c>
      <c r="H424" s="76">
        <f>VLOOKUP(B424,'ALL-DATA'!A:F,5,FALSE)</f>
        <v>127</v>
      </c>
      <c r="I424" s="76">
        <f>VLOOKUP(B424,'ALL-DATA'!A:F,6,FALSE)</f>
        <v>388.62</v>
      </c>
      <c r="J424" s="44">
        <v>750</v>
      </c>
      <c r="K424" s="48"/>
      <c r="L424" s="77">
        <f t="shared" ref="L424:L436" si="61">((J424+R424)-I424)</f>
        <v>361.17680000000007</v>
      </c>
      <c r="M424" s="37">
        <v>4.1500000000000004</v>
      </c>
      <c r="N424" s="38">
        <v>80</v>
      </c>
      <c r="O424" s="38">
        <v>95</v>
      </c>
      <c r="P424" s="38">
        <f>((((((Table8[[#This Row],[OLD-WT]]-(Table8[[#This Row],[OLD-WT]]*1%))*Table8[[#This Row],[MELTING2]])/100))*80)/100)*Table8[[#This Row],[P-RATE3]]</f>
        <v>249.79680000000002</v>
      </c>
      <c r="Q424" s="38">
        <v>250</v>
      </c>
      <c r="R424" s="263">
        <f t="shared" si="60"/>
        <v>-0.20319999999998117</v>
      </c>
    </row>
    <row r="425" spans="1:18" x14ac:dyDescent="0.45">
      <c r="A425" s="73">
        <v>45707</v>
      </c>
      <c r="B425" s="38" t="str">
        <f>C425&amp;D425</f>
        <v>S-RING-88</v>
      </c>
      <c r="C425" s="38" t="s">
        <v>731</v>
      </c>
      <c r="D425" s="74" t="s">
        <v>1686</v>
      </c>
      <c r="E425" s="75">
        <f>VLOOKUP(B425,'ALL-DATA'!A:F,2,FALSE)</f>
        <v>3.87</v>
      </c>
      <c r="F425" s="38">
        <f>VLOOKUP(B425,'ALL-DATA'!A:F,3,FALSE)</f>
        <v>92.5</v>
      </c>
      <c r="G425" s="38">
        <f>VLOOKUP(B425,'ALL-DATA'!A:F,4,FALSE)</f>
        <v>92.5</v>
      </c>
      <c r="H425" s="76">
        <f>VLOOKUP(B425,'ALL-DATA'!A:F,5,FALSE)</f>
        <v>127</v>
      </c>
      <c r="I425" s="76">
        <f>VLOOKUP(B425,'ALL-DATA'!A:F,6,FALSE)</f>
        <v>491.49</v>
      </c>
      <c r="J425" s="44">
        <v>700</v>
      </c>
      <c r="K425" s="48"/>
      <c r="L425" s="77">
        <f t="shared" si="61"/>
        <v>219.18200000000002</v>
      </c>
      <c r="M425" s="37">
        <v>3.5</v>
      </c>
      <c r="N425" s="38">
        <v>80</v>
      </c>
      <c r="O425" s="38">
        <v>95</v>
      </c>
      <c r="P425" s="38">
        <f>((((((Table8[[#This Row],[OLD-WT]]-(Table8[[#This Row],[OLD-WT]]*1%))*Table8[[#This Row],[MELTING2]])/100))*80)/100)*Table8[[#This Row],[P-RATE3]]</f>
        <v>210.672</v>
      </c>
      <c r="Q425" s="38">
        <v>200</v>
      </c>
      <c r="R425" s="263">
        <f t="shared" si="60"/>
        <v>10.671999999999997</v>
      </c>
    </row>
    <row r="426" spans="1:18" x14ac:dyDescent="0.45">
      <c r="A426" s="73">
        <v>45708</v>
      </c>
      <c r="B426" s="132" t="s">
        <v>803</v>
      </c>
      <c r="C426" s="38"/>
      <c r="D426" s="74"/>
      <c r="E426" s="75">
        <f>VLOOKUP(B426,'ALL-DATA'!A:F,2,FALSE)</f>
        <v>0</v>
      </c>
      <c r="F426" s="38">
        <f>VLOOKUP(B426,'ALL-DATA'!A:F,3,FALSE)</f>
        <v>0</v>
      </c>
      <c r="G426" s="38">
        <f>VLOOKUP(B426,'ALL-DATA'!A:F,4,FALSE)</f>
        <v>0</v>
      </c>
      <c r="H426" s="76">
        <f>VLOOKUP(B426,'ALL-DATA'!A:F,5,FALSE)</f>
        <v>0</v>
      </c>
      <c r="I426" s="76">
        <f>VLOOKUP(B426,'ALL-DATA'!A:F,6,FALSE)</f>
        <v>135</v>
      </c>
      <c r="J426" s="44">
        <v>500</v>
      </c>
      <c r="K426" s="48"/>
      <c r="L426" s="77">
        <f t="shared" si="61"/>
        <v>365</v>
      </c>
      <c r="M426" s="37"/>
      <c r="N426" s="38"/>
      <c r="O426" s="38"/>
      <c r="P426" s="38">
        <f>((((((Table8[[#This Row],[OLD-WT]]-(Table8[[#This Row],[OLD-WT]]*1%))*Table8[[#This Row],[MELTING2]])/100))*80)/100)*Table8[[#This Row],[P-RATE3]]</f>
        <v>0</v>
      </c>
      <c r="Q426" s="38"/>
      <c r="R426" s="263">
        <f t="shared" si="60"/>
        <v>0</v>
      </c>
    </row>
    <row r="427" spans="1:18" x14ac:dyDescent="0.45">
      <c r="A427" s="73">
        <v>45708</v>
      </c>
      <c r="B427" s="131" t="s">
        <v>803</v>
      </c>
      <c r="C427" s="38"/>
      <c r="D427" s="74"/>
      <c r="E427" s="75">
        <f>VLOOKUP(B427,'ALL-DATA'!A:F,2,FALSE)</f>
        <v>0</v>
      </c>
      <c r="F427" s="38">
        <f>VLOOKUP(B427,'ALL-DATA'!A:F,3,FALSE)</f>
        <v>0</v>
      </c>
      <c r="G427" s="38">
        <f>VLOOKUP(B427,'ALL-DATA'!A:F,4,FALSE)</f>
        <v>0</v>
      </c>
      <c r="H427" s="76">
        <f>VLOOKUP(B427,'ALL-DATA'!A:F,5,FALSE)</f>
        <v>0</v>
      </c>
      <c r="I427" s="76">
        <f>VLOOKUP(B427,'ALL-DATA'!A:F,6,FALSE)</f>
        <v>135</v>
      </c>
      <c r="J427" s="44">
        <v>500</v>
      </c>
      <c r="K427" s="48"/>
      <c r="L427" s="77">
        <f t="shared" si="61"/>
        <v>923.15999999999985</v>
      </c>
      <c r="M427" s="37">
        <v>42.5</v>
      </c>
      <c r="N427" s="38">
        <v>80</v>
      </c>
      <c r="O427" s="38">
        <v>95</v>
      </c>
      <c r="P427" s="38">
        <f>((((((Table8[[#This Row],[OLD-WT]]-(Table8[[#This Row],[OLD-WT]]*1%))*Table8[[#This Row],[MELTING2]])/100))*80)/100)*Table8[[#This Row],[P-RATE3]]</f>
        <v>2558.16</v>
      </c>
      <c r="Q427" s="38">
        <v>2000</v>
      </c>
      <c r="R427" s="263">
        <f t="shared" si="60"/>
        <v>558.15999999999985</v>
      </c>
    </row>
    <row r="428" spans="1:18" x14ac:dyDescent="0.45">
      <c r="A428" s="73">
        <v>45710</v>
      </c>
      <c r="B428" s="131" t="str">
        <f>Table8[[#This Row],[Column2]]&amp;Table8[[#This Row],[Column1]]</f>
        <v>S-S-KOLUSU-38</v>
      </c>
      <c r="C428" s="38" t="s">
        <v>726</v>
      </c>
      <c r="D428" s="74" t="s">
        <v>895</v>
      </c>
      <c r="E428" s="75">
        <f>VLOOKUP(B428,'ALL-DATA'!A:F,2,FALSE)</f>
        <v>72.459999999999994</v>
      </c>
      <c r="F428" s="38">
        <f>VLOOKUP(B428,'ALL-DATA'!A:F,3,FALSE)</f>
        <v>76.5</v>
      </c>
      <c r="G428" s="38">
        <f>VLOOKUP(B428,'ALL-DATA'!A:F,4,FALSE)</f>
        <v>-11.5</v>
      </c>
      <c r="H428" s="76">
        <f>VLOOKUP(B428,'ALL-DATA'!A:F,5,FALSE)</f>
        <v>89.9</v>
      </c>
      <c r="I428" s="76">
        <f>VLOOKUP(B428,'ALL-DATA'!A:F,6,FALSE)</f>
        <v>4983.3278099999998</v>
      </c>
      <c r="J428" s="44">
        <v>8400</v>
      </c>
      <c r="K428" s="48"/>
      <c r="L428" s="77">
        <f t="shared" si="61"/>
        <v>2466.0801899999997</v>
      </c>
      <c r="M428" s="37">
        <v>49</v>
      </c>
      <c r="N428" s="38">
        <v>80</v>
      </c>
      <c r="O428" s="38">
        <v>95</v>
      </c>
      <c r="P428" s="38">
        <f>((((((Table8[[#This Row],[OLD-WT]]-(Table8[[#This Row],[OLD-WT]]*1%))*Table8[[#This Row],[MELTING2]])/100))*80)/100)*Table8[[#This Row],[P-RATE3]]</f>
        <v>2949.4079999999999</v>
      </c>
      <c r="Q428" s="38">
        <v>3900</v>
      </c>
      <c r="R428" s="263">
        <f t="shared" si="60"/>
        <v>-950.5920000000001</v>
      </c>
    </row>
    <row r="429" spans="1:18" x14ac:dyDescent="0.45">
      <c r="A429" s="73">
        <v>45710</v>
      </c>
      <c r="B429" s="38" t="str">
        <f>C429&amp;D429</f>
        <v>S-THANDA-K17</v>
      </c>
      <c r="C429" s="38" t="s">
        <v>728</v>
      </c>
      <c r="D429" s="74" t="s">
        <v>830</v>
      </c>
      <c r="E429" s="75">
        <f>VLOOKUP(B429,'ALL-DATA'!A:F,2,FALSE)</f>
        <v>13.4</v>
      </c>
      <c r="F429" s="38">
        <f>VLOOKUP(B429,'ALL-DATA'!A:F,3,FALSE)</f>
        <v>80</v>
      </c>
      <c r="G429" s="38">
        <f>VLOOKUP(B429,'ALL-DATA'!A:F,4,FALSE)</f>
        <v>-25</v>
      </c>
      <c r="H429" s="76">
        <f>VLOOKUP(B429,'ALL-DATA'!A:F,5,FALSE)</f>
        <v>90</v>
      </c>
      <c r="I429" s="76">
        <f>VLOOKUP(B429,'ALL-DATA'!A:F,6,FALSE)</f>
        <v>964.80000000000007</v>
      </c>
      <c r="J429" s="44">
        <v>1800</v>
      </c>
      <c r="K429" s="48"/>
      <c r="L429" s="77">
        <f t="shared" si="61"/>
        <v>835.19999999999993</v>
      </c>
      <c r="M429" s="37"/>
      <c r="N429" s="38"/>
      <c r="O429" s="38"/>
      <c r="P429" s="38">
        <f>((((((Table8[[#This Row],[OLD-WT]]-(Table8[[#This Row],[OLD-WT]]*1%))*Table8[[#This Row],[MELTING2]])/100))*80)/100)*Table8[[#This Row],[P-RATE3]]</f>
        <v>0</v>
      </c>
      <c r="Q429" s="38"/>
      <c r="R429" s="263">
        <f t="shared" si="60"/>
        <v>0</v>
      </c>
    </row>
    <row r="430" spans="1:18" x14ac:dyDescent="0.45">
      <c r="A430" s="73">
        <v>45710</v>
      </c>
      <c r="B430" s="38" t="str">
        <f>C430&amp;D430</f>
        <v>S-BANGLE-15</v>
      </c>
      <c r="C430" s="38" t="s">
        <v>988</v>
      </c>
      <c r="D430" s="74" t="s">
        <v>774</v>
      </c>
      <c r="E430" s="75">
        <f>VLOOKUP(B430,'ALL-DATA'!A:F,2,FALSE)</f>
        <v>14.2</v>
      </c>
      <c r="F430" s="38">
        <f>VLOOKUP(B430,'ALL-DATA'!A:F,3,FALSE)</f>
        <v>76</v>
      </c>
      <c r="G430" s="38">
        <f>VLOOKUP(B430,'ALL-DATA'!A:F,4,FALSE)</f>
        <v>-11</v>
      </c>
      <c r="H430" s="76">
        <f>VLOOKUP(B430,'ALL-DATA'!A:F,5,FALSE)</f>
        <v>91.5</v>
      </c>
      <c r="I430" s="76">
        <f>VLOOKUP(B430,'ALL-DATA'!A:F,6,FALSE)</f>
        <v>987.46799999999996</v>
      </c>
      <c r="J430" s="44">
        <v>2050</v>
      </c>
      <c r="K430" s="48"/>
      <c r="L430" s="77">
        <f t="shared" si="61"/>
        <v>838.12240000000008</v>
      </c>
      <c r="M430" s="37">
        <v>18.7</v>
      </c>
      <c r="N430" s="38">
        <v>80</v>
      </c>
      <c r="O430" s="38">
        <v>95</v>
      </c>
      <c r="P430" s="38">
        <f>((((((Table8[[#This Row],[OLD-WT]]-(Table8[[#This Row],[OLD-WT]]*1%))*Table8[[#This Row],[MELTING2]])/100))*80)/100)*Table8[[#This Row],[P-RATE3]]</f>
        <v>1125.5904</v>
      </c>
      <c r="Q430" s="38">
        <v>1350</v>
      </c>
      <c r="R430" s="263">
        <f t="shared" si="60"/>
        <v>-224.40959999999995</v>
      </c>
    </row>
    <row r="431" spans="1:18" x14ac:dyDescent="0.45">
      <c r="A431" s="73">
        <v>45710</v>
      </c>
      <c r="B431" s="38" t="s">
        <v>1687</v>
      </c>
      <c r="C431" s="38"/>
      <c r="D431" s="74"/>
      <c r="E431" s="75">
        <f>VLOOKUP(B431,'ALL-DATA'!A:F,2,FALSE)</f>
        <v>4</v>
      </c>
      <c r="F431" s="38">
        <f>VLOOKUP(B431,'ALL-DATA'!A:F,3,FALSE)</f>
        <v>92</v>
      </c>
      <c r="G431" s="38">
        <f>VLOOKUP(B431,'ALL-DATA'!A:F,4,FALSE)</f>
        <v>0</v>
      </c>
      <c r="H431" s="76">
        <f>VLOOKUP(B431,'ALL-DATA'!A:F,5,FALSE)</f>
        <v>8835</v>
      </c>
      <c r="I431" s="76">
        <f>VLOOKUP(B431,'ALL-DATA'!A:F,6,FALSE)</f>
        <v>35280</v>
      </c>
      <c r="J431" s="44">
        <v>37500</v>
      </c>
      <c r="K431" s="48"/>
      <c r="L431" s="77">
        <f t="shared" si="61"/>
        <v>2220</v>
      </c>
      <c r="M431" s="37"/>
      <c r="N431" s="38"/>
      <c r="O431" s="38"/>
      <c r="P431" s="38">
        <f>((((((Table8[[#This Row],[OLD-WT]]-(Table8[[#This Row],[OLD-WT]]*1%))*Table8[[#This Row],[MELTING2]])/100))*80)/100)*Table8[[#This Row],[P-RATE3]]</f>
        <v>0</v>
      </c>
      <c r="Q431" s="38"/>
      <c r="R431" s="263">
        <f t="shared" si="60"/>
        <v>0</v>
      </c>
    </row>
    <row r="432" spans="1:18" x14ac:dyDescent="0.45">
      <c r="A432" s="73">
        <v>45710</v>
      </c>
      <c r="B432" s="131" t="s">
        <v>1688</v>
      </c>
      <c r="C432" s="38"/>
      <c r="D432" s="74"/>
      <c r="E432" s="75">
        <f>VLOOKUP(B432,'ALL-DATA'!A:F,2,FALSE)</f>
        <v>13</v>
      </c>
      <c r="F432" s="38">
        <f>VLOOKUP(B432,'ALL-DATA'!A:F,3,FALSE)</f>
        <v>80</v>
      </c>
      <c r="G432" s="38">
        <f>VLOOKUP(B432,'ALL-DATA'!A:F,4,FALSE)</f>
        <v>-15</v>
      </c>
      <c r="H432" s="76">
        <f>VLOOKUP(B432,'ALL-DATA'!A:F,5,FALSE)</f>
        <v>93</v>
      </c>
      <c r="I432" s="76">
        <f>VLOOKUP(B432,'ALL-DATA'!A:F,6,FALSE)</f>
        <v>967.2</v>
      </c>
      <c r="J432" s="44">
        <v>1500</v>
      </c>
      <c r="K432" s="48"/>
      <c r="L432" s="77">
        <f t="shared" si="61"/>
        <v>532.79999999999995</v>
      </c>
      <c r="M432" s="37"/>
      <c r="N432" s="38"/>
      <c r="O432" s="38"/>
      <c r="P432" s="38">
        <f>((((((Table8[[#This Row],[OLD-WT]]-(Table8[[#This Row],[OLD-WT]]*1%))*Table8[[#This Row],[MELTING2]])/100))*80)/100)*Table8[[#This Row],[P-RATE3]]</f>
        <v>0</v>
      </c>
      <c r="Q432" s="38"/>
      <c r="R432" s="263">
        <f t="shared" si="60"/>
        <v>0</v>
      </c>
    </row>
    <row r="433" spans="1:18" x14ac:dyDescent="0.45">
      <c r="A433" s="73">
        <v>6</v>
      </c>
      <c r="B433" s="1" t="s">
        <v>1689</v>
      </c>
      <c r="C433" s="38"/>
      <c r="D433" s="74"/>
      <c r="E433" s="75">
        <f>VLOOKUP(B433,'ALL-DATA'!A:F,2,FALSE)</f>
        <v>3.7</v>
      </c>
      <c r="F433" s="38">
        <f>VLOOKUP(B433,'ALL-DATA'!A:F,3,FALSE)</f>
        <v>60</v>
      </c>
      <c r="G433" s="38">
        <f>VLOOKUP(B433,'ALL-DATA'!A:F,4,FALSE)</f>
        <v>0</v>
      </c>
      <c r="H433" s="76">
        <f>VLOOKUP(B433,'ALL-DATA'!A:F,5,FALSE)</f>
        <v>6050</v>
      </c>
      <c r="I433" s="76">
        <f>VLOOKUP(B433,'ALL-DATA'!A:F,6,FALSE)</f>
        <v>13431</v>
      </c>
      <c r="J433" s="44">
        <v>13500</v>
      </c>
      <c r="K433" s="48"/>
      <c r="L433" s="77">
        <f t="shared" si="61"/>
        <v>69</v>
      </c>
      <c r="M433" s="37"/>
      <c r="N433" s="38"/>
      <c r="O433" s="38"/>
      <c r="P433" s="38">
        <f>((((((Table8[[#This Row],[OLD-WT]]-(Table8[[#This Row],[OLD-WT]]*1%))*Table8[[#This Row],[MELTING2]])/100))*80)/100)*Table8[[#This Row],[P-RATE3]]</f>
        <v>0</v>
      </c>
      <c r="Q433" s="38"/>
      <c r="R433" s="263">
        <f t="shared" si="60"/>
        <v>0</v>
      </c>
    </row>
    <row r="434" spans="1:18" x14ac:dyDescent="0.45">
      <c r="A434" s="73">
        <v>45712</v>
      </c>
      <c r="B434" s="38" t="str">
        <f>C434&amp;D434</f>
        <v>S-RING-146</v>
      </c>
      <c r="C434" s="38" t="s">
        <v>731</v>
      </c>
      <c r="D434" s="74" t="s">
        <v>1690</v>
      </c>
      <c r="E434" s="75">
        <f>VLOOKUP(B434,'ALL-DATA'!A:F,2,FALSE)</f>
        <v>6.12</v>
      </c>
      <c r="F434" s="38">
        <f>VLOOKUP(B434,'ALL-DATA'!A:F,3,FALSE)</f>
        <v>92.5</v>
      </c>
      <c r="G434" s="38">
        <f>VLOOKUP(B434,'ALL-DATA'!A:F,4,FALSE)</f>
        <v>92.5</v>
      </c>
      <c r="H434" s="76">
        <f>VLOOKUP(B434,'ALL-DATA'!A:F,5,FALSE)</f>
        <v>131.65</v>
      </c>
      <c r="I434" s="76">
        <f>VLOOKUP(B434,'ALL-DATA'!A:F,6,FALSE)</f>
        <v>805.69800000000009</v>
      </c>
      <c r="J434" s="44">
        <v>1200</v>
      </c>
      <c r="K434" s="48"/>
      <c r="L434" s="77">
        <f t="shared" si="61"/>
        <v>394.30199999999991</v>
      </c>
      <c r="M434" s="37"/>
      <c r="N434" s="38"/>
      <c r="O434" s="38"/>
      <c r="P434" s="38">
        <f>((((((Table8[[#This Row],[OLD-WT]]-(Table8[[#This Row],[OLD-WT]]*1%))*Table8[[#This Row],[MELTING2]])/100))*80)/100)*Table8[[#This Row],[P-RATE3]]</f>
        <v>0</v>
      </c>
      <c r="Q434" s="38"/>
      <c r="R434" s="263">
        <f t="shared" si="60"/>
        <v>0</v>
      </c>
    </row>
    <row r="435" spans="1:18" x14ac:dyDescent="0.45">
      <c r="A435" s="73">
        <v>45713</v>
      </c>
      <c r="B435" s="38" t="str">
        <f>C435&amp;D435</f>
        <v>S-BARACELET-B-9</v>
      </c>
      <c r="C435" s="38" t="s">
        <v>737</v>
      </c>
      <c r="D435" s="74" t="s">
        <v>1318</v>
      </c>
      <c r="E435" s="75">
        <f>VLOOKUP(B435,'ALL-DATA'!A:F,2,FALSE)</f>
        <v>24.1</v>
      </c>
      <c r="F435" s="38">
        <f>VLOOKUP(B435,'ALL-DATA'!A:F,3,FALSE)</f>
        <v>86</v>
      </c>
      <c r="G435" s="38">
        <f>VLOOKUP(B435,'ALL-DATA'!A:F,4,FALSE)</f>
        <v>-65</v>
      </c>
      <c r="H435" s="76">
        <f>VLOOKUP(B435,'ALL-DATA'!A:F,5,FALSE)</f>
        <v>90</v>
      </c>
      <c r="I435" s="76">
        <f>VLOOKUP(B435,'ALL-DATA'!A:F,6,FALSE)</f>
        <v>1865.34</v>
      </c>
      <c r="J435" s="44">
        <v>3100</v>
      </c>
      <c r="K435" s="48"/>
      <c r="L435" s="77">
        <f t="shared" si="61"/>
        <v>1234.6600000000001</v>
      </c>
      <c r="M435" s="37"/>
      <c r="N435" s="38"/>
      <c r="O435" s="38"/>
      <c r="P435" s="38">
        <f>((((((Table8[[#This Row],[OLD-WT]]-(Table8[[#This Row],[OLD-WT]]*1%))*Table8[[#This Row],[MELTING2]])/100))*80)/100)*Table8[[#This Row],[P-RATE3]]</f>
        <v>0</v>
      </c>
      <c r="Q435" s="38"/>
      <c r="R435" s="263">
        <f t="shared" si="60"/>
        <v>0</v>
      </c>
    </row>
    <row r="436" spans="1:18" x14ac:dyDescent="0.45">
      <c r="A436" s="73">
        <v>45717</v>
      </c>
      <c r="B436" s="38" t="str">
        <f>C436&amp;D436</f>
        <v>S-B-KOLUSU--46</v>
      </c>
      <c r="C436" s="38" t="s">
        <v>727</v>
      </c>
      <c r="D436" s="74" t="s">
        <v>1271</v>
      </c>
      <c r="E436" s="75">
        <f>VLOOKUP(B436,'ALL-DATA'!A:F,2,FALSE)</f>
        <v>27.2</v>
      </c>
      <c r="F436" s="38">
        <f>VLOOKUP(B436,'ALL-DATA'!A:F,3,FALSE)</f>
        <v>82</v>
      </c>
      <c r="G436" s="38">
        <f>VLOOKUP(B436,'ALL-DATA'!A:F,4,FALSE)</f>
        <v>-17</v>
      </c>
      <c r="H436" s="76">
        <f>VLOOKUP(B436,'ALL-DATA'!A:F,5,FALSE)</f>
        <v>92</v>
      </c>
      <c r="I436" s="76">
        <f>VLOOKUP(B436,'ALL-DATA'!A:F,6,FALSE)</f>
        <v>2051.9699999999998</v>
      </c>
      <c r="J436" s="44">
        <v>3300</v>
      </c>
      <c r="K436" s="48"/>
      <c r="L436" s="77">
        <f t="shared" si="61"/>
        <v>1248.0300000000002</v>
      </c>
      <c r="M436" s="37"/>
      <c r="N436" s="38"/>
      <c r="O436" s="38"/>
      <c r="P436" s="38">
        <f>((((((Table8[[#This Row],[OLD-WT]]-(Table8[[#This Row],[OLD-WT]]*1%))*Table8[[#This Row],[MELTING2]])/100))*80)/100)*Table8[[#This Row],[P-RATE3]]</f>
        <v>0</v>
      </c>
      <c r="Q436" s="38"/>
      <c r="R436" s="263">
        <f t="shared" si="60"/>
        <v>0</v>
      </c>
    </row>
    <row r="437" spans="1:18" x14ac:dyDescent="0.45">
      <c r="A437" s="73">
        <v>45719</v>
      </c>
      <c r="B437" s="1" t="s">
        <v>1693</v>
      </c>
      <c r="C437" s="38"/>
      <c r="D437" s="74"/>
      <c r="E437" s="75">
        <f>VLOOKUP(B437,'ALL-DATA'!A:F,2,FALSE)</f>
        <v>0</v>
      </c>
      <c r="F437" s="38">
        <f>VLOOKUP(B437,'ALL-DATA'!A:F,3,FALSE)</f>
        <v>0</v>
      </c>
      <c r="G437" s="38">
        <f>VLOOKUP(B437,'ALL-DATA'!A:F,4,FALSE)</f>
        <v>0</v>
      </c>
      <c r="H437" s="76">
        <f>VLOOKUP(B437,'ALL-DATA'!A:F,5,FALSE)</f>
        <v>0</v>
      </c>
      <c r="I437" s="76">
        <f>VLOOKUP(B437,'ALL-DATA'!A:F,6,FALSE)</f>
        <v>0</v>
      </c>
      <c r="J437" s="44"/>
      <c r="K437" s="48"/>
      <c r="L437" s="77">
        <f>((J437+R437)-I437)</f>
        <v>192.20799999999986</v>
      </c>
      <c r="M437" s="37">
        <v>11.5</v>
      </c>
      <c r="N437" s="38">
        <v>80</v>
      </c>
      <c r="O437" s="38">
        <v>95</v>
      </c>
      <c r="P437" s="38">
        <f>((((((Table8[[#This Row],[OLD-WT]]-(Table8[[#This Row],[OLD-WT]]*1%))*Table8[[#This Row],[MELTING2]])/100))*80)/100)*Table8[[#This Row],[P-RATE3]]</f>
        <v>692.20799999999986</v>
      </c>
      <c r="Q437" s="38">
        <v>500</v>
      </c>
      <c r="R437" s="263">
        <f t="shared" si="60"/>
        <v>192.20799999999986</v>
      </c>
    </row>
    <row r="438" spans="1:18" x14ac:dyDescent="0.45">
      <c r="A438" s="73">
        <v>45719</v>
      </c>
      <c r="B438" s="23" t="s">
        <v>1692</v>
      </c>
      <c r="C438" s="38"/>
      <c r="D438" s="74"/>
      <c r="E438" s="75">
        <f>VLOOKUP(B438,'ALL-DATA'!A:F,2,FALSE)</f>
        <v>8.5</v>
      </c>
      <c r="F438" s="38">
        <f>VLOOKUP(B438,'ALL-DATA'!A:F,3,FALSE)</f>
        <v>80</v>
      </c>
      <c r="G438" s="38">
        <f>VLOOKUP(B438,'ALL-DATA'!A:F,4,FALSE)</f>
        <v>-15</v>
      </c>
      <c r="H438" s="76">
        <f>VLOOKUP(B438,'ALL-DATA'!A:F,5,FALSE)</f>
        <v>93</v>
      </c>
      <c r="I438" s="76">
        <f>VLOOKUP(B438,'ALL-DATA'!A:F,6,FALSE)</f>
        <v>632.4</v>
      </c>
      <c r="J438" s="44">
        <v>850</v>
      </c>
      <c r="K438" s="48"/>
      <c r="L438" s="77">
        <f t="shared" ref="L438:L449" si="62">((J438+R438)-I438)</f>
        <v>172.17151999999999</v>
      </c>
      <c r="M438" s="37">
        <v>4.4000000000000004</v>
      </c>
      <c r="N438" s="38">
        <v>92</v>
      </c>
      <c r="O438" s="38">
        <v>95</v>
      </c>
      <c r="P438" s="38">
        <f>((((((Table8[[#This Row],[OLD-WT]]-(Table8[[#This Row],[OLD-WT]]*1%))*Table8[[#This Row],[MELTING2]])/100))*80)/100)*Table8[[#This Row],[P-RATE3]]</f>
        <v>304.57152000000002</v>
      </c>
      <c r="Q438" s="38">
        <v>350</v>
      </c>
      <c r="R438" s="263">
        <f t="shared" si="60"/>
        <v>-45.428479999999979</v>
      </c>
    </row>
    <row r="439" spans="1:18" x14ac:dyDescent="0.45">
      <c r="A439" s="73">
        <v>45720</v>
      </c>
      <c r="B439" s="1" t="s">
        <v>1694</v>
      </c>
      <c r="C439" s="38"/>
      <c r="D439" s="74"/>
      <c r="E439" s="75">
        <f>VLOOKUP(B439,'ALL-DATA'!A:F,2,FALSE)</f>
        <v>2.165</v>
      </c>
      <c r="F439" s="38">
        <f>VLOOKUP(B439,'ALL-DATA'!A:F,3,FALSE)</f>
        <v>92</v>
      </c>
      <c r="G439" s="38">
        <f>VLOOKUP(B439,'ALL-DATA'!A:F,4,FALSE)</f>
        <v>0</v>
      </c>
      <c r="H439" s="76">
        <f>VLOOKUP(B439,'ALL-DATA'!A:F,5,FALSE)</f>
        <v>8700</v>
      </c>
      <c r="I439" s="76">
        <f>VLOOKUP(B439,'ALL-DATA'!A:F,6,FALSE)</f>
        <v>15000</v>
      </c>
      <c r="J439" s="44">
        <v>16800</v>
      </c>
      <c r="K439" s="48"/>
      <c r="L439" s="77">
        <f>((J439+R439)-I439)</f>
        <v>1800</v>
      </c>
      <c r="M439" s="37"/>
      <c r="N439" s="38"/>
      <c r="O439" s="38"/>
      <c r="P439" s="38"/>
      <c r="Q439" s="38"/>
      <c r="R439" s="263"/>
    </row>
    <row r="440" spans="1:18" x14ac:dyDescent="0.45">
      <c r="A440" s="73">
        <v>45721</v>
      </c>
      <c r="B440" s="38" t="str">
        <f t="shared" ref="B440:B450" si="63">C440&amp;D440</f>
        <v>S-CHAIN-N-88</v>
      </c>
      <c r="C440" s="38" t="s">
        <v>732</v>
      </c>
      <c r="D440" s="74" t="s">
        <v>1686</v>
      </c>
      <c r="E440" s="75">
        <f>VLOOKUP(B440,'ALL-DATA'!A:F,2,FALSE)</f>
        <v>11.7</v>
      </c>
      <c r="F440" s="38">
        <f>VLOOKUP(B440,'ALL-DATA'!A:F,3,FALSE)</f>
        <v>82</v>
      </c>
      <c r="G440" s="38">
        <f>VLOOKUP(B440,'ALL-DATA'!A:F,4,FALSE)</f>
        <v>17</v>
      </c>
      <c r="H440" s="76">
        <f>VLOOKUP(B440,'ALL-DATA'!A:F,5,FALSE)</f>
        <v>92.18</v>
      </c>
      <c r="I440" s="76">
        <f>VLOOKUP(B440,'ALL-DATA'!A:F,6,FALSE)</f>
        <v>884.37491999999997</v>
      </c>
      <c r="J440" s="44">
        <v>1750</v>
      </c>
      <c r="K440" s="48"/>
      <c r="L440" s="77">
        <f t="shared" si="62"/>
        <v>778.69707999999991</v>
      </c>
      <c r="M440" s="37">
        <v>16</v>
      </c>
      <c r="N440" s="38">
        <v>80</v>
      </c>
      <c r="O440" s="38">
        <v>95</v>
      </c>
      <c r="P440" s="38">
        <f>((((((Table8[[#This Row],[OLD-WT]]-(Table8[[#This Row],[OLD-WT]]*1%))*Table8[[#This Row],[MELTING2]])/100))*80)/100)*Table8[[#This Row],[P-RATE3]]</f>
        <v>963.07199999999989</v>
      </c>
      <c r="Q440" s="38">
        <v>1050</v>
      </c>
      <c r="R440" s="263">
        <f t="shared" si="60"/>
        <v>-86.928000000000111</v>
      </c>
    </row>
    <row r="441" spans="1:18" x14ac:dyDescent="0.45">
      <c r="A441" s="73">
        <v>45721</v>
      </c>
      <c r="B441" s="38" t="str">
        <f t="shared" si="63"/>
        <v>S-DOLLER-27</v>
      </c>
      <c r="C441" s="38" t="s">
        <v>730</v>
      </c>
      <c r="D441" s="74" t="s">
        <v>974</v>
      </c>
      <c r="E441" s="75">
        <f>VLOOKUP(B441,'ALL-DATA'!A:F,2,FALSE)</f>
        <v>1.52</v>
      </c>
      <c r="F441" s="38">
        <f>VLOOKUP(B441,'ALL-DATA'!A:F,3,FALSE)</f>
        <v>92.5</v>
      </c>
      <c r="G441" s="38">
        <f>VLOOKUP(B441,'ALL-DATA'!A:F,4,FALSE)</f>
        <v>92.5</v>
      </c>
      <c r="H441" s="76">
        <f>VLOOKUP(B441,'ALL-DATA'!A:F,5,FALSE)</f>
        <v>160</v>
      </c>
      <c r="I441" s="76">
        <f>VLOOKUP(B441,'ALL-DATA'!A:F,6,FALSE)</f>
        <v>243.2</v>
      </c>
      <c r="J441" s="44">
        <v>300</v>
      </c>
      <c r="K441" s="48"/>
      <c r="L441" s="77">
        <f t="shared" si="62"/>
        <v>56.800000000000011</v>
      </c>
      <c r="M441" s="37"/>
      <c r="N441" s="38"/>
      <c r="O441" s="38"/>
      <c r="P441" s="38">
        <f>((((((Table8[[#This Row],[OLD-WT]]-(Table8[[#This Row],[OLD-WT]]*1%))*Table8[[#This Row],[MELTING2]])/100))*80)/100)*Table8[[#This Row],[P-RATE3]]</f>
        <v>0</v>
      </c>
      <c r="Q441" s="38"/>
      <c r="R441" s="263">
        <f t="shared" si="60"/>
        <v>0</v>
      </c>
    </row>
    <row r="442" spans="1:18" x14ac:dyDescent="0.45">
      <c r="A442" s="73">
        <v>45727</v>
      </c>
      <c r="B442" s="38" t="str">
        <f t="shared" si="63"/>
        <v>G-STUD-25</v>
      </c>
      <c r="C442" s="38" t="s">
        <v>720</v>
      </c>
      <c r="D442" s="74" t="s">
        <v>893</v>
      </c>
      <c r="E442" s="75">
        <f>VLOOKUP(B442,'ALL-DATA'!A:F,2,FALSE)</f>
        <v>1.07</v>
      </c>
      <c r="F442" s="38">
        <f>VLOOKUP(B442,'ALL-DATA'!A:F,3,FALSE)</f>
        <v>97</v>
      </c>
      <c r="G442" s="38">
        <f>VLOOKUP(B442,'ALL-DATA'!A:F,4,FALSE)</f>
        <v>-5</v>
      </c>
      <c r="H442" s="76">
        <f>VLOOKUP(B442,'ALL-DATA'!A:F,5,FALSE)</f>
        <v>7218.2</v>
      </c>
      <c r="I442" s="76">
        <f>VLOOKUP(B442,'ALL-DATA'!A:F,6,FALSE)</f>
        <v>7491.7697800000005</v>
      </c>
      <c r="J442" s="44">
        <v>9900</v>
      </c>
      <c r="K442" s="48"/>
      <c r="L442" s="77">
        <f t="shared" si="62"/>
        <v>2408.2302199999995</v>
      </c>
      <c r="M442" s="37"/>
      <c r="N442" s="38"/>
      <c r="O442" s="38"/>
      <c r="P442" s="38">
        <f>((((((Table8[[#This Row],[OLD-WT]]-(Table8[[#This Row],[OLD-WT]]*1%))*Table8[[#This Row],[MELTING2]])/100))*80)/100)*Table8[[#This Row],[P-RATE3]]</f>
        <v>0</v>
      </c>
      <c r="Q442" s="38"/>
      <c r="R442" s="263">
        <f t="shared" si="60"/>
        <v>0</v>
      </c>
    </row>
    <row r="443" spans="1:18" x14ac:dyDescent="0.45">
      <c r="A443" s="73">
        <v>45727</v>
      </c>
      <c r="B443" s="38" t="str">
        <f t="shared" si="63"/>
        <v>S-S-KOLUSU-88</v>
      </c>
      <c r="C443" s="38" t="s">
        <v>726</v>
      </c>
      <c r="D443" s="74" t="s">
        <v>1686</v>
      </c>
      <c r="E443" s="75">
        <f>VLOOKUP(B443,'ALL-DATA'!A:F,2,FALSE)</f>
        <v>188.5</v>
      </c>
      <c r="F443" s="38">
        <f>VLOOKUP(B443,'ALL-DATA'!A:F,3,FALSE)</f>
        <v>80</v>
      </c>
      <c r="G443" s="38">
        <f>VLOOKUP(B443,'ALL-DATA'!A:F,4,FALSE)</f>
        <v>-15</v>
      </c>
      <c r="H443" s="76">
        <f>VLOOKUP(B443,'ALL-DATA'!A:F,5,FALSE)</f>
        <v>92</v>
      </c>
      <c r="I443" s="76">
        <f>VLOOKUP(B443,'ALL-DATA'!A:F,6,FALSE)</f>
        <v>13873.6</v>
      </c>
      <c r="J443" s="44">
        <v>18450</v>
      </c>
      <c r="K443" s="48"/>
      <c r="L443" s="77">
        <f t="shared" si="62"/>
        <v>4576.3999999999996</v>
      </c>
      <c r="M443" s="37"/>
      <c r="N443" s="38"/>
      <c r="O443" s="38"/>
      <c r="P443" s="38">
        <f>((((((Table8[[#This Row],[OLD-WT]]-(Table8[[#This Row],[OLD-WT]]*1%))*Table8[[#This Row],[MELTING2]])/100))*80)/100)*Table8[[#This Row],[P-RATE3]]</f>
        <v>0</v>
      </c>
      <c r="Q443" s="38"/>
      <c r="R443" s="263">
        <f t="shared" si="60"/>
        <v>0</v>
      </c>
    </row>
    <row r="444" spans="1:18" x14ac:dyDescent="0.45">
      <c r="A444" s="73">
        <v>45727</v>
      </c>
      <c r="B444" s="38" t="str">
        <f t="shared" si="63"/>
        <v>G-RING-71</v>
      </c>
      <c r="C444" s="38" t="s">
        <v>1473</v>
      </c>
      <c r="D444" s="74" t="s">
        <v>1496</v>
      </c>
      <c r="E444" s="75">
        <f>VLOOKUP(B444,'ALL-DATA'!A:F,2,FALSE)</f>
        <v>2.0499999999999998</v>
      </c>
      <c r="F444" s="38">
        <f>VLOOKUP(B444,'ALL-DATA'!A:F,3,FALSE)</f>
        <v>82</v>
      </c>
      <c r="G444" s="38">
        <f>VLOOKUP(B444,'ALL-DATA'!A:F,4,FALSE)</f>
        <v>-6</v>
      </c>
      <c r="H444" s="76">
        <f>VLOOKUP(B444,'ALL-DATA'!A:F,5,FALSE)</f>
        <v>8200</v>
      </c>
      <c r="I444" s="76">
        <f>VLOOKUP(B444,'ALL-DATA'!A:F,6,FALSE)</f>
        <v>13784.2</v>
      </c>
      <c r="J444" s="44">
        <v>16700</v>
      </c>
      <c r="K444" s="48"/>
      <c r="L444" s="77">
        <f t="shared" si="62"/>
        <v>2915.7999999999993</v>
      </c>
      <c r="M444" s="37"/>
      <c r="N444" s="38"/>
      <c r="O444" s="38"/>
      <c r="P444" s="38">
        <f>((((((Table8[[#This Row],[OLD-WT]]-(Table8[[#This Row],[OLD-WT]]*1%))*Table8[[#This Row],[MELTING2]])/100))*80)/100)*Table8[[#This Row],[P-RATE3]]</f>
        <v>0</v>
      </c>
      <c r="Q444" s="38"/>
      <c r="R444" s="263">
        <f t="shared" si="60"/>
        <v>0</v>
      </c>
    </row>
    <row r="445" spans="1:18" x14ac:dyDescent="0.45">
      <c r="A445" s="73">
        <v>45728</v>
      </c>
      <c r="B445" s="38" t="str">
        <f t="shared" si="63"/>
        <v>S-S-KOLUSU-62</v>
      </c>
      <c r="C445" s="38" t="s">
        <v>726</v>
      </c>
      <c r="D445" s="74" t="s">
        <v>1656</v>
      </c>
      <c r="E445" s="75">
        <f>VLOOKUP(B445,'ALL-DATA'!A:F,2,FALSE)</f>
        <v>87.22</v>
      </c>
      <c r="F445" s="38">
        <f>VLOOKUP(B445,'ALL-DATA'!A:F,3,FALSE)</f>
        <v>76.5</v>
      </c>
      <c r="G445" s="38">
        <f>VLOOKUP(B445,'ALL-DATA'!A:F,4,FALSE)</f>
        <v>-11.5</v>
      </c>
      <c r="H445" s="76">
        <f>VLOOKUP(B445,'ALL-DATA'!A:F,5,FALSE)</f>
        <v>89.9</v>
      </c>
      <c r="I445" s="76">
        <f>VLOOKUP(B445,'ALL-DATA'!A:F,6,FALSE)</f>
        <v>5998.4246700000003</v>
      </c>
      <c r="J445" s="44">
        <v>10500</v>
      </c>
      <c r="K445" s="48"/>
      <c r="L445" s="77">
        <f t="shared" si="62"/>
        <v>3221.7353299999995</v>
      </c>
      <c r="M445" s="37">
        <v>105</v>
      </c>
      <c r="N445" s="38">
        <v>80</v>
      </c>
      <c r="O445" s="38">
        <v>95</v>
      </c>
      <c r="P445" s="38">
        <f>((((((Table8[[#This Row],[OLD-WT]]-(Table8[[#This Row],[OLD-WT]]*1%))*Table8[[#This Row],[MELTING2]])/100))*80)/100)*Table8[[#This Row],[P-RATE3]]</f>
        <v>6320.1599999999989</v>
      </c>
      <c r="Q445" s="38">
        <v>7600</v>
      </c>
      <c r="R445" s="263">
        <f t="shared" si="60"/>
        <v>-1279.8400000000011</v>
      </c>
    </row>
    <row r="446" spans="1:18" x14ac:dyDescent="0.45">
      <c r="A446" s="73">
        <v>45728</v>
      </c>
      <c r="B446" s="38" t="str">
        <f t="shared" si="63"/>
        <v>S-BANGLE-22</v>
      </c>
      <c r="C446" s="38" t="s">
        <v>988</v>
      </c>
      <c r="D446" s="74" t="s">
        <v>1286</v>
      </c>
      <c r="E446" s="75">
        <f>VLOOKUP(B446,'ALL-DATA'!A:F,2,FALSE)</f>
        <v>29.6</v>
      </c>
      <c r="F446" s="38">
        <f>VLOOKUP(B446,'ALL-DATA'!A:F,3,FALSE)</f>
        <v>80.650000000000006</v>
      </c>
      <c r="G446" s="38">
        <f>VLOOKUP(B446,'ALL-DATA'!A:F,4,FALSE)</f>
        <v>-31.75</v>
      </c>
      <c r="H446" s="76">
        <f>VLOOKUP(B446,'ALL-DATA'!A:F,5,FALSE)</f>
        <v>90</v>
      </c>
      <c r="I446" s="76">
        <f>VLOOKUP(B446,'ALL-DATA'!A:F,6,FALSE)</f>
        <v>2444.5160000000005</v>
      </c>
      <c r="J446" s="44">
        <v>3000</v>
      </c>
      <c r="K446" s="48"/>
      <c r="L446" s="77">
        <f t="shared" si="62"/>
        <v>555.48399999999947</v>
      </c>
      <c r="M446" s="37"/>
      <c r="N446" s="38"/>
      <c r="O446" s="38"/>
      <c r="P446" s="38">
        <f>((((((Table8[[#This Row],[OLD-WT]]-(Table8[[#This Row],[OLD-WT]]*1%))*Table8[[#This Row],[MELTING2]])/100))*80)/100)*Table8[[#This Row],[P-RATE3]]</f>
        <v>0</v>
      </c>
      <c r="Q446" s="38"/>
      <c r="R446" s="263">
        <f t="shared" si="60"/>
        <v>0</v>
      </c>
    </row>
    <row r="447" spans="1:18" x14ac:dyDescent="0.45">
      <c r="A447" s="73">
        <v>45728</v>
      </c>
      <c r="B447" s="38" t="str">
        <f t="shared" si="63"/>
        <v>G-CHAIN-13</v>
      </c>
      <c r="C447" s="38" t="s">
        <v>724</v>
      </c>
      <c r="D447" s="74" t="s">
        <v>1265</v>
      </c>
      <c r="E447" s="75">
        <f>VLOOKUP(B447,'ALL-DATA'!A:F,2,FALSE)</f>
        <v>8.06</v>
      </c>
      <c r="F447" s="38">
        <f>VLOOKUP(B447,'ALL-DATA'!A:F,3,FALSE)</f>
        <v>95.75</v>
      </c>
      <c r="G447" s="38">
        <f>VLOOKUP(B447,'ALL-DATA'!A:F,4,FALSE)</f>
        <v>3.75</v>
      </c>
      <c r="H447" s="76">
        <f>VLOOKUP(B447,'ALL-DATA'!A:F,5,FALSE)</f>
        <v>8200</v>
      </c>
      <c r="I447" s="76">
        <f>VLOOKUP(B447,'ALL-DATA'!A:F,6,FALSE)</f>
        <v>63338.090000000004</v>
      </c>
      <c r="J447" s="44">
        <v>73000</v>
      </c>
      <c r="K447" s="48"/>
      <c r="L447" s="77">
        <f t="shared" si="62"/>
        <v>9661.9099999999962</v>
      </c>
      <c r="M447" s="37"/>
      <c r="N447" s="38"/>
      <c r="O447" s="38"/>
      <c r="P447" s="38">
        <f>((((((Table8[[#This Row],[OLD-WT]]-(Table8[[#This Row],[OLD-WT]]*1%))*Table8[[#This Row],[MELTING2]])/100))*80)/100)*Table8[[#This Row],[P-RATE3]]</f>
        <v>0</v>
      </c>
      <c r="Q447" s="38"/>
      <c r="R447" s="263">
        <f t="shared" si="60"/>
        <v>0</v>
      </c>
    </row>
    <row r="448" spans="1:18" x14ac:dyDescent="0.45">
      <c r="A448" s="73">
        <v>45728</v>
      </c>
      <c r="B448" s="1" t="s">
        <v>1695</v>
      </c>
      <c r="C448" s="38"/>
      <c r="D448" s="74"/>
      <c r="E448" s="75">
        <f>VLOOKUP(B448,'ALL-DATA'!A:F,2,FALSE)</f>
        <v>45.7</v>
      </c>
      <c r="F448" s="38">
        <f>VLOOKUP(B448,'ALL-DATA'!A:F,3,FALSE)</f>
        <v>0</v>
      </c>
      <c r="G448" s="38">
        <f>VLOOKUP(B448,'ALL-DATA'!A:F,4,FALSE)</f>
        <v>0</v>
      </c>
      <c r="H448" s="76">
        <f>VLOOKUP(B448,'ALL-DATA'!A:F,5,FALSE)</f>
        <v>6418</v>
      </c>
      <c r="I448" s="76">
        <f>VLOOKUP(B448,'ALL-DATA'!A:F,6,FALSE)</f>
        <v>270000</v>
      </c>
      <c r="J448" s="44">
        <v>300000</v>
      </c>
      <c r="K448" s="48"/>
      <c r="L448" s="77">
        <f>((J448+R448)-I448)</f>
        <v>30000</v>
      </c>
      <c r="M448" s="37"/>
      <c r="N448" s="38"/>
      <c r="O448" s="38"/>
      <c r="P448" s="38"/>
      <c r="Q448" s="38"/>
      <c r="R448" s="263"/>
    </row>
    <row r="449" spans="1:18" x14ac:dyDescent="0.45">
      <c r="A449" s="73">
        <v>45728</v>
      </c>
      <c r="B449" s="38" t="str">
        <f t="shared" si="63"/>
        <v>G-RING-G35</v>
      </c>
      <c r="C449" s="38" t="s">
        <v>718</v>
      </c>
      <c r="D449" s="74" t="s">
        <v>1014</v>
      </c>
      <c r="E449" s="75">
        <f>VLOOKUP(B449,'ALL-DATA'!A:F,2,FALSE)</f>
        <v>0.61</v>
      </c>
      <c r="F449" s="38">
        <f>VLOOKUP(B449,'ALL-DATA'!A:F,3,FALSE)</f>
        <v>96.75</v>
      </c>
      <c r="G449" s="38">
        <f>VLOOKUP(B449,'ALL-DATA'!A:F,4,FALSE)</f>
        <v>-4.75</v>
      </c>
      <c r="H449" s="76">
        <f>VLOOKUP(B449,'ALL-DATA'!A:F,5,FALSE)</f>
        <v>7218.2</v>
      </c>
      <c r="I449" s="76">
        <f>VLOOKUP(B449,'ALL-DATA'!A:F,6,FALSE)</f>
        <v>4260.0011850000001</v>
      </c>
      <c r="J449" s="44">
        <v>6800</v>
      </c>
      <c r="K449" s="48"/>
      <c r="L449" s="77">
        <f t="shared" si="62"/>
        <v>2539.9988149999999</v>
      </c>
      <c r="M449" s="37"/>
      <c r="N449" s="38"/>
      <c r="O449" s="38"/>
      <c r="P449" s="38">
        <f>((((((Table8[[#This Row],[OLD-WT]]-(Table8[[#This Row],[OLD-WT]]*1%))*Table8[[#This Row],[MELTING2]])/100))*80)/100)*Table8[[#This Row],[P-RATE3]]</f>
        <v>0</v>
      </c>
      <c r="Q449" s="38"/>
      <c r="R449" s="263">
        <f t="shared" si="60"/>
        <v>0</v>
      </c>
    </row>
    <row r="450" spans="1:18" x14ac:dyDescent="0.45">
      <c r="A450" s="73">
        <v>45728</v>
      </c>
      <c r="B450" s="38" t="str">
        <f t="shared" si="63"/>
        <v>G-RING-G21</v>
      </c>
      <c r="C450" s="38" t="s">
        <v>718</v>
      </c>
      <c r="D450" s="74" t="s">
        <v>1498</v>
      </c>
      <c r="E450" s="75">
        <f>VLOOKUP(B450,'ALL-DATA'!A:F,2,FALSE)</f>
        <v>1.46</v>
      </c>
      <c r="F450" s="38">
        <f>VLOOKUP(B450,'ALL-DATA'!A:F,3,FALSE)</f>
        <v>96.75</v>
      </c>
      <c r="G450" s="38">
        <f>VLOOKUP(B450,'ALL-DATA'!A:F,4,FALSE)</f>
        <v>-4.75</v>
      </c>
      <c r="H450" s="76">
        <f>VLOOKUP(B450,'ALL-DATA'!A:F,5,FALSE)</f>
        <v>7218.2</v>
      </c>
      <c r="I450" s="76">
        <f>VLOOKUP(B450,'ALL-DATA'!A:F,6,FALSE)</f>
        <v>10196.06841</v>
      </c>
      <c r="J450" s="44">
        <v>14200</v>
      </c>
      <c r="K450" s="48"/>
      <c r="L450" s="77">
        <f>((J450+R450)-I450)-I451</f>
        <v>4270.8815900000009</v>
      </c>
      <c r="M450" s="37">
        <v>1.57</v>
      </c>
      <c r="N450" s="38">
        <v>91</v>
      </c>
      <c r="O450" s="38">
        <v>8500</v>
      </c>
      <c r="P450" s="38">
        <f>(Table8[[#This Row],[OLD-WT]]-0.2)*Table8[[#This Row],[MELTING2]]/100*Table8[[#This Row],[P-RATE3]]</f>
        <v>10596.95</v>
      </c>
      <c r="Q450" s="38">
        <v>10100</v>
      </c>
      <c r="R450" s="263">
        <f t="shared" si="60"/>
        <v>496.95000000000073</v>
      </c>
    </row>
    <row r="451" spans="1:18" x14ac:dyDescent="0.45">
      <c r="A451" s="73">
        <v>45728</v>
      </c>
      <c r="B451" s="121" t="s">
        <v>1082</v>
      </c>
      <c r="C451" s="38"/>
      <c r="D451" s="74" t="s">
        <v>875</v>
      </c>
      <c r="E451" s="75">
        <f>VLOOKUP(B451,'ALL-DATA'!A:F,2,FALSE)</f>
        <v>0</v>
      </c>
      <c r="F451" s="38">
        <f>VLOOKUP(B451,'ALL-DATA'!A:F,3,FALSE)</f>
        <v>0</v>
      </c>
      <c r="G451" s="38">
        <f>VLOOKUP(B451,'ALL-DATA'!A:F,4,FALSE)</f>
        <v>0</v>
      </c>
      <c r="H451" s="76">
        <f>VLOOKUP(B451,'ALL-DATA'!A:F,5,FALSE)</f>
        <v>0</v>
      </c>
      <c r="I451" s="76">
        <f>VLOOKUP(B451,'ALL-DATA'!A:F,6,FALSE)</f>
        <v>230</v>
      </c>
      <c r="J451" s="44"/>
      <c r="K451" s="48"/>
      <c r="L451" s="77">
        <v>0</v>
      </c>
      <c r="M451" s="37"/>
      <c r="N451" s="38"/>
      <c r="O451" s="38"/>
      <c r="P451" s="38">
        <f>((((((Table8[[#This Row],[OLD-WT]]-(Table8[[#This Row],[OLD-WT]]*1%))*Table8[[#This Row],[MELTING2]])/100))*80)/100)*Table8[[#This Row],[P-RATE3]]</f>
        <v>0</v>
      </c>
      <c r="Q451" s="38"/>
      <c r="R451" s="263">
        <f t="shared" si="60"/>
        <v>0</v>
      </c>
    </row>
    <row r="452" spans="1:18" x14ac:dyDescent="0.45">
      <c r="A452" s="73">
        <v>45729</v>
      </c>
      <c r="B452" s="38" t="str">
        <f>C452&amp;D452</f>
        <v>S-RING-5</v>
      </c>
      <c r="C452" s="38" t="s">
        <v>731</v>
      </c>
      <c r="D452" s="74" t="s">
        <v>875</v>
      </c>
      <c r="E452" s="75">
        <f>VLOOKUP(B452,'ALL-DATA'!A:F,2,FALSE)</f>
        <v>3.35</v>
      </c>
      <c r="F452" s="38">
        <f>VLOOKUP(B452,'ALL-DATA'!A:F,3,FALSE)</f>
        <v>92.5</v>
      </c>
      <c r="G452" s="38">
        <f>VLOOKUP(B452,'ALL-DATA'!A:F,4,FALSE)</f>
        <v>92.5</v>
      </c>
      <c r="H452" s="76">
        <f>VLOOKUP(B452,'ALL-DATA'!A:F,5,FALSE)</f>
        <v>140</v>
      </c>
      <c r="I452" s="76">
        <f>VLOOKUP(B452,'ALL-DATA'!A:F,6,FALSE)</f>
        <v>469</v>
      </c>
      <c r="J452" s="44">
        <v>1000</v>
      </c>
      <c r="K452" s="48"/>
      <c r="L452" s="77">
        <f t="shared" ref="L452:L460" si="64">((J452+R452)-I452)</f>
        <v>569.44160000000011</v>
      </c>
      <c r="M452" s="37">
        <v>2.2999999999999998</v>
      </c>
      <c r="N452" s="38">
        <v>80</v>
      </c>
      <c r="O452" s="38">
        <v>95</v>
      </c>
      <c r="P452" s="38">
        <f>((((((Table8[[#This Row],[OLD-WT]]-(Table8[[#This Row],[OLD-WT]]*1%))*Table8[[#This Row],[MELTING2]])/100))*80)/100)*Table8[[#This Row],[P-RATE3]]</f>
        <v>138.44159999999999</v>
      </c>
      <c r="Q452" s="38">
        <v>100</v>
      </c>
      <c r="R452" s="263">
        <f t="shared" si="60"/>
        <v>38.441599999999994</v>
      </c>
    </row>
    <row r="453" spans="1:18" x14ac:dyDescent="0.45">
      <c r="A453" s="73">
        <v>45729</v>
      </c>
      <c r="B453" s="38" t="s">
        <v>1693</v>
      </c>
      <c r="C453" s="38"/>
      <c r="D453" s="74"/>
      <c r="E453" s="75">
        <f>VLOOKUP(B453,'ALL-DATA'!A:F,2,FALSE)</f>
        <v>0</v>
      </c>
      <c r="F453" s="38">
        <f>VLOOKUP(B453,'ALL-DATA'!A:F,3,FALSE)</f>
        <v>0</v>
      </c>
      <c r="G453" s="38">
        <f>VLOOKUP(B453,'ALL-DATA'!A:F,4,FALSE)</f>
        <v>0</v>
      </c>
      <c r="H453" s="76">
        <f>VLOOKUP(B453,'ALL-DATA'!A:F,5,FALSE)</f>
        <v>0</v>
      </c>
      <c r="I453" s="76">
        <f>VLOOKUP(B453,'ALL-DATA'!A:F,6,FALSE)</f>
        <v>0</v>
      </c>
      <c r="J453" s="44"/>
      <c r="K453" s="48"/>
      <c r="L453" s="77">
        <f t="shared" si="64"/>
        <v>152.88000000000011</v>
      </c>
      <c r="M453" s="37">
        <v>15</v>
      </c>
      <c r="N453" s="38">
        <v>80</v>
      </c>
      <c r="O453" s="38">
        <v>95</v>
      </c>
      <c r="P453" s="38">
        <f>((((((Table8[[#This Row],[OLD-WT]]-(Table8[[#This Row],[OLD-WT]]*1%))*Table8[[#This Row],[MELTING2]])/100))*80)/100)*Table8[[#This Row],[P-RATE3]]</f>
        <v>902.88000000000011</v>
      </c>
      <c r="Q453" s="38">
        <v>750</v>
      </c>
      <c r="R453" s="263">
        <f t="shared" si="60"/>
        <v>152.88000000000011</v>
      </c>
    </row>
    <row r="454" spans="1:18" x14ac:dyDescent="0.45">
      <c r="A454" s="73">
        <v>45730</v>
      </c>
      <c r="B454" s="1" t="s">
        <v>1697</v>
      </c>
      <c r="C454" s="38"/>
      <c r="D454" s="74"/>
      <c r="E454" s="75">
        <f>VLOOKUP(B454,'ALL-DATA'!A:F,2,FALSE)</f>
        <v>18.059999999999999</v>
      </c>
      <c r="F454" s="38">
        <f>VLOOKUP(B454,'ALL-DATA'!A:F,3,FALSE)</f>
        <v>0</v>
      </c>
      <c r="G454" s="38">
        <f>VLOOKUP(B454,'ALL-DATA'!A:F,4,FALSE)</f>
        <v>0</v>
      </c>
      <c r="H454" s="76">
        <f>VLOOKUP(B454,'ALL-DATA'!A:F,5,FALSE)</f>
        <v>0</v>
      </c>
      <c r="I454" s="76">
        <f>VLOOKUP(B454,'ALL-DATA'!A:F,6,FALSE)</f>
        <v>114260</v>
      </c>
      <c r="J454" s="44">
        <v>121000</v>
      </c>
      <c r="K454" s="48"/>
      <c r="L454" s="77">
        <f t="shared" si="64"/>
        <v>6740</v>
      </c>
      <c r="M454" s="37"/>
      <c r="N454" s="38"/>
      <c r="O454" s="38"/>
      <c r="P454" s="38">
        <f>((((((Table8[[#This Row],[OLD-WT]]-(Table8[[#This Row],[OLD-WT]]*1%))*Table8[[#This Row],[MELTING2]])/100))*80)/100)*Table8[[#This Row],[P-RATE3]]</f>
        <v>0</v>
      </c>
      <c r="Q454" s="38"/>
      <c r="R454" s="263">
        <f t="shared" si="60"/>
        <v>0</v>
      </c>
    </row>
    <row r="455" spans="1:18" x14ac:dyDescent="0.45">
      <c r="A455" s="73">
        <v>45731</v>
      </c>
      <c r="B455" s="38" t="s">
        <v>1696</v>
      </c>
      <c r="C455" s="38"/>
      <c r="D455" s="74"/>
      <c r="E455" s="75">
        <f>VLOOKUP(B455,'ALL-DATA'!A:F,2,FALSE)</f>
        <v>16.05</v>
      </c>
      <c r="F455" s="38">
        <f>VLOOKUP(B455,'ALL-DATA'!A:F,3,FALSE)</f>
        <v>0</v>
      </c>
      <c r="G455" s="38">
        <f>VLOOKUP(B455,'ALL-DATA'!A:F,4,FALSE)</f>
        <v>0</v>
      </c>
      <c r="H455" s="76">
        <f>VLOOKUP(B455,'ALL-DATA'!A:F,5,FALSE)</f>
        <v>0</v>
      </c>
      <c r="I455" s="76">
        <f>VLOOKUP(B455,'ALL-DATA'!A:F,6,FALSE)</f>
        <v>118000</v>
      </c>
      <c r="J455" s="44">
        <v>122000</v>
      </c>
      <c r="K455" s="48"/>
      <c r="L455" s="77">
        <f t="shared" si="64"/>
        <v>4000</v>
      </c>
      <c r="M455" s="37"/>
      <c r="N455" s="38"/>
      <c r="O455" s="38"/>
      <c r="P455" s="38">
        <f>((((((Table8[[#This Row],[OLD-WT]]-(Table8[[#This Row],[OLD-WT]]*1%))*Table8[[#This Row],[MELTING2]])/100))*80)/100)*Table8[[#This Row],[P-RATE3]]</f>
        <v>0</v>
      </c>
      <c r="Q455" s="38"/>
      <c r="R455" s="263">
        <f t="shared" si="60"/>
        <v>0</v>
      </c>
    </row>
    <row r="456" spans="1:18" x14ac:dyDescent="0.45">
      <c r="A456" s="73">
        <v>45731</v>
      </c>
      <c r="B456" s="38" t="str">
        <f>C456&amp;D456</f>
        <v>S-S-KOLUSU-75</v>
      </c>
      <c r="C456" s="38" t="s">
        <v>726</v>
      </c>
      <c r="D456" s="74" t="s">
        <v>1698</v>
      </c>
      <c r="E456" s="75">
        <f>VLOOKUP(B456,'ALL-DATA'!A:F,2,FALSE)</f>
        <v>57.05</v>
      </c>
      <c r="F456" s="38">
        <f>VLOOKUP(B456,'ALL-DATA'!A:F,3,FALSE)</f>
        <v>82</v>
      </c>
      <c r="G456" s="38">
        <f>VLOOKUP(B456,'ALL-DATA'!A:F,4,FALSE)</f>
        <v>-17</v>
      </c>
      <c r="H456" s="76">
        <f>VLOOKUP(B456,'ALL-DATA'!A:F,5,FALSE)</f>
        <v>92</v>
      </c>
      <c r="I456" s="76">
        <f>VLOOKUP(B456,'ALL-DATA'!A:F,6,FALSE)</f>
        <v>4303.851999999999</v>
      </c>
      <c r="J456" s="44">
        <v>7000</v>
      </c>
      <c r="K456" s="48"/>
      <c r="L456" s="77">
        <f t="shared" si="64"/>
        <v>2696.148000000001</v>
      </c>
      <c r="M456" s="37"/>
      <c r="N456" s="38"/>
      <c r="O456" s="38"/>
      <c r="P456" s="38">
        <f>((((((Table8[[#This Row],[OLD-WT]]-(Table8[[#This Row],[OLD-WT]]*1%))*Table8[[#This Row],[MELTING2]])/100))*80)/100)*Table8[[#This Row],[P-RATE3]]</f>
        <v>0</v>
      </c>
      <c r="Q456" s="38"/>
      <c r="R456" s="263">
        <f t="shared" si="60"/>
        <v>0</v>
      </c>
    </row>
    <row r="457" spans="1:18" x14ac:dyDescent="0.45">
      <c r="A457" s="73">
        <v>45731</v>
      </c>
      <c r="B457" s="131" t="s">
        <v>1699</v>
      </c>
      <c r="C457" s="38"/>
      <c r="D457" s="74"/>
      <c r="E457" s="75">
        <f>VLOOKUP(B457,'ALL-DATA'!A:F,2,FALSE)</f>
        <v>6.25</v>
      </c>
      <c r="F457" s="38">
        <f>VLOOKUP(B457,'ALL-DATA'!A:F,3,FALSE)</f>
        <v>80</v>
      </c>
      <c r="G457" s="38">
        <f>VLOOKUP(B457,'ALL-DATA'!A:F,4,FALSE)</f>
        <v>-15</v>
      </c>
      <c r="H457" s="76">
        <f>VLOOKUP(B457,'ALL-DATA'!A:F,5,FALSE)</f>
        <v>93</v>
      </c>
      <c r="I457" s="76">
        <f>VLOOKUP(B457,'ALL-DATA'!A:F,6,FALSE)</f>
        <v>465</v>
      </c>
      <c r="J457" s="44">
        <v>1000</v>
      </c>
      <c r="K457" s="48"/>
      <c r="L457" s="77">
        <f t="shared" si="64"/>
        <v>535</v>
      </c>
      <c r="M457" s="37"/>
      <c r="N457" s="38"/>
      <c r="O457" s="38"/>
      <c r="P457" s="38">
        <f>((((((Table8[[#This Row],[OLD-WT]]-(Table8[[#This Row],[OLD-WT]]*1%))*Table8[[#This Row],[MELTING2]])/100))*80)/100)*Table8[[#This Row],[P-RATE3]]</f>
        <v>0</v>
      </c>
      <c r="Q457" s="38"/>
      <c r="R457" s="263">
        <f t="shared" si="60"/>
        <v>0</v>
      </c>
    </row>
    <row r="458" spans="1:18" x14ac:dyDescent="0.45">
      <c r="A458" s="73">
        <v>45731</v>
      </c>
      <c r="B458" s="38" t="str">
        <f>C458&amp;D458</f>
        <v>S-B-KOLUSU--92</v>
      </c>
      <c r="C458" s="38" t="s">
        <v>727</v>
      </c>
      <c r="D458" s="74" t="s">
        <v>1497</v>
      </c>
      <c r="E458" s="75">
        <f>VLOOKUP(B458,'ALL-DATA'!A:F,2,FALSE)</f>
        <v>24.5</v>
      </c>
      <c r="F458" s="38">
        <f>VLOOKUP(B458,'ALL-DATA'!A:F,3,FALSE)</f>
        <v>79.97</v>
      </c>
      <c r="G458" s="38">
        <f>VLOOKUP(B458,'ALL-DATA'!A:F,4,FALSE)</f>
        <v>-14.969999999999999</v>
      </c>
      <c r="H458" s="76">
        <f>VLOOKUP(B458,'ALL-DATA'!A:F,5,FALSE)</f>
        <v>90</v>
      </c>
      <c r="I458" s="76">
        <f>VLOOKUP(B458,'ALL-DATA'!A:F,6,FALSE)</f>
        <v>1763.3384999999998</v>
      </c>
      <c r="J458" s="44">
        <v>3250</v>
      </c>
      <c r="K458" s="48"/>
      <c r="L458" s="77">
        <f t="shared" si="64"/>
        <v>941.05510000000004</v>
      </c>
      <c r="M458" s="37">
        <v>33.299999999999997</v>
      </c>
      <c r="N458" s="38">
        <v>80</v>
      </c>
      <c r="O458" s="38">
        <v>95</v>
      </c>
      <c r="P458" s="38">
        <f>((((((Table8[[#This Row],[OLD-WT]]-(Table8[[#This Row],[OLD-WT]]*1%))*Table8[[#This Row],[MELTING2]])/100))*80)/100)*Table8[[#This Row],[P-RATE3]]</f>
        <v>2004.3935999999999</v>
      </c>
      <c r="Q458" s="38">
        <v>2550</v>
      </c>
      <c r="R458" s="263">
        <f t="shared" si="60"/>
        <v>-545.60640000000012</v>
      </c>
    </row>
    <row r="459" spans="1:18" x14ac:dyDescent="0.45">
      <c r="A459" s="73">
        <v>45731</v>
      </c>
      <c r="B459" s="38" t="str">
        <f>C459&amp;D459</f>
        <v>S-B-KOLUSU--78</v>
      </c>
      <c r="C459" s="38" t="s">
        <v>727</v>
      </c>
      <c r="D459" s="74" t="s">
        <v>1210</v>
      </c>
      <c r="E459" s="75">
        <f>VLOOKUP(B459,'ALL-DATA'!A:F,2,FALSE)</f>
        <v>116.35</v>
      </c>
      <c r="F459" s="38">
        <f>VLOOKUP(B459,'ALL-DATA'!A:F,3,FALSE)</f>
        <v>79</v>
      </c>
      <c r="G459" s="38">
        <f>VLOOKUP(B459,'ALL-DATA'!A:F,4,FALSE)</f>
        <v>-14</v>
      </c>
      <c r="H459" s="76">
        <f>VLOOKUP(B459,'ALL-DATA'!A:F,5,FALSE)</f>
        <v>86.4</v>
      </c>
      <c r="I459" s="76">
        <f>VLOOKUP(B459,'ALL-DATA'!A:F,6,FALSE)</f>
        <v>7941.5856000000003</v>
      </c>
      <c r="J459" s="44">
        <v>13400</v>
      </c>
      <c r="K459" s="48"/>
      <c r="L459" s="77">
        <f t="shared" si="64"/>
        <v>3384.3343999999997</v>
      </c>
      <c r="M459" s="37">
        <v>135</v>
      </c>
      <c r="N459" s="38">
        <v>80</v>
      </c>
      <c r="O459" s="38">
        <v>95</v>
      </c>
      <c r="P459" s="38">
        <f>((((((Table8[[#This Row],[OLD-WT]]-(Table8[[#This Row],[OLD-WT]]*1%))*Table8[[#This Row],[MELTING2]])/100))*80)/100)*Table8[[#This Row],[P-RATE3]]</f>
        <v>8125.92</v>
      </c>
      <c r="Q459" s="38">
        <v>10200</v>
      </c>
      <c r="R459" s="263">
        <f t="shared" si="60"/>
        <v>-2074.08</v>
      </c>
    </row>
    <row r="460" spans="1:18" x14ac:dyDescent="0.45">
      <c r="A460" s="73">
        <v>45731</v>
      </c>
      <c r="B460" s="131" t="s">
        <v>1700</v>
      </c>
      <c r="C460" s="38"/>
      <c r="D460" s="74"/>
      <c r="E460" s="75">
        <f>VLOOKUP(B460,'ALL-DATA'!A:F,2,FALSE)</f>
        <v>5.2</v>
      </c>
      <c r="F460" s="38">
        <f>VLOOKUP(B460,'ALL-DATA'!A:F,3,FALSE)</f>
        <v>80</v>
      </c>
      <c r="G460" s="38">
        <f>VLOOKUP(B460,'ALL-DATA'!A:F,4,FALSE)</f>
        <v>-15</v>
      </c>
      <c r="H460" s="76">
        <f>VLOOKUP(B460,'ALL-DATA'!A:F,5,FALSE)</f>
        <v>93</v>
      </c>
      <c r="I460" s="76">
        <f>VLOOKUP(B460,'ALL-DATA'!A:F,6,FALSE)</f>
        <v>386.88</v>
      </c>
      <c r="J460" s="44">
        <v>800</v>
      </c>
      <c r="K460" s="48"/>
      <c r="L460" s="77">
        <f t="shared" si="64"/>
        <v>413.12</v>
      </c>
      <c r="M460" s="37"/>
      <c r="N460" s="38"/>
      <c r="O460" s="38"/>
      <c r="P460" s="38">
        <f>((((((Table8[[#This Row],[OLD-WT]]-(Table8[[#This Row],[OLD-WT]]*1%))*Table8[[#This Row],[MELTING2]])/100))*80)/100)*Table8[[#This Row],[P-RATE3]]</f>
        <v>0</v>
      </c>
      <c r="Q460" s="38"/>
      <c r="R460" s="263">
        <f t="shared" si="60"/>
        <v>0</v>
      </c>
    </row>
    <row r="461" spans="1:18" x14ac:dyDescent="0.45">
      <c r="A461" s="73">
        <v>45733</v>
      </c>
      <c r="B461" s="38" t="str">
        <f>C461&amp;D461</f>
        <v>S-B-KOLUSU--83</v>
      </c>
      <c r="C461" s="38" t="s">
        <v>727</v>
      </c>
      <c r="D461" s="74" t="s">
        <v>1705</v>
      </c>
      <c r="E461" s="75">
        <f>VLOOKUP(B461,'ALL-DATA'!A:F,2,FALSE)</f>
        <v>19.3</v>
      </c>
      <c r="F461" s="38">
        <f>VLOOKUP(B461,'ALL-DATA'!A:F,3,FALSE)</f>
        <v>80.02</v>
      </c>
      <c r="G461" s="38">
        <f>VLOOKUP(B461,'ALL-DATA'!A:F,4,FALSE)</f>
        <v>-15.019999999999996</v>
      </c>
      <c r="H461" s="76">
        <f>VLOOKUP(B461,'ALL-DATA'!A:F,5,FALSE)</f>
        <v>95</v>
      </c>
      <c r="I461" s="76">
        <f>VLOOKUP(B461,'ALL-DATA'!A:F,6,FALSE)</f>
        <v>1467.1667</v>
      </c>
      <c r="J461" s="44">
        <v>3250</v>
      </c>
      <c r="K461" s="48"/>
      <c r="L461" s="77">
        <f t="shared" ref="L461:L467" si="65">((J461+R461)-I461)</f>
        <v>1076.2956999999994</v>
      </c>
      <c r="M461" s="37">
        <v>59.7</v>
      </c>
      <c r="N461" s="38">
        <v>80</v>
      </c>
      <c r="O461" s="38">
        <v>95</v>
      </c>
      <c r="P461" s="38">
        <f>((((((Table8[[#This Row],[OLD-WT]]-(Table8[[#This Row],[OLD-WT]]*1%))*Table8[[#This Row],[MELTING2]])/100))*80)/100)*Table8[[#This Row],[P-RATE3]]</f>
        <v>3593.4623999999994</v>
      </c>
      <c r="Q461" s="38">
        <v>4300</v>
      </c>
      <c r="R461" s="263">
        <f t="shared" si="60"/>
        <v>-706.53760000000057</v>
      </c>
    </row>
    <row r="462" spans="1:18" x14ac:dyDescent="0.45">
      <c r="A462" s="73">
        <v>45733</v>
      </c>
      <c r="B462" s="120" t="s">
        <v>1183</v>
      </c>
      <c r="C462" s="38"/>
      <c r="D462" s="74"/>
      <c r="E462" s="75">
        <f>VLOOKUP(B462,'ALL-DATA'!A:F,2,FALSE)</f>
        <v>5.5</v>
      </c>
      <c r="F462" s="38">
        <f>VLOOKUP(B462,'ALL-DATA'!A:F,3,FALSE)</f>
        <v>82</v>
      </c>
      <c r="G462" s="38">
        <f>VLOOKUP(B462,'ALL-DATA'!A:F,4,FALSE)</f>
        <v>0</v>
      </c>
      <c r="H462" s="76">
        <f>VLOOKUP(B462,'ALL-DATA'!A:F,5,FALSE)</f>
        <v>90</v>
      </c>
      <c r="I462" s="76">
        <f>VLOOKUP(B462,'ALL-DATA'!A:F,6,FALSE)</f>
        <v>405.9</v>
      </c>
      <c r="J462" s="44">
        <v>650</v>
      </c>
      <c r="K462" s="48"/>
      <c r="L462" s="77">
        <f t="shared" si="65"/>
        <v>244.10000000000002</v>
      </c>
      <c r="M462" s="37"/>
      <c r="N462" s="38"/>
      <c r="O462" s="38"/>
      <c r="P462" s="38">
        <f>((((((Table8[[#This Row],[OLD-WT]]-(Table8[[#This Row],[OLD-WT]]*1%))*Table8[[#This Row],[MELTING2]])/100))*80)/100)*Table8[[#This Row],[P-RATE3]]</f>
        <v>0</v>
      </c>
      <c r="Q462" s="38"/>
      <c r="R462" s="263">
        <f t="shared" si="60"/>
        <v>0</v>
      </c>
    </row>
    <row r="463" spans="1:18" x14ac:dyDescent="0.45">
      <c r="A463" s="73">
        <v>45733</v>
      </c>
      <c r="B463" s="38" t="s">
        <v>1693</v>
      </c>
      <c r="C463" s="38"/>
      <c r="D463" s="74"/>
      <c r="E463" s="75">
        <f>VLOOKUP(B463,'ALL-DATA'!A:F,2,FALSE)</f>
        <v>0</v>
      </c>
      <c r="F463" s="38">
        <f>VLOOKUP(B463,'ALL-DATA'!A:F,3,FALSE)</f>
        <v>0</v>
      </c>
      <c r="G463" s="38">
        <f>VLOOKUP(B463,'ALL-DATA'!A:F,4,FALSE)</f>
        <v>0</v>
      </c>
      <c r="H463" s="76">
        <f>VLOOKUP(B463,'ALL-DATA'!A:F,5,FALSE)</f>
        <v>0</v>
      </c>
      <c r="I463" s="76">
        <f>VLOOKUP(B463,'ALL-DATA'!A:F,6,FALSE)</f>
        <v>0</v>
      </c>
      <c r="J463" s="44"/>
      <c r="K463" s="48"/>
      <c r="L463" s="77">
        <f t="shared" si="65"/>
        <v>367.8720000000003</v>
      </c>
      <c r="M463" s="37">
        <v>41</v>
      </c>
      <c r="N463" s="38">
        <v>80</v>
      </c>
      <c r="O463" s="38">
        <v>95</v>
      </c>
      <c r="P463" s="38">
        <f>((((((Table8[[#This Row],[OLD-WT]]-(Table8[[#This Row],[OLD-WT]]*1%))*Table8[[#This Row],[MELTING2]])/100))*80)/100)*Table8[[#This Row],[P-RATE3]]</f>
        <v>2467.8720000000003</v>
      </c>
      <c r="Q463" s="38">
        <v>2100</v>
      </c>
      <c r="R463" s="263">
        <f t="shared" si="60"/>
        <v>367.8720000000003</v>
      </c>
    </row>
    <row r="464" spans="1:18" x14ac:dyDescent="0.45">
      <c r="A464" s="73">
        <v>45735</v>
      </c>
      <c r="B464" s="131" t="s">
        <v>1707</v>
      </c>
      <c r="C464" s="38"/>
      <c r="D464" s="74"/>
      <c r="E464" s="75">
        <f>VLOOKUP(B464,'ALL-DATA'!A:F,2,FALSE)</f>
        <v>10</v>
      </c>
      <c r="F464" s="38">
        <f>VLOOKUP(B464,'ALL-DATA'!A:F,3,FALSE)</f>
        <v>80</v>
      </c>
      <c r="G464" s="38">
        <f>VLOOKUP(B464,'ALL-DATA'!A:F,4,FALSE)</f>
        <v>-15</v>
      </c>
      <c r="H464" s="76">
        <f>VLOOKUP(B464,'ALL-DATA'!A:F,5,FALSE)</f>
        <v>93</v>
      </c>
      <c r="I464" s="76">
        <f>VLOOKUP(B464,'ALL-DATA'!A:F,6,FALSE)</f>
        <v>744</v>
      </c>
      <c r="J464" s="44">
        <v>1100</v>
      </c>
      <c r="K464" s="48"/>
      <c r="L464" s="77">
        <f t="shared" si="65"/>
        <v>356</v>
      </c>
      <c r="M464" s="37"/>
      <c r="N464" s="38"/>
      <c r="O464" s="38"/>
      <c r="P464" s="38">
        <f>((((((Table8[[#This Row],[OLD-WT]]-(Table8[[#This Row],[OLD-WT]]*1%))*Table8[[#This Row],[MELTING2]])/100))*80)/100)*Table8[[#This Row],[P-RATE3]]</f>
        <v>0</v>
      </c>
      <c r="Q464" s="38"/>
      <c r="R464" s="263">
        <f t="shared" si="60"/>
        <v>0</v>
      </c>
    </row>
    <row r="465" spans="1:18" x14ac:dyDescent="0.45">
      <c r="A465" s="73">
        <v>45735</v>
      </c>
      <c r="B465" s="38" t="s">
        <v>1708</v>
      </c>
      <c r="C465" s="38"/>
      <c r="D465" s="74"/>
      <c r="E465" s="75">
        <f>VLOOKUP(B465,'ALL-DATA'!A:F,2,FALSE)</f>
        <v>2.2200000000000002</v>
      </c>
      <c r="F465" s="38">
        <f>VLOOKUP(B465,'ALL-DATA'!A:F,3,FALSE)</f>
        <v>0</v>
      </c>
      <c r="G465" s="38">
        <f>VLOOKUP(B465,'ALL-DATA'!A:F,4,FALSE)</f>
        <v>0</v>
      </c>
      <c r="H465" s="76">
        <f>VLOOKUP(B465,'ALL-DATA'!A:F,5,FALSE)</f>
        <v>8356</v>
      </c>
      <c r="I465" s="76">
        <f>VLOOKUP(B465,'ALL-DATA'!A:F,6,FALSE)</f>
        <v>18550.320000000003</v>
      </c>
      <c r="J465" s="44">
        <v>20300</v>
      </c>
      <c r="K465" s="48"/>
      <c r="L465" s="77">
        <f t="shared" si="65"/>
        <v>1749.6799999999967</v>
      </c>
      <c r="M465" s="37"/>
      <c r="N465" s="38"/>
      <c r="O465" s="38"/>
      <c r="P465" s="38">
        <f>((((((Table8[[#This Row],[OLD-WT]]-(Table8[[#This Row],[OLD-WT]]*1%))*Table8[[#This Row],[MELTING2]])/100))*80)/100)*Table8[[#This Row],[P-RATE3]]</f>
        <v>0</v>
      </c>
      <c r="Q465" s="38"/>
      <c r="R465" s="263">
        <f t="shared" si="60"/>
        <v>0</v>
      </c>
    </row>
    <row r="466" spans="1:18" x14ac:dyDescent="0.45">
      <c r="A466" s="73">
        <v>45739</v>
      </c>
      <c r="B466" s="38" t="str">
        <f>C466&amp;D466</f>
        <v>G-TLI-MNI-THAYTH-9</v>
      </c>
      <c r="C466" s="38" t="s">
        <v>723</v>
      </c>
      <c r="D466" s="74" t="s">
        <v>1318</v>
      </c>
      <c r="E466" s="75">
        <f>VLOOKUP(B466,'ALL-DATA'!A:F,2,FALSE)</f>
        <v>1.05</v>
      </c>
      <c r="F466" s="38">
        <f>VLOOKUP(B466,'ALL-DATA'!A:F,3,FALSE)</f>
        <v>84</v>
      </c>
      <c r="G466" s="38">
        <f>VLOOKUP(B466,'ALL-DATA'!A:F,4,FALSE)</f>
        <v>-7</v>
      </c>
      <c r="H466" s="76">
        <f>VLOOKUP(B466,'ALL-DATA'!A:F,5,FALSE)</f>
        <v>7218.2</v>
      </c>
      <c r="I466" s="76">
        <f>VLOOKUP(B466,'ALL-DATA'!A:F,6,FALSE)</f>
        <v>6366.4524000000001</v>
      </c>
      <c r="J466" s="44">
        <v>9700</v>
      </c>
      <c r="K466" s="48"/>
      <c r="L466" s="77">
        <f t="shared" si="65"/>
        <v>3333.5475999999999</v>
      </c>
      <c r="M466" s="37">
        <v>0.98</v>
      </c>
      <c r="N466" s="38">
        <v>65</v>
      </c>
      <c r="O466" s="38">
        <v>8900</v>
      </c>
      <c r="P466" s="38">
        <v>5000</v>
      </c>
      <c r="Q466" s="38">
        <v>5000</v>
      </c>
      <c r="R466" s="263">
        <f t="shared" si="60"/>
        <v>0</v>
      </c>
    </row>
    <row r="467" spans="1:18" x14ac:dyDescent="0.45">
      <c r="A467" s="73">
        <v>45741</v>
      </c>
      <c r="B467" s="38" t="str">
        <f>C467&amp;D467</f>
        <v>G-RING-B14</v>
      </c>
      <c r="C467" s="38" t="s">
        <v>719</v>
      </c>
      <c r="D467" s="74" t="s">
        <v>1162</v>
      </c>
      <c r="E467" s="75">
        <f>VLOOKUP(B467,'ALL-DATA'!A:F,2,FALSE)</f>
        <v>2.06</v>
      </c>
      <c r="F467" s="38">
        <f>VLOOKUP(B467,'ALL-DATA'!A:F,3,FALSE)</f>
        <v>95.5</v>
      </c>
      <c r="G467" s="38">
        <f>VLOOKUP(B467,'ALL-DATA'!A:F,4,FALSE)</f>
        <v>-3.5</v>
      </c>
      <c r="H467" s="76">
        <f>VLOOKUP(B467,'ALL-DATA'!A:F,5,FALSE)</f>
        <v>7218.2</v>
      </c>
      <c r="I467" s="76">
        <f>VLOOKUP(B467,'ALL-DATA'!A:F,6,FALSE)</f>
        <v>14200.364860000001</v>
      </c>
      <c r="J467" s="44">
        <v>18900</v>
      </c>
      <c r="K467" s="48"/>
      <c r="L467" s="77">
        <f t="shared" si="65"/>
        <v>4699.6351399999985</v>
      </c>
      <c r="M467" s="37"/>
      <c r="N467" s="38"/>
      <c r="O467" s="38"/>
      <c r="P467" s="38">
        <f>((((((Table8[[#This Row],[OLD-WT]]-(Table8[[#This Row],[OLD-WT]]*1%))*Table8[[#This Row],[MELTING2]])/100))*80)/100)*Table8[[#This Row],[P-RATE3]]</f>
        <v>0</v>
      </c>
      <c r="Q467" s="38"/>
      <c r="R467" s="263">
        <f t="shared" si="60"/>
        <v>0</v>
      </c>
    </row>
    <row r="468" spans="1:18" x14ac:dyDescent="0.45">
      <c r="A468" s="73">
        <v>45741</v>
      </c>
      <c r="B468" s="131" t="s">
        <v>1712</v>
      </c>
      <c r="C468" s="38"/>
      <c r="D468" s="74"/>
      <c r="E468" s="75">
        <f>VLOOKUP(B468,'ALL-DATA'!A:F,2,FALSE)</f>
        <v>1</v>
      </c>
      <c r="F468" s="38">
        <f>VLOOKUP(B468,'ALL-DATA'!A:F,3,FALSE)</f>
        <v>85</v>
      </c>
      <c r="G468" s="38">
        <f>VLOOKUP(B468,'ALL-DATA'!A:F,4,FALSE)</f>
        <v>-8</v>
      </c>
      <c r="H468" s="76">
        <f>VLOOKUP(B468,'ALL-DATA'!A:F,5,FALSE)</f>
        <v>7290</v>
      </c>
      <c r="I468" s="76">
        <f>VLOOKUP(B468,'ALL-DATA'!A:F,6,FALSE)</f>
        <v>6196.5</v>
      </c>
      <c r="J468" s="44">
        <v>8800</v>
      </c>
      <c r="K468" s="48"/>
      <c r="L468" s="77">
        <f t="shared" ref="L468:L486" si="66">((J468+R468)-I468)</f>
        <v>2603.5</v>
      </c>
      <c r="M468" s="37"/>
      <c r="N468" s="38"/>
      <c r="O468" s="38"/>
      <c r="P468" s="38">
        <f>((((((Table8[[#This Row],[OLD-WT]]-(Table8[[#This Row],[OLD-WT]]*1%))*Table8[[#This Row],[MELTING2]])/100))*80)/100)*Table8[[#This Row],[P-RATE3]]</f>
        <v>0</v>
      </c>
      <c r="Q468" s="38"/>
      <c r="R468" s="263">
        <f t="shared" si="60"/>
        <v>0</v>
      </c>
    </row>
    <row r="469" spans="1:18" x14ac:dyDescent="0.45">
      <c r="A469" s="73">
        <v>45741</v>
      </c>
      <c r="B469" s="38" t="str">
        <f>C469&amp;D469</f>
        <v>S-BARACELET-B-31</v>
      </c>
      <c r="C469" s="38" t="s">
        <v>737</v>
      </c>
      <c r="D469" s="74" t="s">
        <v>1274</v>
      </c>
      <c r="E469" s="75">
        <f>VLOOKUP(B469,'ALL-DATA'!A:F,2,FALSE)</f>
        <v>24.6</v>
      </c>
      <c r="F469" s="38">
        <f>VLOOKUP(B469,'ALL-DATA'!A:F,3,FALSE)</f>
        <v>82</v>
      </c>
      <c r="G469" s="38">
        <f>VLOOKUP(B469,'ALL-DATA'!A:F,4,FALSE)</f>
        <v>-17</v>
      </c>
      <c r="H469" s="76">
        <f>VLOOKUP(B469,'ALL-DATA'!A:F,5,FALSE)</f>
        <v>90.6</v>
      </c>
      <c r="I469" s="76">
        <f>VLOOKUP(B469,'ALL-DATA'!A:F,6,FALSE)</f>
        <v>1827.5832</v>
      </c>
      <c r="J469" s="44">
        <v>3400</v>
      </c>
      <c r="K469" s="48"/>
      <c r="L469" s="77">
        <f t="shared" si="66"/>
        <v>775.99760000000015</v>
      </c>
      <c r="M469" s="37">
        <v>49.9</v>
      </c>
      <c r="N469" s="38">
        <v>80</v>
      </c>
      <c r="O469" s="38">
        <v>95</v>
      </c>
      <c r="P469" s="38">
        <f>((((((Table8[[#This Row],[OLD-WT]]-(Table8[[#This Row],[OLD-WT]]*1%))*Table8[[#This Row],[MELTING2]])/100))*80)/100)*Table8[[#This Row],[P-RATE3]]</f>
        <v>3003.5808000000002</v>
      </c>
      <c r="Q469" s="38">
        <v>3800</v>
      </c>
      <c r="R469" s="263">
        <f t="shared" si="60"/>
        <v>-796.41919999999982</v>
      </c>
    </row>
    <row r="470" spans="1:18" x14ac:dyDescent="0.45">
      <c r="A470" s="73">
        <v>45741</v>
      </c>
      <c r="B470" s="314" t="s">
        <v>807</v>
      </c>
      <c r="C470" s="38"/>
      <c r="D470" s="74"/>
      <c r="E470" s="75">
        <f>VLOOKUP(B470,'ALL-DATA'!A:F,2,FALSE)</f>
        <v>0</v>
      </c>
      <c r="F470" s="38">
        <f>VLOOKUP(B470,'ALL-DATA'!A:F,3,FALSE)</f>
        <v>0</v>
      </c>
      <c r="G470" s="38">
        <f>VLOOKUP(B470,'ALL-DATA'!A:F,4,FALSE)</f>
        <v>0</v>
      </c>
      <c r="H470" s="76">
        <f>VLOOKUP(B470,'ALL-DATA'!A:F,5,FALSE)</f>
        <v>0</v>
      </c>
      <c r="I470" s="76">
        <f>VLOOKUP(B470,'ALL-DATA'!A:F,6,FALSE)</f>
        <v>300</v>
      </c>
      <c r="J470" s="44">
        <v>500</v>
      </c>
      <c r="K470" s="48"/>
      <c r="L470" s="77">
        <f t="shared" si="66"/>
        <v>200</v>
      </c>
      <c r="M470" s="37"/>
      <c r="N470" s="38"/>
      <c r="O470" s="38"/>
      <c r="P470" s="38">
        <f>((((((Table8[[#This Row],[OLD-WT]]-(Table8[[#This Row],[OLD-WT]]*1%))*Table8[[#This Row],[MELTING2]])/100))*80)/100)*Table8[[#This Row],[P-RATE3]]</f>
        <v>0</v>
      </c>
      <c r="Q470" s="38"/>
      <c r="R470" s="263">
        <f t="shared" si="60"/>
        <v>0</v>
      </c>
    </row>
    <row r="471" spans="1:18" x14ac:dyDescent="0.45">
      <c r="A471" s="73">
        <v>45741</v>
      </c>
      <c r="B471" s="314" t="s">
        <v>1713</v>
      </c>
      <c r="C471" s="38"/>
      <c r="D471" s="74"/>
      <c r="E471" s="75">
        <f>VLOOKUP(B471,'ALL-DATA'!A:F,2,FALSE)</f>
        <v>0</v>
      </c>
      <c r="F471" s="38">
        <f>VLOOKUP(B471,'ALL-DATA'!A:F,3,FALSE)</f>
        <v>0</v>
      </c>
      <c r="G471" s="38">
        <f>VLOOKUP(B471,'ALL-DATA'!A:F,4,FALSE)</f>
        <v>0</v>
      </c>
      <c r="H471" s="76">
        <f>VLOOKUP(B471,'ALL-DATA'!A:F,5,FALSE)</f>
        <v>0</v>
      </c>
      <c r="I471" s="76">
        <f>VLOOKUP(B471,'ALL-DATA'!A:F,6,FALSE)</f>
        <v>72.25</v>
      </c>
      <c r="J471" s="44">
        <v>400</v>
      </c>
      <c r="K471" s="48"/>
      <c r="L471" s="77">
        <f t="shared" si="66"/>
        <v>327.75</v>
      </c>
      <c r="M471" s="37"/>
      <c r="N471" s="38"/>
      <c r="O471" s="38"/>
      <c r="P471" s="38">
        <f>((((((Table8[[#This Row],[OLD-WT]]-(Table8[[#This Row],[OLD-WT]]*1%))*Table8[[#This Row],[MELTING2]])/100))*80)/100)*Table8[[#This Row],[P-RATE3]]</f>
        <v>0</v>
      </c>
      <c r="Q471" s="38"/>
      <c r="R471" s="263">
        <f t="shared" si="60"/>
        <v>0</v>
      </c>
    </row>
    <row r="472" spans="1:18" x14ac:dyDescent="0.45">
      <c r="A472" s="73">
        <v>45742</v>
      </c>
      <c r="B472" s="38" t="str">
        <f>C472&amp;D472</f>
        <v>S-RING-81</v>
      </c>
      <c r="C472" s="38" t="s">
        <v>731</v>
      </c>
      <c r="D472" s="74" t="s">
        <v>786</v>
      </c>
      <c r="E472" s="75">
        <f>VLOOKUP(B472,'ALL-DATA'!A:F,2,FALSE)</f>
        <v>4.1399999999999997</v>
      </c>
      <c r="F472" s="38">
        <f>VLOOKUP(B472,'ALL-DATA'!A:F,3,FALSE)</f>
        <v>92.5</v>
      </c>
      <c r="G472" s="38">
        <f>VLOOKUP(B472,'ALL-DATA'!A:F,4,FALSE)</f>
        <v>92.5</v>
      </c>
      <c r="H472" s="76">
        <f>VLOOKUP(B472,'ALL-DATA'!A:F,5,FALSE)</f>
        <v>127</v>
      </c>
      <c r="I472" s="76">
        <f>VLOOKUP(B472,'ALL-DATA'!A:F,6,FALSE)</f>
        <v>525.78</v>
      </c>
      <c r="J472" s="44">
        <v>800</v>
      </c>
      <c r="K472" s="48"/>
      <c r="L472" s="77">
        <f t="shared" si="66"/>
        <v>274.22000000000003</v>
      </c>
      <c r="M472" s="37"/>
      <c r="N472" s="38"/>
      <c r="O472" s="38"/>
      <c r="P472" s="38">
        <f>((((((Table8[[#This Row],[OLD-WT]]-(Table8[[#This Row],[OLD-WT]]*1%))*Table8[[#This Row],[MELTING2]])/100))*80)/100)*Table8[[#This Row],[P-RATE3]]</f>
        <v>0</v>
      </c>
      <c r="Q472" s="38"/>
      <c r="R472" s="263">
        <f t="shared" si="60"/>
        <v>0</v>
      </c>
    </row>
    <row r="473" spans="1:18" x14ac:dyDescent="0.45">
      <c r="A473" s="73">
        <v>45743</v>
      </c>
      <c r="B473" s="38" t="str">
        <f>C473&amp;D473</f>
        <v>S-CHAIN-N-92</v>
      </c>
      <c r="C473" s="38" t="s">
        <v>732</v>
      </c>
      <c r="D473" s="74" t="s">
        <v>1497</v>
      </c>
      <c r="E473" s="75">
        <f>VLOOKUP(B473,'ALL-DATA'!A:F,2,FALSE)</f>
        <v>4.5999999999999996</v>
      </c>
      <c r="F473" s="38">
        <f>VLOOKUP(B473,'ALL-DATA'!A:F,3,FALSE)</f>
        <v>82</v>
      </c>
      <c r="G473" s="38">
        <f>VLOOKUP(B473,'ALL-DATA'!A:F,4,FALSE)</f>
        <v>17</v>
      </c>
      <c r="H473" s="76">
        <f>VLOOKUP(B473,'ALL-DATA'!A:F,5,FALSE)</f>
        <v>92.18</v>
      </c>
      <c r="I473" s="76">
        <f>VLOOKUP(B473,'ALL-DATA'!A:F,6,FALSE)</f>
        <v>347.70296000000002</v>
      </c>
      <c r="J473" s="44">
        <v>790</v>
      </c>
      <c r="K473" s="48"/>
      <c r="L473" s="77">
        <f t="shared" si="66"/>
        <v>442.29703999999998</v>
      </c>
      <c r="M473" s="37"/>
      <c r="N473" s="38"/>
      <c r="O473" s="38"/>
      <c r="P473" s="38">
        <f>((((((Table8[[#This Row],[OLD-WT]]-(Table8[[#This Row],[OLD-WT]]*1%))*Table8[[#This Row],[MELTING2]])/100))*80)/100)*Table8[[#This Row],[P-RATE3]]</f>
        <v>0</v>
      </c>
      <c r="Q473" s="38"/>
      <c r="R473" s="263">
        <f t="shared" si="60"/>
        <v>0</v>
      </c>
    </row>
    <row r="474" spans="1:18" x14ac:dyDescent="0.45">
      <c r="A474" s="73">
        <v>45743</v>
      </c>
      <c r="B474" s="131" t="s">
        <v>1716</v>
      </c>
      <c r="C474" s="38"/>
      <c r="D474" s="74"/>
      <c r="E474" s="75">
        <f>VLOOKUP(B474,'ALL-DATA'!A:F,2,FALSE)</f>
        <v>11.5</v>
      </c>
      <c r="F474" s="38">
        <f>VLOOKUP(B474,'ALL-DATA'!A:F,3,FALSE)</f>
        <v>80</v>
      </c>
      <c r="G474" s="38">
        <f>VLOOKUP(B474,'ALL-DATA'!A:F,4,FALSE)</f>
        <v>-15</v>
      </c>
      <c r="H474" s="76">
        <f>VLOOKUP(B474,'ALL-DATA'!A:F,5,FALSE)</f>
        <v>93</v>
      </c>
      <c r="I474" s="76">
        <f>VLOOKUP(B474,'ALL-DATA'!A:F,6,FALSE)</f>
        <v>855.59999999999991</v>
      </c>
      <c r="J474" s="44">
        <v>1590</v>
      </c>
      <c r="K474" s="48"/>
      <c r="L474" s="77">
        <f t="shared" si="66"/>
        <v>696.51200000000017</v>
      </c>
      <c r="M474" s="37">
        <v>11</v>
      </c>
      <c r="N474" s="38">
        <v>80</v>
      </c>
      <c r="O474" s="38">
        <v>95</v>
      </c>
      <c r="P474" s="38">
        <f>((((((Table8[[#This Row],[OLD-WT]]-(Table8[[#This Row],[OLD-WT]]*1%))*Table8[[#This Row],[MELTING2]])/100))*80)/100)*Table8[[#This Row],[P-RATE3]]</f>
        <v>662.11200000000008</v>
      </c>
      <c r="Q474" s="38">
        <v>700</v>
      </c>
      <c r="R474" s="263">
        <f t="shared" si="60"/>
        <v>-37.88799999999992</v>
      </c>
    </row>
    <row r="475" spans="1:18" x14ac:dyDescent="0.45">
      <c r="A475" s="73">
        <v>45743</v>
      </c>
      <c r="B475" s="131" t="s">
        <v>1715</v>
      </c>
      <c r="C475" s="38"/>
      <c r="D475" s="74"/>
      <c r="E475" s="75">
        <f>VLOOKUP(B475,'ALL-DATA'!A:F,2,FALSE)</f>
        <v>3.5</v>
      </c>
      <c r="F475" s="38">
        <f>VLOOKUP(B475,'ALL-DATA'!A:F,3,FALSE)</f>
        <v>80</v>
      </c>
      <c r="G475" s="38">
        <f>VLOOKUP(B475,'ALL-DATA'!A:F,4,FALSE)</f>
        <v>-15</v>
      </c>
      <c r="H475" s="76">
        <f>VLOOKUP(B475,'ALL-DATA'!A:F,5,FALSE)</f>
        <v>93</v>
      </c>
      <c r="I475" s="76">
        <f>VLOOKUP(B475,'ALL-DATA'!A:F,6,FALSE)</f>
        <v>260.39999999999998</v>
      </c>
      <c r="J475" s="44">
        <v>600</v>
      </c>
      <c r="K475" s="48"/>
      <c r="L475" s="77">
        <f t="shared" si="66"/>
        <v>248.18175999999994</v>
      </c>
      <c r="M475" s="37">
        <v>9.2799999999999994</v>
      </c>
      <c r="N475" s="38">
        <v>80</v>
      </c>
      <c r="O475" s="38">
        <v>95</v>
      </c>
      <c r="P475" s="38">
        <f>((((((Table8[[#This Row],[OLD-WT]]-(Table8[[#This Row],[OLD-WT]]*1%))*Table8[[#This Row],[MELTING2]])/100))*80)/100)*Table8[[#This Row],[P-RATE3]]</f>
        <v>558.58175999999992</v>
      </c>
      <c r="Q475" s="38">
        <v>650</v>
      </c>
      <c r="R475" s="263">
        <f t="shared" si="60"/>
        <v>-91.418240000000083</v>
      </c>
    </row>
    <row r="476" spans="1:18" x14ac:dyDescent="0.45">
      <c r="A476" s="73">
        <v>45743</v>
      </c>
      <c r="B476" s="38" t="str">
        <f>C476&amp;D476</f>
        <v>S-RING-308</v>
      </c>
      <c r="C476" s="38" t="s">
        <v>731</v>
      </c>
      <c r="D476" s="74" t="s">
        <v>1717</v>
      </c>
      <c r="E476" s="75">
        <f>VLOOKUP(B476,'ALL-DATA'!A:F,2,FALSE)</f>
        <v>2.2999999999999998</v>
      </c>
      <c r="F476" s="38">
        <f>VLOOKUP(B476,'ALL-DATA'!A:F,3,FALSE)</f>
        <v>92.5</v>
      </c>
      <c r="G476" s="38">
        <f>VLOOKUP(B476,'ALL-DATA'!A:F,4,FALSE)</f>
        <v>92.5</v>
      </c>
      <c r="H476" s="76">
        <f>VLOOKUP(B476,'ALL-DATA'!A:F,5,FALSE)</f>
        <v>132</v>
      </c>
      <c r="I476" s="76">
        <f>VLOOKUP(B476,'ALL-DATA'!A:F,6,FALSE)</f>
        <v>303.59999999999997</v>
      </c>
      <c r="J476" s="44">
        <v>500</v>
      </c>
      <c r="K476" s="48"/>
      <c r="L476" s="77">
        <f t="shared" si="66"/>
        <v>196.40000000000003</v>
      </c>
      <c r="M476" s="37"/>
      <c r="N476" s="38"/>
      <c r="O476" s="38"/>
      <c r="P476" s="38">
        <f>((((((Table8[[#This Row],[OLD-WT]]-(Table8[[#This Row],[OLD-WT]]*1%))*Table8[[#This Row],[MELTING2]])/100))*80)/100)*Table8[[#This Row],[P-RATE3]]</f>
        <v>0</v>
      </c>
      <c r="Q476" s="38"/>
      <c r="R476" s="263">
        <f t="shared" si="60"/>
        <v>0</v>
      </c>
    </row>
    <row r="477" spans="1:18" x14ac:dyDescent="0.45">
      <c r="A477" s="73">
        <v>45743</v>
      </c>
      <c r="B477" s="38" t="str">
        <f>C477&amp;D477</f>
        <v>S-RING-282</v>
      </c>
      <c r="C477" s="38" t="s">
        <v>731</v>
      </c>
      <c r="D477" s="74" t="s">
        <v>1718</v>
      </c>
      <c r="E477" s="75">
        <f>VLOOKUP(B477,'ALL-DATA'!A:F,2,FALSE)</f>
        <v>2.13</v>
      </c>
      <c r="F477" s="38">
        <f>VLOOKUP(B477,'ALL-DATA'!A:F,3,FALSE)</f>
        <v>92.5</v>
      </c>
      <c r="G477" s="38">
        <f>VLOOKUP(B477,'ALL-DATA'!A:F,4,FALSE)</f>
        <v>92.5</v>
      </c>
      <c r="H477" s="76">
        <f>VLOOKUP(B477,'ALL-DATA'!A:F,5,FALSE)</f>
        <v>140</v>
      </c>
      <c r="I477" s="76">
        <f>VLOOKUP(B477,'ALL-DATA'!A:F,6,FALSE)</f>
        <v>298.2</v>
      </c>
      <c r="J477" s="44">
        <v>500</v>
      </c>
      <c r="K477" s="48"/>
      <c r="L477" s="77">
        <f t="shared" si="66"/>
        <v>201.8</v>
      </c>
      <c r="M477" s="37"/>
      <c r="N477" s="38"/>
      <c r="O477" s="38"/>
      <c r="P477" s="38">
        <f>((((((Table8[[#This Row],[OLD-WT]]-(Table8[[#This Row],[OLD-WT]]*1%))*Table8[[#This Row],[MELTING2]])/100))*80)/100)*Table8[[#This Row],[P-RATE3]]</f>
        <v>0</v>
      </c>
      <c r="Q477" s="38"/>
      <c r="R477" s="263">
        <f t="shared" si="60"/>
        <v>0</v>
      </c>
    </row>
    <row r="478" spans="1:18" x14ac:dyDescent="0.45">
      <c r="A478" s="73">
        <v>45743</v>
      </c>
      <c r="B478" s="314" t="s">
        <v>804</v>
      </c>
      <c r="C478" s="38"/>
      <c r="D478" s="74"/>
      <c r="E478" s="75">
        <f>VLOOKUP(B478,'ALL-DATA'!A:F,2,FALSE)</f>
        <v>0</v>
      </c>
      <c r="F478" s="38">
        <f>VLOOKUP(B478,'ALL-DATA'!A:F,3,FALSE)</f>
        <v>0</v>
      </c>
      <c r="G478" s="38">
        <f>VLOOKUP(B478,'ALL-DATA'!A:F,4,FALSE)</f>
        <v>0</v>
      </c>
      <c r="H478" s="76">
        <f>VLOOKUP(B478,'ALL-DATA'!A:F,5,FALSE)</f>
        <v>0</v>
      </c>
      <c r="I478" s="76">
        <f>VLOOKUP(B478,'ALL-DATA'!A:F,6,FALSE)</f>
        <v>242</v>
      </c>
      <c r="J478" s="44">
        <v>700</v>
      </c>
      <c r="K478" s="48"/>
      <c r="L478" s="77">
        <f t="shared" si="66"/>
        <v>458</v>
      </c>
      <c r="M478" s="37"/>
      <c r="N478" s="38"/>
      <c r="O478" s="38"/>
      <c r="P478" s="38">
        <f>((((((Table8[[#This Row],[OLD-WT]]-(Table8[[#This Row],[OLD-WT]]*1%))*Table8[[#This Row],[MELTING2]])/100))*80)/100)*Table8[[#This Row],[P-RATE3]]</f>
        <v>0</v>
      </c>
      <c r="Q478" s="38"/>
      <c r="R478" s="263">
        <f t="shared" si="60"/>
        <v>0</v>
      </c>
    </row>
    <row r="479" spans="1:18" x14ac:dyDescent="0.45">
      <c r="A479" s="73">
        <v>45743</v>
      </c>
      <c r="B479" s="314" t="s">
        <v>807</v>
      </c>
      <c r="C479" s="38"/>
      <c r="D479" s="74"/>
      <c r="E479" s="75">
        <f>VLOOKUP(B479,'ALL-DATA'!A:F,2,FALSE)</f>
        <v>0</v>
      </c>
      <c r="F479" s="38">
        <f>VLOOKUP(B479,'ALL-DATA'!A:F,3,FALSE)</f>
        <v>0</v>
      </c>
      <c r="G479" s="38">
        <f>VLOOKUP(B479,'ALL-DATA'!A:F,4,FALSE)</f>
        <v>0</v>
      </c>
      <c r="H479" s="76">
        <f>VLOOKUP(B479,'ALL-DATA'!A:F,5,FALSE)</f>
        <v>0</v>
      </c>
      <c r="I479" s="76">
        <f>VLOOKUP(B479,'ALL-DATA'!A:F,6,FALSE)</f>
        <v>300</v>
      </c>
      <c r="J479" s="44">
        <v>450</v>
      </c>
      <c r="K479" s="48"/>
      <c r="L479" s="77">
        <f t="shared" si="66"/>
        <v>176.94911999999977</v>
      </c>
      <c r="M479" s="37">
        <v>27.86</v>
      </c>
      <c r="N479" s="38">
        <v>80</v>
      </c>
      <c r="O479" s="38">
        <v>95</v>
      </c>
      <c r="P479" s="38">
        <f>((((((Table8[[#This Row],[OLD-WT]]-(Table8[[#This Row],[OLD-WT]]*1%))*Table8[[#This Row],[MELTING2]])/100))*80)/100)*Table8[[#This Row],[P-RATE3]]</f>
        <v>1676.9491199999998</v>
      </c>
      <c r="Q479" s="38">
        <v>1650</v>
      </c>
      <c r="R479" s="263">
        <f t="shared" ref="R479:R523" si="67">(P479-Q479)</f>
        <v>26.949119999999766</v>
      </c>
    </row>
    <row r="480" spans="1:18" x14ac:dyDescent="0.45">
      <c r="A480" s="73">
        <v>45743</v>
      </c>
      <c r="B480" s="131" t="s">
        <v>1719</v>
      </c>
      <c r="C480" s="38"/>
      <c r="D480" s="74"/>
      <c r="E480" s="75">
        <f>VLOOKUP(B480,'ALL-DATA'!A:F,2,FALSE)</f>
        <v>0.1</v>
      </c>
      <c r="F480" s="38">
        <f>VLOOKUP(B480,'ALL-DATA'!A:F,3,FALSE)</f>
        <v>80.39</v>
      </c>
      <c r="G480" s="38">
        <f>VLOOKUP(B480,'ALL-DATA'!A:F,4,FALSE)</f>
        <v>-10</v>
      </c>
      <c r="H480" s="76">
        <f>VLOOKUP(B480,'ALL-DATA'!A:F,5,FALSE)</f>
        <v>7218.2</v>
      </c>
      <c r="I480" s="76">
        <f>VLOOKUP(B480,'ALL-DATA'!A:F,6,FALSE)</f>
        <v>580.27109800000005</v>
      </c>
      <c r="J480" s="44">
        <v>1240</v>
      </c>
      <c r="K480" s="48"/>
      <c r="L480" s="77">
        <f t="shared" si="66"/>
        <v>659.72890199999995</v>
      </c>
      <c r="M480" s="37">
        <v>0.04</v>
      </c>
      <c r="N480" s="38"/>
      <c r="O480" s="38"/>
      <c r="P480" s="38">
        <v>100</v>
      </c>
      <c r="Q480" s="38">
        <v>100</v>
      </c>
      <c r="R480" s="263">
        <f t="shared" si="67"/>
        <v>0</v>
      </c>
    </row>
    <row r="481" spans="1:18" x14ac:dyDescent="0.45">
      <c r="A481" s="73">
        <v>45743</v>
      </c>
      <c r="B481" s="312" t="s">
        <v>806</v>
      </c>
      <c r="C481" s="38"/>
      <c r="D481" s="74"/>
      <c r="E481" s="75">
        <f>VLOOKUP(B481,'ALL-DATA'!A:F,2,FALSE)</f>
        <v>0</v>
      </c>
      <c r="F481" s="38">
        <f>VLOOKUP(B481,'ALL-DATA'!A:F,3,FALSE)</f>
        <v>0</v>
      </c>
      <c r="G481" s="38">
        <f>VLOOKUP(B481,'ALL-DATA'!A:F,4,FALSE)</f>
        <v>0</v>
      </c>
      <c r="H481" s="76">
        <f>VLOOKUP(B481,'ALL-DATA'!A:F,5,FALSE)</f>
        <v>0</v>
      </c>
      <c r="I481" s="76">
        <f>VLOOKUP(B481,'ALL-DATA'!A:F,6,FALSE)</f>
        <v>110</v>
      </c>
      <c r="J481" s="44">
        <v>400</v>
      </c>
      <c r="K481" s="48"/>
      <c r="L481" s="77">
        <f t="shared" si="66"/>
        <v>310.38400000000001</v>
      </c>
      <c r="M481" s="37">
        <v>2</v>
      </c>
      <c r="N481" s="38">
        <v>80</v>
      </c>
      <c r="O481" s="38">
        <v>95</v>
      </c>
      <c r="P481" s="38">
        <f>((((((Table8[[#This Row],[OLD-WT]]-(Table8[[#This Row],[OLD-WT]]*1%))*Table8[[#This Row],[MELTING2]])/100))*80)/100)*Table8[[#This Row],[P-RATE3]]</f>
        <v>120.38399999999999</v>
      </c>
      <c r="Q481" s="38">
        <v>100</v>
      </c>
      <c r="R481" s="263">
        <f t="shared" si="67"/>
        <v>20.383999999999986</v>
      </c>
    </row>
    <row r="482" spans="1:18" x14ac:dyDescent="0.45">
      <c r="A482" s="73">
        <v>45744</v>
      </c>
      <c r="B482" s="38" t="str">
        <f>C482&amp;D482</f>
        <v>S-AARUNA-18</v>
      </c>
      <c r="C482" s="38" t="s">
        <v>729</v>
      </c>
      <c r="D482" s="74" t="s">
        <v>1197</v>
      </c>
      <c r="E482" s="75">
        <f>VLOOKUP(B482,'ALL-DATA'!A:F,2,FALSE)</f>
        <v>51.51</v>
      </c>
      <c r="F482" s="38">
        <f>VLOOKUP(B482,'ALL-DATA'!A:F,3,FALSE)</f>
        <v>80.650000000000006</v>
      </c>
      <c r="G482" s="38">
        <f>VLOOKUP(B482,'ALL-DATA'!A:F,4,FALSE)</f>
        <v>10</v>
      </c>
      <c r="H482" s="76">
        <f>VLOOKUP(B482,'ALL-DATA'!A:F,5,FALSE)</f>
        <v>90</v>
      </c>
      <c r="I482" s="76">
        <f>VLOOKUP(B482,'ALL-DATA'!A:F,6,FALSE)</f>
        <v>3738.8533499999999</v>
      </c>
      <c r="J482" s="44">
        <v>6500</v>
      </c>
      <c r="K482" s="48"/>
      <c r="L482" s="77">
        <f t="shared" si="66"/>
        <v>2761.1466500000001</v>
      </c>
      <c r="M482" s="37"/>
      <c r="N482" s="38"/>
      <c r="O482" s="38"/>
      <c r="P482" s="38">
        <f>((((((Table8[[#This Row],[OLD-WT]]-(Table8[[#This Row],[OLD-WT]]*1%))*Table8[[#This Row],[MELTING2]])/100))*80)/100)*Table8[[#This Row],[P-RATE3]]</f>
        <v>0</v>
      </c>
      <c r="Q482" s="38"/>
      <c r="R482" s="263">
        <f t="shared" si="67"/>
        <v>0</v>
      </c>
    </row>
    <row r="483" spans="1:18" x14ac:dyDescent="0.45">
      <c r="A483" s="73">
        <v>45745</v>
      </c>
      <c r="B483" s="311" t="s">
        <v>1721</v>
      </c>
      <c r="C483" s="38"/>
      <c r="D483" s="74"/>
      <c r="E483" s="75">
        <f>VLOOKUP(B483,'ALL-DATA'!A:F,2,FALSE)</f>
        <v>0</v>
      </c>
      <c r="F483" s="38">
        <f>VLOOKUP(B483,'ALL-DATA'!A:F,3,FALSE)</f>
        <v>0</v>
      </c>
      <c r="G483" s="38">
        <f>VLOOKUP(B483,'ALL-DATA'!A:F,4,FALSE)</f>
        <v>0</v>
      </c>
      <c r="H483" s="76">
        <f>VLOOKUP(B483,'ALL-DATA'!A:F,5,FALSE)</f>
        <v>0</v>
      </c>
      <c r="I483" s="76">
        <f>VLOOKUP(B483,'ALL-DATA'!A:F,6,FALSE)</f>
        <v>450</v>
      </c>
      <c r="J483" s="44">
        <v>700</v>
      </c>
      <c r="K483" s="48"/>
      <c r="L483" s="77">
        <f t="shared" si="66"/>
        <v>250</v>
      </c>
      <c r="M483" s="37"/>
      <c r="N483" s="38"/>
      <c r="O483" s="38"/>
      <c r="P483" s="38">
        <f>((((((Table8[[#This Row],[OLD-WT]]-(Table8[[#This Row],[OLD-WT]]*1%))*Table8[[#This Row],[MELTING2]])/100))*80)/100)*Table8[[#This Row],[P-RATE3]]</f>
        <v>0</v>
      </c>
      <c r="Q483" s="38"/>
      <c r="R483" s="263">
        <f t="shared" si="67"/>
        <v>0</v>
      </c>
    </row>
    <row r="484" spans="1:18" x14ac:dyDescent="0.45">
      <c r="A484" s="73">
        <v>45745</v>
      </c>
      <c r="B484" s="38" t="s">
        <v>1723</v>
      </c>
      <c r="C484" s="38"/>
      <c r="D484" s="74"/>
      <c r="E484" s="75">
        <f>VLOOKUP(B484,'ALL-DATA'!A:F,2,FALSE)</f>
        <v>0</v>
      </c>
      <c r="F484" s="38">
        <f>VLOOKUP(B484,'ALL-DATA'!A:F,3,FALSE)</f>
        <v>0</v>
      </c>
      <c r="G484" s="38">
        <f>VLOOKUP(B484,'ALL-DATA'!A:F,4,FALSE)</f>
        <v>0</v>
      </c>
      <c r="H484" s="76">
        <f>VLOOKUP(B484,'ALL-DATA'!A:F,5,FALSE)</f>
        <v>0</v>
      </c>
      <c r="I484" s="76">
        <f>VLOOKUP(B484,'ALL-DATA'!A:F,6,FALSE)</f>
        <v>515</v>
      </c>
      <c r="J484" s="44">
        <v>800</v>
      </c>
      <c r="K484" s="48"/>
      <c r="L484" s="77">
        <f t="shared" si="66"/>
        <v>285</v>
      </c>
      <c r="M484" s="37"/>
      <c r="N484" s="38"/>
      <c r="O484" s="38"/>
      <c r="P484" s="38">
        <f>((((((Table8[[#This Row],[OLD-WT]]-(Table8[[#This Row],[OLD-WT]]*1%))*Table8[[#This Row],[MELTING2]])/100))*80)/100)*Table8[[#This Row],[P-RATE3]]</f>
        <v>0</v>
      </c>
      <c r="Q484" s="38"/>
      <c r="R484" s="263">
        <f t="shared" si="67"/>
        <v>0</v>
      </c>
    </row>
    <row r="485" spans="1:18" x14ac:dyDescent="0.45">
      <c r="A485" s="73">
        <v>45745</v>
      </c>
      <c r="B485" s="316" t="s">
        <v>1725</v>
      </c>
      <c r="C485" s="38"/>
      <c r="D485" s="74"/>
      <c r="E485" s="75">
        <f>VLOOKUP(B485,'ALL-DATA'!A:F,2,FALSE)</f>
        <v>0.4</v>
      </c>
      <c r="F485" s="38">
        <f>VLOOKUP(B485,'ALL-DATA'!A:F,3,FALSE)</f>
        <v>66</v>
      </c>
      <c r="G485" s="38">
        <f>VLOOKUP(B485,'ALL-DATA'!A:F,4,FALSE)</f>
        <v>8</v>
      </c>
      <c r="H485" s="76">
        <f>VLOOKUP(B485,'ALL-DATA'!A:F,5,FALSE)</f>
        <v>8356</v>
      </c>
      <c r="I485" s="76">
        <f>VLOOKUP(B485,'ALL-DATA'!A:F,6,FALSE)</f>
        <v>2205.9839999999999</v>
      </c>
      <c r="J485" s="44">
        <v>3500</v>
      </c>
      <c r="K485" s="48"/>
      <c r="L485" s="77">
        <f t="shared" si="66"/>
        <v>1294.0160000000001</v>
      </c>
      <c r="M485" s="37">
        <v>0.32</v>
      </c>
      <c r="N485" s="38">
        <v>40</v>
      </c>
      <c r="O485" s="38"/>
      <c r="P485" s="38">
        <v>1000</v>
      </c>
      <c r="Q485" s="38">
        <v>1000</v>
      </c>
      <c r="R485" s="263">
        <f t="shared" si="67"/>
        <v>0</v>
      </c>
    </row>
    <row r="486" spans="1:18" x14ac:dyDescent="0.45">
      <c r="A486" s="73">
        <v>45745</v>
      </c>
      <c r="B486" s="23" t="s">
        <v>1256</v>
      </c>
      <c r="C486" s="38"/>
      <c r="D486" s="74"/>
      <c r="E486" s="75">
        <f>VLOOKUP(B486,'ALL-DATA'!A:F,2,FALSE)</f>
        <v>4</v>
      </c>
      <c r="F486" s="38">
        <f>VLOOKUP(B486,'ALL-DATA'!A:F,3,FALSE)</f>
        <v>82</v>
      </c>
      <c r="G486" s="38">
        <f>VLOOKUP(B486,'ALL-DATA'!A:F,4,FALSE)</f>
        <v>0</v>
      </c>
      <c r="H486" s="76">
        <f>VLOOKUP(B486,'ALL-DATA'!A:F,5,FALSE)</f>
        <v>86.4</v>
      </c>
      <c r="I486" s="76">
        <f>VLOOKUP(B486,'ALL-DATA'!A:F,6,FALSE)</f>
        <v>283.392</v>
      </c>
      <c r="J486" s="44">
        <v>500</v>
      </c>
      <c r="K486" s="48"/>
      <c r="L486" s="77">
        <f t="shared" si="66"/>
        <v>216.608</v>
      </c>
      <c r="M486" s="37"/>
      <c r="N486" s="38"/>
      <c r="O486" s="38"/>
      <c r="P486" s="38">
        <f>((((((Table8[[#This Row],[OLD-WT]]-(Table8[[#This Row],[OLD-WT]]*1%))*Table8[[#This Row],[MELTING2]])/100))*80)/100)*Table8[[#This Row],[P-RATE3]]</f>
        <v>0</v>
      </c>
      <c r="Q486" s="38"/>
      <c r="R486" s="263">
        <f t="shared" si="67"/>
        <v>0</v>
      </c>
    </row>
    <row r="487" spans="1:18" x14ac:dyDescent="0.45">
      <c r="A487" s="73">
        <v>45747</v>
      </c>
      <c r="B487" s="38" t="str">
        <f>C487&amp;D487</f>
        <v>S-CHAIN-N-9</v>
      </c>
      <c r="C487" s="38" t="s">
        <v>732</v>
      </c>
      <c r="D487" s="74" t="s">
        <v>1318</v>
      </c>
      <c r="E487" s="75">
        <f>VLOOKUP(B487,'ALL-DATA'!A:F,2,FALSE)</f>
        <v>15.6</v>
      </c>
      <c r="F487" s="38">
        <f>VLOOKUP(B487,'ALL-DATA'!A:F,3,FALSE)</f>
        <v>86</v>
      </c>
      <c r="G487" s="38">
        <f>VLOOKUP(B487,'ALL-DATA'!A:F,4,FALSE)</f>
        <v>-21</v>
      </c>
      <c r="H487" s="76">
        <f>VLOOKUP(B487,'ALL-DATA'!A:F,5,FALSE)</f>
        <v>90</v>
      </c>
      <c r="I487" s="76">
        <f>VLOOKUP(B487,'ALL-DATA'!A:F,6,FALSE)</f>
        <v>1207.4399999999998</v>
      </c>
      <c r="J487" s="44">
        <v>100</v>
      </c>
      <c r="K487" s="48">
        <f t="shared" ref="K487:K499" si="68">1.384</f>
        <v>1.3839999999999999</v>
      </c>
      <c r="L487" s="77">
        <f>((J487+R487)-I487)</f>
        <v>192.12935680000032</v>
      </c>
      <c r="M487" s="37">
        <f>Table8[[#This Row],[WEIGHT]]*Table8[[#This Row],[BALANCE]]</f>
        <v>21.590399999999999</v>
      </c>
      <c r="N487" s="38">
        <v>80</v>
      </c>
      <c r="O487" s="38">
        <v>95</v>
      </c>
      <c r="P487" s="38">
        <f>((((((Table8[[#This Row],[OLD-WT]]-(Table8[[#This Row],[OLD-WT]]*1%))*Table8[[#This Row],[MELTING2]])/100))*80)/100)*Table8[[#This Row],[P-RATE3]]</f>
        <v>1299.5693568000002</v>
      </c>
      <c r="Q487" s="38"/>
      <c r="R487" s="263">
        <f t="shared" si="67"/>
        <v>1299.5693568000002</v>
      </c>
    </row>
    <row r="488" spans="1:18" x14ac:dyDescent="0.45">
      <c r="A488" s="73">
        <v>45747</v>
      </c>
      <c r="B488" s="8" t="s">
        <v>588</v>
      </c>
      <c r="C488" s="38" t="s">
        <v>734</v>
      </c>
      <c r="D488" s="74" t="s">
        <v>780</v>
      </c>
      <c r="E488" s="75">
        <f>VLOOKUP(B488,'ALL-DATA'!A:F,2,FALSE)</f>
        <v>15.2</v>
      </c>
      <c r="F488" s="38">
        <f>VLOOKUP(B488,'ALL-DATA'!A:F,3,FALSE)</f>
        <v>90</v>
      </c>
      <c r="G488" s="38">
        <f>VLOOKUP(B488,'ALL-DATA'!A:F,4,FALSE)</f>
        <v>-25</v>
      </c>
      <c r="H488" s="76">
        <f>VLOOKUP(B488,'ALL-DATA'!A:F,5,FALSE)</f>
        <v>91</v>
      </c>
      <c r="I488" s="76">
        <f>VLOOKUP(B488,'ALL-DATA'!A:F,6,FALSE)</f>
        <v>1244.8799999999999</v>
      </c>
      <c r="J488" s="44">
        <v>100</v>
      </c>
      <c r="K488" s="48">
        <f t="shared" si="68"/>
        <v>1.3839999999999999</v>
      </c>
      <c r="L488" s="77">
        <f t="shared" ref="L488:L500" si="69">((J488+R488)-I488)</f>
        <v>121.36706559999993</v>
      </c>
      <c r="M488" s="37">
        <f>Table8[[#This Row],[WEIGHT]]*Table8[[#This Row],[BALANCE]]</f>
        <v>21.036799999999996</v>
      </c>
      <c r="N488" s="38">
        <v>80</v>
      </c>
      <c r="O488" s="38">
        <v>95</v>
      </c>
      <c r="P488" s="38">
        <f>((((((Table8[[#This Row],[OLD-WT]]-(Table8[[#This Row],[OLD-WT]]*1%))*Table8[[#This Row],[MELTING2]])/100))*80)/100)*Table8[[#This Row],[P-RATE3]]</f>
        <v>1266.2470655999998</v>
      </c>
      <c r="Q488" s="38"/>
      <c r="R488" s="263">
        <f t="shared" si="67"/>
        <v>1266.2470655999998</v>
      </c>
    </row>
    <row r="489" spans="1:18" x14ac:dyDescent="0.45">
      <c r="A489" s="73">
        <v>45747</v>
      </c>
      <c r="B489" s="38" t="str">
        <f t="shared" ref="B489:B500" si="70">C489&amp;D489</f>
        <v>S-CHAIN-N-46</v>
      </c>
      <c r="C489" s="38" t="s">
        <v>732</v>
      </c>
      <c r="D489" s="74" t="s">
        <v>1271</v>
      </c>
      <c r="E489" s="75">
        <f>VLOOKUP(B489,'ALL-DATA'!A:F,2,FALSE)</f>
        <v>15</v>
      </c>
      <c r="F489" s="38">
        <f>VLOOKUP(B489,'ALL-DATA'!A:F,3,FALSE)</f>
        <v>86</v>
      </c>
      <c r="G489" s="38">
        <f>VLOOKUP(B489,'ALL-DATA'!A:F,4,FALSE)</f>
        <v>-21</v>
      </c>
      <c r="H489" s="76">
        <f>VLOOKUP(B489,'ALL-DATA'!A:F,5,FALSE)</f>
        <v>94.8</v>
      </c>
      <c r="I489" s="76">
        <f>VLOOKUP(B489,'ALL-DATA'!A:F,6,FALSE)</f>
        <v>1222.92</v>
      </c>
      <c r="J489" s="44">
        <v>100</v>
      </c>
      <c r="K489" s="48">
        <f t="shared" si="68"/>
        <v>1.3839999999999999</v>
      </c>
      <c r="L489" s="77">
        <f t="shared" si="69"/>
        <v>126.66591999999991</v>
      </c>
      <c r="M489" s="37">
        <f>Table8[[#This Row],[WEIGHT]]*Table8[[#This Row],[BALANCE]]</f>
        <v>20.759999999999998</v>
      </c>
      <c r="N489" s="38">
        <v>80</v>
      </c>
      <c r="O489" s="38">
        <v>95</v>
      </c>
      <c r="P489" s="38">
        <f>((((((Table8[[#This Row],[OLD-WT]]-(Table8[[#This Row],[OLD-WT]]*1%))*Table8[[#This Row],[MELTING2]])/100))*80)/100)*Table8[[#This Row],[P-RATE3]]</f>
        <v>1249.58592</v>
      </c>
      <c r="Q489" s="38"/>
      <c r="R489" s="263">
        <f t="shared" si="67"/>
        <v>1249.58592</v>
      </c>
    </row>
    <row r="490" spans="1:18" x14ac:dyDescent="0.45">
      <c r="A490" s="73">
        <v>45747</v>
      </c>
      <c r="B490" s="38" t="str">
        <f t="shared" si="70"/>
        <v>S-CHAIN-N-71</v>
      </c>
      <c r="C490" s="38" t="s">
        <v>732</v>
      </c>
      <c r="D490" s="74" t="s">
        <v>1496</v>
      </c>
      <c r="E490" s="75">
        <f>VLOOKUP(B490,'ALL-DATA'!A:F,2,FALSE)</f>
        <v>14.5</v>
      </c>
      <c r="F490" s="38">
        <f>VLOOKUP(B490,'ALL-DATA'!A:F,3,FALSE)</f>
        <v>77</v>
      </c>
      <c r="G490" s="38">
        <f>VLOOKUP(B490,'ALL-DATA'!A:F,4,FALSE)</f>
        <v>-12</v>
      </c>
      <c r="H490" s="76">
        <f>VLOOKUP(B490,'ALL-DATA'!A:F,5,FALSE)</f>
        <v>91.5</v>
      </c>
      <c r="I490" s="76">
        <f>VLOOKUP(B490,'ALL-DATA'!A:F,6,FALSE)</f>
        <v>1021.5975</v>
      </c>
      <c r="J490" s="44">
        <v>100</v>
      </c>
      <c r="K490" s="48">
        <f t="shared" si="68"/>
        <v>1.3839999999999999</v>
      </c>
      <c r="L490" s="77">
        <f t="shared" si="69"/>
        <v>286.33555600000011</v>
      </c>
      <c r="M490" s="37">
        <f>Table8[[#This Row],[WEIGHT]]*Table8[[#This Row],[BALANCE]]</f>
        <v>20.067999999999998</v>
      </c>
      <c r="N490" s="38">
        <v>80</v>
      </c>
      <c r="O490" s="38">
        <v>95</v>
      </c>
      <c r="P490" s="38">
        <f>((((((Table8[[#This Row],[OLD-WT]]-(Table8[[#This Row],[OLD-WT]]*1%))*Table8[[#This Row],[MELTING2]])/100))*80)/100)*Table8[[#This Row],[P-RATE3]]</f>
        <v>1207.9330560000001</v>
      </c>
      <c r="Q490" s="38"/>
      <c r="R490" s="263">
        <f t="shared" si="67"/>
        <v>1207.9330560000001</v>
      </c>
    </row>
    <row r="491" spans="1:18" x14ac:dyDescent="0.45">
      <c r="A491" s="73">
        <v>45747</v>
      </c>
      <c r="B491" s="38" t="str">
        <f t="shared" si="70"/>
        <v>S-CHAIN-N-110</v>
      </c>
      <c r="C491" s="38" t="s">
        <v>732</v>
      </c>
      <c r="D491" s="74" t="s">
        <v>1727</v>
      </c>
      <c r="E491" s="75">
        <f>VLOOKUP(B491,'ALL-DATA'!A:F,2,FALSE)</f>
        <v>20.2</v>
      </c>
      <c r="F491" s="38">
        <f>VLOOKUP(B491,'ALL-DATA'!A:F,3,FALSE)</f>
        <v>82</v>
      </c>
      <c r="G491" s="38">
        <f>VLOOKUP(B491,'ALL-DATA'!A:F,4,FALSE)</f>
        <v>17</v>
      </c>
      <c r="H491" s="76">
        <f>VLOOKUP(B491,'ALL-DATA'!A:F,5,FALSE)</f>
        <v>92.18</v>
      </c>
      <c r="I491" s="76">
        <f>VLOOKUP(B491,'ALL-DATA'!A:F,6,FALSE)</f>
        <v>1526.8695200000002</v>
      </c>
      <c r="J491" s="44">
        <v>100</v>
      </c>
      <c r="K491" s="48">
        <f t="shared" si="68"/>
        <v>1.3839999999999999</v>
      </c>
      <c r="L491" s="77">
        <f t="shared" si="69"/>
        <v>255.90618559999962</v>
      </c>
      <c r="M491" s="37">
        <f>Table8[[#This Row],[WEIGHT]]*Table8[[#This Row],[BALANCE]]</f>
        <v>27.956799999999998</v>
      </c>
      <c r="N491" s="38">
        <v>80</v>
      </c>
      <c r="O491" s="38">
        <v>95</v>
      </c>
      <c r="P491" s="38">
        <f>((((((Table8[[#This Row],[OLD-WT]]-(Table8[[#This Row],[OLD-WT]]*1%))*Table8[[#This Row],[MELTING2]])/100))*80)/100)*Table8[[#This Row],[P-RATE3]]</f>
        <v>1682.7757055999998</v>
      </c>
      <c r="Q491" s="38"/>
      <c r="R491" s="263">
        <f t="shared" si="67"/>
        <v>1682.7757055999998</v>
      </c>
    </row>
    <row r="492" spans="1:18" x14ac:dyDescent="0.45">
      <c r="A492" s="73">
        <v>45747</v>
      </c>
      <c r="B492" s="38" t="str">
        <f t="shared" si="70"/>
        <v>S-CHAIN-N-52</v>
      </c>
      <c r="C492" s="38" t="s">
        <v>732</v>
      </c>
      <c r="D492" s="74" t="s">
        <v>789</v>
      </c>
      <c r="E492" s="75">
        <f>VLOOKUP(B492,'ALL-DATA'!A:F,2,FALSE)</f>
        <v>22</v>
      </c>
      <c r="F492" s="38">
        <f>VLOOKUP(B492,'ALL-DATA'!A:F,3,FALSE)</f>
        <v>86</v>
      </c>
      <c r="G492" s="38">
        <f>VLOOKUP(B492,'ALL-DATA'!A:F,4,FALSE)</f>
        <v>-21</v>
      </c>
      <c r="H492" s="76">
        <f>VLOOKUP(B492,'ALL-DATA'!A:F,5,FALSE)</f>
        <v>94.8</v>
      </c>
      <c r="I492" s="76">
        <f>VLOOKUP(B492,'ALL-DATA'!A:F,6,FALSE)</f>
        <v>1793.6160000000002</v>
      </c>
      <c r="J492" s="44">
        <v>100</v>
      </c>
      <c r="K492" s="48">
        <f t="shared" si="68"/>
        <v>1.3839999999999999</v>
      </c>
      <c r="L492" s="77">
        <f t="shared" si="69"/>
        <v>139.11001599999963</v>
      </c>
      <c r="M492" s="37">
        <f>Table8[[#This Row],[WEIGHT]]*Table8[[#This Row],[BALANCE]]</f>
        <v>30.447999999999997</v>
      </c>
      <c r="N492" s="38">
        <v>80</v>
      </c>
      <c r="O492" s="38">
        <v>95</v>
      </c>
      <c r="P492" s="38">
        <f>((((((Table8[[#This Row],[OLD-WT]]-(Table8[[#This Row],[OLD-WT]]*1%))*Table8[[#This Row],[MELTING2]])/100))*80)/100)*Table8[[#This Row],[P-RATE3]]</f>
        <v>1832.7260159999998</v>
      </c>
      <c r="Q492" s="38"/>
      <c r="R492" s="263">
        <f t="shared" si="67"/>
        <v>1832.7260159999998</v>
      </c>
    </row>
    <row r="493" spans="1:18" x14ac:dyDescent="0.45">
      <c r="A493" s="73">
        <v>45747</v>
      </c>
      <c r="B493" s="38" t="str">
        <f t="shared" si="70"/>
        <v>S-BARACELET-B-8</v>
      </c>
      <c r="C493" s="38" t="s">
        <v>737</v>
      </c>
      <c r="D493" s="74" t="s">
        <v>1215</v>
      </c>
      <c r="E493" s="75">
        <f>VLOOKUP(B493,'ALL-DATA'!A:F,2,FALSE)</f>
        <v>31.7</v>
      </c>
      <c r="F493" s="38">
        <f>VLOOKUP(B493,'ALL-DATA'!A:F,3,FALSE)</f>
        <v>86</v>
      </c>
      <c r="G493" s="38">
        <f>VLOOKUP(B493,'ALL-DATA'!A:F,4,FALSE)</f>
        <v>-65</v>
      </c>
      <c r="H493" s="76">
        <f>VLOOKUP(B493,'ALL-DATA'!A:F,5,FALSE)</f>
        <v>90</v>
      </c>
      <c r="I493" s="76">
        <f>VLOOKUP(B493,'ALL-DATA'!A:F,6,FALSE)</f>
        <v>2453.58</v>
      </c>
      <c r="J493" s="44">
        <v>100</v>
      </c>
      <c r="K493" s="48">
        <f t="shared" si="68"/>
        <v>1.3839999999999999</v>
      </c>
      <c r="L493" s="77">
        <f t="shared" si="69"/>
        <v>287.21157760000051</v>
      </c>
      <c r="M493" s="37">
        <f>Table8[[#This Row],[WEIGHT]]*Table8[[#This Row],[BALANCE]]</f>
        <v>43.872799999999998</v>
      </c>
      <c r="N493" s="38">
        <v>80</v>
      </c>
      <c r="O493" s="38">
        <v>95</v>
      </c>
      <c r="P493" s="38">
        <f>((((((Table8[[#This Row],[OLD-WT]]-(Table8[[#This Row],[OLD-WT]]*1%))*Table8[[#This Row],[MELTING2]])/100))*80)/100)*Table8[[#This Row],[P-RATE3]]</f>
        <v>2640.7915776000004</v>
      </c>
      <c r="Q493" s="38"/>
      <c r="R493" s="263">
        <f t="shared" si="67"/>
        <v>2640.7915776000004</v>
      </c>
    </row>
    <row r="494" spans="1:18" x14ac:dyDescent="0.45">
      <c r="A494" s="73">
        <v>45747</v>
      </c>
      <c r="B494" s="38" t="str">
        <f t="shared" si="70"/>
        <v>S-BARACELET-B-19</v>
      </c>
      <c r="C494" s="38" t="s">
        <v>737</v>
      </c>
      <c r="D494" s="74" t="s">
        <v>1001</v>
      </c>
      <c r="E494" s="75">
        <f>VLOOKUP(B494,'ALL-DATA'!A:F,2,FALSE)</f>
        <v>40.5</v>
      </c>
      <c r="F494" s="38">
        <f>VLOOKUP(B494,'ALL-DATA'!A:F,3,FALSE)</f>
        <v>86</v>
      </c>
      <c r="G494" s="38">
        <f>VLOOKUP(B494,'ALL-DATA'!A:F,4,FALSE)</f>
        <v>-65</v>
      </c>
      <c r="H494" s="76">
        <f>VLOOKUP(B494,'ALL-DATA'!A:F,5,FALSE)</f>
        <v>90</v>
      </c>
      <c r="I494" s="76">
        <f>VLOOKUP(B494,'ALL-DATA'!A:F,6,FALSE)</f>
        <v>3134.7</v>
      </c>
      <c r="J494" s="44">
        <v>100</v>
      </c>
      <c r="K494" s="48">
        <f t="shared" si="68"/>
        <v>1.3839999999999999</v>
      </c>
      <c r="L494" s="77">
        <f t="shared" si="69"/>
        <v>339.18198399999983</v>
      </c>
      <c r="M494" s="37">
        <f>Table8[[#This Row],[WEIGHT]]*Table8[[#This Row],[BALANCE]]</f>
        <v>56.051999999999992</v>
      </c>
      <c r="N494" s="38">
        <v>80</v>
      </c>
      <c r="O494" s="38">
        <v>95</v>
      </c>
      <c r="P494" s="38">
        <f>((((((Table8[[#This Row],[OLD-WT]]-(Table8[[#This Row],[OLD-WT]]*1%))*Table8[[#This Row],[MELTING2]])/100))*80)/100)*Table8[[#This Row],[P-RATE3]]</f>
        <v>3373.8819839999996</v>
      </c>
      <c r="Q494" s="38"/>
      <c r="R494" s="263">
        <f t="shared" si="67"/>
        <v>3373.8819839999996</v>
      </c>
    </row>
    <row r="495" spans="1:18" x14ac:dyDescent="0.45">
      <c r="A495" s="73">
        <v>45747</v>
      </c>
      <c r="B495" s="38" t="str">
        <f t="shared" si="70"/>
        <v>S-BARACELET-B-21</v>
      </c>
      <c r="C495" s="38" t="s">
        <v>737</v>
      </c>
      <c r="D495" s="74" t="s">
        <v>1498</v>
      </c>
      <c r="E495" s="75">
        <f>VLOOKUP(B495,'ALL-DATA'!A:F,2,FALSE)</f>
        <v>23.5</v>
      </c>
      <c r="F495" s="38">
        <f>VLOOKUP(B495,'ALL-DATA'!A:F,3,FALSE)</f>
        <v>86</v>
      </c>
      <c r="G495" s="38">
        <f>VLOOKUP(B495,'ALL-DATA'!A:F,4,FALSE)</f>
        <v>-65</v>
      </c>
      <c r="H495" s="76">
        <f>VLOOKUP(B495,'ALL-DATA'!A:F,5,FALSE)</f>
        <v>90</v>
      </c>
      <c r="I495" s="76">
        <f>VLOOKUP(B495,'ALL-DATA'!A:F,6,FALSE)</f>
        <v>1818.9</v>
      </c>
      <c r="J495" s="44">
        <v>100</v>
      </c>
      <c r="K495" s="48">
        <f t="shared" si="68"/>
        <v>1.3839999999999999</v>
      </c>
      <c r="L495" s="77">
        <f t="shared" si="69"/>
        <v>238.78460799999948</v>
      </c>
      <c r="M495" s="37">
        <f>Table8[[#This Row],[WEIGHT]]*Table8[[#This Row],[BALANCE]]</f>
        <v>32.524000000000001</v>
      </c>
      <c r="N495" s="38">
        <v>80</v>
      </c>
      <c r="O495" s="38">
        <v>95</v>
      </c>
      <c r="P495" s="38">
        <f>((((((Table8[[#This Row],[OLD-WT]]-(Table8[[#This Row],[OLD-WT]]*1%))*Table8[[#This Row],[MELTING2]])/100))*80)/100)*Table8[[#This Row],[P-RATE3]]</f>
        <v>1957.6846079999998</v>
      </c>
      <c r="Q495" s="38"/>
      <c r="R495" s="263">
        <f t="shared" si="67"/>
        <v>1957.6846079999998</v>
      </c>
    </row>
    <row r="496" spans="1:18" x14ac:dyDescent="0.45">
      <c r="A496" s="73">
        <v>45747</v>
      </c>
      <c r="B496" s="38" t="str">
        <f t="shared" si="70"/>
        <v>S-BARACELET-B-18</v>
      </c>
      <c r="C496" s="38" t="s">
        <v>737</v>
      </c>
      <c r="D496" s="74" t="s">
        <v>1197</v>
      </c>
      <c r="E496" s="75">
        <f>VLOOKUP(B496,'ALL-DATA'!A:F,2,FALSE)</f>
        <v>36</v>
      </c>
      <c r="F496" s="38">
        <f>VLOOKUP(B496,'ALL-DATA'!A:F,3,FALSE)</f>
        <v>86</v>
      </c>
      <c r="G496" s="38">
        <f>VLOOKUP(B496,'ALL-DATA'!A:F,4,FALSE)</f>
        <v>-65</v>
      </c>
      <c r="H496" s="76">
        <f>VLOOKUP(B496,'ALL-DATA'!A:F,5,FALSE)</f>
        <v>90</v>
      </c>
      <c r="I496" s="76">
        <f>VLOOKUP(B496,'ALL-DATA'!A:F,6,FALSE)</f>
        <v>2786.4</v>
      </c>
      <c r="J496" s="44">
        <v>100</v>
      </c>
      <c r="K496" s="48">
        <f t="shared" si="68"/>
        <v>1.3839999999999999</v>
      </c>
      <c r="L496" s="77">
        <f t="shared" si="69"/>
        <v>312.60620800000015</v>
      </c>
      <c r="M496" s="37">
        <f>Table8[[#This Row],[WEIGHT]]*Table8[[#This Row],[BALANCE]]</f>
        <v>49.823999999999998</v>
      </c>
      <c r="N496" s="38">
        <v>80</v>
      </c>
      <c r="O496" s="38">
        <v>95</v>
      </c>
      <c r="P496" s="38">
        <f>((((((Table8[[#This Row],[OLD-WT]]-(Table8[[#This Row],[OLD-WT]]*1%))*Table8[[#This Row],[MELTING2]])/100))*80)/100)*Table8[[#This Row],[P-RATE3]]</f>
        <v>2999.0062080000002</v>
      </c>
      <c r="Q496" s="38"/>
      <c r="R496" s="263">
        <f t="shared" si="67"/>
        <v>2999.0062080000002</v>
      </c>
    </row>
    <row r="497" spans="1:20" x14ac:dyDescent="0.45">
      <c r="A497" s="73">
        <v>45747</v>
      </c>
      <c r="B497" s="38" t="str">
        <f t="shared" si="70"/>
        <v>S-THANDA-K9</v>
      </c>
      <c r="C497" s="38" t="s">
        <v>728</v>
      </c>
      <c r="D497" s="74" t="s">
        <v>1318</v>
      </c>
      <c r="E497" s="75">
        <f>VLOOKUP(B497,'ALL-DATA'!A:F,2,FALSE)</f>
        <v>30.65</v>
      </c>
      <c r="F497" s="38">
        <f>VLOOKUP(B497,'ALL-DATA'!A:F,3,FALSE)</f>
        <v>80.02</v>
      </c>
      <c r="G497" s="38">
        <f>VLOOKUP(B497,'ALL-DATA'!A:F,4,FALSE)</f>
        <v>-25.019999999999996</v>
      </c>
      <c r="H497" s="76">
        <f>VLOOKUP(B497,'ALL-DATA'!A:F,5,FALSE)</f>
        <v>95</v>
      </c>
      <c r="I497" s="76">
        <f>VLOOKUP(B497,'ALL-DATA'!A:F,6,FALSE)</f>
        <v>2329.9823499999998</v>
      </c>
      <c r="J497" s="44"/>
      <c r="K497" s="48">
        <f t="shared" si="68"/>
        <v>1.3839999999999999</v>
      </c>
      <c r="L497" s="77">
        <f>((J497+R497)-I497)</f>
        <v>223.33821320000061</v>
      </c>
      <c r="M497" s="37">
        <f>Table8[[#This Row],[WEIGHT]]*Table8[[#This Row],[BALANCE]]</f>
        <v>42.419599999999996</v>
      </c>
      <c r="N497" s="38">
        <v>80</v>
      </c>
      <c r="O497" s="38">
        <v>95</v>
      </c>
      <c r="P497" s="38">
        <f>((((((Table8[[#This Row],[OLD-WT]]-(Table8[[#This Row],[OLD-WT]]*1%))*Table8[[#This Row],[MELTING2]])/100))*80)/100)*Table8[[#This Row],[P-RATE3]]</f>
        <v>2553.3205632000004</v>
      </c>
      <c r="Q497" s="38"/>
      <c r="R497" s="263">
        <f t="shared" si="67"/>
        <v>2553.3205632000004</v>
      </c>
    </row>
    <row r="498" spans="1:20" x14ac:dyDescent="0.45">
      <c r="A498" s="73">
        <v>45747</v>
      </c>
      <c r="B498" s="38" t="str">
        <f t="shared" si="70"/>
        <v>S-THANDA-K8</v>
      </c>
      <c r="C498" s="38" t="s">
        <v>728</v>
      </c>
      <c r="D498" s="74" t="s">
        <v>1215</v>
      </c>
      <c r="E498" s="75">
        <f>VLOOKUP(B498,'ALL-DATA'!A:F,2,FALSE)</f>
        <v>30.94</v>
      </c>
      <c r="F498" s="38">
        <f>VLOOKUP(B498,'ALL-DATA'!A:F,3,FALSE)</f>
        <v>65</v>
      </c>
      <c r="G498" s="38">
        <f>VLOOKUP(B498,'ALL-DATA'!A:F,4,FALSE)</f>
        <v>-10</v>
      </c>
      <c r="H498" s="76">
        <f>VLOOKUP(B498,'ALL-DATA'!A:F,5,FALSE)</f>
        <v>89</v>
      </c>
      <c r="I498" s="76">
        <f>VLOOKUP(B498,'ALL-DATA'!A:F,6,FALSE)</f>
        <v>1789.8790000000001</v>
      </c>
      <c r="J498" s="44"/>
      <c r="K498" s="48">
        <f t="shared" si="68"/>
        <v>1.3839999999999999</v>
      </c>
      <c r="L498" s="77">
        <f t="shared" si="69"/>
        <v>787.60022431999937</v>
      </c>
      <c r="M498" s="37">
        <f>Table8[[#This Row],[WEIGHT]]*Table8[[#This Row],[BALANCE]]</f>
        <v>42.820959999999999</v>
      </c>
      <c r="N498" s="38">
        <v>80</v>
      </c>
      <c r="O498" s="38">
        <v>95</v>
      </c>
      <c r="P498" s="38">
        <f>((((((Table8[[#This Row],[OLD-WT]]-(Table8[[#This Row],[OLD-WT]]*1%))*Table8[[#This Row],[MELTING2]])/100))*80)/100)*Table8[[#This Row],[P-RATE3]]</f>
        <v>2577.4792243199995</v>
      </c>
      <c r="Q498" s="38"/>
      <c r="R498" s="263">
        <f t="shared" si="67"/>
        <v>2577.4792243199995</v>
      </c>
    </row>
    <row r="499" spans="1:20" x14ac:dyDescent="0.45">
      <c r="A499" s="73">
        <v>45747</v>
      </c>
      <c r="B499" s="38" t="str">
        <f t="shared" si="70"/>
        <v>S-THANDA-K10</v>
      </c>
      <c r="C499" s="38" t="s">
        <v>728</v>
      </c>
      <c r="D499" s="74" t="s">
        <v>792</v>
      </c>
      <c r="E499" s="75">
        <f>VLOOKUP(B499,'ALL-DATA'!A:F,2,FALSE)</f>
        <v>30.8</v>
      </c>
      <c r="F499" s="38">
        <f>VLOOKUP(B499,'ALL-DATA'!A:F,3,FALSE)</f>
        <v>80.02</v>
      </c>
      <c r="G499" s="38">
        <f>VLOOKUP(B499,'ALL-DATA'!A:F,4,FALSE)</f>
        <v>-25.019999999999996</v>
      </c>
      <c r="H499" s="76">
        <f>VLOOKUP(B499,'ALL-DATA'!A:F,5,FALSE)</f>
        <v>95</v>
      </c>
      <c r="I499" s="76">
        <f>VLOOKUP(B499,'ALL-DATA'!A:F,6,FALSE)</f>
        <v>2341.3851999999997</v>
      </c>
      <c r="J499" s="44"/>
      <c r="K499" s="48">
        <f t="shared" si="68"/>
        <v>1.3839999999999999</v>
      </c>
      <c r="L499" s="77">
        <f t="shared" si="69"/>
        <v>224.43122240000002</v>
      </c>
      <c r="M499" s="37">
        <f>Table8[[#This Row],[WEIGHT]]*Table8[[#This Row],[BALANCE]]</f>
        <v>42.627199999999995</v>
      </c>
      <c r="N499" s="38">
        <v>80</v>
      </c>
      <c r="O499" s="38">
        <v>95</v>
      </c>
      <c r="P499" s="38">
        <f>((((((Table8[[#This Row],[OLD-WT]]-(Table8[[#This Row],[OLD-WT]]*1%))*Table8[[#This Row],[MELTING2]])/100))*80)/100)*Table8[[#This Row],[P-RATE3]]</f>
        <v>2565.8164223999997</v>
      </c>
      <c r="Q499" s="38"/>
      <c r="R499" s="263">
        <f t="shared" si="67"/>
        <v>2565.8164223999997</v>
      </c>
    </row>
    <row r="500" spans="1:20" x14ac:dyDescent="0.45">
      <c r="A500" s="73">
        <v>45747</v>
      </c>
      <c r="B500" s="38" t="str">
        <f t="shared" si="70"/>
        <v>S-S-KOLUSU-22</v>
      </c>
      <c r="C500" s="38" t="s">
        <v>726</v>
      </c>
      <c r="D500" s="74" t="s">
        <v>1286</v>
      </c>
      <c r="E500" s="75">
        <f>VLOOKUP(B500,'ALL-DATA'!A:F,2,FALSE)</f>
        <v>91.13</v>
      </c>
      <c r="F500" s="38">
        <f>VLOOKUP(B500,'ALL-DATA'!A:F,3,FALSE)</f>
        <v>76.5</v>
      </c>
      <c r="G500" s="38">
        <f>VLOOKUP(B500,'ALL-DATA'!A:F,4,FALSE)</f>
        <v>-11.5</v>
      </c>
      <c r="H500" s="76">
        <f>VLOOKUP(B500,'ALL-DATA'!A:F,5,FALSE)</f>
        <v>89.9</v>
      </c>
      <c r="I500" s="76">
        <f>VLOOKUP(B500,'ALL-DATA'!A:F,6,FALSE)</f>
        <v>6267.3290550000002</v>
      </c>
      <c r="J500" s="44">
        <v>8500</v>
      </c>
      <c r="K500" s="48"/>
      <c r="L500" s="77">
        <f t="shared" si="69"/>
        <v>2232.6709449999998</v>
      </c>
      <c r="M500" s="37"/>
      <c r="N500" s="38"/>
      <c r="O500" s="38"/>
      <c r="P500" s="38">
        <f>((((((Table8[[#This Row],[OLD-WT]]-(Table8[[#This Row],[OLD-WT]]*1%))*Table8[[#This Row],[MELTING2]])/100))*80)/100)*Table8[[#This Row],[P-RATE3]]</f>
        <v>0</v>
      </c>
      <c r="Q500" s="38"/>
      <c r="R500" s="263">
        <f t="shared" si="67"/>
        <v>0</v>
      </c>
      <c r="T500" s="324"/>
    </row>
    <row r="501" spans="1:20" x14ac:dyDescent="0.45">
      <c r="A501" s="73">
        <v>45748</v>
      </c>
      <c r="B501" s="38" t="s">
        <v>1728</v>
      </c>
      <c r="C501" s="38"/>
      <c r="D501" s="74"/>
      <c r="E501" s="75">
        <f>VLOOKUP(B501,'ALL-DATA'!A:F,2,FALSE)</f>
        <v>57</v>
      </c>
      <c r="F501" s="38">
        <f>VLOOKUP(B501,'ALL-DATA'!A:F,3,FALSE)</f>
        <v>0</v>
      </c>
      <c r="G501" s="38">
        <f>VLOOKUP(B501,'ALL-DATA'!A:F,4,FALSE)</f>
        <v>0</v>
      </c>
      <c r="H501" s="76">
        <f>VLOOKUP(B501,'ALL-DATA'!A:F,5,FALSE)</f>
        <v>0</v>
      </c>
      <c r="I501" s="76">
        <f>VLOOKUP(B501,'ALL-DATA'!A:F,6,FALSE)</f>
        <v>4430</v>
      </c>
      <c r="J501" s="44">
        <v>7100</v>
      </c>
      <c r="K501" s="48"/>
      <c r="L501" s="77">
        <f>((J501+R501)-I501)-I502</f>
        <v>1695.0439999999994</v>
      </c>
      <c r="M501" s="37">
        <v>57</v>
      </c>
      <c r="N501" s="38">
        <v>80</v>
      </c>
      <c r="O501" s="38">
        <v>95</v>
      </c>
      <c r="P501" s="38">
        <f>((((((Table8[[#This Row],[OLD-WT]]-(Table8[[#This Row],[OLD-WT]]*1%))*Table8[[#This Row],[MELTING2]])/100))*80)/100)*Table8[[#This Row],[P-RATE3]]</f>
        <v>3430.944</v>
      </c>
      <c r="Q501" s="38">
        <v>4000</v>
      </c>
      <c r="R501" s="263">
        <f t="shared" si="67"/>
        <v>-569.05600000000004</v>
      </c>
    </row>
    <row r="502" spans="1:20" x14ac:dyDescent="0.45">
      <c r="A502" s="73">
        <v>45748</v>
      </c>
      <c r="B502" s="121" t="s">
        <v>1183</v>
      </c>
      <c r="C502" s="38"/>
      <c r="D502" s="74"/>
      <c r="E502" s="75">
        <f>VLOOKUP(B502,'ALL-DATA'!A:F,2,FALSE)</f>
        <v>5.5</v>
      </c>
      <c r="F502" s="38">
        <f>VLOOKUP(B502,'ALL-DATA'!A:F,3,FALSE)</f>
        <v>82</v>
      </c>
      <c r="G502" s="38">
        <f>VLOOKUP(B502,'ALL-DATA'!A:F,4,FALSE)</f>
        <v>0</v>
      </c>
      <c r="H502" s="76">
        <f>VLOOKUP(B502,'ALL-DATA'!A:F,5,FALSE)</f>
        <v>90</v>
      </c>
      <c r="I502" s="76">
        <f>VLOOKUP(B502,'ALL-DATA'!A:F,6,FALSE)</f>
        <v>405.9</v>
      </c>
      <c r="J502" s="44"/>
      <c r="K502" s="48"/>
      <c r="L502" s="77">
        <v>0</v>
      </c>
      <c r="M502" s="37"/>
      <c r="N502" s="38"/>
      <c r="O502" s="38"/>
      <c r="P502" s="38"/>
      <c r="Q502" s="38"/>
      <c r="R502" s="263"/>
    </row>
    <row r="503" spans="1:20" x14ac:dyDescent="0.45">
      <c r="A503" s="73">
        <v>45748</v>
      </c>
      <c r="B503" s="131" t="s">
        <v>1729</v>
      </c>
      <c r="C503" s="38"/>
      <c r="D503" s="74"/>
      <c r="E503" s="75">
        <f>VLOOKUP(B503,'ALL-DATA'!A:F,2,FALSE)</f>
        <v>6.31</v>
      </c>
      <c r="F503" s="38">
        <f>VLOOKUP(B503,'ALL-DATA'!A:F,3,FALSE)</f>
        <v>80</v>
      </c>
      <c r="G503" s="38">
        <f>VLOOKUP(B503,'ALL-DATA'!A:F,4,FALSE)</f>
        <v>-15</v>
      </c>
      <c r="H503" s="76">
        <f>VLOOKUP(B503,'ALL-DATA'!A:F,5,FALSE)</f>
        <v>93</v>
      </c>
      <c r="I503" s="76">
        <f>VLOOKUP(B503,'ALL-DATA'!A:F,6,FALSE)</f>
        <v>469.46399999999994</v>
      </c>
      <c r="J503" s="44">
        <v>800</v>
      </c>
      <c r="K503" s="48"/>
      <c r="L503" s="77">
        <f t="shared" ref="L503:L508" si="71">((J503+R503)-I503)</f>
        <v>330.53600000000006</v>
      </c>
      <c r="M503" s="37"/>
      <c r="N503" s="38"/>
      <c r="O503" s="38"/>
      <c r="P503" s="38">
        <f>((((((Table8[[#This Row],[OLD-WT]]-(Table8[[#This Row],[OLD-WT]]*1%))*Table8[[#This Row],[MELTING2]])/100))*80)/100)*Table8[[#This Row],[P-RATE3]]</f>
        <v>0</v>
      </c>
      <c r="Q503" s="38"/>
      <c r="R503" s="263">
        <f t="shared" si="67"/>
        <v>0</v>
      </c>
    </row>
    <row r="504" spans="1:20" x14ac:dyDescent="0.45">
      <c r="A504" s="73">
        <v>45748</v>
      </c>
      <c r="B504" s="38" t="str">
        <f>C504&amp;D504</f>
        <v>S-CHAIN-92.5-L-1</v>
      </c>
      <c r="C504" s="38" t="s">
        <v>733</v>
      </c>
      <c r="D504" s="74" t="s">
        <v>787</v>
      </c>
      <c r="E504" s="75">
        <f>VLOOKUP(B504,'ALL-DATA'!A:F,2,FALSE)</f>
        <v>12.05</v>
      </c>
      <c r="F504" s="38">
        <f>VLOOKUP(B504,'ALL-DATA'!A:F,3,FALSE)</f>
        <v>92.5</v>
      </c>
      <c r="G504" s="38">
        <f>VLOOKUP(B504,'ALL-DATA'!A:F,4,FALSE)</f>
        <v>-27.5</v>
      </c>
      <c r="H504" s="76">
        <f>VLOOKUP(B504,'ALL-DATA'!A:F,5,FALSE)</f>
        <v>102.5</v>
      </c>
      <c r="I504" s="76">
        <f>VLOOKUP(B504,'ALL-DATA'!A:F,6,FALSE)</f>
        <v>1142.4906249999999</v>
      </c>
      <c r="J504" s="44">
        <v>2600</v>
      </c>
      <c r="K504" s="48"/>
      <c r="L504" s="77">
        <f t="shared" si="71"/>
        <v>1447.6677750000003</v>
      </c>
      <c r="M504" s="37">
        <v>16.45</v>
      </c>
      <c r="N504" s="38">
        <v>80</v>
      </c>
      <c r="O504" s="38">
        <v>95</v>
      </c>
      <c r="P504" s="38">
        <f>((((((Table8[[#This Row],[OLD-WT]]-(Table8[[#This Row],[OLD-WT]]*1%))*Table8[[#This Row],[MELTING2]])/100))*80)/100)*Table8[[#This Row],[P-RATE3]]</f>
        <v>990.15840000000003</v>
      </c>
      <c r="Q504" s="38">
        <v>1000</v>
      </c>
      <c r="R504" s="263">
        <f t="shared" si="67"/>
        <v>-9.8415999999999713</v>
      </c>
    </row>
    <row r="505" spans="1:20" x14ac:dyDescent="0.45">
      <c r="A505" s="73">
        <v>45748</v>
      </c>
      <c r="B505" s="1" t="s">
        <v>1771</v>
      </c>
      <c r="C505" s="38"/>
      <c r="D505" s="74"/>
      <c r="E505" s="75">
        <f>VLOOKUP(B505,'ALL-DATA'!A:F,2,FALSE)</f>
        <v>1.7</v>
      </c>
      <c r="F505" s="38">
        <f>VLOOKUP(B505,'ALL-DATA'!A:F,3,FALSE)</f>
        <v>0</v>
      </c>
      <c r="G505" s="38">
        <f>VLOOKUP(B505,'ALL-DATA'!A:F,4,FALSE)</f>
        <v>0</v>
      </c>
      <c r="H505" s="76">
        <f>VLOOKUP(B505,'ALL-DATA'!A:F,5,FALSE)</f>
        <v>0</v>
      </c>
      <c r="I505" s="76">
        <f>VLOOKUP(B505,'ALL-DATA'!A:F,6,FALSE)</f>
        <v>10300</v>
      </c>
      <c r="J505" s="44">
        <v>12000</v>
      </c>
      <c r="K505" s="48"/>
      <c r="L505" s="77">
        <f>((J505+R505)-I505)</f>
        <v>1700</v>
      </c>
      <c r="M505" s="37"/>
      <c r="N505" s="38"/>
      <c r="O505" s="38"/>
      <c r="P505" s="38"/>
      <c r="Q505" s="38"/>
      <c r="R505" s="263"/>
    </row>
    <row r="506" spans="1:20" x14ac:dyDescent="0.45">
      <c r="A506" s="73">
        <v>45749</v>
      </c>
      <c r="B506" s="38" t="str">
        <f>C506&amp;D506</f>
        <v>S-S-KOLUSU-83</v>
      </c>
      <c r="C506" s="38" t="s">
        <v>726</v>
      </c>
      <c r="D506" s="74" t="s">
        <v>1705</v>
      </c>
      <c r="E506" s="75">
        <f>VLOOKUP(B506,'ALL-DATA'!A:F,2,FALSE)</f>
        <v>88.5</v>
      </c>
      <c r="F506" s="38">
        <f>VLOOKUP(B506,'ALL-DATA'!A:F,3,FALSE)</f>
        <v>79.53</v>
      </c>
      <c r="G506" s="38">
        <f>VLOOKUP(B506,'ALL-DATA'!A:F,4,FALSE)</f>
        <v>16.53</v>
      </c>
      <c r="H506" s="76">
        <f>VLOOKUP(B506,'ALL-DATA'!A:F,5,FALSE)</f>
        <v>84.5</v>
      </c>
      <c r="I506" s="76">
        <f>VLOOKUP(B506,'ALL-DATA'!A:F,6,FALSE)</f>
        <v>5947.452225</v>
      </c>
      <c r="J506" s="44">
        <v>250</v>
      </c>
      <c r="K506" s="48"/>
      <c r="L506" s="77">
        <f t="shared" si="71"/>
        <v>1790.4325749999998</v>
      </c>
      <c r="M506" s="37">
        <v>124.4</v>
      </c>
      <c r="N506" s="38">
        <v>80</v>
      </c>
      <c r="O506" s="38">
        <v>95</v>
      </c>
      <c r="P506" s="38">
        <f>((((((Table8[[#This Row],[OLD-WT]]-(Table8[[#This Row],[OLD-WT]]*1%))*Table8[[#This Row],[MELTING2]])/100))*80)/100)*Table8[[#This Row],[P-RATE3]]</f>
        <v>7487.8847999999998</v>
      </c>
      <c r="Q506" s="38"/>
      <c r="R506" s="263">
        <f t="shared" si="67"/>
        <v>7487.8847999999998</v>
      </c>
    </row>
    <row r="507" spans="1:20" x14ac:dyDescent="0.45">
      <c r="A507" s="73">
        <v>45749</v>
      </c>
      <c r="B507" s="38" t="str">
        <f>C507&amp;D507</f>
        <v>S-S-KOLUSU-101</v>
      </c>
      <c r="C507" s="38" t="s">
        <v>726</v>
      </c>
      <c r="D507" s="74" t="s">
        <v>1685</v>
      </c>
      <c r="E507" s="75">
        <f>VLOOKUP(B507,'ALL-DATA'!A:F,2,FALSE)</f>
        <v>97.3</v>
      </c>
      <c r="F507" s="38">
        <f>VLOOKUP(B507,'ALL-DATA'!A:F,3,FALSE)</f>
        <v>79.97</v>
      </c>
      <c r="G507" s="38">
        <f>VLOOKUP(B507,'ALL-DATA'!A:F,4,FALSE)</f>
        <v>-14.969999999999999</v>
      </c>
      <c r="H507" s="76">
        <f>VLOOKUP(B507,'ALL-DATA'!A:F,5,FALSE)</f>
        <v>90</v>
      </c>
      <c r="I507" s="76">
        <f>VLOOKUP(B507,'ALL-DATA'!A:F,6,FALSE)</f>
        <v>7002.9728999999988</v>
      </c>
      <c r="J507" s="44">
        <v>250</v>
      </c>
      <c r="K507" s="48"/>
      <c r="L507" s="77">
        <f t="shared" si="71"/>
        <v>1478.2831000000006</v>
      </c>
      <c r="M507" s="37">
        <v>136.75</v>
      </c>
      <c r="N507" s="38">
        <v>80</v>
      </c>
      <c r="O507" s="38">
        <v>95</v>
      </c>
      <c r="P507" s="38">
        <f>((((((Table8[[#This Row],[OLD-WT]]-(Table8[[#This Row],[OLD-WT]]*1%))*Table8[[#This Row],[MELTING2]])/100))*80)/100)*Table8[[#This Row],[P-RATE3]]</f>
        <v>8231.2559999999994</v>
      </c>
      <c r="Q507" s="38"/>
      <c r="R507" s="263">
        <f t="shared" si="67"/>
        <v>8231.2559999999994</v>
      </c>
    </row>
    <row r="508" spans="1:20" x14ac:dyDescent="0.45">
      <c r="A508" s="73">
        <v>45750</v>
      </c>
      <c r="B508" s="38" t="str">
        <f>C508&amp;D508</f>
        <v>S-RING-191</v>
      </c>
      <c r="C508" s="38" t="s">
        <v>731</v>
      </c>
      <c r="D508" s="74" t="s">
        <v>1738</v>
      </c>
      <c r="E508" s="75">
        <f>VLOOKUP(B508,'ALL-DATA'!A:F,2,FALSE)</f>
        <v>1.1200000000000001</v>
      </c>
      <c r="F508" s="38">
        <f>VLOOKUP(B508,'ALL-DATA'!A:F,3,FALSE)</f>
        <v>92.5</v>
      </c>
      <c r="G508" s="38">
        <f>VLOOKUP(B508,'ALL-DATA'!A:F,4,FALSE)</f>
        <v>92.5</v>
      </c>
      <c r="H508" s="76">
        <f>VLOOKUP(B508,'ALL-DATA'!A:F,5,FALSE)</f>
        <v>131.65</v>
      </c>
      <c r="I508" s="76">
        <f>VLOOKUP(B508,'ALL-DATA'!A:F,6,FALSE)</f>
        <v>147.44800000000001</v>
      </c>
      <c r="J508" s="44">
        <v>300</v>
      </c>
      <c r="K508" s="48"/>
      <c r="L508" s="77">
        <f t="shared" si="71"/>
        <v>152.55199999999999</v>
      </c>
      <c r="M508" s="37"/>
      <c r="N508" s="38"/>
      <c r="O508" s="38"/>
      <c r="P508" s="38">
        <f>((((((Table8[[#This Row],[OLD-WT]]-(Table8[[#This Row],[OLD-WT]]*1%))*Table8[[#This Row],[MELTING2]])/100))*80)/100)*Table8[[#This Row],[P-RATE3]]</f>
        <v>0</v>
      </c>
      <c r="Q508" s="38"/>
      <c r="R508" s="263">
        <f t="shared" si="67"/>
        <v>0</v>
      </c>
    </row>
    <row r="509" spans="1:20" x14ac:dyDescent="0.45">
      <c r="A509" s="73">
        <v>45752</v>
      </c>
      <c r="B509" s="38" t="str">
        <f>C509&amp;D509</f>
        <v>S-S-KOLUSU-37</v>
      </c>
      <c r="C509" s="38" t="s">
        <v>726</v>
      </c>
      <c r="D509" s="74" t="s">
        <v>1739</v>
      </c>
      <c r="E509" s="75">
        <f>VLOOKUP(B509,'ALL-DATA'!A:F,2,FALSE)</f>
        <v>130.13</v>
      </c>
      <c r="F509" s="38">
        <f>VLOOKUP(B509,'ALL-DATA'!A:F,3,FALSE)</f>
        <v>76.5</v>
      </c>
      <c r="G509" s="38">
        <f>VLOOKUP(B509,'ALL-DATA'!A:F,4,FALSE)</f>
        <v>-11.5</v>
      </c>
      <c r="H509" s="76">
        <f>VLOOKUP(B509,'ALL-DATA'!A:F,5,FALSE)</f>
        <v>89.9</v>
      </c>
      <c r="I509" s="76">
        <f>VLOOKUP(B509,'ALL-DATA'!A:F,6,FALSE)</f>
        <v>8949.4955549999995</v>
      </c>
      <c r="J509" s="44">
        <v>12000</v>
      </c>
      <c r="K509" s="48"/>
      <c r="L509" s="77">
        <f>((J509+R509)-I509)</f>
        <v>2252.477245</v>
      </c>
      <c r="M509" s="37">
        <v>119.65</v>
      </c>
      <c r="N509" s="38">
        <v>80</v>
      </c>
      <c r="O509" s="38">
        <v>95</v>
      </c>
      <c r="P509" s="38">
        <f>((((((Table8[[#This Row],[OLD-WT]]-(Table8[[#This Row],[OLD-WT]]*1%))*Table8[[#This Row],[MELTING2]])/100))*80)/100)*Table8[[#This Row],[P-RATE3]]</f>
        <v>7201.9728000000005</v>
      </c>
      <c r="Q509" s="38">
        <v>8000</v>
      </c>
      <c r="R509" s="263">
        <f t="shared" si="67"/>
        <v>-798.02719999999954</v>
      </c>
    </row>
    <row r="510" spans="1:20" x14ac:dyDescent="0.45">
      <c r="A510" s="73">
        <v>45752</v>
      </c>
      <c r="B510" s="23" t="s">
        <v>1740</v>
      </c>
      <c r="C510" s="38"/>
      <c r="D510" s="74"/>
      <c r="E510" s="75">
        <f>VLOOKUP(B510,'ALL-DATA'!A:F,2,FALSE)</f>
        <v>5.85</v>
      </c>
      <c r="F510" s="38">
        <f>VLOOKUP(B510,'ALL-DATA'!A:F,3,FALSE)</f>
        <v>80</v>
      </c>
      <c r="G510" s="38">
        <f>VLOOKUP(B510,'ALL-DATA'!A:F,4,FALSE)</f>
        <v>-15</v>
      </c>
      <c r="H510" s="76">
        <f>VLOOKUP(B510,'ALL-DATA'!A:F,5,FALSE)</f>
        <v>93</v>
      </c>
      <c r="I510" s="76">
        <f>VLOOKUP(B510,'ALL-DATA'!A:F,6,FALSE)</f>
        <v>435.23999999999995</v>
      </c>
      <c r="J510" s="44">
        <v>700</v>
      </c>
      <c r="K510" s="48"/>
      <c r="L510" s="77">
        <f>((J510+R510)-I510)</f>
        <v>264.76000000000005</v>
      </c>
      <c r="M510" s="37"/>
      <c r="N510" s="38"/>
      <c r="O510" s="38"/>
      <c r="P510" s="38">
        <f>((((((Table8[[#This Row],[OLD-WT]]-(Table8[[#This Row],[OLD-WT]]*1%))*Table8[[#This Row],[MELTING2]])/100))*80)/100)*Table8[[#This Row],[P-RATE3]]</f>
        <v>0</v>
      </c>
      <c r="Q510" s="38"/>
      <c r="R510" s="263">
        <f t="shared" si="67"/>
        <v>0</v>
      </c>
    </row>
    <row r="511" spans="1:20" x14ac:dyDescent="0.45">
      <c r="A511" s="73">
        <v>45752</v>
      </c>
      <c r="B511" s="38" t="str">
        <f>C511&amp;D511</f>
        <v>S-BARACELET-B-46</v>
      </c>
      <c r="C511" s="38" t="s">
        <v>737</v>
      </c>
      <c r="D511" s="74" t="s">
        <v>1271</v>
      </c>
      <c r="E511" s="75">
        <f>VLOOKUP(B511,'ALL-DATA'!A:F,2,FALSE)</f>
        <v>13.5</v>
      </c>
      <c r="F511" s="38">
        <f>VLOOKUP(B511,'ALL-DATA'!A:F,3,FALSE)</f>
        <v>80</v>
      </c>
      <c r="G511" s="38">
        <f>VLOOKUP(B511,'ALL-DATA'!A:F,4,FALSE)</f>
        <v>-31.75</v>
      </c>
      <c r="H511" s="76">
        <f>VLOOKUP(B511,'ALL-DATA'!A:F,5,FALSE)</f>
        <v>95.8</v>
      </c>
      <c r="I511" s="76">
        <f>VLOOKUP(B511,'ALL-DATA'!A:F,6,FALSE)</f>
        <v>1034.6400000000001</v>
      </c>
      <c r="J511" s="44">
        <v>1750</v>
      </c>
      <c r="K511" s="48"/>
      <c r="L511" s="77">
        <f>((J511+R511)-I511)</f>
        <v>699.7023999999999</v>
      </c>
      <c r="M511" s="37">
        <v>12.2</v>
      </c>
      <c r="N511" s="38">
        <v>80</v>
      </c>
      <c r="O511" s="38">
        <v>95</v>
      </c>
      <c r="P511" s="38">
        <f>((((((Table8[[#This Row],[OLD-WT]]-(Table8[[#This Row],[OLD-WT]]*1%))*Table8[[#This Row],[MELTING2]])/100))*80)/100)*Table8[[#This Row],[P-RATE3]]</f>
        <v>734.3424</v>
      </c>
      <c r="Q511" s="38">
        <v>750</v>
      </c>
      <c r="R511" s="263">
        <f t="shared" si="67"/>
        <v>-15.657600000000002</v>
      </c>
      <c r="S511" s="38"/>
    </row>
    <row r="512" spans="1:20" x14ac:dyDescent="0.45">
      <c r="A512" s="73">
        <v>45752</v>
      </c>
      <c r="B512" s="38" t="str">
        <f>C512&amp;D512</f>
        <v>S-S-KOLUSU-100</v>
      </c>
      <c r="C512" s="38" t="s">
        <v>726</v>
      </c>
      <c r="D512" s="74" t="s">
        <v>1680</v>
      </c>
      <c r="E512" s="75">
        <f>VLOOKUP(B512,'ALL-DATA'!A:F,2,FALSE)</f>
        <v>94.3</v>
      </c>
      <c r="F512" s="38">
        <f>VLOOKUP(B512,'ALL-DATA'!A:F,3,FALSE)</f>
        <v>80.02</v>
      </c>
      <c r="G512" s="38">
        <f>VLOOKUP(B512,'ALL-DATA'!A:F,4,FALSE)</f>
        <v>-15.019999999999996</v>
      </c>
      <c r="H512" s="76">
        <f>VLOOKUP(B512,'ALL-DATA'!A:F,5,FALSE)</f>
        <v>95</v>
      </c>
      <c r="I512" s="76">
        <f>VLOOKUP(B512,'ALL-DATA'!A:F,6,FALSE)</f>
        <v>7168.5916999999999</v>
      </c>
      <c r="J512" s="44">
        <v>10000</v>
      </c>
      <c r="K512" s="48"/>
      <c r="L512" s="77">
        <f>((J512+S511)-I512)</f>
        <v>2831.4083000000001</v>
      </c>
      <c r="M512" s="37">
        <v>136.4</v>
      </c>
      <c r="N512" s="38">
        <v>80</v>
      </c>
      <c r="O512" s="38">
        <v>95</v>
      </c>
      <c r="P512" s="38">
        <f>((((((Table8[[#This Row],[OLD-WT]]-(Table8[[#This Row],[OLD-WT]]*1%))*Table8[[#This Row],[MELTING2]])/100))*80)/100)*Table8[[#This Row],[P-RATE3]]</f>
        <v>8210.1887999999999</v>
      </c>
      <c r="Q512" s="38">
        <v>9600</v>
      </c>
      <c r="R512" s="263">
        <f t="shared" si="67"/>
        <v>-1389.8112000000001</v>
      </c>
    </row>
    <row r="513" spans="1:18" x14ac:dyDescent="0.45">
      <c r="A513" s="73">
        <v>45752</v>
      </c>
      <c r="B513" s="38" t="str">
        <f>C513&amp;D513</f>
        <v>S-BARACELET-B-33</v>
      </c>
      <c r="C513" s="38" t="s">
        <v>737</v>
      </c>
      <c r="D513" s="74" t="s">
        <v>785</v>
      </c>
      <c r="E513" s="75">
        <f>VLOOKUP(B513,'ALL-DATA'!A:F,2,FALSE)</f>
        <v>7.75</v>
      </c>
      <c r="F513" s="38">
        <f>VLOOKUP(B513,'ALL-DATA'!A:F,3,FALSE)</f>
        <v>80.650000000000006</v>
      </c>
      <c r="G513" s="38">
        <f>VLOOKUP(B513,'ALL-DATA'!A:F,4,FALSE)</f>
        <v>-15.650000000000006</v>
      </c>
      <c r="H513" s="76">
        <f>VLOOKUP(B513,'ALL-DATA'!A:F,5,FALSE)</f>
        <v>90</v>
      </c>
      <c r="I513" s="76">
        <f>VLOOKUP(B513,'ALL-DATA'!A:F,6,FALSE)</f>
        <v>562.53375000000005</v>
      </c>
      <c r="J513" s="44">
        <v>1400</v>
      </c>
      <c r="K513" s="48"/>
      <c r="L513" s="77">
        <f t="shared" ref="L513:L519" si="72">((J513+R513)-I513)</f>
        <v>837.46624999999995</v>
      </c>
      <c r="M513" s="37"/>
      <c r="N513" s="38"/>
      <c r="O513" s="38"/>
      <c r="P513" s="38">
        <f>((((((Table8[[#This Row],[OLD-WT]]-(Table8[[#This Row],[OLD-WT]]*1%))*Table8[[#This Row],[MELTING2]])/100))*80)/100)*Table8[[#This Row],[P-RATE3]]</f>
        <v>0</v>
      </c>
      <c r="Q513" s="38"/>
      <c r="R513" s="263">
        <f t="shared" si="67"/>
        <v>0</v>
      </c>
    </row>
    <row r="514" spans="1:18" x14ac:dyDescent="0.45">
      <c r="A514" s="73">
        <v>45752</v>
      </c>
      <c r="B514" s="38" t="str">
        <f>C514&amp;D514</f>
        <v>S-RING-292</v>
      </c>
      <c r="C514" s="38" t="s">
        <v>731</v>
      </c>
      <c r="D514" s="74" t="s">
        <v>1748</v>
      </c>
      <c r="E514" s="75">
        <f>VLOOKUP(B514,'ALL-DATA'!A:F,2,FALSE)</f>
        <v>1.48</v>
      </c>
      <c r="F514" s="38">
        <f>VLOOKUP(B514,'ALL-DATA'!A:F,3,FALSE)</f>
        <v>92.5</v>
      </c>
      <c r="G514" s="38">
        <f>VLOOKUP(B514,'ALL-DATA'!A:F,4,FALSE)</f>
        <v>92.5</v>
      </c>
      <c r="H514" s="76">
        <f>VLOOKUP(B514,'ALL-DATA'!A:F,5,FALSE)</f>
        <v>140</v>
      </c>
      <c r="I514" s="76">
        <f>VLOOKUP(B514,'ALL-DATA'!A:F,6,FALSE)</f>
        <v>207.2</v>
      </c>
      <c r="J514" s="44">
        <v>400</v>
      </c>
      <c r="K514" s="48"/>
      <c r="L514" s="77">
        <f t="shared" si="72"/>
        <v>192.8</v>
      </c>
      <c r="M514" s="37"/>
      <c r="N514" s="38"/>
      <c r="O514" s="38"/>
      <c r="P514" s="38">
        <f>((((((Table8[[#This Row],[OLD-WT]]-(Table8[[#This Row],[OLD-WT]]*1%))*Table8[[#This Row],[MELTING2]])/100))*80)/100)*Table8[[#This Row],[P-RATE3]]</f>
        <v>0</v>
      </c>
      <c r="Q514" s="38"/>
      <c r="R514" s="263">
        <f t="shared" si="67"/>
        <v>0</v>
      </c>
    </row>
    <row r="515" spans="1:18" x14ac:dyDescent="0.45">
      <c r="A515" s="73">
        <v>45756</v>
      </c>
      <c r="B515" s="38" t="s">
        <v>1749</v>
      </c>
      <c r="C515" s="38"/>
      <c r="D515" s="74"/>
      <c r="E515" s="75">
        <f>VLOOKUP(B515,'ALL-DATA'!A:F,2,FALSE)</f>
        <v>2.1</v>
      </c>
      <c r="F515" s="38">
        <f>VLOOKUP(B515,'ALL-DATA'!A:F,3,FALSE)</f>
        <v>90</v>
      </c>
      <c r="G515" s="38">
        <f>VLOOKUP(B515,'ALL-DATA'!A:F,4,FALSE)</f>
        <v>0</v>
      </c>
      <c r="H515" s="76">
        <f>VLOOKUP(B515,'ALL-DATA'!A:F,5,FALSE)</f>
        <v>8990</v>
      </c>
      <c r="I515" s="76">
        <f>VLOOKUP(B515,'ALL-DATA'!A:F,6,FALSE)</f>
        <v>17350</v>
      </c>
      <c r="J515" s="44">
        <v>18500</v>
      </c>
      <c r="K515" s="48"/>
      <c r="L515" s="77">
        <f t="shared" si="72"/>
        <v>1150</v>
      </c>
      <c r="M515" s="37"/>
      <c r="N515" s="38"/>
      <c r="O515" s="38"/>
      <c r="P515" s="38">
        <f>((((((Table8[[#This Row],[OLD-WT]]-(Table8[[#This Row],[OLD-WT]]*1%))*Table8[[#This Row],[MELTING2]])/100))*80)/100)*Table8[[#This Row],[P-RATE3]]</f>
        <v>0</v>
      </c>
      <c r="Q515" s="38"/>
      <c r="R515" s="263">
        <f t="shared" si="67"/>
        <v>0</v>
      </c>
    </row>
    <row r="516" spans="1:18" x14ac:dyDescent="0.45">
      <c r="A516" s="73">
        <v>45756</v>
      </c>
      <c r="B516" s="38" t="str">
        <f>C516&amp;D516</f>
        <v>S-S-KOLUSU-44</v>
      </c>
      <c r="C516" s="38" t="s">
        <v>726</v>
      </c>
      <c r="D516" s="74" t="s">
        <v>797</v>
      </c>
      <c r="E516" s="75">
        <f>VLOOKUP(B516,'ALL-DATA'!A:F,2,FALSE)</f>
        <v>140.76</v>
      </c>
      <c r="F516" s="38">
        <f>VLOOKUP(B516,'ALL-DATA'!A:F,3,FALSE)</f>
        <v>76.5</v>
      </c>
      <c r="G516" s="38">
        <f>VLOOKUP(B516,'ALL-DATA'!A:F,4,FALSE)</f>
        <v>-11.5</v>
      </c>
      <c r="H516" s="76">
        <f>VLOOKUP(B516,'ALL-DATA'!A:F,5,FALSE)</f>
        <v>89.9</v>
      </c>
      <c r="I516" s="76">
        <f>VLOOKUP(B516,'ALL-DATA'!A:F,6,FALSE)</f>
        <v>9680.5578600000008</v>
      </c>
      <c r="J516" s="44">
        <v>15700</v>
      </c>
      <c r="K516" s="48"/>
      <c r="L516" s="77">
        <f t="shared" si="72"/>
        <v>6019.4421399999992</v>
      </c>
      <c r="M516" s="37"/>
      <c r="N516" s="38"/>
      <c r="O516" s="38"/>
      <c r="P516" s="38">
        <f>((((((Table8[[#This Row],[OLD-WT]]-(Table8[[#This Row],[OLD-WT]]*1%))*Table8[[#This Row],[MELTING2]])/100))*80)/100)*Table8[[#This Row],[P-RATE3]]</f>
        <v>0</v>
      </c>
      <c r="Q516" s="38"/>
      <c r="R516" s="263">
        <f t="shared" si="67"/>
        <v>0</v>
      </c>
    </row>
    <row r="517" spans="1:18" x14ac:dyDescent="0.45">
      <c r="A517" s="73">
        <v>45756</v>
      </c>
      <c r="B517" s="38" t="s">
        <v>1750</v>
      </c>
      <c r="C517" s="38"/>
      <c r="D517" s="74"/>
      <c r="E517" s="75">
        <f>VLOOKUP(B517,'ALL-DATA'!A:F,2,FALSE)</f>
        <v>2</v>
      </c>
      <c r="F517" s="38">
        <f>VLOOKUP(B517,'ALL-DATA'!A:F,3,FALSE)</f>
        <v>999</v>
      </c>
      <c r="G517" s="38">
        <f>VLOOKUP(B517,'ALL-DATA'!A:F,4,FALSE)</f>
        <v>0</v>
      </c>
      <c r="H517" s="76">
        <f>VLOOKUP(B517,'ALL-DATA'!A:F,5,FALSE)</f>
        <v>9250</v>
      </c>
      <c r="I517" s="76">
        <f>VLOOKUP(B517,'ALL-DATA'!A:F,6,FALSE)</f>
        <v>18500</v>
      </c>
      <c r="J517" s="44">
        <v>19400</v>
      </c>
      <c r="K517" s="48"/>
      <c r="L517" s="77">
        <f t="shared" si="72"/>
        <v>900</v>
      </c>
      <c r="M517" s="37"/>
      <c r="N517" s="38"/>
      <c r="O517" s="38"/>
      <c r="P517" s="38">
        <f>((((((Table8[[#This Row],[OLD-WT]]-(Table8[[#This Row],[OLD-WT]]*1%))*Table8[[#This Row],[MELTING2]])/100))*80)/100)*Table8[[#This Row],[P-RATE3]]</f>
        <v>0</v>
      </c>
      <c r="Q517" s="38"/>
      <c r="R517" s="263">
        <f t="shared" si="67"/>
        <v>0</v>
      </c>
    </row>
    <row r="518" spans="1:18" x14ac:dyDescent="0.45">
      <c r="A518" s="73">
        <v>45757</v>
      </c>
      <c r="B518" s="38" t="str">
        <f t="shared" ref="B518:B520" si="73">C518&amp;D518</f>
        <v>S-RING-231</v>
      </c>
      <c r="C518" s="38" t="s">
        <v>731</v>
      </c>
      <c r="D518" s="74" t="s">
        <v>1751</v>
      </c>
      <c r="E518" s="75">
        <f>VLOOKUP(B518,'ALL-DATA'!A:F,2,FALSE)</f>
        <v>4.32</v>
      </c>
      <c r="F518" s="38">
        <f>VLOOKUP(B518,'ALL-DATA'!A:F,3,FALSE)</f>
        <v>92.5</v>
      </c>
      <c r="G518" s="38">
        <f>VLOOKUP(B518,'ALL-DATA'!A:F,4,FALSE)</f>
        <v>92.5</v>
      </c>
      <c r="H518" s="76">
        <f>VLOOKUP(B518,'ALL-DATA'!A:F,5,FALSE)</f>
        <v>125.57</v>
      </c>
      <c r="I518" s="76">
        <f>VLOOKUP(B518,'ALL-DATA'!A:F,6,FALSE)</f>
        <v>542.4624</v>
      </c>
      <c r="J518" s="44">
        <v>950</v>
      </c>
      <c r="K518" s="48"/>
      <c r="L518" s="77">
        <f t="shared" si="72"/>
        <v>407.5376</v>
      </c>
      <c r="M518" s="37"/>
      <c r="N518" s="38"/>
      <c r="O518" s="38"/>
      <c r="P518" s="38">
        <f>((((((Table8[[#This Row],[OLD-WT]]-(Table8[[#This Row],[OLD-WT]]*1%))*Table8[[#This Row],[MELTING2]])/100))*80)/100)*Table8[[#This Row],[P-RATE3]]</f>
        <v>0</v>
      </c>
      <c r="Q518" s="38"/>
      <c r="R518" s="263">
        <f t="shared" si="67"/>
        <v>0</v>
      </c>
    </row>
    <row r="519" spans="1:18" ht="25.8" customHeight="1" x14ac:dyDescent="0.45">
      <c r="A519" s="73">
        <v>45758</v>
      </c>
      <c r="B519" s="38" t="str">
        <f>C519&amp;D519</f>
        <v>S-BARACELET-B-11</v>
      </c>
      <c r="C519" s="38" t="s">
        <v>737</v>
      </c>
      <c r="D519" s="74" t="s">
        <v>780</v>
      </c>
      <c r="E519" s="75">
        <f>VLOOKUP(B519,'ALL-DATA'!A:F,2,FALSE)</f>
        <v>41.61</v>
      </c>
      <c r="F519" s="38">
        <f>VLOOKUP(B519,'ALL-DATA'!A:F,3,FALSE)</f>
        <v>86</v>
      </c>
      <c r="G519" s="38">
        <f>VLOOKUP(B519,'ALL-DATA'!A:F,4,FALSE)</f>
        <v>-65</v>
      </c>
      <c r="H519" s="76">
        <f>VLOOKUP(B519,'ALL-DATA'!A:F,5,FALSE)</f>
        <v>90</v>
      </c>
      <c r="I519" s="76">
        <f>VLOOKUP(B519,'ALL-DATA'!A:F,6,FALSE)</f>
        <v>3220.6139999999996</v>
      </c>
      <c r="J519" s="44">
        <v>4850</v>
      </c>
      <c r="K519" s="48"/>
      <c r="L519" s="77">
        <f t="shared" si="72"/>
        <v>1019.8387999999995</v>
      </c>
      <c r="M519" s="37">
        <v>59.65</v>
      </c>
      <c r="N519" s="38">
        <v>80</v>
      </c>
      <c r="O519" s="38">
        <v>95</v>
      </c>
      <c r="P519" s="38">
        <f>((((((Table8[[#This Row],[OLD-WT]]-(Table8[[#This Row],[OLD-WT]]*1%))*Table8[[#This Row],[MELTING2]])/100))*80)/100)*Table8[[#This Row],[P-RATE3]]</f>
        <v>3590.4527999999996</v>
      </c>
      <c r="Q519" s="38">
        <v>4200</v>
      </c>
      <c r="R519" s="263">
        <f t="shared" si="67"/>
        <v>-609.54720000000043</v>
      </c>
    </row>
    <row r="520" spans="1:18" x14ac:dyDescent="0.45">
      <c r="A520" s="16">
        <v>45759</v>
      </c>
      <c r="B520" s="2" t="str">
        <f t="shared" si="73"/>
        <v>G-TLI-MNI-THAYTH-1</v>
      </c>
      <c r="C520" s="2" t="s">
        <v>723</v>
      </c>
      <c r="D520" s="49" t="s">
        <v>787</v>
      </c>
      <c r="E520" s="50">
        <f>VLOOKUP(B520,'ALL-DATA'!A:F,2,FALSE)</f>
        <v>1.04</v>
      </c>
      <c r="F520" s="2">
        <f>VLOOKUP(B520,'ALL-DATA'!A:F,3,FALSE)</f>
        <v>84</v>
      </c>
      <c r="G520" s="2">
        <f>VLOOKUP(B520,'ALL-DATA'!A:F,4,FALSE)</f>
        <v>-7</v>
      </c>
      <c r="H520" s="39">
        <f>VLOOKUP(B520,'ALL-DATA'!A:F,5,FALSE)</f>
        <v>7218.2</v>
      </c>
      <c r="I520" s="39">
        <f>VLOOKUP(B520,'ALL-DATA'!A:F,6,FALSE)</f>
        <v>6305.81952</v>
      </c>
      <c r="J520" s="42">
        <v>9370</v>
      </c>
      <c r="K520" s="45"/>
      <c r="L520" s="127">
        <f t="shared" ref="L520:L531" si="74">((J520+R520)-I520)</f>
        <v>3064.18048</v>
      </c>
      <c r="M520" s="27"/>
      <c r="N520" s="2"/>
      <c r="O520" s="2"/>
      <c r="P520" s="38">
        <f>((((((Table8[[#This Row],[OLD-WT]]-(Table8[[#This Row],[OLD-WT]]*1%))*Table8[[#This Row],[MELTING2]])/100))*80)/100)*Table8[[#This Row],[P-RATE3]]</f>
        <v>0</v>
      </c>
      <c r="Q520" s="2"/>
      <c r="R520" s="263">
        <f t="shared" si="67"/>
        <v>0</v>
      </c>
    </row>
    <row r="521" spans="1:18" x14ac:dyDescent="0.45">
      <c r="A521" s="16">
        <v>45759</v>
      </c>
      <c r="B521" s="38" t="str">
        <f t="shared" ref="B521:B529" si="75">C521&amp;D521</f>
        <v>G-TLI-MNI-THAYTH-16</v>
      </c>
      <c r="C521" s="38" t="s">
        <v>723</v>
      </c>
      <c r="D521" s="74" t="s">
        <v>918</v>
      </c>
      <c r="E521" s="75">
        <f>VLOOKUP(B521,'ALL-DATA'!A:F,2,FALSE)</f>
        <v>1.06</v>
      </c>
      <c r="F521" s="38">
        <f>VLOOKUP(B521,'ALL-DATA'!A:F,3,FALSE)</f>
        <v>85</v>
      </c>
      <c r="G521" s="38">
        <f>VLOOKUP(B521,'ALL-DATA'!A:F,4,FALSE)</f>
        <v>-8</v>
      </c>
      <c r="H521" s="76">
        <f>VLOOKUP(B521,'ALL-DATA'!A:F,5,FALSE)</f>
        <v>7290</v>
      </c>
      <c r="I521" s="76">
        <f>VLOOKUP(B521,'ALL-DATA'!A:F,6,FALSE)</f>
        <v>6568.2900000000009</v>
      </c>
      <c r="J521" s="44">
        <v>9430</v>
      </c>
      <c r="K521" s="48"/>
      <c r="L521" s="77">
        <f t="shared" si="74"/>
        <v>2861.7099999999991</v>
      </c>
      <c r="M521" s="37"/>
      <c r="N521" s="38"/>
      <c r="O521" s="38"/>
      <c r="P521" s="38">
        <f>((((((Table8[[#This Row],[OLD-WT]]-(Table8[[#This Row],[OLD-WT]]*1%))*Table8[[#This Row],[MELTING2]])/100))*80)/100)*Table8[[#This Row],[P-RATE3]]</f>
        <v>0</v>
      </c>
      <c r="Q521" s="38"/>
      <c r="R521" s="263">
        <f t="shared" si="67"/>
        <v>0</v>
      </c>
    </row>
    <row r="522" spans="1:18" x14ac:dyDescent="0.45">
      <c r="A522" s="16">
        <v>45759</v>
      </c>
      <c r="B522" s="38" t="str">
        <f t="shared" si="75"/>
        <v>S-B-KOLUSU--79</v>
      </c>
      <c r="C522" s="38" t="s">
        <v>727</v>
      </c>
      <c r="D522" s="74" t="s">
        <v>1760</v>
      </c>
      <c r="E522" s="75">
        <f>VLOOKUP(B522,'ALL-DATA'!A:F,2,FALSE)</f>
        <v>190</v>
      </c>
      <c r="F522" s="38">
        <f>VLOOKUP(B522,'ALL-DATA'!A:F,3,FALSE)</f>
        <v>79</v>
      </c>
      <c r="G522" s="38">
        <f>VLOOKUP(B522,'ALL-DATA'!A:F,4,FALSE)</f>
        <v>-14</v>
      </c>
      <c r="H522" s="76">
        <f>VLOOKUP(B522,'ALL-DATA'!A:F,5,FALSE)</f>
        <v>86.4</v>
      </c>
      <c r="I522" s="76">
        <f>VLOOKUP(B522,'ALL-DATA'!A:F,6,FALSE)</f>
        <v>12968.640000000001</v>
      </c>
      <c r="J522" s="44">
        <v>21450</v>
      </c>
      <c r="K522" s="48"/>
      <c r="L522" s="77">
        <f t="shared" si="74"/>
        <v>6727.6639999999989</v>
      </c>
      <c r="M522" s="37">
        <v>137</v>
      </c>
      <c r="N522" s="38">
        <v>80</v>
      </c>
      <c r="O522" s="38">
        <v>95</v>
      </c>
      <c r="P522" s="38">
        <f>((((((Table8[[#This Row],[OLD-WT]]-(Table8[[#This Row],[OLD-WT]]*1%))*Table8[[#This Row],[MELTING2]])/100))*80)/100)*Table8[[#This Row],[P-RATE3]]</f>
        <v>8246.3040000000001</v>
      </c>
      <c r="Q522" s="38">
        <v>10000</v>
      </c>
      <c r="R522" s="263">
        <f t="shared" si="67"/>
        <v>-1753.6959999999999</v>
      </c>
    </row>
    <row r="523" spans="1:18" x14ac:dyDescent="0.45">
      <c r="A523" s="16">
        <v>45759</v>
      </c>
      <c r="B523" s="38" t="str">
        <f t="shared" si="75"/>
        <v>G-STUD-2</v>
      </c>
      <c r="C523" s="38" t="s">
        <v>720</v>
      </c>
      <c r="D523" s="74" t="s">
        <v>796</v>
      </c>
      <c r="E523" s="75">
        <f>VLOOKUP(B523,'ALL-DATA'!A:F,2,FALSE)</f>
        <v>3.03</v>
      </c>
      <c r="F523" s="38">
        <f>VLOOKUP(B523,'ALL-DATA'!A:F,3,FALSE)</f>
        <v>97</v>
      </c>
      <c r="G523" s="38">
        <f>VLOOKUP(B523,'ALL-DATA'!A:F,4,FALSE)</f>
        <v>-5</v>
      </c>
      <c r="H523" s="76">
        <f>VLOOKUP(B523,'ALL-DATA'!A:F,5,FALSE)</f>
        <v>7218.2</v>
      </c>
      <c r="I523" s="76">
        <f>VLOOKUP(B523,'ALL-DATA'!A:F,6,FALSE)</f>
        <v>21215.011619999997</v>
      </c>
      <c r="J523" s="44">
        <v>30000</v>
      </c>
      <c r="K523" s="48"/>
      <c r="L523" s="77">
        <f t="shared" si="74"/>
        <v>8784.9883800000025</v>
      </c>
      <c r="M523" s="37">
        <v>3.2</v>
      </c>
      <c r="N523" s="38"/>
      <c r="O523" s="38"/>
      <c r="P523" s="38">
        <v>19000</v>
      </c>
      <c r="Q523" s="38">
        <v>19000</v>
      </c>
      <c r="R523" s="263">
        <f t="shared" si="67"/>
        <v>0</v>
      </c>
    </row>
    <row r="524" spans="1:18" x14ac:dyDescent="0.45">
      <c r="A524" s="16">
        <v>45760</v>
      </c>
      <c r="B524" s="38" t="str">
        <f t="shared" si="75"/>
        <v>S-CHAIN-N-111</v>
      </c>
      <c r="C524" s="38" t="s">
        <v>732</v>
      </c>
      <c r="D524" s="74" t="s">
        <v>1761</v>
      </c>
      <c r="E524" s="75">
        <f>VLOOKUP(B524,'ALL-DATA'!A:F,2,FALSE)</f>
        <v>23.4</v>
      </c>
      <c r="F524" s="38">
        <f>VLOOKUP(B524,'ALL-DATA'!A:F,3,FALSE)</f>
        <v>82</v>
      </c>
      <c r="G524" s="38">
        <f>VLOOKUP(B524,'ALL-DATA'!A:F,4,FALSE)</f>
        <v>17</v>
      </c>
      <c r="H524" s="76">
        <f>VLOOKUP(B524,'ALL-DATA'!A:F,5,FALSE)</f>
        <v>92.18</v>
      </c>
      <c r="I524" s="76">
        <f>VLOOKUP(B524,'ALL-DATA'!A:F,6,FALSE)</f>
        <v>1768.7498399999999</v>
      </c>
      <c r="J524" s="44">
        <v>2400</v>
      </c>
      <c r="K524" s="48"/>
      <c r="L524" s="77">
        <f t="shared" si="74"/>
        <v>519.35896000000002</v>
      </c>
      <c r="M524" s="37">
        <v>21.4</v>
      </c>
      <c r="N524" s="38">
        <v>80</v>
      </c>
      <c r="O524" s="38">
        <v>95</v>
      </c>
      <c r="P524" s="38">
        <f>((((((Table8[[#This Row],[OLD-WT]]-(Table8[[#This Row],[OLD-WT]]*1%))*Table8[[#This Row],[MELTING2]])/100))*80)/100)*Table8[[#This Row],[P-RATE3]]</f>
        <v>1288.1088000000002</v>
      </c>
      <c r="Q524" s="38">
        <v>1400</v>
      </c>
      <c r="R524" s="263">
        <f>(P524-Q524)</f>
        <v>-111.8911999999998</v>
      </c>
    </row>
    <row r="525" spans="1:18" x14ac:dyDescent="0.45">
      <c r="A525" s="73">
        <v>45761</v>
      </c>
      <c r="B525" s="38" t="str">
        <f t="shared" si="75"/>
        <v>S-RING-63</v>
      </c>
      <c r="C525" s="38" t="s">
        <v>731</v>
      </c>
      <c r="D525" s="74" t="s">
        <v>1083</v>
      </c>
      <c r="E525" s="75">
        <f>VLOOKUP(B525,'ALL-DATA'!A:F,2,FALSE)</f>
        <v>5</v>
      </c>
      <c r="F525" s="38">
        <f>VLOOKUP(B525,'ALL-DATA'!A:F,3,FALSE)</f>
        <v>92.5</v>
      </c>
      <c r="G525" s="38">
        <f>VLOOKUP(B525,'ALL-DATA'!A:F,4,FALSE)</f>
        <v>92.5</v>
      </c>
      <c r="H525" s="76">
        <f>VLOOKUP(B525,'ALL-DATA'!A:F,5,FALSE)</f>
        <v>127</v>
      </c>
      <c r="I525" s="76">
        <f>VLOOKUP(B525,'ALL-DATA'!A:F,6,FALSE)</f>
        <v>635</v>
      </c>
      <c r="J525" s="44">
        <v>1260</v>
      </c>
      <c r="K525" s="48"/>
      <c r="L525" s="77">
        <f t="shared" si="74"/>
        <v>653.63359999999989</v>
      </c>
      <c r="M525" s="37">
        <v>3.3</v>
      </c>
      <c r="N525" s="38">
        <v>80</v>
      </c>
      <c r="O525" s="38">
        <v>95</v>
      </c>
      <c r="P525" s="38">
        <f>((((((Table8[[#This Row],[OLD-WT]]-(Table8[[#This Row],[OLD-WT]]*1%))*Table8[[#This Row],[MELTING2]])/100))*80)/100)*Table8[[#This Row],[P-RATE3]]</f>
        <v>198.63359999999997</v>
      </c>
      <c r="Q525" s="38">
        <v>170</v>
      </c>
      <c r="R525" s="263">
        <f t="shared" ref="R525:R526" si="76">(P525-Q525)</f>
        <v>28.633599999999973</v>
      </c>
    </row>
    <row r="526" spans="1:18" x14ac:dyDescent="0.45">
      <c r="A526" s="73">
        <v>45761</v>
      </c>
      <c r="B526" s="38" t="str">
        <f t="shared" si="75"/>
        <v>S-RING-155</v>
      </c>
      <c r="C526" s="38" t="s">
        <v>731</v>
      </c>
      <c r="D526" s="74" t="s">
        <v>1762</v>
      </c>
      <c r="E526" s="75">
        <f>VLOOKUP(B526,'ALL-DATA'!A:F,2,FALSE)</f>
        <v>4.0999999999999996</v>
      </c>
      <c r="F526" s="38">
        <f>VLOOKUP(B526,'ALL-DATA'!A:F,3,FALSE)</f>
        <v>92.5</v>
      </c>
      <c r="G526" s="38">
        <f>VLOOKUP(B526,'ALL-DATA'!A:F,4,FALSE)</f>
        <v>92.5</v>
      </c>
      <c r="H526" s="76">
        <f>VLOOKUP(B526,'ALL-DATA'!A:F,5,FALSE)</f>
        <v>131.65</v>
      </c>
      <c r="I526" s="76">
        <f>VLOOKUP(B526,'ALL-DATA'!A:F,6,FALSE)</f>
        <v>539.76499999999999</v>
      </c>
      <c r="J526" s="44">
        <v>1010</v>
      </c>
      <c r="K526" s="48"/>
      <c r="L526" s="77">
        <f t="shared" si="74"/>
        <v>470.23500000000001</v>
      </c>
      <c r="M526" s="37"/>
      <c r="N526" s="38"/>
      <c r="O526" s="38"/>
      <c r="P526" s="38">
        <f>((((((Table8[[#This Row],[OLD-WT]]-(Table8[[#This Row],[OLD-WT]]*1%))*Table8[[#This Row],[MELTING2]])/100))*80)/100)*Table8[[#This Row],[P-RATE3]]</f>
        <v>0</v>
      </c>
      <c r="Q526" s="38"/>
      <c r="R526" s="263">
        <f t="shared" si="76"/>
        <v>0</v>
      </c>
    </row>
    <row r="527" spans="1:18" x14ac:dyDescent="0.45">
      <c r="A527" s="73">
        <v>45761</v>
      </c>
      <c r="B527" s="38" t="str">
        <f t="shared" si="75"/>
        <v>S-S-KOLUSU-17</v>
      </c>
      <c r="C527" s="38" t="s">
        <v>726</v>
      </c>
      <c r="D527" s="74" t="s">
        <v>830</v>
      </c>
      <c r="E527" s="75">
        <f>VLOOKUP(B527,'ALL-DATA'!A:F,2,FALSE)</f>
        <v>73.64</v>
      </c>
      <c r="F527" s="38">
        <f>VLOOKUP(B527,'ALL-DATA'!A:F,3,FALSE)</f>
        <v>76.5</v>
      </c>
      <c r="G527" s="38">
        <f>VLOOKUP(B527,'ALL-DATA'!A:F,4,FALSE)</f>
        <v>-11.5</v>
      </c>
      <c r="H527" s="76">
        <f>VLOOKUP(B527,'ALL-DATA'!A:F,5,FALSE)</f>
        <v>89.9</v>
      </c>
      <c r="I527" s="76">
        <f>VLOOKUP(B527,'ALL-DATA'!A:F,6,FALSE)</f>
        <v>5064.4805400000005</v>
      </c>
      <c r="J527" s="44">
        <v>8000</v>
      </c>
      <c r="K527" s="48"/>
      <c r="L527" s="77">
        <f t="shared" si="74"/>
        <v>2935.5194599999995</v>
      </c>
      <c r="M527" s="37"/>
      <c r="N527" s="38"/>
      <c r="O527" s="38"/>
      <c r="P527" s="38"/>
      <c r="Q527" s="38"/>
      <c r="R527" s="38"/>
    </row>
    <row r="528" spans="1:18" x14ac:dyDescent="0.45">
      <c r="A528" s="73">
        <v>45761</v>
      </c>
      <c r="B528" s="38" t="str">
        <f t="shared" si="75"/>
        <v>G-TLI-MNI-THAYTH-12</v>
      </c>
      <c r="C528" s="38" t="s">
        <v>723</v>
      </c>
      <c r="D528" s="74" t="s">
        <v>987</v>
      </c>
      <c r="E528" s="75">
        <f>VLOOKUP(B528,'ALL-DATA'!A:F,2,FALSE)</f>
        <v>0.99</v>
      </c>
      <c r="F528" s="38">
        <f>VLOOKUP(B528,'ALL-DATA'!A:F,3,FALSE)</f>
        <v>84</v>
      </c>
      <c r="G528" s="38">
        <f>VLOOKUP(B528,'ALL-DATA'!A:F,4,FALSE)</f>
        <v>8</v>
      </c>
      <c r="H528" s="76">
        <f>VLOOKUP(B528,'ALL-DATA'!A:F,5,FALSE)</f>
        <v>7420</v>
      </c>
      <c r="I528" s="76">
        <f>VLOOKUP(B528,'ALL-DATA'!A:F,6,FALSE)</f>
        <v>6170.4719999999998</v>
      </c>
      <c r="J528" s="44">
        <v>9000</v>
      </c>
      <c r="K528" s="48"/>
      <c r="L528" s="77">
        <f t="shared" si="74"/>
        <v>2829.5280000000002</v>
      </c>
      <c r="M528" s="37"/>
      <c r="N528" s="38"/>
      <c r="O528" s="38"/>
      <c r="P528" s="38"/>
      <c r="Q528" s="38"/>
      <c r="R528" s="38"/>
    </row>
    <row r="529" spans="1:18" x14ac:dyDescent="0.45">
      <c r="A529" s="73">
        <v>45761</v>
      </c>
      <c r="B529" s="38" t="str">
        <f t="shared" si="75"/>
        <v>S-AARUNA-11</v>
      </c>
      <c r="C529" s="38" t="s">
        <v>729</v>
      </c>
      <c r="D529" s="74" t="s">
        <v>780</v>
      </c>
      <c r="E529" s="75">
        <f>VLOOKUP(B529,'ALL-DATA'!A:F,2,FALSE)</f>
        <v>35</v>
      </c>
      <c r="F529" s="38">
        <f>VLOOKUP(B529,'ALL-DATA'!A:F,3,FALSE)</f>
        <v>82</v>
      </c>
      <c r="G529" s="38">
        <f>VLOOKUP(B529,'ALL-DATA'!A:F,4,FALSE)</f>
        <v>-27</v>
      </c>
      <c r="H529" s="76">
        <f>VLOOKUP(B529,'ALL-DATA'!A:F,5,FALSE)</f>
        <v>92</v>
      </c>
      <c r="I529" s="76">
        <f>VLOOKUP(B529,'ALL-DATA'!A:F,6,FALSE)</f>
        <v>2640.4</v>
      </c>
      <c r="J529" s="44">
        <v>4000</v>
      </c>
      <c r="K529" s="48"/>
      <c r="L529" s="77">
        <f t="shared" si="74"/>
        <v>1359.6</v>
      </c>
      <c r="M529" s="37"/>
      <c r="N529" s="38"/>
      <c r="O529" s="38"/>
      <c r="P529" s="38"/>
      <c r="Q529" s="38"/>
      <c r="R529" s="38"/>
    </row>
    <row r="530" spans="1:18" x14ac:dyDescent="0.45">
      <c r="A530" s="73">
        <v>45761</v>
      </c>
      <c r="B530" s="131" t="s">
        <v>1763</v>
      </c>
      <c r="C530" s="38"/>
      <c r="D530" s="74"/>
      <c r="E530" s="75">
        <f>VLOOKUP(B530,'ALL-DATA'!A:F,2,FALSE)</f>
        <v>10.8</v>
      </c>
      <c r="F530" s="38">
        <f>VLOOKUP(B530,'ALL-DATA'!A:F,3,FALSE)</f>
        <v>80</v>
      </c>
      <c r="G530" s="38">
        <f>VLOOKUP(B530,'ALL-DATA'!A:F,4,FALSE)</f>
        <v>-25</v>
      </c>
      <c r="H530" s="76">
        <f>VLOOKUP(B530,'ALL-DATA'!A:F,5,FALSE)</f>
        <v>95</v>
      </c>
      <c r="I530" s="76">
        <f>VLOOKUP(B530,'ALL-DATA'!A:F,6,FALSE)</f>
        <v>820.80000000000007</v>
      </c>
      <c r="J530" s="44">
        <v>1500</v>
      </c>
      <c r="K530" s="48"/>
      <c r="L530" s="77">
        <f t="shared" si="74"/>
        <v>679.19999999999993</v>
      </c>
      <c r="M530" s="37"/>
      <c r="N530" s="38"/>
      <c r="O530" s="38"/>
      <c r="P530" s="38"/>
      <c r="Q530" s="38"/>
      <c r="R530" s="38"/>
    </row>
    <row r="531" spans="1:18" x14ac:dyDescent="0.45">
      <c r="A531" s="73">
        <v>45762</v>
      </c>
      <c r="B531" s="1" t="s">
        <v>1767</v>
      </c>
      <c r="C531" s="38"/>
      <c r="D531" s="74"/>
      <c r="E531" s="75">
        <f>VLOOKUP(B531,'ALL-DATA'!A:F,2,FALSE)</f>
        <v>16.27</v>
      </c>
      <c r="F531" s="38">
        <f>VLOOKUP(B531,'ALL-DATA'!A:F,3,FALSE)</f>
        <v>0</v>
      </c>
      <c r="G531" s="38">
        <f>VLOOKUP(B531,'ALL-DATA'!A:F,4,FALSE)</f>
        <v>0</v>
      </c>
      <c r="H531" s="76">
        <f>VLOOKUP(B531,'ALL-DATA'!A:F,5,FALSE)</f>
        <v>0</v>
      </c>
      <c r="I531" s="76">
        <f>VLOOKUP(B531,'ALL-DATA'!A:F,6,FALSE)</f>
        <v>117000</v>
      </c>
      <c r="J531" s="44">
        <v>123000</v>
      </c>
      <c r="K531" s="48"/>
      <c r="L531" s="77">
        <f t="shared" si="74"/>
        <v>6000</v>
      </c>
      <c r="M531" s="37"/>
      <c r="N531" s="38"/>
      <c r="O531" s="38"/>
      <c r="P531" s="38"/>
      <c r="Q531" s="38"/>
      <c r="R531" s="38"/>
    </row>
    <row r="532" spans="1:18" x14ac:dyDescent="0.45">
      <c r="A532" s="73">
        <v>45762</v>
      </c>
      <c r="B532" s="38" t="str">
        <f>C532&amp;D532</f>
        <v>S-B-KOLUSU--95</v>
      </c>
      <c r="C532" s="38" t="s">
        <v>727</v>
      </c>
      <c r="D532" s="74" t="s">
        <v>1679</v>
      </c>
      <c r="E532" s="75">
        <f>VLOOKUP(B532,'ALL-DATA'!A:F,2,FALSE)</f>
        <v>32.299999999999997</v>
      </c>
      <c r="F532" s="38">
        <f>VLOOKUP(B532,'ALL-DATA'!A:F,3,FALSE)</f>
        <v>80</v>
      </c>
      <c r="G532" s="38">
        <f>VLOOKUP(B532,'ALL-DATA'!A:F,4,FALSE)</f>
        <v>-15</v>
      </c>
      <c r="H532" s="76">
        <f>VLOOKUP(B532,'ALL-DATA'!A:F,5,FALSE)</f>
        <v>95.8</v>
      </c>
      <c r="I532" s="76">
        <f>VLOOKUP(B532,'ALL-DATA'!A:F,6,FALSE)</f>
        <v>2475.4719999999998</v>
      </c>
      <c r="J532" s="44">
        <v>2475</v>
      </c>
      <c r="K532" s="48"/>
      <c r="L532" s="77">
        <f>((J532+R532)-I532)</f>
        <v>-0.47199999999975262</v>
      </c>
      <c r="M532" s="37"/>
      <c r="N532" s="38"/>
      <c r="O532" s="38"/>
      <c r="P532" s="38"/>
      <c r="Q532" s="38"/>
      <c r="R532" s="38"/>
    </row>
    <row r="538" spans="1:18" x14ac:dyDescent="0.45">
      <c r="L538" s="109"/>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'ALL-DATA'!$H$2:$H$37</xm:f>
          </x14:formula1>
          <xm:sqref>C2:C532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sheetPr codeName="Sheet3"/>
  <dimension ref="A1:R608"/>
  <sheetViews>
    <sheetView zoomScaleNormal="100" workbookViewId="0">
      <pane ySplit="1" topLeftCell="A83" activePane="bottomLeft" state="frozen"/>
      <selection pane="bottomLeft" activeCell="B27" sqref="B27"/>
    </sheetView>
  </sheetViews>
  <sheetFormatPr defaultRowHeight="23.4" x14ac:dyDescent="0.45"/>
  <cols>
    <col min="1" max="1" width="19" bestFit="1" customWidth="1"/>
    <col min="2" max="2" width="29.77734375" bestFit="1" customWidth="1"/>
    <col min="3" max="3" width="10.33203125" bestFit="1" customWidth="1"/>
    <col min="4" max="4" width="19.109375" style="78" bestFit="1" customWidth="1"/>
    <col min="5" max="5" width="15.5546875" style="19" bestFit="1" customWidth="1"/>
    <col min="6" max="6" width="13.5546875" style="109" bestFit="1" customWidth="1"/>
    <col min="7" max="7" width="14.44140625" style="1" bestFit="1" customWidth="1"/>
    <col min="8" max="8" width="15.77734375" style="1" bestFit="1" customWidth="1"/>
    <col min="9" max="9" width="15.5546875" style="78" bestFit="1" customWidth="1"/>
    <col min="10" max="10" width="15.44140625" style="78" bestFit="1" customWidth="1"/>
    <col min="16" max="16" width="14.21875" bestFit="1" customWidth="1"/>
    <col min="17" max="17" width="15.77734375" customWidth="1"/>
    <col min="18" max="18" width="16.77734375" customWidth="1"/>
  </cols>
  <sheetData>
    <row r="1" spans="1:18" ht="21" x14ac:dyDescent="0.4">
      <c r="A1" s="79" t="s">
        <v>695</v>
      </c>
      <c r="B1" s="79" t="s">
        <v>696</v>
      </c>
      <c r="C1" s="80" t="s">
        <v>835</v>
      </c>
      <c r="D1" s="81" t="s">
        <v>836</v>
      </c>
      <c r="E1" s="81" t="s">
        <v>837</v>
      </c>
      <c r="F1" s="84" t="s">
        <v>838</v>
      </c>
      <c r="G1" s="80" t="s">
        <v>839</v>
      </c>
      <c r="H1" s="80" t="s">
        <v>840</v>
      </c>
      <c r="I1" s="81" t="s">
        <v>841</v>
      </c>
      <c r="J1" s="81" t="s">
        <v>842</v>
      </c>
      <c r="P1" s="221" t="s">
        <v>695</v>
      </c>
      <c r="Q1" s="221" t="s">
        <v>1149</v>
      </c>
      <c r="R1" s="221" t="s">
        <v>1150</v>
      </c>
    </row>
    <row r="2" spans="1:18" ht="21" x14ac:dyDescent="0.4">
      <c r="A2" s="82">
        <v>45733</v>
      </c>
      <c r="B2" s="80" t="s">
        <v>1183</v>
      </c>
      <c r="C2" s="83">
        <v>5.5</v>
      </c>
      <c r="D2" s="81">
        <v>405.9</v>
      </c>
      <c r="E2" s="81">
        <v>650</v>
      </c>
      <c r="F2" s="84">
        <v>244.10000000000002</v>
      </c>
      <c r="G2" s="83"/>
      <c r="H2" s="83">
        <v>0</v>
      </c>
      <c r="I2" s="81"/>
      <c r="J2" s="81">
        <v>0</v>
      </c>
      <c r="P2" s="256">
        <v>45586</v>
      </c>
      <c r="Q2" s="222">
        <v>339.73</v>
      </c>
      <c r="R2" s="222">
        <v>10997.46</v>
      </c>
    </row>
    <row r="3" spans="1:18" ht="21" x14ac:dyDescent="0.4">
      <c r="A3" s="80"/>
      <c r="B3" s="80" t="s">
        <v>1693</v>
      </c>
      <c r="C3" s="83">
        <v>0</v>
      </c>
      <c r="D3" s="81">
        <v>0</v>
      </c>
      <c r="E3" s="81"/>
      <c r="F3" s="84">
        <v>367.8720000000003</v>
      </c>
      <c r="G3" s="83">
        <v>41</v>
      </c>
      <c r="H3" s="83">
        <v>2467.8720000000003</v>
      </c>
      <c r="I3" s="81">
        <v>2100</v>
      </c>
      <c r="J3" s="81">
        <v>367.8720000000003</v>
      </c>
      <c r="P3" s="256">
        <v>45612</v>
      </c>
      <c r="Q3" s="222"/>
      <c r="R3" s="222"/>
    </row>
    <row r="4" spans="1:18" ht="18" x14ac:dyDescent="0.35">
      <c r="A4" s="80"/>
      <c r="B4" s="80" t="s">
        <v>1306</v>
      </c>
      <c r="C4" s="83">
        <v>19.3</v>
      </c>
      <c r="D4" s="81">
        <v>1467.1667</v>
      </c>
      <c r="E4" s="81">
        <v>3250</v>
      </c>
      <c r="F4" s="84">
        <v>1076.2956999999994</v>
      </c>
      <c r="G4" s="83">
        <v>59.7</v>
      </c>
      <c r="H4" s="83">
        <v>3593.4623999999994</v>
      </c>
      <c r="I4" s="81">
        <v>4300</v>
      </c>
      <c r="J4" s="81">
        <v>-706.53760000000057</v>
      </c>
    </row>
    <row r="5" spans="1:18" ht="18" x14ac:dyDescent="0.35">
      <c r="A5" s="82" t="s">
        <v>1706</v>
      </c>
      <c r="B5" s="80"/>
      <c r="C5" s="83">
        <v>24.8</v>
      </c>
      <c r="D5" s="81">
        <v>1873.0666999999999</v>
      </c>
      <c r="E5" s="81">
        <v>3900</v>
      </c>
      <c r="F5" s="84">
        <v>1688.2676999999999</v>
      </c>
      <c r="G5" s="83">
        <v>100.7</v>
      </c>
      <c r="H5" s="83">
        <v>6061.3343999999997</v>
      </c>
      <c r="I5" s="81">
        <v>6400</v>
      </c>
      <c r="J5" s="81">
        <v>-338.66560000000027</v>
      </c>
    </row>
    <row r="6" spans="1:18" ht="18" x14ac:dyDescent="0.35">
      <c r="A6" s="82">
        <v>45735</v>
      </c>
      <c r="B6" s="80" t="s">
        <v>1707</v>
      </c>
      <c r="C6" s="83">
        <v>10</v>
      </c>
      <c r="D6" s="81">
        <v>744</v>
      </c>
      <c r="E6" s="81">
        <v>1100</v>
      </c>
      <c r="F6" s="84">
        <v>356</v>
      </c>
      <c r="G6" s="83"/>
      <c r="H6" s="83">
        <v>0</v>
      </c>
      <c r="I6" s="81"/>
      <c r="J6" s="81">
        <v>0</v>
      </c>
    </row>
    <row r="7" spans="1:18" ht="18" x14ac:dyDescent="0.35">
      <c r="A7" s="80"/>
      <c r="B7" s="80" t="s">
        <v>1708</v>
      </c>
      <c r="C7" s="83">
        <v>2.2200000000000002</v>
      </c>
      <c r="D7" s="81">
        <v>18550.320000000003</v>
      </c>
      <c r="E7" s="81">
        <v>20300</v>
      </c>
      <c r="F7" s="84">
        <v>1749.6799999999967</v>
      </c>
      <c r="G7" s="83"/>
      <c r="H7" s="83">
        <v>0</v>
      </c>
      <c r="I7" s="81"/>
      <c r="J7" s="81">
        <v>0</v>
      </c>
    </row>
    <row r="8" spans="1:18" ht="18" x14ac:dyDescent="0.35">
      <c r="A8" s="82" t="s">
        <v>1709</v>
      </c>
      <c r="B8" s="80"/>
      <c r="C8" s="83">
        <v>12.22</v>
      </c>
      <c r="D8" s="81">
        <v>19294.320000000003</v>
      </c>
      <c r="E8" s="81">
        <v>21400</v>
      </c>
      <c r="F8" s="84">
        <v>2105.6799999999967</v>
      </c>
      <c r="G8" s="83"/>
      <c r="H8" s="83">
        <v>0</v>
      </c>
      <c r="I8" s="81"/>
      <c r="J8" s="81">
        <v>0</v>
      </c>
    </row>
    <row r="9" spans="1:18" ht="18" x14ac:dyDescent="0.35">
      <c r="A9" s="82">
        <v>45739</v>
      </c>
      <c r="B9" s="80" t="s">
        <v>94</v>
      </c>
      <c r="C9" s="83">
        <v>1.05</v>
      </c>
      <c r="D9" s="81">
        <v>6366.4524000000001</v>
      </c>
      <c r="E9" s="81">
        <v>9700</v>
      </c>
      <c r="F9" s="84">
        <v>3333.5475999999999</v>
      </c>
      <c r="G9" s="83">
        <v>0.98</v>
      </c>
      <c r="H9" s="83">
        <v>5000</v>
      </c>
      <c r="I9" s="81">
        <v>5000</v>
      </c>
      <c r="J9" s="81">
        <v>0</v>
      </c>
    </row>
    <row r="10" spans="1:18" ht="18" x14ac:dyDescent="0.35">
      <c r="A10" s="82" t="s">
        <v>1710</v>
      </c>
      <c r="B10" s="80"/>
      <c r="C10" s="83">
        <v>1.05</v>
      </c>
      <c r="D10" s="81">
        <v>6366.4524000000001</v>
      </c>
      <c r="E10" s="81">
        <v>9700</v>
      </c>
      <c r="F10" s="84">
        <v>3333.5475999999999</v>
      </c>
      <c r="G10" s="83">
        <v>0.98</v>
      </c>
      <c r="H10" s="83">
        <v>5000</v>
      </c>
      <c r="I10" s="81">
        <v>5000</v>
      </c>
      <c r="J10" s="81">
        <v>0</v>
      </c>
    </row>
    <row r="11" spans="1:18" ht="18" x14ac:dyDescent="0.35">
      <c r="A11" s="82">
        <v>45741</v>
      </c>
      <c r="B11" s="80" t="s">
        <v>807</v>
      </c>
      <c r="C11" s="83">
        <v>0</v>
      </c>
      <c r="D11" s="81">
        <v>300</v>
      </c>
      <c r="E11" s="81">
        <v>500</v>
      </c>
      <c r="F11" s="84">
        <v>200</v>
      </c>
      <c r="G11" s="83"/>
      <c r="H11" s="83">
        <v>0</v>
      </c>
      <c r="I11" s="81"/>
      <c r="J11" s="81">
        <v>0</v>
      </c>
    </row>
    <row r="12" spans="1:18" ht="18" x14ac:dyDescent="0.35">
      <c r="A12" s="80"/>
      <c r="B12" s="80" t="s">
        <v>764</v>
      </c>
      <c r="C12" s="83">
        <v>2.06</v>
      </c>
      <c r="D12" s="81">
        <v>14200.364860000001</v>
      </c>
      <c r="E12" s="81">
        <v>18900</v>
      </c>
      <c r="F12" s="84">
        <v>4699.6351399999985</v>
      </c>
      <c r="G12" s="83"/>
      <c r="H12" s="83">
        <v>0</v>
      </c>
      <c r="I12" s="81"/>
      <c r="J12" s="81">
        <v>0</v>
      </c>
    </row>
    <row r="13" spans="1:18" ht="18" x14ac:dyDescent="0.35">
      <c r="A13" s="80"/>
      <c r="B13" s="80" t="s">
        <v>1544</v>
      </c>
      <c r="C13" s="83">
        <v>24.6</v>
      </c>
      <c r="D13" s="81">
        <v>1827.5832</v>
      </c>
      <c r="E13" s="81">
        <v>3400</v>
      </c>
      <c r="F13" s="84">
        <v>775.99760000000015</v>
      </c>
      <c r="G13" s="83">
        <v>49.9</v>
      </c>
      <c r="H13" s="83">
        <v>3003.5808000000002</v>
      </c>
      <c r="I13" s="81">
        <v>3800</v>
      </c>
      <c r="J13" s="81">
        <v>-796.41919999999982</v>
      </c>
    </row>
    <row r="14" spans="1:18" ht="18" x14ac:dyDescent="0.35">
      <c r="A14" s="80"/>
      <c r="B14" s="80" t="s">
        <v>1713</v>
      </c>
      <c r="C14" s="83">
        <v>0</v>
      </c>
      <c r="D14" s="81">
        <v>72.25</v>
      </c>
      <c r="E14" s="81">
        <v>400</v>
      </c>
      <c r="F14" s="84">
        <v>327.75</v>
      </c>
      <c r="G14" s="83"/>
      <c r="H14" s="83">
        <v>0</v>
      </c>
      <c r="I14" s="81"/>
      <c r="J14" s="81">
        <v>0</v>
      </c>
    </row>
    <row r="15" spans="1:18" ht="18" x14ac:dyDescent="0.35">
      <c r="A15" s="80"/>
      <c r="B15" s="80" t="s">
        <v>1712</v>
      </c>
      <c r="C15" s="83">
        <v>1</v>
      </c>
      <c r="D15" s="81">
        <v>6196.5</v>
      </c>
      <c r="E15" s="81">
        <v>8800</v>
      </c>
      <c r="F15" s="84">
        <v>2603.5</v>
      </c>
      <c r="G15" s="83"/>
      <c r="H15" s="83">
        <v>0</v>
      </c>
      <c r="I15" s="81"/>
      <c r="J15" s="81">
        <v>0</v>
      </c>
    </row>
    <row r="16" spans="1:18" ht="18" x14ac:dyDescent="0.35">
      <c r="A16" s="82" t="s">
        <v>1730</v>
      </c>
      <c r="B16" s="80"/>
      <c r="C16" s="83">
        <v>27.66</v>
      </c>
      <c r="D16" s="81">
        <v>22596.698060000002</v>
      </c>
      <c r="E16" s="81">
        <v>32000</v>
      </c>
      <c r="F16" s="84">
        <v>8606.8827399999991</v>
      </c>
      <c r="G16" s="83">
        <v>49.9</v>
      </c>
      <c r="H16" s="83">
        <v>3003.5808000000002</v>
      </c>
      <c r="I16" s="81">
        <v>3800</v>
      </c>
      <c r="J16" s="81">
        <v>-796.41919999999982</v>
      </c>
    </row>
    <row r="17" spans="1:13" ht="18" x14ac:dyDescent="0.35">
      <c r="A17" s="82">
        <v>45742</v>
      </c>
      <c r="B17" s="80" t="s">
        <v>409</v>
      </c>
      <c r="C17" s="83">
        <v>4.1399999999999997</v>
      </c>
      <c r="D17" s="81">
        <v>525.78</v>
      </c>
      <c r="E17" s="81">
        <v>800</v>
      </c>
      <c r="F17" s="84">
        <v>274.22000000000003</v>
      </c>
      <c r="G17" s="83"/>
      <c r="H17" s="83">
        <v>0</v>
      </c>
      <c r="I17" s="81"/>
      <c r="J17" s="81">
        <v>0</v>
      </c>
    </row>
    <row r="18" spans="1:13" ht="18" x14ac:dyDescent="0.35">
      <c r="A18" s="82" t="s">
        <v>1731</v>
      </c>
      <c r="B18" s="80"/>
      <c r="C18" s="83">
        <v>4.1399999999999997</v>
      </c>
      <c r="D18" s="81">
        <v>525.78</v>
      </c>
      <c r="E18" s="81">
        <v>800</v>
      </c>
      <c r="F18" s="84">
        <v>274.22000000000003</v>
      </c>
      <c r="G18" s="83"/>
      <c r="H18" s="83">
        <v>0</v>
      </c>
      <c r="I18" s="81"/>
      <c r="J18" s="81">
        <v>0</v>
      </c>
    </row>
    <row r="19" spans="1:13" ht="18" x14ac:dyDescent="0.35">
      <c r="A19" s="82">
        <v>45743</v>
      </c>
      <c r="B19" s="80" t="s">
        <v>804</v>
      </c>
      <c r="C19" s="83">
        <v>0</v>
      </c>
      <c r="D19" s="81">
        <v>242</v>
      </c>
      <c r="E19" s="81">
        <v>700</v>
      </c>
      <c r="F19" s="84">
        <v>458</v>
      </c>
      <c r="G19" s="83"/>
      <c r="H19" s="83">
        <v>0</v>
      </c>
      <c r="I19" s="81"/>
      <c r="J19" s="81">
        <v>0</v>
      </c>
    </row>
    <row r="20" spans="1:13" ht="18" x14ac:dyDescent="0.35">
      <c r="A20" s="80"/>
      <c r="B20" s="80" t="s">
        <v>806</v>
      </c>
      <c r="C20" s="83">
        <v>0</v>
      </c>
      <c r="D20" s="81">
        <v>110</v>
      </c>
      <c r="E20" s="81">
        <v>400</v>
      </c>
      <c r="F20" s="84">
        <v>310.38400000000001</v>
      </c>
      <c r="G20" s="83">
        <v>2</v>
      </c>
      <c r="H20" s="83">
        <v>120.38399999999999</v>
      </c>
      <c r="I20" s="81">
        <v>100</v>
      </c>
      <c r="J20" s="81">
        <v>20.383999999999986</v>
      </c>
      <c r="M20" t="s">
        <v>1160</v>
      </c>
    </row>
    <row r="21" spans="1:13" ht="18" x14ac:dyDescent="0.35">
      <c r="A21" s="80"/>
      <c r="B21" s="80" t="s">
        <v>807</v>
      </c>
      <c r="C21" s="83">
        <v>0</v>
      </c>
      <c r="D21" s="81">
        <v>300</v>
      </c>
      <c r="E21" s="81">
        <v>450</v>
      </c>
      <c r="F21" s="84">
        <v>176.94911999999977</v>
      </c>
      <c r="G21" s="83">
        <v>27.86</v>
      </c>
      <c r="H21" s="83">
        <v>1676.9491199999998</v>
      </c>
      <c r="I21" s="81">
        <v>1650</v>
      </c>
      <c r="J21" s="81">
        <v>26.949119999999766</v>
      </c>
    </row>
    <row r="22" spans="1:13" ht="18" x14ac:dyDescent="0.35">
      <c r="A22" s="80"/>
      <c r="B22" s="80" t="s">
        <v>1615</v>
      </c>
      <c r="C22" s="83">
        <v>4.5999999999999996</v>
      </c>
      <c r="D22" s="81">
        <v>347.70296000000002</v>
      </c>
      <c r="E22" s="81">
        <v>790</v>
      </c>
      <c r="F22" s="84">
        <v>442.29703999999998</v>
      </c>
      <c r="G22" s="83"/>
      <c r="H22" s="83">
        <v>0</v>
      </c>
      <c r="I22" s="81"/>
      <c r="J22" s="81">
        <v>0</v>
      </c>
    </row>
    <row r="23" spans="1:13" ht="18" x14ac:dyDescent="0.35">
      <c r="A23" s="80"/>
      <c r="B23" s="80" t="s">
        <v>1716</v>
      </c>
      <c r="C23" s="83">
        <v>11.5</v>
      </c>
      <c r="D23" s="81">
        <v>855.59999999999991</v>
      </c>
      <c r="E23" s="81">
        <v>1590</v>
      </c>
      <c r="F23" s="84">
        <v>696.51200000000017</v>
      </c>
      <c r="G23" s="83">
        <v>11</v>
      </c>
      <c r="H23" s="83">
        <v>662.11200000000008</v>
      </c>
      <c r="I23" s="81">
        <v>700</v>
      </c>
      <c r="J23" s="81">
        <v>-37.88799999999992</v>
      </c>
    </row>
    <row r="24" spans="1:13" ht="18" x14ac:dyDescent="0.35">
      <c r="A24" s="80"/>
      <c r="B24" s="80" t="s">
        <v>1715</v>
      </c>
      <c r="C24" s="83">
        <v>3.5</v>
      </c>
      <c r="D24" s="81">
        <v>260.39999999999998</v>
      </c>
      <c r="E24" s="81">
        <v>600</v>
      </c>
      <c r="F24" s="84">
        <v>248.18175999999994</v>
      </c>
      <c r="G24" s="83">
        <v>9.2799999999999994</v>
      </c>
      <c r="H24" s="83">
        <v>558.58175999999992</v>
      </c>
      <c r="I24" s="81">
        <v>650</v>
      </c>
      <c r="J24" s="81">
        <v>-91.418240000000083</v>
      </c>
    </row>
    <row r="25" spans="1:13" ht="18" x14ac:dyDescent="0.35">
      <c r="A25" s="80"/>
      <c r="B25" s="80" t="s">
        <v>1404</v>
      </c>
      <c r="C25" s="83">
        <v>2.2999999999999998</v>
      </c>
      <c r="D25" s="81">
        <v>303.59999999999997</v>
      </c>
      <c r="E25" s="81">
        <v>500</v>
      </c>
      <c r="F25" s="84">
        <v>196.40000000000003</v>
      </c>
      <c r="G25" s="83"/>
      <c r="H25" s="83">
        <v>0</v>
      </c>
      <c r="I25" s="81"/>
      <c r="J25" s="81">
        <v>0</v>
      </c>
    </row>
    <row r="26" spans="1:13" ht="18" x14ac:dyDescent="0.35">
      <c r="A26" s="80"/>
      <c r="B26" s="80" t="s">
        <v>1239</v>
      </c>
      <c r="C26" s="83">
        <v>2.13</v>
      </c>
      <c r="D26" s="81">
        <v>298.2</v>
      </c>
      <c r="E26" s="81">
        <v>500</v>
      </c>
      <c r="F26" s="84">
        <v>201.8</v>
      </c>
      <c r="G26" s="83"/>
      <c r="H26" s="83">
        <v>0</v>
      </c>
      <c r="I26" s="81"/>
      <c r="J26" s="81">
        <v>0</v>
      </c>
    </row>
    <row r="27" spans="1:13" ht="18" x14ac:dyDescent="0.35">
      <c r="A27" s="80"/>
      <c r="B27" s="80" t="s">
        <v>1719</v>
      </c>
      <c r="C27" s="83">
        <v>0.1</v>
      </c>
      <c r="D27" s="81">
        <v>580.27109800000005</v>
      </c>
      <c r="E27" s="81">
        <v>1240</v>
      </c>
      <c r="F27" s="84">
        <v>659.72890199999995</v>
      </c>
      <c r="G27" s="83">
        <v>0.04</v>
      </c>
      <c r="H27" s="83">
        <v>100</v>
      </c>
      <c r="I27" s="81">
        <v>100</v>
      </c>
      <c r="J27" s="81">
        <v>0</v>
      </c>
    </row>
    <row r="28" spans="1:13" ht="18" x14ac:dyDescent="0.35">
      <c r="A28" s="82" t="s">
        <v>1732</v>
      </c>
      <c r="B28" s="80"/>
      <c r="C28" s="83">
        <v>24.130000000000003</v>
      </c>
      <c r="D28" s="81">
        <v>3297.774058</v>
      </c>
      <c r="E28" s="81">
        <v>6770</v>
      </c>
      <c r="F28" s="84">
        <v>3390.2528219999999</v>
      </c>
      <c r="G28" s="83">
        <v>50.18</v>
      </c>
      <c r="H28" s="83">
        <v>3118.0268799999999</v>
      </c>
      <c r="I28" s="81">
        <v>3200</v>
      </c>
      <c r="J28" s="81">
        <v>-81.97312000000025</v>
      </c>
    </row>
    <row r="29" spans="1:13" ht="18" x14ac:dyDescent="0.35">
      <c r="A29" s="82">
        <v>45744</v>
      </c>
      <c r="B29" s="80" t="s">
        <v>1526</v>
      </c>
      <c r="C29" s="83">
        <v>51.51</v>
      </c>
      <c r="D29" s="81">
        <v>3738.8533499999999</v>
      </c>
      <c r="E29" s="81">
        <v>6500</v>
      </c>
      <c r="F29" s="84">
        <v>2761.1466500000001</v>
      </c>
      <c r="G29" s="83"/>
      <c r="H29" s="83">
        <v>0</v>
      </c>
      <c r="I29" s="81"/>
      <c r="J29" s="81">
        <v>0</v>
      </c>
    </row>
    <row r="30" spans="1:13" ht="18" x14ac:dyDescent="0.35">
      <c r="A30" s="82" t="s">
        <v>1733</v>
      </c>
      <c r="B30" s="80"/>
      <c r="C30" s="83">
        <v>51.51</v>
      </c>
      <c r="D30" s="81">
        <v>3738.8533499999999</v>
      </c>
      <c r="E30" s="81">
        <v>6500</v>
      </c>
      <c r="F30" s="84">
        <v>2761.1466500000001</v>
      </c>
      <c r="G30" s="83"/>
      <c r="H30" s="83">
        <v>0</v>
      </c>
      <c r="I30" s="81"/>
      <c r="J30" s="81">
        <v>0</v>
      </c>
    </row>
    <row r="31" spans="1:13" ht="18" x14ac:dyDescent="0.35">
      <c r="A31" s="82">
        <v>45745</v>
      </c>
      <c r="B31" s="80" t="s">
        <v>1721</v>
      </c>
      <c r="C31" s="83">
        <v>0</v>
      </c>
      <c r="D31" s="81">
        <v>450</v>
      </c>
      <c r="E31" s="81">
        <v>700</v>
      </c>
      <c r="F31" s="84">
        <v>250</v>
      </c>
      <c r="G31" s="83"/>
      <c r="H31" s="83">
        <v>0</v>
      </c>
      <c r="I31" s="81"/>
      <c r="J31" s="81">
        <v>0</v>
      </c>
    </row>
    <row r="32" spans="1:13" ht="18" x14ac:dyDescent="0.35">
      <c r="A32" s="80"/>
      <c r="B32" s="80" t="s">
        <v>1723</v>
      </c>
      <c r="C32" s="83">
        <v>0</v>
      </c>
      <c r="D32" s="81">
        <v>515</v>
      </c>
      <c r="E32" s="81">
        <v>800</v>
      </c>
      <c r="F32" s="84">
        <v>285</v>
      </c>
      <c r="G32" s="83"/>
      <c r="H32" s="83">
        <v>0</v>
      </c>
      <c r="I32" s="81"/>
      <c r="J32" s="81">
        <v>0</v>
      </c>
    </row>
    <row r="33" spans="1:10" ht="18" x14ac:dyDescent="0.35">
      <c r="A33" s="80"/>
      <c r="B33" s="80" t="s">
        <v>1725</v>
      </c>
      <c r="C33" s="83">
        <v>0.4</v>
      </c>
      <c r="D33" s="81">
        <v>2205.9839999999999</v>
      </c>
      <c r="E33" s="81">
        <v>3500</v>
      </c>
      <c r="F33" s="84">
        <v>1294.0160000000001</v>
      </c>
      <c r="G33" s="83">
        <v>0.32</v>
      </c>
      <c r="H33" s="83">
        <v>1000</v>
      </c>
      <c r="I33" s="81">
        <v>1000</v>
      </c>
      <c r="J33" s="81">
        <v>0</v>
      </c>
    </row>
    <row r="34" spans="1:10" ht="18" x14ac:dyDescent="0.35">
      <c r="A34" s="80"/>
      <c r="B34" s="80" t="s">
        <v>1256</v>
      </c>
      <c r="C34" s="83">
        <v>4</v>
      </c>
      <c r="D34" s="81">
        <v>283.392</v>
      </c>
      <c r="E34" s="81">
        <v>500</v>
      </c>
      <c r="F34" s="84">
        <v>216.608</v>
      </c>
      <c r="G34" s="83"/>
      <c r="H34" s="83">
        <v>0</v>
      </c>
      <c r="I34" s="81"/>
      <c r="J34" s="81">
        <v>0</v>
      </c>
    </row>
    <row r="35" spans="1:10" ht="18" x14ac:dyDescent="0.35">
      <c r="A35" s="82" t="s">
        <v>1734</v>
      </c>
      <c r="B35" s="80"/>
      <c r="C35" s="83">
        <v>4.4000000000000004</v>
      </c>
      <c r="D35" s="81">
        <v>3454.3759999999997</v>
      </c>
      <c r="E35" s="81">
        <v>5500</v>
      </c>
      <c r="F35" s="84">
        <v>2045.624</v>
      </c>
      <c r="G35" s="83">
        <v>0.32</v>
      </c>
      <c r="H35" s="83">
        <v>1000</v>
      </c>
      <c r="I35" s="81">
        <v>1000</v>
      </c>
      <c r="J35" s="81">
        <v>0</v>
      </c>
    </row>
    <row r="36" spans="1:10" ht="18" x14ac:dyDescent="0.35">
      <c r="A36" s="82">
        <v>45747</v>
      </c>
      <c r="B36" s="80" t="s">
        <v>570</v>
      </c>
      <c r="C36" s="83">
        <v>15.6</v>
      </c>
      <c r="D36" s="81">
        <v>1207.4399999999998</v>
      </c>
      <c r="E36" s="81">
        <v>100</v>
      </c>
      <c r="F36" s="84">
        <v>192.12935680000032</v>
      </c>
      <c r="G36" s="83">
        <v>21.590399999999999</v>
      </c>
      <c r="H36" s="83">
        <v>1299.5693568000002</v>
      </c>
      <c r="I36" s="81"/>
      <c r="J36" s="81">
        <v>1299.5693568000002</v>
      </c>
    </row>
    <row r="37" spans="1:10" ht="18" x14ac:dyDescent="0.35">
      <c r="A37" s="80"/>
      <c r="B37" s="80" t="s">
        <v>588</v>
      </c>
      <c r="C37" s="83">
        <v>15.2</v>
      </c>
      <c r="D37" s="81">
        <v>1244.8799999999999</v>
      </c>
      <c r="E37" s="81">
        <v>100</v>
      </c>
      <c r="F37" s="84">
        <v>121.36706559999993</v>
      </c>
      <c r="G37" s="83">
        <v>21.036799999999996</v>
      </c>
      <c r="H37" s="83">
        <v>1266.2470655999998</v>
      </c>
      <c r="I37" s="81"/>
      <c r="J37" s="81">
        <v>1266.2470655999998</v>
      </c>
    </row>
    <row r="38" spans="1:10" ht="18" x14ac:dyDescent="0.35">
      <c r="A38" s="80"/>
      <c r="B38" s="80" t="s">
        <v>608</v>
      </c>
      <c r="C38" s="83">
        <v>15</v>
      </c>
      <c r="D38" s="81">
        <v>1222.92</v>
      </c>
      <c r="E38" s="81">
        <v>100</v>
      </c>
      <c r="F38" s="84">
        <v>126.66591999999991</v>
      </c>
      <c r="G38" s="83">
        <v>20.759999999999998</v>
      </c>
      <c r="H38" s="83">
        <v>1249.58592</v>
      </c>
      <c r="I38" s="81"/>
      <c r="J38" s="81">
        <v>1249.58592</v>
      </c>
    </row>
    <row r="39" spans="1:10" ht="18" x14ac:dyDescent="0.35">
      <c r="A39" s="80"/>
      <c r="B39" s="80" t="s">
        <v>1045</v>
      </c>
      <c r="C39" s="83">
        <v>14.5</v>
      </c>
      <c r="D39" s="81">
        <v>1021.5975</v>
      </c>
      <c r="E39" s="81">
        <v>100</v>
      </c>
      <c r="F39" s="84">
        <v>286.33555600000011</v>
      </c>
      <c r="G39" s="83">
        <v>20.067999999999998</v>
      </c>
      <c r="H39" s="83">
        <v>1207.9330560000001</v>
      </c>
      <c r="I39" s="81"/>
      <c r="J39" s="81">
        <v>1207.9330560000001</v>
      </c>
    </row>
    <row r="40" spans="1:10" ht="18" x14ac:dyDescent="0.35">
      <c r="A40" s="80"/>
      <c r="B40" s="80" t="s">
        <v>1633</v>
      </c>
      <c r="C40" s="83">
        <v>20.2</v>
      </c>
      <c r="D40" s="81">
        <v>1526.8695200000002</v>
      </c>
      <c r="E40" s="81">
        <v>100</v>
      </c>
      <c r="F40" s="84">
        <v>255.90618559999962</v>
      </c>
      <c r="G40" s="83">
        <v>27.956799999999998</v>
      </c>
      <c r="H40" s="83">
        <v>1682.7757055999998</v>
      </c>
      <c r="I40" s="81"/>
      <c r="J40" s="81">
        <v>1682.7757055999998</v>
      </c>
    </row>
    <row r="41" spans="1:10" ht="18" x14ac:dyDescent="0.35">
      <c r="A41" s="80"/>
      <c r="B41" s="80" t="s">
        <v>614</v>
      </c>
      <c r="C41" s="83">
        <v>22</v>
      </c>
      <c r="D41" s="81">
        <v>1793.6160000000002</v>
      </c>
      <c r="E41" s="81">
        <v>100</v>
      </c>
      <c r="F41" s="84">
        <v>139.11001599999963</v>
      </c>
      <c r="G41" s="83">
        <v>30.447999999999997</v>
      </c>
      <c r="H41" s="83">
        <v>1832.7260159999998</v>
      </c>
      <c r="I41" s="81"/>
      <c r="J41" s="81">
        <v>1832.7260159999998</v>
      </c>
    </row>
    <row r="42" spans="1:10" ht="18" x14ac:dyDescent="0.35">
      <c r="A42" s="80"/>
      <c r="B42" s="80" t="s">
        <v>631</v>
      </c>
      <c r="C42" s="83">
        <v>31.7</v>
      </c>
      <c r="D42" s="81">
        <v>2453.58</v>
      </c>
      <c r="E42" s="81">
        <v>100</v>
      </c>
      <c r="F42" s="84">
        <v>287.21157760000051</v>
      </c>
      <c r="G42" s="83">
        <v>43.872799999999998</v>
      </c>
      <c r="H42" s="83">
        <v>2640.7915776000004</v>
      </c>
      <c r="I42" s="81"/>
      <c r="J42" s="81">
        <v>2640.7915776000004</v>
      </c>
    </row>
    <row r="43" spans="1:10" ht="18" x14ac:dyDescent="0.35">
      <c r="A43" s="80"/>
      <c r="B43" s="80" t="s">
        <v>642</v>
      </c>
      <c r="C43" s="83">
        <v>40.5</v>
      </c>
      <c r="D43" s="81">
        <v>3134.7</v>
      </c>
      <c r="E43" s="81">
        <v>100</v>
      </c>
      <c r="F43" s="84">
        <v>339.18198399999983</v>
      </c>
      <c r="G43" s="83">
        <v>56.051999999999992</v>
      </c>
      <c r="H43" s="83">
        <v>3373.8819839999996</v>
      </c>
      <c r="I43" s="81"/>
      <c r="J43" s="81">
        <v>3373.8819839999996</v>
      </c>
    </row>
    <row r="44" spans="1:10" ht="18" x14ac:dyDescent="0.35">
      <c r="A44" s="80"/>
      <c r="B44" s="80" t="s">
        <v>644</v>
      </c>
      <c r="C44" s="83">
        <v>23.5</v>
      </c>
      <c r="D44" s="81">
        <v>1818.9</v>
      </c>
      <c r="E44" s="81">
        <v>100</v>
      </c>
      <c r="F44" s="84">
        <v>238.78460799999948</v>
      </c>
      <c r="G44" s="83">
        <v>32.524000000000001</v>
      </c>
      <c r="H44" s="83">
        <v>1957.6846079999998</v>
      </c>
      <c r="I44" s="81"/>
      <c r="J44" s="81">
        <v>1957.6846079999998</v>
      </c>
    </row>
    <row r="45" spans="1:10" ht="18" x14ac:dyDescent="0.35">
      <c r="A45" s="80"/>
      <c r="B45" s="80" t="s">
        <v>641</v>
      </c>
      <c r="C45" s="83">
        <v>36</v>
      </c>
      <c r="D45" s="81">
        <v>2786.4</v>
      </c>
      <c r="E45" s="81">
        <v>100</v>
      </c>
      <c r="F45" s="84">
        <v>312.60620800000015</v>
      </c>
      <c r="G45" s="83">
        <v>49.823999999999998</v>
      </c>
      <c r="H45" s="83">
        <v>2999.0062080000002</v>
      </c>
      <c r="I45" s="81"/>
      <c r="J45" s="81">
        <v>2999.0062080000002</v>
      </c>
    </row>
    <row r="46" spans="1:10" ht="18" x14ac:dyDescent="0.35">
      <c r="A46" s="80"/>
      <c r="B46" s="80" t="s">
        <v>1312</v>
      </c>
      <c r="C46" s="83">
        <v>30.65</v>
      </c>
      <c r="D46" s="81">
        <v>2329.9823499999998</v>
      </c>
      <c r="E46" s="81"/>
      <c r="F46" s="84">
        <v>223.33821320000061</v>
      </c>
      <c r="G46" s="83">
        <v>42.419599999999996</v>
      </c>
      <c r="H46" s="83">
        <v>2553.3205632000004</v>
      </c>
      <c r="I46" s="81"/>
      <c r="J46" s="81">
        <v>2553.3205632000004</v>
      </c>
    </row>
    <row r="47" spans="1:10" ht="18" x14ac:dyDescent="0.35">
      <c r="A47" s="80"/>
      <c r="B47" s="80" t="s">
        <v>289</v>
      </c>
      <c r="C47" s="83">
        <v>30.94</v>
      </c>
      <c r="D47" s="81">
        <v>1789.8790000000001</v>
      </c>
      <c r="E47" s="81"/>
      <c r="F47" s="84">
        <v>787.60022431999937</v>
      </c>
      <c r="G47" s="83">
        <v>42.820959999999999</v>
      </c>
      <c r="H47" s="83">
        <v>2577.4792243199995</v>
      </c>
      <c r="I47" s="81"/>
      <c r="J47" s="81">
        <v>2577.4792243199995</v>
      </c>
    </row>
    <row r="48" spans="1:10" ht="18" x14ac:dyDescent="0.35">
      <c r="A48" s="80"/>
      <c r="B48" s="80" t="s">
        <v>1313</v>
      </c>
      <c r="C48" s="83">
        <v>30.8</v>
      </c>
      <c r="D48" s="81">
        <v>2341.3851999999997</v>
      </c>
      <c r="E48" s="81"/>
      <c r="F48" s="84">
        <v>224.43122240000002</v>
      </c>
      <c r="G48" s="83">
        <v>42.627199999999995</v>
      </c>
      <c r="H48" s="83">
        <v>2565.8164223999997</v>
      </c>
      <c r="I48" s="81"/>
      <c r="J48" s="81">
        <v>2565.8164223999997</v>
      </c>
    </row>
    <row r="49" spans="1:10" ht="18" x14ac:dyDescent="0.35">
      <c r="A49" s="80"/>
      <c r="B49" s="80" t="s">
        <v>174</v>
      </c>
      <c r="C49" s="83">
        <v>91.13</v>
      </c>
      <c r="D49" s="81">
        <v>6267.3290550000002</v>
      </c>
      <c r="E49" s="81">
        <v>8500</v>
      </c>
      <c r="F49" s="84">
        <v>2232.6709449999998</v>
      </c>
      <c r="G49" s="83"/>
      <c r="H49" s="83">
        <v>0</v>
      </c>
      <c r="I49" s="81"/>
      <c r="J49" s="81">
        <v>0</v>
      </c>
    </row>
    <row r="50" spans="1:10" ht="18" x14ac:dyDescent="0.35">
      <c r="A50" s="82" t="s">
        <v>1735</v>
      </c>
      <c r="B50" s="80"/>
      <c r="C50" s="83">
        <v>417.71999999999997</v>
      </c>
      <c r="D50" s="81">
        <v>30939.478624999996</v>
      </c>
      <c r="E50" s="81">
        <v>9500</v>
      </c>
      <c r="F50" s="84">
        <v>5767.3390825199986</v>
      </c>
      <c r="G50" s="83">
        <v>452.00056000000006</v>
      </c>
      <c r="H50" s="83">
        <v>27206.817707519996</v>
      </c>
      <c r="I50" s="81"/>
      <c r="J50" s="81">
        <v>27206.817707519996</v>
      </c>
    </row>
    <row r="51" spans="1:10" ht="18" x14ac:dyDescent="0.35">
      <c r="A51" s="82">
        <v>45748</v>
      </c>
      <c r="B51" s="80" t="s">
        <v>1183</v>
      </c>
      <c r="C51" s="83">
        <v>5.5</v>
      </c>
      <c r="D51" s="81">
        <v>405.9</v>
      </c>
      <c r="E51" s="81"/>
      <c r="F51" s="84">
        <v>0</v>
      </c>
      <c r="G51" s="83"/>
      <c r="H51" s="83"/>
      <c r="I51" s="81"/>
      <c r="J51" s="81"/>
    </row>
    <row r="52" spans="1:10" ht="18" x14ac:dyDescent="0.35">
      <c r="A52" s="80"/>
      <c r="B52" s="80" t="s">
        <v>1728</v>
      </c>
      <c r="C52" s="83">
        <v>57</v>
      </c>
      <c r="D52" s="81">
        <v>4430</v>
      </c>
      <c r="E52" s="81">
        <v>7100</v>
      </c>
      <c r="F52" s="84">
        <v>1695.0439999999994</v>
      </c>
      <c r="G52" s="83">
        <v>57</v>
      </c>
      <c r="H52" s="83">
        <v>3430.944</v>
      </c>
      <c r="I52" s="81">
        <v>4000</v>
      </c>
      <c r="J52" s="81">
        <v>-569.05600000000004</v>
      </c>
    </row>
    <row r="53" spans="1:10" ht="18" x14ac:dyDescent="0.35">
      <c r="A53" s="80"/>
      <c r="B53" s="80" t="s">
        <v>1729</v>
      </c>
      <c r="C53" s="83">
        <v>6.31</v>
      </c>
      <c r="D53" s="81">
        <v>469.46399999999994</v>
      </c>
      <c r="E53" s="81">
        <v>800</v>
      </c>
      <c r="F53" s="84">
        <v>330.53600000000006</v>
      </c>
      <c r="G53" s="83"/>
      <c r="H53" s="83">
        <v>0</v>
      </c>
      <c r="I53" s="81"/>
      <c r="J53" s="81">
        <v>0</v>
      </c>
    </row>
    <row r="54" spans="1:10" ht="18" x14ac:dyDescent="0.35">
      <c r="A54" s="80"/>
      <c r="B54" s="80" t="s">
        <v>578</v>
      </c>
      <c r="C54" s="83">
        <v>12.05</v>
      </c>
      <c r="D54" s="81">
        <v>1142.4906249999999</v>
      </c>
      <c r="E54" s="81">
        <v>2600</v>
      </c>
      <c r="F54" s="84">
        <v>1447.6677750000003</v>
      </c>
      <c r="G54" s="83">
        <v>16.45</v>
      </c>
      <c r="H54" s="83">
        <v>990.15840000000003</v>
      </c>
      <c r="I54" s="81">
        <v>1000</v>
      </c>
      <c r="J54" s="81">
        <v>-9.8415999999999713</v>
      </c>
    </row>
    <row r="55" spans="1:10" ht="18" x14ac:dyDescent="0.35">
      <c r="A55" s="80"/>
      <c r="B55" s="80" t="s">
        <v>1771</v>
      </c>
      <c r="C55" s="83">
        <v>1.7</v>
      </c>
      <c r="D55" s="81">
        <v>10300</v>
      </c>
      <c r="E55" s="81">
        <v>12000</v>
      </c>
      <c r="F55" s="84">
        <v>1700</v>
      </c>
      <c r="G55" s="83"/>
      <c r="H55" s="83"/>
      <c r="I55" s="81"/>
      <c r="J55" s="81"/>
    </row>
    <row r="56" spans="1:10" ht="18" x14ac:dyDescent="0.35">
      <c r="A56" s="82" t="s">
        <v>1736</v>
      </c>
      <c r="B56" s="80"/>
      <c r="C56" s="83">
        <v>82.56</v>
      </c>
      <c r="D56" s="81">
        <v>16747.854625</v>
      </c>
      <c r="E56" s="81">
        <v>22500</v>
      </c>
      <c r="F56" s="84">
        <v>5173.2477749999998</v>
      </c>
      <c r="G56" s="83">
        <v>73.45</v>
      </c>
      <c r="H56" s="83">
        <v>4421.1023999999998</v>
      </c>
      <c r="I56" s="81">
        <v>5000</v>
      </c>
      <c r="J56" s="81">
        <v>-578.89760000000001</v>
      </c>
    </row>
    <row r="57" spans="1:10" ht="18" x14ac:dyDescent="0.35">
      <c r="A57" s="82">
        <v>45749</v>
      </c>
      <c r="B57" s="80" t="s">
        <v>898</v>
      </c>
      <c r="C57" s="83">
        <v>88.5</v>
      </c>
      <c r="D57" s="81">
        <v>5947.452225</v>
      </c>
      <c r="E57" s="81">
        <v>250</v>
      </c>
      <c r="F57" s="84">
        <v>1790.4325749999998</v>
      </c>
      <c r="G57" s="83">
        <v>124.4</v>
      </c>
      <c r="H57" s="83">
        <v>7487.8847999999998</v>
      </c>
      <c r="I57" s="81"/>
      <c r="J57" s="81">
        <v>7487.8847999999998</v>
      </c>
    </row>
    <row r="58" spans="1:10" ht="18" x14ac:dyDescent="0.35">
      <c r="A58" s="80"/>
      <c r="B58" s="80" t="s">
        <v>1493</v>
      </c>
      <c r="C58" s="83">
        <v>97.3</v>
      </c>
      <c r="D58" s="81">
        <v>7002.9728999999988</v>
      </c>
      <c r="E58" s="81">
        <v>250</v>
      </c>
      <c r="F58" s="84">
        <v>1478.2831000000006</v>
      </c>
      <c r="G58" s="83">
        <v>136.75</v>
      </c>
      <c r="H58" s="83">
        <v>8231.2559999999994</v>
      </c>
      <c r="I58" s="81"/>
      <c r="J58" s="81">
        <v>8231.2559999999994</v>
      </c>
    </row>
    <row r="59" spans="1:10" ht="18" x14ac:dyDescent="0.35">
      <c r="A59" s="82" t="s">
        <v>1737</v>
      </c>
      <c r="B59" s="80"/>
      <c r="C59" s="83">
        <v>185.8</v>
      </c>
      <c r="D59" s="81">
        <v>12950.425124999998</v>
      </c>
      <c r="E59" s="81">
        <v>500</v>
      </c>
      <c r="F59" s="84">
        <v>3268.7156750000004</v>
      </c>
      <c r="G59" s="83">
        <v>261.14999999999998</v>
      </c>
      <c r="H59" s="83">
        <v>15719.140799999999</v>
      </c>
      <c r="I59" s="81"/>
      <c r="J59" s="81">
        <v>15719.140799999999</v>
      </c>
    </row>
    <row r="60" spans="1:10" ht="18" x14ac:dyDescent="0.35">
      <c r="A60" s="82">
        <v>45750</v>
      </c>
      <c r="B60" s="80" t="s">
        <v>519</v>
      </c>
      <c r="C60" s="83">
        <v>1.1200000000000001</v>
      </c>
      <c r="D60" s="81">
        <v>147.44800000000001</v>
      </c>
      <c r="E60" s="81">
        <v>300</v>
      </c>
      <c r="F60" s="84">
        <v>152.55199999999999</v>
      </c>
      <c r="G60" s="83"/>
      <c r="H60" s="83">
        <v>0</v>
      </c>
      <c r="I60" s="81"/>
      <c r="J60" s="81">
        <v>0</v>
      </c>
    </row>
    <row r="61" spans="1:10" ht="18" x14ac:dyDescent="0.35">
      <c r="A61" s="82" t="s">
        <v>1752</v>
      </c>
      <c r="B61" s="80"/>
      <c r="C61" s="83">
        <v>1.1200000000000001</v>
      </c>
      <c r="D61" s="81">
        <v>147.44800000000001</v>
      </c>
      <c r="E61" s="81">
        <v>300</v>
      </c>
      <c r="F61" s="84">
        <v>152.55199999999999</v>
      </c>
      <c r="G61" s="83"/>
      <c r="H61" s="83">
        <v>0</v>
      </c>
      <c r="I61" s="81"/>
      <c r="J61" s="81">
        <v>0</v>
      </c>
    </row>
    <row r="62" spans="1:10" ht="18" x14ac:dyDescent="0.35">
      <c r="A62" s="82">
        <v>45752</v>
      </c>
      <c r="B62" s="80" t="s">
        <v>189</v>
      </c>
      <c r="C62" s="83">
        <v>130.13</v>
      </c>
      <c r="D62" s="81">
        <v>8949.4955549999995</v>
      </c>
      <c r="E62" s="81">
        <v>12000</v>
      </c>
      <c r="F62" s="84">
        <v>2252.477245</v>
      </c>
      <c r="G62" s="83">
        <v>119.65</v>
      </c>
      <c r="H62" s="83">
        <v>7201.9728000000005</v>
      </c>
      <c r="I62" s="81">
        <v>8000</v>
      </c>
      <c r="J62" s="81">
        <v>-798.02719999999954</v>
      </c>
    </row>
    <row r="63" spans="1:10" ht="18" x14ac:dyDescent="0.35">
      <c r="A63" s="80"/>
      <c r="B63" s="80" t="s">
        <v>1740</v>
      </c>
      <c r="C63" s="83">
        <v>5.85</v>
      </c>
      <c r="D63" s="81">
        <v>435.23999999999995</v>
      </c>
      <c r="E63" s="81">
        <v>700</v>
      </c>
      <c r="F63" s="84">
        <v>264.76000000000005</v>
      </c>
      <c r="G63" s="83"/>
      <c r="H63" s="83">
        <v>0</v>
      </c>
      <c r="I63" s="81"/>
      <c r="J63" s="81">
        <v>0</v>
      </c>
    </row>
    <row r="64" spans="1:10" ht="18" x14ac:dyDescent="0.35">
      <c r="A64" s="80"/>
      <c r="B64" s="80" t="s">
        <v>1744</v>
      </c>
      <c r="C64" s="83">
        <v>13.5</v>
      </c>
      <c r="D64" s="81">
        <v>1034.6400000000001</v>
      </c>
      <c r="E64" s="81">
        <v>1750</v>
      </c>
      <c r="F64" s="84">
        <v>699.7023999999999</v>
      </c>
      <c r="G64" s="83">
        <v>12.2</v>
      </c>
      <c r="H64" s="83">
        <v>734.3424</v>
      </c>
      <c r="I64" s="81">
        <v>750</v>
      </c>
      <c r="J64" s="81">
        <v>-15.657600000000002</v>
      </c>
    </row>
    <row r="65" spans="1:10" ht="18" x14ac:dyDescent="0.35">
      <c r="A65" s="80"/>
      <c r="B65" s="80" t="s">
        <v>1304</v>
      </c>
      <c r="C65" s="83">
        <v>94.3</v>
      </c>
      <c r="D65" s="81">
        <v>7168.5916999999999</v>
      </c>
      <c r="E65" s="81">
        <v>10000</v>
      </c>
      <c r="F65" s="84">
        <v>2831.4083000000001</v>
      </c>
      <c r="G65" s="83">
        <v>136.4</v>
      </c>
      <c r="H65" s="83">
        <v>8210.1887999999999</v>
      </c>
      <c r="I65" s="81">
        <v>9600</v>
      </c>
      <c r="J65" s="81">
        <v>-1389.8112000000001</v>
      </c>
    </row>
    <row r="66" spans="1:10" ht="18" x14ac:dyDescent="0.35">
      <c r="A66" s="80"/>
      <c r="B66" s="80" t="s">
        <v>1546</v>
      </c>
      <c r="C66" s="83">
        <v>7.75</v>
      </c>
      <c r="D66" s="81">
        <v>562.53375000000005</v>
      </c>
      <c r="E66" s="81">
        <v>1400</v>
      </c>
      <c r="F66" s="84">
        <v>837.46624999999995</v>
      </c>
      <c r="G66" s="83"/>
      <c r="H66" s="83">
        <v>0</v>
      </c>
      <c r="I66" s="81"/>
      <c r="J66" s="81">
        <v>0</v>
      </c>
    </row>
    <row r="67" spans="1:10" ht="18" x14ac:dyDescent="0.35">
      <c r="A67" s="80"/>
      <c r="B67" s="80" t="s">
        <v>1249</v>
      </c>
      <c r="C67" s="83">
        <v>1.48</v>
      </c>
      <c r="D67" s="81">
        <v>207.2</v>
      </c>
      <c r="E67" s="81">
        <v>400</v>
      </c>
      <c r="F67" s="84">
        <v>192.8</v>
      </c>
      <c r="G67" s="83"/>
      <c r="H67" s="83">
        <v>0</v>
      </c>
      <c r="I67" s="81"/>
      <c r="J67" s="81">
        <v>0</v>
      </c>
    </row>
    <row r="68" spans="1:10" ht="18" x14ac:dyDescent="0.35">
      <c r="A68" s="82" t="s">
        <v>1753</v>
      </c>
      <c r="B68" s="80"/>
      <c r="C68" s="83">
        <v>253.00999999999996</v>
      </c>
      <c r="D68" s="81">
        <v>18357.701004999999</v>
      </c>
      <c r="E68" s="81">
        <v>26250</v>
      </c>
      <c r="F68" s="84">
        <v>7078.614195000001</v>
      </c>
      <c r="G68" s="83">
        <v>268.25</v>
      </c>
      <c r="H68" s="83">
        <v>16146.504000000001</v>
      </c>
      <c r="I68" s="81">
        <v>18350</v>
      </c>
      <c r="J68" s="81">
        <v>-2203.4959999999996</v>
      </c>
    </row>
    <row r="69" spans="1:10" ht="18" x14ac:dyDescent="0.35">
      <c r="A69" s="82">
        <v>45756</v>
      </c>
      <c r="B69" s="80" t="s">
        <v>196</v>
      </c>
      <c r="C69" s="83">
        <v>140.76</v>
      </c>
      <c r="D69" s="81">
        <v>9680.5578600000008</v>
      </c>
      <c r="E69" s="81">
        <v>15700</v>
      </c>
      <c r="F69" s="84">
        <v>6019.4421399999992</v>
      </c>
      <c r="G69" s="83"/>
      <c r="H69" s="83">
        <v>0</v>
      </c>
      <c r="I69" s="81"/>
      <c r="J69" s="81">
        <v>0</v>
      </c>
    </row>
    <row r="70" spans="1:10" ht="18" x14ac:dyDescent="0.35">
      <c r="A70" s="80"/>
      <c r="B70" s="80" t="s">
        <v>1749</v>
      </c>
      <c r="C70" s="83">
        <v>2.1</v>
      </c>
      <c r="D70" s="81">
        <v>17350</v>
      </c>
      <c r="E70" s="81">
        <v>18500</v>
      </c>
      <c r="F70" s="84">
        <v>1150</v>
      </c>
      <c r="G70" s="83"/>
      <c r="H70" s="83">
        <v>0</v>
      </c>
      <c r="I70" s="81"/>
      <c r="J70" s="81">
        <v>0</v>
      </c>
    </row>
    <row r="71" spans="1:10" ht="18" x14ac:dyDescent="0.35">
      <c r="A71" s="80"/>
      <c r="B71" s="80" t="s">
        <v>1750</v>
      </c>
      <c r="C71" s="83">
        <v>2</v>
      </c>
      <c r="D71" s="81">
        <v>18500</v>
      </c>
      <c r="E71" s="81">
        <v>19400</v>
      </c>
      <c r="F71" s="84">
        <v>900</v>
      </c>
      <c r="G71" s="83"/>
      <c r="H71" s="83">
        <v>0</v>
      </c>
      <c r="I71" s="81"/>
      <c r="J71" s="81">
        <v>0</v>
      </c>
    </row>
    <row r="72" spans="1:10" ht="18" x14ac:dyDescent="0.35">
      <c r="A72" s="82" t="s">
        <v>1754</v>
      </c>
      <c r="B72" s="80"/>
      <c r="C72" s="83">
        <v>144.85999999999999</v>
      </c>
      <c r="D72" s="81">
        <v>45530.557860000001</v>
      </c>
      <c r="E72" s="81">
        <v>53600</v>
      </c>
      <c r="F72" s="84">
        <v>8069.4421399999992</v>
      </c>
      <c r="G72" s="83"/>
      <c r="H72" s="83">
        <v>0</v>
      </c>
      <c r="I72" s="81"/>
      <c r="J72" s="81">
        <v>0</v>
      </c>
    </row>
    <row r="73" spans="1:10" ht="18" x14ac:dyDescent="0.35">
      <c r="A73" s="82">
        <v>45757</v>
      </c>
      <c r="B73" s="80" t="s">
        <v>559</v>
      </c>
      <c r="C73" s="83">
        <v>4.32</v>
      </c>
      <c r="D73" s="81">
        <v>542.4624</v>
      </c>
      <c r="E73" s="81">
        <v>950</v>
      </c>
      <c r="F73" s="84">
        <v>407.5376</v>
      </c>
      <c r="G73" s="83"/>
      <c r="H73" s="83">
        <v>0</v>
      </c>
      <c r="I73" s="81"/>
      <c r="J73" s="81">
        <v>0</v>
      </c>
    </row>
    <row r="74" spans="1:10" ht="18" x14ac:dyDescent="0.35">
      <c r="A74" s="82" t="s">
        <v>1755</v>
      </c>
      <c r="B74" s="80"/>
      <c r="C74" s="83">
        <v>4.32</v>
      </c>
      <c r="D74" s="81">
        <v>542.4624</v>
      </c>
      <c r="E74" s="81">
        <v>950</v>
      </c>
      <c r="F74" s="84">
        <v>407.5376</v>
      </c>
      <c r="G74" s="83"/>
      <c r="H74" s="83">
        <v>0</v>
      </c>
      <c r="I74" s="81"/>
      <c r="J74" s="81">
        <v>0</v>
      </c>
    </row>
    <row r="75" spans="1:10" ht="18" x14ac:dyDescent="0.35">
      <c r="A75" s="82">
        <v>45758</v>
      </c>
      <c r="B75" s="80" t="s">
        <v>634</v>
      </c>
      <c r="C75" s="83">
        <v>41.61</v>
      </c>
      <c r="D75" s="81">
        <v>3220.6139999999996</v>
      </c>
      <c r="E75" s="81">
        <v>4850</v>
      </c>
      <c r="F75" s="84">
        <v>1019.8387999999995</v>
      </c>
      <c r="G75" s="83">
        <v>59.65</v>
      </c>
      <c r="H75" s="83">
        <v>3590.4527999999996</v>
      </c>
      <c r="I75" s="81">
        <v>4200</v>
      </c>
      <c r="J75" s="81">
        <v>-609.54720000000043</v>
      </c>
    </row>
    <row r="76" spans="1:10" ht="18" x14ac:dyDescent="0.35">
      <c r="A76" s="82" t="s">
        <v>1756</v>
      </c>
      <c r="B76" s="80"/>
      <c r="C76" s="83">
        <v>41.61</v>
      </c>
      <c r="D76" s="81">
        <v>3220.6139999999996</v>
      </c>
      <c r="E76" s="81">
        <v>4850</v>
      </c>
      <c r="F76" s="84">
        <v>1019.8387999999995</v>
      </c>
      <c r="G76" s="83">
        <v>59.65</v>
      </c>
      <c r="H76" s="83">
        <v>3590.4527999999996</v>
      </c>
      <c r="I76" s="81">
        <v>4200</v>
      </c>
      <c r="J76" s="81">
        <v>-609.54720000000043</v>
      </c>
    </row>
    <row r="77" spans="1:10" ht="18" x14ac:dyDescent="0.35">
      <c r="A77" s="82">
        <v>45759</v>
      </c>
      <c r="B77" s="80" t="s">
        <v>86</v>
      </c>
      <c r="C77" s="83">
        <v>1.04</v>
      </c>
      <c r="D77" s="81">
        <v>6305.81952</v>
      </c>
      <c r="E77" s="81">
        <v>9370</v>
      </c>
      <c r="F77" s="84">
        <v>3064.18048</v>
      </c>
      <c r="G77" s="83"/>
      <c r="H77" s="83">
        <v>0</v>
      </c>
      <c r="I77" s="81"/>
      <c r="J77" s="81">
        <v>0</v>
      </c>
    </row>
    <row r="78" spans="1:10" ht="18" x14ac:dyDescent="0.35">
      <c r="A78" s="80"/>
      <c r="B78" s="80" t="s">
        <v>1340</v>
      </c>
      <c r="C78" s="83">
        <v>1.06</v>
      </c>
      <c r="D78" s="81">
        <v>6568.2900000000009</v>
      </c>
      <c r="E78" s="81">
        <v>9430</v>
      </c>
      <c r="F78" s="84">
        <v>2861.7099999999991</v>
      </c>
      <c r="G78" s="83"/>
      <c r="H78" s="83">
        <v>0</v>
      </c>
      <c r="I78" s="81"/>
      <c r="J78" s="81">
        <v>0</v>
      </c>
    </row>
    <row r="79" spans="1:10" ht="18" x14ac:dyDescent="0.35">
      <c r="A79" s="80"/>
      <c r="B79" s="80" t="s">
        <v>1180</v>
      </c>
      <c r="C79" s="83">
        <v>190</v>
      </c>
      <c r="D79" s="81">
        <v>12968.640000000001</v>
      </c>
      <c r="E79" s="81">
        <v>21450</v>
      </c>
      <c r="F79" s="84">
        <v>6727.6639999999989</v>
      </c>
      <c r="G79" s="83">
        <v>137</v>
      </c>
      <c r="H79" s="83">
        <v>8246.3040000000001</v>
      </c>
      <c r="I79" s="81">
        <v>10000</v>
      </c>
      <c r="J79" s="81">
        <v>-1753.6959999999999</v>
      </c>
    </row>
    <row r="80" spans="1:10" ht="18" x14ac:dyDescent="0.35">
      <c r="A80" s="80"/>
      <c r="B80" s="80" t="s">
        <v>45</v>
      </c>
      <c r="C80" s="83">
        <v>3.03</v>
      </c>
      <c r="D80" s="81">
        <v>21215.011619999997</v>
      </c>
      <c r="E80" s="81">
        <v>30000</v>
      </c>
      <c r="F80" s="84">
        <v>8784.9883800000025</v>
      </c>
      <c r="G80" s="83">
        <v>3.2</v>
      </c>
      <c r="H80" s="83">
        <v>19000</v>
      </c>
      <c r="I80" s="81">
        <v>19000</v>
      </c>
      <c r="J80" s="81">
        <v>0</v>
      </c>
    </row>
    <row r="81" spans="1:10" ht="18" x14ac:dyDescent="0.35">
      <c r="A81" s="82" t="s">
        <v>1764</v>
      </c>
      <c r="B81" s="80"/>
      <c r="C81" s="83">
        <v>195.13</v>
      </c>
      <c r="D81" s="81">
        <v>47057.761140000002</v>
      </c>
      <c r="E81" s="81">
        <v>70250</v>
      </c>
      <c r="F81" s="84">
        <v>21438.542860000001</v>
      </c>
      <c r="G81" s="83">
        <v>140.19999999999999</v>
      </c>
      <c r="H81" s="83">
        <v>27246.304</v>
      </c>
      <c r="I81" s="81">
        <v>29000</v>
      </c>
      <c r="J81" s="81">
        <v>-1753.6959999999999</v>
      </c>
    </row>
    <row r="82" spans="1:10" ht="18" x14ac:dyDescent="0.35">
      <c r="A82" s="82">
        <v>45760</v>
      </c>
      <c r="B82" s="80" t="s">
        <v>1634</v>
      </c>
      <c r="C82" s="83">
        <v>23.4</v>
      </c>
      <c r="D82" s="81">
        <v>1768.7498399999999</v>
      </c>
      <c r="E82" s="81">
        <v>2400</v>
      </c>
      <c r="F82" s="84">
        <v>519.35896000000002</v>
      </c>
      <c r="G82" s="83">
        <v>21.4</v>
      </c>
      <c r="H82" s="83">
        <v>1288.1088000000002</v>
      </c>
      <c r="I82" s="81">
        <v>1400</v>
      </c>
      <c r="J82" s="81">
        <v>-111.8911999999998</v>
      </c>
    </row>
    <row r="83" spans="1:10" ht="18" x14ac:dyDescent="0.35">
      <c r="A83" s="82" t="s">
        <v>1765</v>
      </c>
      <c r="B83" s="80"/>
      <c r="C83" s="83">
        <v>23.4</v>
      </c>
      <c r="D83" s="81">
        <v>1768.7498399999999</v>
      </c>
      <c r="E83" s="81">
        <v>2400</v>
      </c>
      <c r="F83" s="84">
        <v>519.35896000000002</v>
      </c>
      <c r="G83" s="83">
        <v>21.4</v>
      </c>
      <c r="H83" s="83">
        <v>1288.1088000000002</v>
      </c>
      <c r="I83" s="81">
        <v>1400</v>
      </c>
      <c r="J83" s="81">
        <v>-111.8911999999998</v>
      </c>
    </row>
    <row r="84" spans="1:10" ht="18" x14ac:dyDescent="0.35">
      <c r="A84" s="82">
        <v>45761</v>
      </c>
      <c r="B84" s="80" t="s">
        <v>391</v>
      </c>
      <c r="C84" s="83">
        <v>5</v>
      </c>
      <c r="D84" s="81">
        <v>635</v>
      </c>
      <c r="E84" s="81">
        <v>1260</v>
      </c>
      <c r="F84" s="84">
        <v>653.63359999999989</v>
      </c>
      <c r="G84" s="83">
        <v>3.3</v>
      </c>
      <c r="H84" s="83">
        <v>198.63359999999997</v>
      </c>
      <c r="I84" s="81">
        <v>170</v>
      </c>
      <c r="J84" s="81">
        <v>28.633599999999973</v>
      </c>
    </row>
    <row r="85" spans="1:10" ht="18" x14ac:dyDescent="0.35">
      <c r="A85" s="80"/>
      <c r="B85" s="80" t="s">
        <v>483</v>
      </c>
      <c r="C85" s="83">
        <v>4.0999999999999996</v>
      </c>
      <c r="D85" s="81">
        <v>539.76499999999999</v>
      </c>
      <c r="E85" s="81">
        <v>1010</v>
      </c>
      <c r="F85" s="84">
        <v>470.23500000000001</v>
      </c>
      <c r="G85" s="83"/>
      <c r="H85" s="83">
        <v>0</v>
      </c>
      <c r="I85" s="81"/>
      <c r="J85" s="81">
        <v>0</v>
      </c>
    </row>
    <row r="86" spans="1:10" ht="18" x14ac:dyDescent="0.35">
      <c r="A86" s="80"/>
      <c r="B86" s="80" t="s">
        <v>169</v>
      </c>
      <c r="C86" s="83">
        <v>73.64</v>
      </c>
      <c r="D86" s="81">
        <v>5064.4805400000005</v>
      </c>
      <c r="E86" s="81">
        <v>8000</v>
      </c>
      <c r="F86" s="84">
        <v>2935.5194599999995</v>
      </c>
      <c r="G86" s="83"/>
      <c r="H86" s="83"/>
      <c r="I86" s="81"/>
      <c r="J86" s="81"/>
    </row>
    <row r="87" spans="1:10" ht="18" x14ac:dyDescent="0.35">
      <c r="A87" s="80"/>
      <c r="B87" s="80" t="s">
        <v>1075</v>
      </c>
      <c r="C87" s="83">
        <v>0.99</v>
      </c>
      <c r="D87" s="81">
        <v>6170.4719999999998</v>
      </c>
      <c r="E87" s="81">
        <v>9000</v>
      </c>
      <c r="F87" s="84">
        <v>2829.5280000000002</v>
      </c>
      <c r="G87" s="83"/>
      <c r="H87" s="83"/>
      <c r="I87" s="81"/>
      <c r="J87" s="81"/>
    </row>
    <row r="88" spans="1:10" ht="18" x14ac:dyDescent="0.35">
      <c r="A88" s="80"/>
      <c r="B88" s="80" t="s">
        <v>300</v>
      </c>
      <c r="C88" s="83">
        <v>35</v>
      </c>
      <c r="D88" s="81">
        <v>2640.4</v>
      </c>
      <c r="E88" s="81">
        <v>4000</v>
      </c>
      <c r="F88" s="84">
        <v>1359.6</v>
      </c>
      <c r="G88" s="83"/>
      <c r="H88" s="83"/>
      <c r="I88" s="81"/>
      <c r="J88" s="81"/>
    </row>
    <row r="89" spans="1:10" ht="18" x14ac:dyDescent="0.35">
      <c r="A89" s="80"/>
      <c r="B89" s="80" t="s">
        <v>1763</v>
      </c>
      <c r="C89" s="83">
        <v>10.8</v>
      </c>
      <c r="D89" s="81">
        <v>820.80000000000007</v>
      </c>
      <c r="E89" s="81">
        <v>1500</v>
      </c>
      <c r="F89" s="84">
        <v>679.19999999999993</v>
      </c>
      <c r="G89" s="83"/>
      <c r="H89" s="83"/>
      <c r="I89" s="81"/>
      <c r="J89" s="81"/>
    </row>
    <row r="90" spans="1:10" ht="18" x14ac:dyDescent="0.35">
      <c r="A90" s="82" t="s">
        <v>1766</v>
      </c>
      <c r="B90" s="80"/>
      <c r="C90" s="83">
        <v>129.53</v>
      </c>
      <c r="D90" s="81">
        <v>15870.917539999999</v>
      </c>
      <c r="E90" s="81">
        <v>24770</v>
      </c>
      <c r="F90" s="84">
        <v>8927.7160600000007</v>
      </c>
      <c r="G90" s="83">
        <v>3.3</v>
      </c>
      <c r="H90" s="83">
        <v>198.63359999999997</v>
      </c>
      <c r="I90" s="81">
        <v>170</v>
      </c>
      <c r="J90" s="81">
        <v>28.633599999999973</v>
      </c>
    </row>
    <row r="91" spans="1:10" ht="18" x14ac:dyDescent="0.35">
      <c r="A91" s="82">
        <v>45762</v>
      </c>
      <c r="B91" s="80" t="s">
        <v>1767</v>
      </c>
      <c r="C91" s="83">
        <v>16.27</v>
      </c>
      <c r="D91" s="81">
        <v>117000</v>
      </c>
      <c r="E91" s="81">
        <v>123000</v>
      </c>
      <c r="F91" s="84">
        <v>6000</v>
      </c>
      <c r="G91" s="83"/>
      <c r="H91" s="83"/>
      <c r="I91" s="81"/>
      <c r="J91" s="81"/>
    </row>
    <row r="92" spans="1:10" ht="18" x14ac:dyDescent="0.35">
      <c r="A92" s="80"/>
      <c r="B92" s="80" t="s">
        <v>1770</v>
      </c>
      <c r="C92" s="83">
        <v>32.299999999999997</v>
      </c>
      <c r="D92" s="81">
        <v>2475.4719999999998</v>
      </c>
      <c r="E92" s="81">
        <v>2475</v>
      </c>
      <c r="F92" s="84">
        <v>-0.47199999999975262</v>
      </c>
      <c r="G92" s="83"/>
      <c r="H92" s="83"/>
      <c r="I92" s="81"/>
      <c r="J92" s="81"/>
    </row>
    <row r="93" spans="1:10" ht="18" x14ac:dyDescent="0.35">
      <c r="A93" s="82" t="s">
        <v>1768</v>
      </c>
      <c r="B93" s="80"/>
      <c r="C93" s="83">
        <v>48.569999999999993</v>
      </c>
      <c r="D93" s="81">
        <v>119475.47199999999</v>
      </c>
      <c r="E93" s="81">
        <v>125475</v>
      </c>
      <c r="F93" s="84">
        <v>5999.5280000000002</v>
      </c>
      <c r="G93" s="83"/>
      <c r="H93" s="83"/>
      <c r="I93" s="81"/>
      <c r="J93" s="81"/>
    </row>
    <row r="94" spans="1:10" ht="18" x14ac:dyDescent="0.35">
      <c r="A94" s="82" t="s">
        <v>834</v>
      </c>
      <c r="B94" s="80"/>
      <c r="C94" s="83">
        <v>1677.5399999999995</v>
      </c>
      <c r="D94" s="81">
        <v>373756.762728</v>
      </c>
      <c r="E94" s="81">
        <v>427915</v>
      </c>
      <c r="F94" s="84">
        <v>92028.054659520014</v>
      </c>
      <c r="G94" s="83">
        <v>1481.4805600000002</v>
      </c>
      <c r="H94" s="83">
        <v>114000.00618752002</v>
      </c>
      <c r="I94" s="81">
        <v>77520</v>
      </c>
      <c r="J94" s="81">
        <v>36480.006187520004</v>
      </c>
    </row>
    <row r="95" spans="1:10" ht="14.4" x14ac:dyDescent="0.3">
      <c r="D95"/>
      <c r="E95"/>
      <c r="F95"/>
      <c r="G95"/>
      <c r="H95"/>
      <c r="I95"/>
      <c r="J95"/>
    </row>
    <row r="96" spans="1:10" ht="14.4" x14ac:dyDescent="0.3">
      <c r="D96"/>
      <c r="E96"/>
      <c r="F96"/>
      <c r="G96"/>
      <c r="H96"/>
      <c r="I96"/>
      <c r="J96"/>
    </row>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row r="212" customFormat="1" ht="14.4" x14ac:dyDescent="0.3"/>
    <row r="213" customFormat="1" ht="14.4" x14ac:dyDescent="0.3"/>
    <row r="214" customFormat="1" ht="14.4" x14ac:dyDescent="0.3"/>
    <row r="215" customFormat="1" ht="14.4" x14ac:dyDescent="0.3"/>
    <row r="216" customFormat="1" ht="14.4" x14ac:dyDescent="0.3"/>
    <row r="217" customFormat="1" ht="14.4" x14ac:dyDescent="0.3"/>
    <row r="218" customFormat="1" ht="14.4" x14ac:dyDescent="0.3"/>
    <row r="219" customFormat="1" ht="14.4" x14ac:dyDescent="0.3"/>
    <row r="220" customFormat="1" ht="14.4" x14ac:dyDescent="0.3"/>
    <row r="221" customFormat="1" ht="14.4" x14ac:dyDescent="0.3"/>
    <row r="222" customFormat="1" ht="14.4" x14ac:dyDescent="0.3"/>
    <row r="223" customFormat="1" ht="14.4" x14ac:dyDescent="0.3"/>
    <row r="224" customFormat="1" ht="14.4" x14ac:dyDescent="0.3"/>
    <row r="225" customFormat="1" ht="14.4" x14ac:dyDescent="0.3"/>
    <row r="226" customFormat="1" ht="14.4" x14ac:dyDescent="0.3"/>
    <row r="227" customFormat="1" ht="14.4" x14ac:dyDescent="0.3"/>
    <row r="228" customFormat="1" ht="14.4" x14ac:dyDescent="0.3"/>
    <row r="229" customFormat="1" ht="14.4" x14ac:dyDescent="0.3"/>
    <row r="230" customFormat="1" ht="14.4" x14ac:dyDescent="0.3"/>
    <row r="231" customFormat="1" ht="14.4" x14ac:dyDescent="0.3"/>
    <row r="232" customFormat="1" ht="14.4" x14ac:dyDescent="0.3"/>
    <row r="233" customFormat="1" ht="14.4" x14ac:dyDescent="0.3"/>
    <row r="234" customFormat="1" ht="14.4" x14ac:dyDescent="0.3"/>
    <row r="235" customFormat="1" ht="14.4" x14ac:dyDescent="0.3"/>
    <row r="236" customFormat="1" ht="14.4" x14ac:dyDescent="0.3"/>
    <row r="237" customFormat="1" ht="14.4" x14ac:dyDescent="0.3"/>
    <row r="238" customFormat="1" ht="14.4" x14ac:dyDescent="0.3"/>
    <row r="239" customFormat="1" ht="14.4" x14ac:dyDescent="0.3"/>
    <row r="240" customFormat="1" ht="14.4" x14ac:dyDescent="0.3"/>
    <row r="241" customFormat="1" ht="14.4" x14ac:dyDescent="0.3"/>
    <row r="242" customFormat="1" ht="14.4" x14ac:dyDescent="0.3"/>
    <row r="243" customFormat="1" ht="14.4" x14ac:dyDescent="0.3"/>
    <row r="244" customFormat="1" ht="14.4" x14ac:dyDescent="0.3"/>
    <row r="245" customFormat="1" ht="14.4" x14ac:dyDescent="0.3"/>
    <row r="246" customFormat="1" ht="14.4" x14ac:dyDescent="0.3"/>
    <row r="247" customFormat="1" ht="14.4" x14ac:dyDescent="0.3"/>
    <row r="248" customFormat="1" ht="14.4" x14ac:dyDescent="0.3"/>
    <row r="249" customFormat="1" ht="14.4" x14ac:dyDescent="0.3"/>
    <row r="250" customFormat="1" ht="14.4" x14ac:dyDescent="0.3"/>
    <row r="251" customFormat="1" ht="14.4" x14ac:dyDescent="0.3"/>
    <row r="252" customFormat="1" ht="14.4" x14ac:dyDescent="0.3"/>
    <row r="253" customFormat="1" ht="14.4" x14ac:dyDescent="0.3"/>
    <row r="254" customFormat="1" ht="14.4" x14ac:dyDescent="0.3"/>
    <row r="255" customFormat="1" ht="14.4" x14ac:dyDescent="0.3"/>
    <row r="256" customFormat="1" ht="14.4" x14ac:dyDescent="0.3"/>
    <row r="257" customFormat="1" ht="14.4" x14ac:dyDescent="0.3"/>
    <row r="258" customFormat="1" ht="14.4" x14ac:dyDescent="0.3"/>
    <row r="259" customFormat="1" ht="14.4" x14ac:dyDescent="0.3"/>
    <row r="260" customFormat="1" ht="14.4" x14ac:dyDescent="0.3"/>
    <row r="261" customFormat="1" ht="14.4" x14ac:dyDescent="0.3"/>
    <row r="262" customFormat="1" ht="14.4" x14ac:dyDescent="0.3"/>
    <row r="263" customFormat="1" ht="14.4" x14ac:dyDescent="0.3"/>
    <row r="264" customFormat="1" ht="14.4" x14ac:dyDescent="0.3"/>
    <row r="265" customFormat="1" ht="14.4" x14ac:dyDescent="0.3"/>
    <row r="266" customFormat="1" ht="14.4" x14ac:dyDescent="0.3"/>
    <row r="267" customFormat="1" ht="14.4" x14ac:dyDescent="0.3"/>
    <row r="268" customFormat="1" ht="14.4" x14ac:dyDescent="0.3"/>
    <row r="269" customFormat="1" ht="14.4" x14ac:dyDescent="0.3"/>
    <row r="270" customFormat="1" ht="14.4" x14ac:dyDescent="0.3"/>
    <row r="271" customFormat="1" ht="14.4" x14ac:dyDescent="0.3"/>
    <row r="272" customFormat="1" ht="14.4" x14ac:dyDescent="0.3"/>
    <row r="273" customFormat="1" ht="14.4" x14ac:dyDescent="0.3"/>
    <row r="274" customFormat="1" ht="14.4" x14ac:dyDescent="0.3"/>
    <row r="275" customFormat="1" ht="14.4" x14ac:dyDescent="0.3"/>
    <row r="276" customFormat="1" ht="14.4" x14ac:dyDescent="0.3"/>
    <row r="277" customFormat="1" ht="14.4" x14ac:dyDescent="0.3"/>
    <row r="278" customFormat="1" ht="14.4" x14ac:dyDescent="0.3"/>
    <row r="279" customFormat="1" ht="14.4" x14ac:dyDescent="0.3"/>
    <row r="280" customFormat="1" ht="14.4" x14ac:dyDescent="0.3"/>
    <row r="281" customFormat="1" ht="14.4" x14ac:dyDescent="0.3"/>
    <row r="282" customFormat="1" ht="14.4" x14ac:dyDescent="0.3"/>
    <row r="283" customFormat="1" ht="14.4" x14ac:dyDescent="0.3"/>
    <row r="284" customFormat="1" ht="14.4" x14ac:dyDescent="0.3"/>
    <row r="285" customFormat="1" ht="14.4" x14ac:dyDescent="0.3"/>
    <row r="286" customFormat="1" ht="14.4" x14ac:dyDescent="0.3"/>
    <row r="287" customFormat="1" ht="14.4" x14ac:dyDescent="0.3"/>
    <row r="288" customFormat="1" ht="14.4" x14ac:dyDescent="0.3"/>
    <row r="289" customFormat="1" ht="14.4" x14ac:dyDescent="0.3"/>
    <row r="290" customFormat="1" ht="14.4" x14ac:dyDescent="0.3"/>
    <row r="291" customFormat="1" ht="14.4" x14ac:dyDescent="0.3"/>
    <row r="292" customFormat="1" ht="14.4" x14ac:dyDescent="0.3"/>
    <row r="293" customFormat="1" ht="14.4" x14ac:dyDescent="0.3"/>
    <row r="294" customFormat="1" ht="14.4" x14ac:dyDescent="0.3"/>
    <row r="295" customFormat="1" ht="14.4" x14ac:dyDescent="0.3"/>
    <row r="296" customFormat="1" ht="14.4" x14ac:dyDescent="0.3"/>
    <row r="297" customFormat="1" ht="14.4" x14ac:dyDescent="0.3"/>
    <row r="298" customFormat="1" ht="14.4" x14ac:dyDescent="0.3"/>
    <row r="299" customFormat="1" ht="14.4" x14ac:dyDescent="0.3"/>
    <row r="300" customFormat="1" ht="14.4" x14ac:dyDescent="0.3"/>
    <row r="301" customFormat="1" ht="14.4" x14ac:dyDescent="0.3"/>
    <row r="302" customFormat="1" ht="14.4" x14ac:dyDescent="0.3"/>
    <row r="303" customFormat="1" ht="14.4" x14ac:dyDescent="0.3"/>
    <row r="304" customFormat="1" ht="14.4" x14ac:dyDescent="0.3"/>
    <row r="305" customFormat="1" ht="14.4" x14ac:dyDescent="0.3"/>
    <row r="306" customFormat="1" ht="14.4" x14ac:dyDescent="0.3"/>
    <row r="307" customFormat="1" ht="14.4" x14ac:dyDescent="0.3"/>
    <row r="308" customFormat="1" ht="14.4" x14ac:dyDescent="0.3"/>
    <row r="309" customFormat="1" ht="14.4" x14ac:dyDescent="0.3"/>
    <row r="310" customFormat="1" ht="14.4" x14ac:dyDescent="0.3"/>
    <row r="311" customFormat="1" ht="14.4" x14ac:dyDescent="0.3"/>
    <row r="312" customFormat="1" ht="14.4" x14ac:dyDescent="0.3"/>
    <row r="313" customFormat="1" ht="14.4" x14ac:dyDescent="0.3"/>
    <row r="314" customFormat="1" ht="14.4" x14ac:dyDescent="0.3"/>
    <row r="315" customFormat="1" ht="14.4" x14ac:dyDescent="0.3"/>
    <row r="316" customFormat="1" ht="14.4" x14ac:dyDescent="0.3"/>
    <row r="317" customFormat="1" ht="14.4" x14ac:dyDescent="0.3"/>
    <row r="318" customFormat="1" ht="14.4" x14ac:dyDescent="0.3"/>
    <row r="319" customFormat="1" ht="14.4" x14ac:dyDescent="0.3"/>
    <row r="320" customFormat="1" ht="14.4" x14ac:dyDescent="0.3"/>
    <row r="321" customFormat="1" ht="14.4" x14ac:dyDescent="0.3"/>
    <row r="322" customFormat="1" ht="14.4" x14ac:dyDescent="0.3"/>
    <row r="323" customFormat="1" ht="14.4" x14ac:dyDescent="0.3"/>
    <row r="324" customFormat="1" ht="14.4" x14ac:dyDescent="0.3"/>
    <row r="325" customFormat="1" ht="14.4" x14ac:dyDescent="0.3"/>
    <row r="326" customFormat="1" ht="14.4" x14ac:dyDescent="0.3"/>
    <row r="327" customFormat="1" ht="14.4" x14ac:dyDescent="0.3"/>
    <row r="328" customFormat="1" ht="14.4" x14ac:dyDescent="0.3"/>
    <row r="329" customFormat="1" ht="14.4" x14ac:dyDescent="0.3"/>
    <row r="330" customFormat="1" ht="14.4" x14ac:dyDescent="0.3"/>
    <row r="331" customFormat="1" ht="14.4" x14ac:dyDescent="0.3"/>
    <row r="332" customFormat="1" ht="14.4" x14ac:dyDescent="0.3"/>
    <row r="333" customFormat="1" ht="14.4" x14ac:dyDescent="0.3"/>
    <row r="334" customFormat="1" ht="14.4" x14ac:dyDescent="0.3"/>
    <row r="335" customFormat="1" ht="14.4" x14ac:dyDescent="0.3"/>
    <row r="336" customFormat="1" ht="14.4" x14ac:dyDescent="0.3"/>
    <row r="337" customFormat="1" ht="14.4" x14ac:dyDescent="0.3"/>
    <row r="338" customFormat="1" ht="14.4" x14ac:dyDescent="0.3"/>
    <row r="339" customFormat="1" ht="14.4" x14ac:dyDescent="0.3"/>
    <row r="340" customFormat="1" ht="14.4" x14ac:dyDescent="0.3"/>
    <row r="341" customFormat="1" ht="14.4" x14ac:dyDescent="0.3"/>
    <row r="342" customFormat="1" ht="14.4" x14ac:dyDescent="0.3"/>
    <row r="343" customFormat="1" ht="14.4" x14ac:dyDescent="0.3"/>
    <row r="344" customFormat="1" ht="14.4" x14ac:dyDescent="0.3"/>
    <row r="345" customFormat="1" ht="14.4" x14ac:dyDescent="0.3"/>
    <row r="346" customFormat="1" ht="14.4" x14ac:dyDescent="0.3"/>
    <row r="347" customFormat="1" ht="14.4" x14ac:dyDescent="0.3"/>
    <row r="348" customFormat="1" ht="14.4" x14ac:dyDescent="0.3"/>
    <row r="349" customFormat="1" ht="14.4" x14ac:dyDescent="0.3"/>
    <row r="350" customFormat="1" ht="14.4" x14ac:dyDescent="0.3"/>
    <row r="351" customFormat="1" ht="14.4" x14ac:dyDescent="0.3"/>
    <row r="352" customFormat="1" ht="14.4" x14ac:dyDescent="0.3"/>
    <row r="353" customFormat="1" ht="14.4" x14ac:dyDescent="0.3"/>
    <row r="354" customFormat="1" ht="14.4" x14ac:dyDescent="0.3"/>
    <row r="355" customFormat="1" ht="14.4" x14ac:dyDescent="0.3"/>
    <row r="356" customFormat="1" ht="14.4" x14ac:dyDescent="0.3"/>
    <row r="357" customFormat="1" ht="14.4" x14ac:dyDescent="0.3"/>
    <row r="358" customFormat="1" ht="14.4" x14ac:dyDescent="0.3"/>
    <row r="359" customFormat="1" ht="14.4" x14ac:dyDescent="0.3"/>
    <row r="360" customFormat="1" ht="14.4" x14ac:dyDescent="0.3"/>
    <row r="361" customFormat="1" ht="14.4" x14ac:dyDescent="0.3"/>
    <row r="362" customFormat="1" ht="14.4" x14ac:dyDescent="0.3"/>
    <row r="363" customFormat="1" ht="14.4" x14ac:dyDescent="0.3"/>
    <row r="364" customFormat="1" ht="14.4" x14ac:dyDescent="0.3"/>
    <row r="365" customFormat="1" ht="14.4" x14ac:dyDescent="0.3"/>
    <row r="366" customFormat="1" ht="14.4" x14ac:dyDescent="0.3"/>
    <row r="367" customFormat="1" ht="14.4" x14ac:dyDescent="0.3"/>
    <row r="368" customFormat="1" ht="14.4" x14ac:dyDescent="0.3"/>
    <row r="369" customFormat="1" ht="14.4" x14ac:dyDescent="0.3"/>
    <row r="370" customFormat="1" ht="14.4" x14ac:dyDescent="0.3"/>
    <row r="371" customFormat="1" ht="14.4" x14ac:dyDescent="0.3"/>
    <row r="372" customFormat="1" ht="14.4" x14ac:dyDescent="0.3"/>
    <row r="373" customFormat="1" ht="14.4" x14ac:dyDescent="0.3"/>
    <row r="374" customFormat="1" ht="14.4" x14ac:dyDescent="0.3"/>
    <row r="375" customFormat="1" ht="14.4" x14ac:dyDescent="0.3"/>
    <row r="376" customFormat="1" ht="14.4" x14ac:dyDescent="0.3"/>
    <row r="377" customFormat="1" ht="14.4" x14ac:dyDescent="0.3"/>
    <row r="378" customFormat="1" ht="14.4" x14ac:dyDescent="0.3"/>
    <row r="379" customFormat="1" ht="14.4" x14ac:dyDescent="0.3"/>
    <row r="380" customFormat="1" ht="14.4" x14ac:dyDescent="0.3"/>
    <row r="381" customFormat="1" ht="14.4" x14ac:dyDescent="0.3"/>
    <row r="382" customFormat="1" ht="14.4" x14ac:dyDescent="0.3"/>
    <row r="383" customFormat="1" ht="14.4" x14ac:dyDescent="0.3"/>
    <row r="384" customFormat="1" ht="14.4" x14ac:dyDescent="0.3"/>
    <row r="385" customFormat="1" ht="14.4" x14ac:dyDescent="0.3"/>
    <row r="386" customFormat="1" ht="14.4" x14ac:dyDescent="0.3"/>
    <row r="387" customFormat="1" ht="14.4" x14ac:dyDescent="0.3"/>
    <row r="388" customFormat="1" ht="14.4" x14ac:dyDescent="0.3"/>
    <row r="389" customFormat="1" ht="14.4" x14ac:dyDescent="0.3"/>
    <row r="390" customFormat="1" ht="14.4" x14ac:dyDescent="0.3"/>
    <row r="391" customFormat="1" ht="14.4" x14ac:dyDescent="0.3"/>
    <row r="392" customFormat="1" ht="14.4" x14ac:dyDescent="0.3"/>
    <row r="393" customFormat="1" ht="14.4" x14ac:dyDescent="0.3"/>
    <row r="394" customFormat="1" ht="14.4" x14ac:dyDescent="0.3"/>
    <row r="395" customFormat="1" ht="14.4" x14ac:dyDescent="0.3"/>
    <row r="396" customFormat="1" ht="14.4" x14ac:dyDescent="0.3"/>
    <row r="397" customFormat="1" ht="14.4" x14ac:dyDescent="0.3"/>
    <row r="398" customFormat="1" ht="14.4" x14ac:dyDescent="0.3"/>
    <row r="399" customFormat="1" ht="14.4" x14ac:dyDescent="0.3"/>
    <row r="400" customFormat="1" ht="14.4" x14ac:dyDescent="0.3"/>
    <row r="401" customFormat="1" ht="14.4" x14ac:dyDescent="0.3"/>
    <row r="402" customFormat="1" ht="14.4" x14ac:dyDescent="0.3"/>
    <row r="403" customFormat="1" ht="14.4" x14ac:dyDescent="0.3"/>
    <row r="404" customFormat="1" ht="14.4" x14ac:dyDescent="0.3"/>
    <row r="405" customFormat="1" ht="14.4" x14ac:dyDescent="0.3"/>
    <row r="406" customFormat="1" ht="14.4" x14ac:dyDescent="0.3"/>
    <row r="407" customFormat="1" ht="14.4" x14ac:dyDescent="0.3"/>
    <row r="408" customFormat="1" ht="14.4" x14ac:dyDescent="0.3"/>
    <row r="409" customFormat="1" ht="14.4" x14ac:dyDescent="0.3"/>
    <row r="410" customFormat="1" ht="14.4" x14ac:dyDescent="0.3"/>
    <row r="411" customFormat="1" ht="14.4" x14ac:dyDescent="0.3"/>
    <row r="412" customFormat="1" ht="14.4" x14ac:dyDescent="0.3"/>
    <row r="413" customFormat="1" ht="14.4" x14ac:dyDescent="0.3"/>
    <row r="414" customFormat="1" ht="14.4" x14ac:dyDescent="0.3"/>
    <row r="415" customFormat="1" ht="14.4" x14ac:dyDescent="0.3"/>
    <row r="416" customFormat="1" ht="14.4" x14ac:dyDescent="0.3"/>
    <row r="417" customFormat="1" ht="14.4" x14ac:dyDescent="0.3"/>
    <row r="418" customFormat="1" ht="14.4" x14ac:dyDescent="0.3"/>
    <row r="419" customFormat="1" ht="14.4" x14ac:dyDescent="0.3"/>
    <row r="420" customFormat="1" ht="14.4" x14ac:dyDescent="0.3"/>
    <row r="421" customFormat="1" ht="14.4" x14ac:dyDescent="0.3"/>
    <row r="422" customFormat="1" ht="14.4" x14ac:dyDescent="0.3"/>
    <row r="423" customFormat="1" ht="14.4" x14ac:dyDescent="0.3"/>
    <row r="424" customFormat="1" ht="14.4" x14ac:dyDescent="0.3"/>
    <row r="425" customFormat="1" ht="14.4" x14ac:dyDescent="0.3"/>
    <row r="426" customFormat="1" ht="14.4" x14ac:dyDescent="0.3"/>
    <row r="427" customFormat="1" ht="14.4" x14ac:dyDescent="0.3"/>
    <row r="428" customFormat="1" ht="14.4" x14ac:dyDescent="0.3"/>
    <row r="429" customFormat="1" ht="14.4" x14ac:dyDescent="0.3"/>
    <row r="430" customFormat="1" ht="14.4" x14ac:dyDescent="0.3"/>
    <row r="431" customFormat="1" ht="14.4" x14ac:dyDescent="0.3"/>
    <row r="432" customFormat="1" ht="14.4" x14ac:dyDescent="0.3"/>
    <row r="433" customFormat="1" ht="14.4" x14ac:dyDescent="0.3"/>
    <row r="434" customFormat="1" ht="14.4" x14ac:dyDescent="0.3"/>
    <row r="435" customFormat="1" ht="14.4" x14ac:dyDescent="0.3"/>
    <row r="436" customFormat="1" ht="14.4" x14ac:dyDescent="0.3"/>
    <row r="437" customFormat="1" ht="14.4" x14ac:dyDescent="0.3"/>
    <row r="438" customFormat="1" ht="14.4" x14ac:dyDescent="0.3"/>
    <row r="439" customFormat="1" ht="14.4" x14ac:dyDescent="0.3"/>
    <row r="440" customFormat="1" ht="14.4" x14ac:dyDescent="0.3"/>
    <row r="441" customFormat="1" ht="14.4" x14ac:dyDescent="0.3"/>
    <row r="442" customFormat="1" ht="14.4" x14ac:dyDescent="0.3"/>
    <row r="443" customFormat="1" ht="14.4" x14ac:dyDescent="0.3"/>
    <row r="444" customFormat="1" ht="14.4" x14ac:dyDescent="0.3"/>
    <row r="445" customFormat="1" ht="14.4" x14ac:dyDescent="0.3"/>
    <row r="446" customFormat="1" ht="14.4" x14ac:dyDescent="0.3"/>
    <row r="447" customFormat="1" ht="14.4" x14ac:dyDescent="0.3"/>
    <row r="448" customFormat="1" ht="14.4" x14ac:dyDescent="0.3"/>
    <row r="449" customFormat="1" ht="14.4" x14ac:dyDescent="0.3"/>
    <row r="450" customFormat="1" ht="14.4" x14ac:dyDescent="0.3"/>
    <row r="451" customFormat="1" ht="14.4" x14ac:dyDescent="0.3"/>
    <row r="452" customFormat="1" ht="14.4" x14ac:dyDescent="0.3"/>
    <row r="453" customFormat="1" ht="14.4" x14ac:dyDescent="0.3"/>
    <row r="454" customFormat="1" ht="14.4" x14ac:dyDescent="0.3"/>
    <row r="455" customFormat="1" ht="14.4" x14ac:dyDescent="0.3"/>
    <row r="456" customFormat="1" ht="14.4" x14ac:dyDescent="0.3"/>
    <row r="457" customFormat="1" ht="14.4" x14ac:dyDescent="0.3"/>
    <row r="458" customFormat="1" ht="14.4" x14ac:dyDescent="0.3"/>
    <row r="459" customFormat="1" ht="14.4" x14ac:dyDescent="0.3"/>
    <row r="460" customFormat="1" ht="14.4" x14ac:dyDescent="0.3"/>
    <row r="461" customFormat="1" ht="14.4" x14ac:dyDescent="0.3"/>
    <row r="462" customFormat="1" ht="14.4" x14ac:dyDescent="0.3"/>
    <row r="463" customFormat="1" ht="14.4" x14ac:dyDescent="0.3"/>
    <row r="464" customFormat="1" ht="14.4" x14ac:dyDescent="0.3"/>
    <row r="465" customFormat="1" ht="14.4" x14ac:dyDescent="0.3"/>
    <row r="466" customFormat="1" ht="14.4" x14ac:dyDescent="0.3"/>
    <row r="467" customFormat="1" ht="14.4" x14ac:dyDescent="0.3"/>
    <row r="468" customFormat="1" ht="14.4" x14ac:dyDescent="0.3"/>
    <row r="469" customFormat="1" ht="14.4" x14ac:dyDescent="0.3"/>
    <row r="470" customFormat="1" ht="14.4" x14ac:dyDescent="0.3"/>
    <row r="471" customFormat="1" ht="14.4" x14ac:dyDescent="0.3"/>
    <row r="472" customFormat="1" ht="14.4" x14ac:dyDescent="0.3"/>
    <row r="473" customFormat="1" ht="14.4" x14ac:dyDescent="0.3"/>
    <row r="474" customFormat="1" ht="14.4" x14ac:dyDescent="0.3"/>
    <row r="475" customFormat="1" ht="14.4" x14ac:dyDescent="0.3"/>
    <row r="476" customFormat="1" ht="14.4" x14ac:dyDescent="0.3"/>
    <row r="477" customFormat="1" ht="14.4" x14ac:dyDescent="0.3"/>
    <row r="478" customFormat="1" ht="14.4" x14ac:dyDescent="0.3"/>
    <row r="479" customFormat="1" ht="14.4" x14ac:dyDescent="0.3"/>
    <row r="480" customFormat="1" ht="14.4" x14ac:dyDescent="0.3"/>
    <row r="481" customFormat="1" ht="14.4" x14ac:dyDescent="0.3"/>
    <row r="482" customFormat="1" ht="14.4" x14ac:dyDescent="0.3"/>
    <row r="483" customFormat="1" ht="14.4" x14ac:dyDescent="0.3"/>
    <row r="484" customFormat="1" ht="14.4" x14ac:dyDescent="0.3"/>
    <row r="485" customFormat="1" ht="14.4" x14ac:dyDescent="0.3"/>
    <row r="486" customFormat="1" ht="14.4" x14ac:dyDescent="0.3"/>
    <row r="487" customFormat="1" ht="14.4" x14ac:dyDescent="0.3"/>
    <row r="488" customFormat="1" ht="14.4" x14ac:dyDescent="0.3"/>
    <row r="489" customFormat="1" ht="14.4" x14ac:dyDescent="0.3"/>
    <row r="490" customFormat="1" ht="14.4" x14ac:dyDescent="0.3"/>
    <row r="491" customFormat="1" ht="14.4" x14ac:dyDescent="0.3"/>
    <row r="492" customFormat="1" ht="14.4" x14ac:dyDescent="0.3"/>
    <row r="493" customFormat="1" ht="14.4" x14ac:dyDescent="0.3"/>
    <row r="494" customFormat="1" ht="14.4" x14ac:dyDescent="0.3"/>
    <row r="495" customFormat="1" ht="14.4" x14ac:dyDescent="0.3"/>
    <row r="496" customFormat="1" ht="14.4" x14ac:dyDescent="0.3"/>
    <row r="497" customFormat="1" ht="14.4" x14ac:dyDescent="0.3"/>
    <row r="498" customFormat="1" ht="14.4" x14ac:dyDescent="0.3"/>
    <row r="499" customFormat="1" ht="14.4" x14ac:dyDescent="0.3"/>
    <row r="500" customFormat="1" ht="14.4" x14ac:dyDescent="0.3"/>
    <row r="501" customFormat="1" ht="14.4" x14ac:dyDescent="0.3"/>
    <row r="502" customFormat="1" ht="14.4" x14ac:dyDescent="0.3"/>
    <row r="503" customFormat="1" ht="14.4" x14ac:dyDescent="0.3"/>
    <row r="504" customFormat="1" ht="14.4" x14ac:dyDescent="0.3"/>
    <row r="505" customFormat="1" ht="14.4" x14ac:dyDescent="0.3"/>
    <row r="506" customFormat="1" ht="14.4" x14ac:dyDescent="0.3"/>
    <row r="507" customFormat="1" ht="14.4" x14ac:dyDescent="0.3"/>
    <row r="508" customFormat="1" ht="14.4" x14ac:dyDescent="0.3"/>
    <row r="509" customFormat="1" ht="14.4" x14ac:dyDescent="0.3"/>
    <row r="510" customFormat="1" ht="14.4" x14ac:dyDescent="0.3"/>
    <row r="511" customFormat="1" ht="14.4" x14ac:dyDescent="0.3"/>
    <row r="512" customFormat="1" ht="14.4" x14ac:dyDescent="0.3"/>
    <row r="513" customFormat="1" ht="14.4" x14ac:dyDescent="0.3"/>
    <row r="514" customFormat="1" ht="14.4" x14ac:dyDescent="0.3"/>
    <row r="515" customFormat="1" ht="14.4" x14ac:dyDescent="0.3"/>
    <row r="516" customFormat="1" ht="14.4" x14ac:dyDescent="0.3"/>
    <row r="517" customFormat="1" ht="14.4" x14ac:dyDescent="0.3"/>
    <row r="518" customFormat="1" ht="14.4" x14ac:dyDescent="0.3"/>
    <row r="519" customFormat="1" ht="14.4" x14ac:dyDescent="0.3"/>
    <row r="520" customFormat="1" ht="14.4" x14ac:dyDescent="0.3"/>
    <row r="521" customFormat="1" ht="14.4" x14ac:dyDescent="0.3"/>
    <row r="522" customFormat="1" ht="14.4" x14ac:dyDescent="0.3"/>
    <row r="523" customFormat="1" ht="14.4" x14ac:dyDescent="0.3"/>
    <row r="524" customFormat="1" ht="14.4" x14ac:dyDescent="0.3"/>
    <row r="525" customFormat="1" ht="14.4" x14ac:dyDescent="0.3"/>
    <row r="526" customFormat="1" ht="14.4" x14ac:dyDescent="0.3"/>
    <row r="527" customFormat="1" ht="14.4" x14ac:dyDescent="0.3"/>
    <row r="528" customFormat="1" ht="14.4" x14ac:dyDescent="0.3"/>
    <row r="529" customFormat="1" ht="14.4" x14ac:dyDescent="0.3"/>
    <row r="530" customFormat="1" ht="14.4" x14ac:dyDescent="0.3"/>
    <row r="531" customFormat="1" ht="14.4" x14ac:dyDescent="0.3"/>
    <row r="532" customFormat="1" ht="14.4" x14ac:dyDescent="0.3"/>
    <row r="533" customFormat="1" ht="14.4" x14ac:dyDescent="0.3"/>
    <row r="534" customFormat="1" ht="14.4" x14ac:dyDescent="0.3"/>
    <row r="535" customFormat="1" ht="14.4" x14ac:dyDescent="0.3"/>
    <row r="536" customFormat="1" ht="14.4" x14ac:dyDescent="0.3"/>
    <row r="537" customFormat="1" ht="14.4" x14ac:dyDescent="0.3"/>
    <row r="538" customFormat="1" ht="14.4" x14ac:dyDescent="0.3"/>
    <row r="539" customFormat="1" ht="14.4" x14ac:dyDescent="0.3"/>
    <row r="540" customFormat="1" ht="14.4" x14ac:dyDescent="0.3"/>
    <row r="541" customFormat="1" ht="14.4" x14ac:dyDescent="0.3"/>
    <row r="542" customFormat="1" ht="14.4" x14ac:dyDescent="0.3"/>
    <row r="543" customFormat="1" ht="14.4" x14ac:dyDescent="0.3"/>
    <row r="544" customFormat="1" ht="14.4" x14ac:dyDescent="0.3"/>
    <row r="545" customFormat="1" ht="14.4" x14ac:dyDescent="0.3"/>
    <row r="546" customFormat="1" ht="14.4" x14ac:dyDescent="0.3"/>
    <row r="547" customFormat="1" ht="14.4" x14ac:dyDescent="0.3"/>
    <row r="548" customFormat="1" ht="14.4" x14ac:dyDescent="0.3"/>
    <row r="549" customFormat="1" ht="14.4" x14ac:dyDescent="0.3"/>
    <row r="550" customFormat="1" ht="14.4" x14ac:dyDescent="0.3"/>
    <row r="551" customFormat="1" ht="14.4" x14ac:dyDescent="0.3"/>
    <row r="552" customFormat="1" ht="14.4" x14ac:dyDescent="0.3"/>
    <row r="553" customFormat="1" ht="14.4" x14ac:dyDescent="0.3"/>
    <row r="554" customFormat="1" ht="14.4" x14ac:dyDescent="0.3"/>
    <row r="555" customFormat="1" ht="14.4" x14ac:dyDescent="0.3"/>
    <row r="556" customFormat="1" ht="14.4" x14ac:dyDescent="0.3"/>
    <row r="557" customFormat="1" ht="14.4" x14ac:dyDescent="0.3"/>
    <row r="558" customFormat="1" ht="14.4" x14ac:dyDescent="0.3"/>
    <row r="559" customFormat="1" ht="14.4" x14ac:dyDescent="0.3"/>
    <row r="560" customFormat="1" ht="14.4" x14ac:dyDescent="0.3"/>
    <row r="561" customFormat="1" ht="14.4" x14ac:dyDescent="0.3"/>
    <row r="562" customFormat="1" ht="14.4" x14ac:dyDescent="0.3"/>
    <row r="563" customFormat="1" ht="14.4" x14ac:dyDescent="0.3"/>
    <row r="564" customFormat="1" ht="14.4" x14ac:dyDescent="0.3"/>
    <row r="565" customFormat="1" ht="14.4" x14ac:dyDescent="0.3"/>
    <row r="566" customFormat="1" ht="14.4" x14ac:dyDescent="0.3"/>
    <row r="567" customFormat="1" ht="14.4" x14ac:dyDescent="0.3"/>
    <row r="568" customFormat="1" ht="14.4" x14ac:dyDescent="0.3"/>
    <row r="569" customFormat="1" ht="14.4" x14ac:dyDescent="0.3"/>
    <row r="570" customFormat="1" ht="14.4" x14ac:dyDescent="0.3"/>
    <row r="571" customFormat="1" ht="14.4" x14ac:dyDescent="0.3"/>
    <row r="572" customFormat="1" ht="14.4" x14ac:dyDescent="0.3"/>
    <row r="573" customFormat="1" ht="14.4" x14ac:dyDescent="0.3"/>
    <row r="574" customFormat="1" ht="14.4" x14ac:dyDescent="0.3"/>
    <row r="575" customFormat="1" ht="14.4" x14ac:dyDescent="0.3"/>
    <row r="576" customFormat="1" ht="14.4" x14ac:dyDescent="0.3"/>
    <row r="577" customFormat="1" ht="14.4" x14ac:dyDescent="0.3"/>
    <row r="578" customFormat="1" ht="14.4" x14ac:dyDescent="0.3"/>
    <row r="579" customFormat="1" ht="14.4" x14ac:dyDescent="0.3"/>
    <row r="580" customFormat="1" ht="14.4" x14ac:dyDescent="0.3"/>
    <row r="581" customFormat="1" ht="14.4" x14ac:dyDescent="0.3"/>
    <row r="582" customFormat="1" ht="14.4" x14ac:dyDescent="0.3"/>
    <row r="583" customFormat="1" ht="14.4" x14ac:dyDescent="0.3"/>
    <row r="584" customFormat="1" ht="14.4" x14ac:dyDescent="0.3"/>
    <row r="585" customFormat="1" ht="14.4" x14ac:dyDescent="0.3"/>
    <row r="586" customFormat="1" ht="14.4" x14ac:dyDescent="0.3"/>
    <row r="587" customFormat="1" ht="14.4" x14ac:dyDescent="0.3"/>
    <row r="588" customFormat="1" ht="14.4" x14ac:dyDescent="0.3"/>
    <row r="589" customFormat="1" ht="14.4" x14ac:dyDescent="0.3"/>
    <row r="590" customFormat="1" ht="14.4" x14ac:dyDescent="0.3"/>
    <row r="591" customFormat="1" ht="14.4" x14ac:dyDescent="0.3"/>
    <row r="592" customFormat="1" ht="14.4" x14ac:dyDescent="0.3"/>
    <row r="593" customFormat="1" ht="14.4" x14ac:dyDescent="0.3"/>
    <row r="594" customFormat="1" ht="14.4" x14ac:dyDescent="0.3"/>
    <row r="595" customFormat="1" ht="14.4" x14ac:dyDescent="0.3"/>
    <row r="596" customFormat="1" ht="14.4" x14ac:dyDescent="0.3"/>
    <row r="597" customFormat="1" ht="14.4" x14ac:dyDescent="0.3"/>
    <row r="598" customFormat="1" ht="14.4" x14ac:dyDescent="0.3"/>
    <row r="599" customFormat="1" ht="14.4" x14ac:dyDescent="0.3"/>
    <row r="600" customFormat="1" ht="14.4" x14ac:dyDescent="0.3"/>
    <row r="601" customFormat="1" ht="14.4" x14ac:dyDescent="0.3"/>
    <row r="602" customFormat="1" ht="14.4" x14ac:dyDescent="0.3"/>
    <row r="603" customFormat="1" ht="14.4" x14ac:dyDescent="0.3"/>
    <row r="604" customFormat="1" ht="14.4" x14ac:dyDescent="0.3"/>
    <row r="605" customFormat="1" ht="14.4" x14ac:dyDescent="0.3"/>
    <row r="606" customFormat="1" ht="14.4" x14ac:dyDescent="0.3"/>
    <row r="607" customFormat="1" ht="14.4" x14ac:dyDescent="0.3"/>
    <row r="608" customFormat="1" ht="14.4" x14ac:dyDescent="0.3"/>
  </sheetData>
  <conditionalFormatting sqref="B2:B8 B10:B12 B14 B16:B19 B21 B23:B25 B27:B28 B30:B37 B39:B41 B43:B44 B46 B48 B50 B52:B57 B59:B60 B62 B64:B69">
    <cfRule type="containsText" dxfId="306" priority="5" operator="containsText" text="g-cha">
      <formula>NOT(ISERROR(SEARCH("g-cha",B2)))</formula>
    </cfRule>
    <cfRule type="containsText" dxfId="305" priority="6" operator="containsText" text="g-ri">
      <formula>NOT(ISERROR(SEARCH("g-ri",B2)))</formula>
    </cfRule>
    <cfRule type="containsText" dxfId="304" priority="7" operator="containsText" text="g-stud">
      <formula>NOT(ISERROR(SEARCH("g-stud",B2)))</formula>
    </cfRule>
  </conditionalFormatting>
  <conditionalFormatting sqref="B32">
    <cfRule type="containsText" dxfId="303" priority="3" operator="containsText" text="MANGAVOO-30-11">
      <formula>NOT(ISERROR(SEARCH("MANGAVOO-30-11",B32)))</formula>
    </cfRule>
  </conditionalFormatting>
  <conditionalFormatting sqref="B40">
    <cfRule type="containsText" dxfId="302" priority="4" operator="containsText" text="99.9 PURE GOLD">
      <formula>NOT(ISERROR(SEARCH("99.9 PURE GOLD",B40)))</formula>
    </cfRule>
  </conditionalFormatting>
  <conditionalFormatting sqref="B52">
    <cfRule type="containsText" dxfId="301" priority="2" operator="containsText" text="OLD-GOLD-CHAIN-19-12">
      <formula>NOT(ISERROR(SEARCH("OLD-GOLD-CHAIN-19-12",B52)))</formula>
    </cfRule>
  </conditionalFormatting>
  <conditionalFormatting sqref="B60">
    <cfRule type="containsText" dxfId="300" priority="1" operator="containsText" text="G-PESERI-30">
      <formula>NOT(ISERROR(SEARCH("G-PESERI-30",B60)))</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sheetPr codeName="Sheet4"/>
  <dimension ref="A1:W67"/>
  <sheetViews>
    <sheetView workbookViewId="0">
      <selection activeCell="C18" sqref="C18"/>
    </sheetView>
  </sheetViews>
  <sheetFormatPr defaultColWidth="8.77734375" defaultRowHeight="23.4" x14ac:dyDescent="0.45"/>
  <cols>
    <col min="1" max="1" width="13.5546875" style="135" bestFit="1" customWidth="1"/>
    <col min="2" max="2" width="9.6640625" style="1" customWidth="1"/>
    <col min="3" max="3" width="30.5546875" style="1" bestFit="1" customWidth="1"/>
    <col min="4" max="4" width="16.109375" style="1" bestFit="1" customWidth="1"/>
    <col min="5" max="5" width="16.109375" style="105" bestFit="1" customWidth="1"/>
    <col min="6" max="6" width="18" style="136" customWidth="1"/>
    <col min="7" max="7" width="21" style="137" customWidth="1"/>
    <col min="8" max="8" width="19.5546875" style="136"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35" t="s">
        <v>950</v>
      </c>
      <c r="B1" s="1" t="s">
        <v>951</v>
      </c>
      <c r="C1" s="1" t="s">
        <v>952</v>
      </c>
      <c r="D1" s="1" t="s">
        <v>953</v>
      </c>
      <c r="E1" s="105" t="s">
        <v>1</v>
      </c>
      <c r="F1" s="136" t="s">
        <v>957</v>
      </c>
      <c r="G1" s="137" t="s">
        <v>5</v>
      </c>
      <c r="H1" s="136" t="s">
        <v>958</v>
      </c>
      <c r="I1" s="219" t="s">
        <v>1151</v>
      </c>
      <c r="J1" s="219" t="s">
        <v>1152</v>
      </c>
      <c r="K1"/>
    </row>
    <row r="2" spans="1:23" x14ac:dyDescent="0.45">
      <c r="A2" s="135">
        <v>45485</v>
      </c>
      <c r="B2" s="1" t="s">
        <v>954</v>
      </c>
      <c r="C2" s="1" t="s">
        <v>961</v>
      </c>
      <c r="D2" s="223" t="s">
        <v>956</v>
      </c>
      <c r="E2" s="105">
        <v>241.61</v>
      </c>
      <c r="F2" s="136">
        <v>127.6</v>
      </c>
      <c r="G2" s="137">
        <v>31800</v>
      </c>
      <c r="H2" s="136">
        <f t="shared" ref="H2:H11" si="0">((((100/103)*G2)*1.5)/100)*2</f>
        <v>926.21359223300965</v>
      </c>
      <c r="I2" s="105">
        <f>SUM(E4+E5+E10)</f>
        <v>50.81</v>
      </c>
      <c r="J2" s="105">
        <f>(Table2[[#This Row],[WEIGHT]]+E3+E6+E7+E8+E9+E11+E13+E14+E12)</f>
        <v>4374.1299999999992</v>
      </c>
      <c r="K2"/>
    </row>
    <row r="3" spans="1:23" x14ac:dyDescent="0.45">
      <c r="A3" s="135">
        <v>45486</v>
      </c>
      <c r="B3" s="1" t="s">
        <v>954</v>
      </c>
      <c r="C3" s="1" t="s">
        <v>955</v>
      </c>
      <c r="D3" s="223" t="s">
        <v>956</v>
      </c>
      <c r="E3" s="105">
        <v>509</v>
      </c>
      <c r="F3" s="136">
        <v>95</v>
      </c>
      <c r="G3" s="137">
        <v>49810</v>
      </c>
      <c r="H3" s="136">
        <f t="shared" si="0"/>
        <v>1450.7766990291263</v>
      </c>
      <c r="K3"/>
    </row>
    <row r="4" spans="1:23" x14ac:dyDescent="0.45">
      <c r="A4" s="135">
        <v>45487</v>
      </c>
      <c r="B4" s="1" t="s">
        <v>954</v>
      </c>
      <c r="C4" s="1" t="s">
        <v>959</v>
      </c>
      <c r="D4" s="126" t="s">
        <v>960</v>
      </c>
      <c r="E4" s="105">
        <v>28.75</v>
      </c>
      <c r="F4" s="136">
        <v>6756.94</v>
      </c>
      <c r="G4" s="137">
        <v>200000</v>
      </c>
      <c r="H4" s="136">
        <f t="shared" si="0"/>
        <v>5825.2427184466014</v>
      </c>
      <c r="I4" s="105"/>
      <c r="K4"/>
      <c r="L4"/>
      <c r="M4"/>
      <c r="N4"/>
      <c r="O4"/>
      <c r="P4"/>
      <c r="Q4"/>
      <c r="R4"/>
      <c r="S4"/>
      <c r="T4"/>
      <c r="U4"/>
      <c r="V4"/>
      <c r="W4"/>
    </row>
    <row r="5" spans="1:23" x14ac:dyDescent="0.45">
      <c r="A5" s="135">
        <v>45488</v>
      </c>
      <c r="B5" s="1" t="s">
        <v>954</v>
      </c>
      <c r="C5" s="1" t="s">
        <v>959</v>
      </c>
      <c r="D5" s="126" t="s">
        <v>960</v>
      </c>
      <c r="E5" s="105">
        <v>4.0999999999999996</v>
      </c>
      <c r="F5" s="136">
        <v>6748.76</v>
      </c>
      <c r="G5" s="137">
        <v>28500</v>
      </c>
      <c r="H5" s="136">
        <f>((((100/103)*G5)*1.5)/100)*2</f>
        <v>830.09708737864082</v>
      </c>
      <c r="K5"/>
      <c r="L5"/>
      <c r="M5"/>
      <c r="N5"/>
      <c r="O5"/>
      <c r="P5"/>
      <c r="Q5"/>
      <c r="R5"/>
      <c r="S5"/>
      <c r="T5"/>
      <c r="U5"/>
      <c r="V5"/>
      <c r="W5"/>
    </row>
    <row r="6" spans="1:23" x14ac:dyDescent="0.45">
      <c r="A6" s="135">
        <v>45511</v>
      </c>
      <c r="B6" s="1" t="s">
        <v>962</v>
      </c>
      <c r="C6" s="1" t="s">
        <v>963</v>
      </c>
      <c r="D6" s="223" t="s">
        <v>956</v>
      </c>
      <c r="E6" s="105">
        <v>282.5</v>
      </c>
      <c r="F6" s="136">
        <v>63.68</v>
      </c>
      <c r="G6" s="137">
        <v>18530</v>
      </c>
      <c r="H6" s="136">
        <f t="shared" si="0"/>
        <v>539.70873786407765</v>
      </c>
      <c r="K6"/>
      <c r="L6"/>
      <c r="M6"/>
      <c r="N6"/>
      <c r="O6"/>
      <c r="P6"/>
      <c r="Q6"/>
      <c r="R6"/>
      <c r="S6"/>
      <c r="T6"/>
      <c r="U6"/>
      <c r="V6"/>
      <c r="W6"/>
    </row>
    <row r="7" spans="1:23" x14ac:dyDescent="0.45">
      <c r="A7" s="135">
        <v>45518</v>
      </c>
      <c r="B7" s="1" t="s">
        <v>954</v>
      </c>
      <c r="C7" s="1" t="s">
        <v>955</v>
      </c>
      <c r="D7" s="223" t="s">
        <v>956</v>
      </c>
      <c r="E7" s="105">
        <v>279</v>
      </c>
      <c r="F7" s="136">
        <v>95</v>
      </c>
      <c r="G7" s="137">
        <v>27300</v>
      </c>
      <c r="H7" s="136">
        <f t="shared" si="0"/>
        <v>795.14563106796118</v>
      </c>
      <c r="K7"/>
      <c r="L7"/>
      <c r="M7"/>
      <c r="N7"/>
      <c r="O7"/>
      <c r="P7"/>
      <c r="Q7"/>
      <c r="R7"/>
      <c r="S7"/>
      <c r="T7"/>
      <c r="U7"/>
      <c r="V7"/>
      <c r="W7"/>
    </row>
    <row r="8" spans="1:23" x14ac:dyDescent="0.45">
      <c r="A8" s="135">
        <v>45528</v>
      </c>
      <c r="B8" s="1" t="s">
        <v>962</v>
      </c>
      <c r="C8" s="1" t="s">
        <v>963</v>
      </c>
      <c r="D8" s="223" t="s">
        <v>956</v>
      </c>
      <c r="E8" s="105">
        <v>195.5</v>
      </c>
      <c r="F8" s="136">
        <v>79.260000000000005</v>
      </c>
      <c r="G8" s="137">
        <v>15960</v>
      </c>
      <c r="H8" s="136">
        <f t="shared" si="0"/>
        <v>464.85436893203877</v>
      </c>
      <c r="K8"/>
      <c r="L8"/>
      <c r="M8"/>
      <c r="N8"/>
      <c r="O8"/>
      <c r="P8"/>
      <c r="Q8"/>
      <c r="R8"/>
      <c r="S8"/>
      <c r="T8"/>
      <c r="U8"/>
      <c r="V8"/>
      <c r="W8"/>
    </row>
    <row r="9" spans="1:23" x14ac:dyDescent="0.45">
      <c r="A9" s="135">
        <v>45530</v>
      </c>
      <c r="B9" s="1" t="s">
        <v>954</v>
      </c>
      <c r="C9" s="1" t="s">
        <v>964</v>
      </c>
      <c r="D9" s="223" t="s">
        <v>956</v>
      </c>
      <c r="E9" s="105">
        <v>1000</v>
      </c>
      <c r="F9" s="136">
        <v>84.27</v>
      </c>
      <c r="G9" s="137">
        <v>86800</v>
      </c>
      <c r="H9" s="136">
        <f>((((100/103)*G9)*1.5)/100)*2</f>
        <v>2528.155339805825</v>
      </c>
      <c r="K9"/>
      <c r="L9"/>
      <c r="M9"/>
      <c r="N9"/>
      <c r="O9"/>
      <c r="P9"/>
      <c r="Q9"/>
      <c r="R9"/>
      <c r="S9"/>
      <c r="T9"/>
      <c r="U9"/>
      <c r="V9"/>
      <c r="W9"/>
    </row>
    <row r="10" spans="1:23" x14ac:dyDescent="0.45">
      <c r="A10" s="135">
        <v>45532</v>
      </c>
      <c r="B10" s="1" t="s">
        <v>954</v>
      </c>
      <c r="C10" s="1" t="s">
        <v>965</v>
      </c>
      <c r="D10" s="126" t="s">
        <v>960</v>
      </c>
      <c r="E10" s="105">
        <v>17.96</v>
      </c>
      <c r="F10" s="136">
        <v>6649.08</v>
      </c>
      <c r="G10" s="137">
        <v>123000</v>
      </c>
      <c r="H10" s="136">
        <f t="shared" si="0"/>
        <v>3582.5242718446602</v>
      </c>
      <c r="K10"/>
      <c r="L10"/>
      <c r="M10"/>
      <c r="N10"/>
      <c r="O10"/>
      <c r="P10"/>
      <c r="Q10"/>
      <c r="R10"/>
      <c r="S10"/>
      <c r="T10"/>
      <c r="U10"/>
      <c r="V10"/>
      <c r="W10"/>
    </row>
    <row r="11" spans="1:23" x14ac:dyDescent="0.45">
      <c r="A11" s="135">
        <v>45537</v>
      </c>
      <c r="B11" s="1" t="s">
        <v>966</v>
      </c>
      <c r="C11" s="1" t="s">
        <v>967</v>
      </c>
      <c r="D11" s="223" t="s">
        <v>956</v>
      </c>
      <c r="E11" s="105">
        <v>1200</v>
      </c>
      <c r="F11" s="136">
        <v>69.056299999999993</v>
      </c>
      <c r="G11" s="137">
        <v>85350</v>
      </c>
      <c r="H11" s="136">
        <f t="shared" si="0"/>
        <v>2485.9223300970871</v>
      </c>
      <c r="K11"/>
      <c r="L11"/>
      <c r="M11"/>
      <c r="N11"/>
      <c r="O11"/>
      <c r="P11"/>
      <c r="Q11"/>
      <c r="R11"/>
      <c r="S11"/>
      <c r="T11"/>
      <c r="U11"/>
      <c r="V11"/>
      <c r="W11"/>
    </row>
    <row r="12" spans="1:23" x14ac:dyDescent="0.45">
      <c r="A12" s="135">
        <v>45548</v>
      </c>
      <c r="B12" s="1" t="s">
        <v>954</v>
      </c>
      <c r="C12" s="1" t="s">
        <v>1027</v>
      </c>
      <c r="D12" s="223" t="s">
        <v>956</v>
      </c>
      <c r="E12" s="105">
        <v>63.73</v>
      </c>
      <c r="F12" s="136">
        <v>99</v>
      </c>
      <c r="G12" s="137">
        <v>6500</v>
      </c>
      <c r="H12" s="136">
        <f>((((100/103)*G12)*1.5)/100)*2</f>
        <v>189.32038834951459</v>
      </c>
      <c r="K12"/>
      <c r="L12"/>
      <c r="M12"/>
      <c r="N12"/>
      <c r="O12"/>
      <c r="P12"/>
      <c r="Q12"/>
      <c r="R12"/>
      <c r="S12"/>
      <c r="T12"/>
      <c r="U12"/>
      <c r="V12"/>
      <c r="W12"/>
    </row>
    <row r="13" spans="1:23" x14ac:dyDescent="0.45">
      <c r="A13" s="135">
        <v>45562</v>
      </c>
      <c r="B13" s="1" t="s">
        <v>954</v>
      </c>
      <c r="C13" s="1" t="s">
        <v>961</v>
      </c>
      <c r="D13" s="223" t="s">
        <v>956</v>
      </c>
      <c r="E13" s="105">
        <v>24.83</v>
      </c>
      <c r="F13" s="136">
        <v>148</v>
      </c>
      <c r="G13" s="137">
        <v>3675</v>
      </c>
      <c r="H13" s="136">
        <f>((((100/103)*G13)*1.5)/100)*2</f>
        <v>107.03883495145629</v>
      </c>
      <c r="K13"/>
      <c r="L13"/>
      <c r="M13"/>
      <c r="N13"/>
      <c r="O13"/>
      <c r="P13"/>
      <c r="Q13"/>
      <c r="R13"/>
      <c r="S13"/>
      <c r="T13"/>
      <c r="U13"/>
      <c r="V13"/>
      <c r="W13"/>
    </row>
    <row r="14" spans="1:23" x14ac:dyDescent="0.45">
      <c r="A14" s="135">
        <v>45567</v>
      </c>
      <c r="B14" s="1" t="s">
        <v>1030</v>
      </c>
      <c r="C14" s="1" t="s">
        <v>1031</v>
      </c>
      <c r="D14" s="223" t="s">
        <v>956</v>
      </c>
      <c r="E14" s="105">
        <v>577.96</v>
      </c>
      <c r="F14" s="136">
        <v>80.12</v>
      </c>
      <c r="G14" s="137">
        <v>47695</v>
      </c>
      <c r="H14" s="136">
        <f>((((100/103)*G14)*1.5)/100)*2</f>
        <v>1389.1747572815534</v>
      </c>
      <c r="K14"/>
      <c r="L14"/>
      <c r="M14"/>
      <c r="N14"/>
      <c r="O14"/>
      <c r="P14"/>
      <c r="Q14"/>
      <c r="R14"/>
      <c r="S14"/>
      <c r="T14"/>
      <c r="U14"/>
      <c r="V14"/>
      <c r="W14"/>
    </row>
    <row r="15" spans="1:23" x14ac:dyDescent="0.45">
      <c r="A15" s="135" t="s">
        <v>1266</v>
      </c>
      <c r="B15" s="1" t="s">
        <v>962</v>
      </c>
      <c r="C15" s="1" t="s">
        <v>963</v>
      </c>
      <c r="D15" s="1" t="s">
        <v>956</v>
      </c>
      <c r="E15" s="238"/>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sheetPr codeName="Sheet5"/>
  <dimension ref="A1:BC45"/>
  <sheetViews>
    <sheetView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38" bestFit="1" customWidth="1"/>
    <col min="4" max="4" width="17.5546875" style="1" bestFit="1" customWidth="1"/>
    <col min="5" max="5" width="18.33203125" style="138" bestFit="1" customWidth="1"/>
    <col min="6" max="6" width="23.21875" style="1" bestFit="1" customWidth="1"/>
    <col min="7" max="7" width="24" style="1" bestFit="1" customWidth="1"/>
    <col min="8" max="8" width="15.5546875" style="1" customWidth="1"/>
    <col min="9" max="9" width="28.5546875" style="1" bestFit="1" customWidth="1"/>
    <col min="10" max="10" width="17.44140625" style="1" bestFit="1" customWidth="1"/>
    <col min="11" max="11" width="18.33203125" style="1" bestFit="1" customWidth="1"/>
    <col min="12" max="12" width="27.6640625" style="1" bestFit="1" customWidth="1"/>
    <col min="13" max="13" width="28.5546875" style="1" bestFit="1" customWidth="1"/>
    <col min="14" max="14" width="17.44140625" style="1" bestFit="1" customWidth="1"/>
    <col min="15" max="15" width="18.33203125" style="1" bestFit="1" customWidth="1"/>
    <col min="16" max="16" width="27.6640625" style="1" bestFit="1" customWidth="1"/>
    <col min="17" max="17" width="28.5546875" style="1" bestFit="1" customWidth="1"/>
    <col min="18" max="18" width="17.44140625" style="1" bestFit="1" customWidth="1"/>
    <col min="19" max="19" width="18.33203125" style="1" bestFit="1" customWidth="1"/>
    <col min="20" max="20" width="27.6640625" style="1" bestFit="1" customWidth="1"/>
    <col min="21" max="21" width="28.5546875" style="1" bestFit="1" customWidth="1"/>
    <col min="22" max="22" width="17.44140625" style="1" bestFit="1" customWidth="1"/>
    <col min="23" max="23" width="18.33203125" style="1" bestFit="1" customWidth="1"/>
    <col min="24" max="24" width="27.6640625" style="1" bestFit="1" customWidth="1"/>
    <col min="25" max="25" width="28.5546875" style="1" bestFit="1" customWidth="1"/>
    <col min="26" max="26" width="17.44140625" style="1" bestFit="1" customWidth="1"/>
    <col min="27" max="27" width="18.33203125" style="1" bestFit="1" customWidth="1"/>
    <col min="28" max="28" width="27.6640625" style="1" bestFit="1" customWidth="1"/>
    <col min="29" max="29" width="28.5546875" style="1" bestFit="1" customWidth="1"/>
    <col min="30" max="30" width="17.44140625" style="1" bestFit="1" customWidth="1"/>
    <col min="31" max="31" width="18.33203125" style="1" bestFit="1" customWidth="1"/>
    <col min="32" max="32" width="27.6640625" style="1" bestFit="1" customWidth="1"/>
    <col min="33" max="33" width="28.5546875" style="1" bestFit="1" customWidth="1"/>
    <col min="34" max="34" width="17.44140625" style="1" bestFit="1" customWidth="1"/>
    <col min="35" max="35" width="18.33203125" style="1" bestFit="1" customWidth="1"/>
    <col min="36" max="36" width="27.6640625" style="1" bestFit="1" customWidth="1"/>
    <col min="37" max="37" width="28.5546875" style="1" bestFit="1" customWidth="1"/>
    <col min="38" max="38" width="17.44140625" style="1" bestFit="1" customWidth="1"/>
    <col min="39" max="39" width="18.33203125" style="1" bestFit="1" customWidth="1"/>
    <col min="40" max="40" width="27.6640625" style="1" bestFit="1" customWidth="1"/>
    <col min="41" max="41" width="28.5546875" style="1" bestFit="1" customWidth="1"/>
    <col min="42" max="42" width="17.44140625" style="1" bestFit="1" customWidth="1"/>
    <col min="43" max="43" width="18.33203125" style="1" bestFit="1" customWidth="1"/>
    <col min="44" max="44" width="27.6640625" style="1" bestFit="1" customWidth="1"/>
    <col min="45" max="45" width="28.5546875" style="1" bestFit="1" customWidth="1"/>
    <col min="46" max="46" width="17.44140625" style="1" bestFit="1" customWidth="1"/>
    <col min="47" max="47" width="18.33203125" style="1" bestFit="1" customWidth="1"/>
    <col min="48" max="48" width="27.6640625" style="1" bestFit="1" customWidth="1"/>
    <col min="49" max="49" width="28.5546875" style="1" bestFit="1" customWidth="1"/>
    <col min="50" max="50" width="17.44140625" style="1" bestFit="1" customWidth="1"/>
    <col min="51" max="51" width="18.33203125" style="1" bestFit="1" customWidth="1"/>
    <col min="52" max="52" width="27.664062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80"/>
      <c r="B1" s="79" t="s">
        <v>1153</v>
      </c>
      <c r="C1" s="224"/>
      <c r="D1" s="80"/>
      <c r="E1" s="80"/>
      <c r="F1" s="80"/>
      <c r="G1" s="80"/>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80"/>
      <c r="B2" s="80" t="s">
        <v>960</v>
      </c>
      <c r="C2" s="80"/>
      <c r="D2" s="80" t="s">
        <v>956</v>
      </c>
      <c r="E2" s="80"/>
      <c r="F2" s="80" t="s">
        <v>972</v>
      </c>
      <c r="G2" s="80" t="s">
        <v>970</v>
      </c>
      <c r="H2" s="1" t="s">
        <v>1156</v>
      </c>
      <c r="I2" s="230" t="s">
        <v>1154</v>
      </c>
      <c r="J2" s="230" t="s">
        <v>956</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79" t="s">
        <v>968</v>
      </c>
      <c r="B3" s="80" t="s">
        <v>971</v>
      </c>
      <c r="C3" s="80" t="s">
        <v>969</v>
      </c>
      <c r="D3" s="80" t="s">
        <v>971</v>
      </c>
      <c r="E3" s="80" t="s">
        <v>969</v>
      </c>
      <c r="F3" s="80"/>
      <c r="G3" s="80"/>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25">
        <v>45485</v>
      </c>
      <c r="B4" s="83"/>
      <c r="C4" s="83"/>
      <c r="D4" s="83">
        <v>241.61</v>
      </c>
      <c r="E4" s="83">
        <v>31800</v>
      </c>
      <c r="F4" s="83">
        <v>241.61</v>
      </c>
      <c r="G4" s="83">
        <v>31800</v>
      </c>
      <c r="H4" s="229" t="s">
        <v>1155</v>
      </c>
      <c r="I4" s="220">
        <v>0.5</v>
      </c>
      <c r="J4" s="220">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26" t="s">
        <v>961</v>
      </c>
      <c r="B5" s="83"/>
      <c r="C5" s="83"/>
      <c r="D5" s="83">
        <v>241.61</v>
      </c>
      <c r="E5" s="83">
        <v>31800</v>
      </c>
      <c r="F5" s="83">
        <v>241.61</v>
      </c>
      <c r="G5" s="83">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25">
        <v>45486</v>
      </c>
      <c r="B6" s="83"/>
      <c r="C6" s="83"/>
      <c r="D6" s="83">
        <v>509</v>
      </c>
      <c r="E6" s="83">
        <v>49810</v>
      </c>
      <c r="F6" s="83">
        <v>509</v>
      </c>
      <c r="G6" s="83">
        <v>49810</v>
      </c>
      <c r="H6" s="231" t="s">
        <v>1098</v>
      </c>
      <c r="I6" s="231">
        <f>I3-(SUM(I4:I5))</f>
        <v>50.31</v>
      </c>
      <c r="J6" s="231">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26" t="s">
        <v>955</v>
      </c>
      <c r="B7" s="83"/>
      <c r="C7" s="83"/>
      <c r="D7" s="83">
        <v>509</v>
      </c>
      <c r="E7" s="83">
        <v>49810</v>
      </c>
      <c r="F7" s="83">
        <v>509</v>
      </c>
      <c r="G7" s="83">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25">
        <v>45487</v>
      </c>
      <c r="B8" s="83">
        <v>28.75</v>
      </c>
      <c r="C8" s="83">
        <v>200000</v>
      </c>
      <c r="D8" s="83"/>
      <c r="E8" s="83"/>
      <c r="F8" s="83">
        <v>28.75</v>
      </c>
      <c r="G8" s="83">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26" t="s">
        <v>959</v>
      </c>
      <c r="B9" s="83">
        <v>28.75</v>
      </c>
      <c r="C9" s="83">
        <v>200000</v>
      </c>
      <c r="D9" s="83"/>
      <c r="E9" s="83"/>
      <c r="F9" s="83">
        <v>28.75</v>
      </c>
      <c r="G9" s="83">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25">
        <v>45488</v>
      </c>
      <c r="B10" s="83">
        <v>4.0999999999999996</v>
      </c>
      <c r="C10" s="83">
        <v>28500</v>
      </c>
      <c r="D10" s="83"/>
      <c r="E10" s="83"/>
      <c r="F10" s="83">
        <v>4.0999999999999996</v>
      </c>
      <c r="G10" s="83">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26" t="s">
        <v>959</v>
      </c>
      <c r="B11" s="83">
        <v>4.0999999999999996</v>
      </c>
      <c r="C11" s="83">
        <v>28500</v>
      </c>
      <c r="D11" s="83"/>
      <c r="E11" s="83"/>
      <c r="F11" s="83">
        <v>4.0999999999999996</v>
      </c>
      <c r="G11" s="83">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25">
        <v>45511</v>
      </c>
      <c r="B12" s="83"/>
      <c r="C12" s="83"/>
      <c r="D12" s="83">
        <v>282.5</v>
      </c>
      <c r="E12" s="83">
        <v>18530</v>
      </c>
      <c r="F12" s="83">
        <v>282.5</v>
      </c>
      <c r="G12" s="83">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26" t="s">
        <v>963</v>
      </c>
      <c r="B13" s="83"/>
      <c r="C13" s="83"/>
      <c r="D13" s="83">
        <v>282.5</v>
      </c>
      <c r="E13" s="83">
        <v>18530</v>
      </c>
      <c r="F13" s="83">
        <v>282.5</v>
      </c>
      <c r="G13" s="83">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25">
        <v>45518</v>
      </c>
      <c r="B14" s="83"/>
      <c r="C14" s="83"/>
      <c r="D14" s="83">
        <v>279</v>
      </c>
      <c r="E14" s="83">
        <v>27300</v>
      </c>
      <c r="F14" s="83">
        <v>279</v>
      </c>
      <c r="G14" s="83">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26" t="s">
        <v>955</v>
      </c>
      <c r="B15" s="83"/>
      <c r="C15" s="83"/>
      <c r="D15" s="83">
        <v>279</v>
      </c>
      <c r="E15" s="83">
        <v>27300</v>
      </c>
      <c r="F15" s="83">
        <v>279</v>
      </c>
      <c r="G15" s="83">
        <v>27300</v>
      </c>
      <c r="H15"/>
      <c r="I15"/>
      <c r="J15"/>
      <c r="K15"/>
      <c r="L15"/>
      <c r="M15"/>
      <c r="N15"/>
      <c r="O15"/>
      <c r="P15"/>
      <c r="Q15"/>
      <c r="R15"/>
      <c r="S15"/>
      <c r="T15"/>
      <c r="U15"/>
      <c r="V15"/>
      <c r="W15"/>
      <c r="X15"/>
      <c r="Y15"/>
      <c r="Z15"/>
      <c r="AA15"/>
      <c r="AB15"/>
      <c r="AC15"/>
    </row>
    <row r="16" spans="1:55" x14ac:dyDescent="0.45">
      <c r="A16" s="225">
        <v>45528</v>
      </c>
      <c r="B16" s="83"/>
      <c r="C16" s="83"/>
      <c r="D16" s="83">
        <v>195.5</v>
      </c>
      <c r="E16" s="83">
        <v>15960</v>
      </c>
      <c r="F16" s="83">
        <v>195.5</v>
      </c>
      <c r="G16" s="83">
        <v>15960</v>
      </c>
      <c r="H16"/>
      <c r="I16"/>
      <c r="J16"/>
      <c r="K16"/>
      <c r="L16"/>
      <c r="M16"/>
      <c r="N16"/>
      <c r="O16"/>
      <c r="P16"/>
      <c r="Q16"/>
      <c r="R16"/>
      <c r="S16"/>
      <c r="T16"/>
      <c r="U16"/>
      <c r="V16"/>
      <c r="W16"/>
      <c r="X16"/>
      <c r="Y16"/>
      <c r="Z16"/>
      <c r="AA16"/>
    </row>
    <row r="17" spans="1:27" x14ac:dyDescent="0.45">
      <c r="A17" s="226" t="s">
        <v>963</v>
      </c>
      <c r="B17" s="83"/>
      <c r="C17" s="83"/>
      <c r="D17" s="83">
        <v>195.5</v>
      </c>
      <c r="E17" s="83">
        <v>15960</v>
      </c>
      <c r="F17" s="83">
        <v>195.5</v>
      </c>
      <c r="G17" s="83">
        <v>15960</v>
      </c>
      <c r="H17"/>
      <c r="I17"/>
      <c r="J17"/>
      <c r="K17"/>
      <c r="L17"/>
      <c r="M17"/>
      <c r="N17"/>
      <c r="O17"/>
      <c r="P17"/>
      <c r="Q17"/>
      <c r="R17"/>
      <c r="S17"/>
      <c r="T17"/>
      <c r="U17"/>
      <c r="V17"/>
      <c r="W17"/>
      <c r="X17"/>
      <c r="Y17"/>
      <c r="Z17"/>
      <c r="AA17"/>
    </row>
    <row r="18" spans="1:27" x14ac:dyDescent="0.45">
      <c r="A18" s="225">
        <v>45530</v>
      </c>
      <c r="B18" s="83"/>
      <c r="C18" s="83"/>
      <c r="D18" s="83">
        <v>1000</v>
      </c>
      <c r="E18" s="83">
        <v>86800</v>
      </c>
      <c r="F18" s="83">
        <v>1000</v>
      </c>
      <c r="G18" s="83">
        <v>86800</v>
      </c>
      <c r="H18"/>
      <c r="I18"/>
      <c r="J18"/>
      <c r="K18"/>
      <c r="L18"/>
      <c r="M18"/>
      <c r="N18"/>
      <c r="O18"/>
      <c r="P18"/>
      <c r="Q18"/>
      <c r="R18"/>
      <c r="S18"/>
      <c r="T18"/>
      <c r="U18"/>
      <c r="V18"/>
      <c r="W18"/>
      <c r="X18"/>
      <c r="Y18"/>
      <c r="Z18"/>
      <c r="AA18"/>
    </row>
    <row r="19" spans="1:27" x14ac:dyDescent="0.45">
      <c r="A19" s="226" t="s">
        <v>964</v>
      </c>
      <c r="B19" s="83"/>
      <c r="C19" s="83"/>
      <c r="D19" s="83">
        <v>1000</v>
      </c>
      <c r="E19" s="83">
        <v>86800</v>
      </c>
      <c r="F19" s="83">
        <v>1000</v>
      </c>
      <c r="G19" s="83">
        <v>86800</v>
      </c>
    </row>
    <row r="20" spans="1:27" x14ac:dyDescent="0.45">
      <c r="A20" s="225">
        <v>45532</v>
      </c>
      <c r="B20" s="83">
        <v>17.96</v>
      </c>
      <c r="C20" s="83">
        <v>123000</v>
      </c>
      <c r="D20" s="83"/>
      <c r="E20" s="83"/>
      <c r="F20" s="83">
        <v>17.96</v>
      </c>
      <c r="G20" s="83">
        <v>123000</v>
      </c>
    </row>
    <row r="21" spans="1:27" x14ac:dyDescent="0.45">
      <c r="A21" s="226" t="s">
        <v>965</v>
      </c>
      <c r="B21" s="83">
        <v>17.96</v>
      </c>
      <c r="C21" s="83">
        <v>123000</v>
      </c>
      <c r="D21" s="83"/>
      <c r="E21" s="83"/>
      <c r="F21" s="83">
        <v>17.96</v>
      </c>
      <c r="G21" s="83">
        <v>123000</v>
      </c>
    </row>
    <row r="22" spans="1:27" x14ac:dyDescent="0.45">
      <c r="A22" s="225">
        <v>45537</v>
      </c>
      <c r="B22" s="83"/>
      <c r="C22" s="83"/>
      <c r="D22" s="83">
        <v>1200</v>
      </c>
      <c r="E22" s="83">
        <v>85350</v>
      </c>
      <c r="F22" s="83">
        <v>1200</v>
      </c>
      <c r="G22" s="83">
        <v>85350</v>
      </c>
    </row>
    <row r="23" spans="1:27" x14ac:dyDescent="0.45">
      <c r="A23" s="226" t="s">
        <v>967</v>
      </c>
      <c r="B23" s="83"/>
      <c r="C23" s="83"/>
      <c r="D23" s="83">
        <v>1200</v>
      </c>
      <c r="E23" s="83">
        <v>85350</v>
      </c>
      <c r="F23" s="83">
        <v>1200</v>
      </c>
      <c r="G23" s="83">
        <v>85350</v>
      </c>
    </row>
    <row r="24" spans="1:27" x14ac:dyDescent="0.45">
      <c r="A24" s="225">
        <v>45548</v>
      </c>
      <c r="B24" s="83"/>
      <c r="C24" s="83"/>
      <c r="D24" s="83">
        <v>63.73</v>
      </c>
      <c r="E24" s="83">
        <v>6500</v>
      </c>
      <c r="F24" s="83">
        <v>63.73</v>
      </c>
      <c r="G24" s="83">
        <v>6500</v>
      </c>
    </row>
    <row r="25" spans="1:27" x14ac:dyDescent="0.45">
      <c r="A25" s="226" t="s">
        <v>1027</v>
      </c>
      <c r="B25" s="83"/>
      <c r="C25" s="83"/>
      <c r="D25" s="83">
        <v>63.73</v>
      </c>
      <c r="E25" s="83">
        <v>6500</v>
      </c>
      <c r="F25" s="83">
        <v>63.73</v>
      </c>
      <c r="G25" s="83">
        <v>6500</v>
      </c>
    </row>
    <row r="26" spans="1:27" x14ac:dyDescent="0.45">
      <c r="A26" s="225">
        <v>45562</v>
      </c>
      <c r="B26" s="83"/>
      <c r="C26" s="83"/>
      <c r="D26" s="83">
        <v>24.83</v>
      </c>
      <c r="E26" s="83">
        <v>3675</v>
      </c>
      <c r="F26" s="83">
        <v>24.83</v>
      </c>
      <c r="G26" s="83">
        <v>3675</v>
      </c>
    </row>
    <row r="27" spans="1:27" x14ac:dyDescent="0.45">
      <c r="A27" s="226" t="s">
        <v>961</v>
      </c>
      <c r="B27" s="83"/>
      <c r="C27" s="83"/>
      <c r="D27" s="83">
        <v>24.83</v>
      </c>
      <c r="E27" s="83">
        <v>3675</v>
      </c>
      <c r="F27" s="83">
        <v>24.83</v>
      </c>
      <c r="G27" s="83">
        <v>3675</v>
      </c>
    </row>
    <row r="28" spans="1:27" x14ac:dyDescent="0.45">
      <c r="A28" s="225">
        <v>45567</v>
      </c>
      <c r="B28" s="83"/>
      <c r="C28" s="83"/>
      <c r="D28" s="83">
        <v>577.96</v>
      </c>
      <c r="E28" s="83">
        <v>47695</v>
      </c>
      <c r="F28" s="83">
        <v>577.96</v>
      </c>
      <c r="G28" s="83">
        <v>47695</v>
      </c>
    </row>
    <row r="29" spans="1:27" x14ac:dyDescent="0.45">
      <c r="A29" s="226" t="s">
        <v>1031</v>
      </c>
      <c r="B29" s="83"/>
      <c r="C29" s="83"/>
      <c r="D29" s="83">
        <v>577.96</v>
      </c>
      <c r="E29" s="83">
        <v>47695</v>
      </c>
      <c r="F29" s="83">
        <v>577.96</v>
      </c>
      <c r="G29" s="83">
        <v>47695</v>
      </c>
    </row>
    <row r="30" spans="1:27" x14ac:dyDescent="0.45">
      <c r="A30" s="225" t="s">
        <v>834</v>
      </c>
      <c r="B30" s="228">
        <v>50.81</v>
      </c>
      <c r="C30" s="227">
        <v>351500</v>
      </c>
      <c r="D30" s="228">
        <v>4374.13</v>
      </c>
      <c r="E30" s="227">
        <v>373420</v>
      </c>
      <c r="F30" s="83">
        <v>4424.9400000000005</v>
      </c>
      <c r="G30" s="227">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sheetPr codeName="Sheet6"/>
  <dimension ref="A1:G25"/>
  <sheetViews>
    <sheetView zoomScaleNormal="100" workbookViewId="0">
      <selection activeCell="D18" sqref="D18"/>
    </sheetView>
  </sheetViews>
  <sheetFormatPr defaultColWidth="8.88671875" defaultRowHeight="23.4" x14ac:dyDescent="0.45"/>
  <cols>
    <col min="1" max="1" width="40.44140625" style="1" customWidth="1"/>
    <col min="2" max="2" width="23.21875" style="1" customWidth="1"/>
    <col min="3" max="3" width="29.33203125" style="1" bestFit="1" customWidth="1"/>
    <col min="4" max="4" width="18.5546875" style="1" bestFit="1" customWidth="1"/>
    <col min="5" max="5" width="33.44140625" style="1" bestFit="1" customWidth="1"/>
    <col min="6" max="6" width="17" style="1" bestFit="1" customWidth="1"/>
    <col min="7" max="7" width="19.21875" style="1" bestFit="1" customWidth="1"/>
    <col min="8" max="16384" width="8.88671875" style="1"/>
  </cols>
  <sheetData>
    <row r="1" spans="1:7" x14ac:dyDescent="0.45">
      <c r="A1" s="174" t="s">
        <v>1094</v>
      </c>
      <c r="B1" s="174" t="s">
        <v>1095</v>
      </c>
      <c r="C1" s="175" t="s">
        <v>814</v>
      </c>
      <c r="D1" s="175" t="s">
        <v>815</v>
      </c>
      <c r="E1" s="176" t="s">
        <v>827</v>
      </c>
      <c r="F1" s="177" t="s">
        <v>1</v>
      </c>
      <c r="G1" s="178" t="s">
        <v>5</v>
      </c>
    </row>
    <row r="2" spans="1:7" x14ac:dyDescent="0.45">
      <c r="A2" s="179" t="s">
        <v>1024</v>
      </c>
      <c r="B2" s="180">
        <v>6000</v>
      </c>
      <c r="C2" s="181" t="s">
        <v>878</v>
      </c>
      <c r="D2" s="182">
        <v>400</v>
      </c>
      <c r="E2" s="181" t="s">
        <v>1085</v>
      </c>
      <c r="F2" s="183">
        <v>3</v>
      </c>
      <c r="G2" s="163">
        <v>16500</v>
      </c>
    </row>
    <row r="3" spans="1:7" x14ac:dyDescent="0.45">
      <c r="A3" s="184" t="s">
        <v>1023</v>
      </c>
      <c r="B3" s="185">
        <v>3675</v>
      </c>
      <c r="C3" s="186" t="s">
        <v>879</v>
      </c>
      <c r="D3" s="187">
        <v>28100</v>
      </c>
      <c r="E3" s="188" t="s">
        <v>1088</v>
      </c>
      <c r="F3" s="189">
        <v>1.04</v>
      </c>
      <c r="G3" s="190">
        <v>5500</v>
      </c>
    </row>
    <row r="4" spans="1:7" ht="49.95" customHeight="1" x14ac:dyDescent="0.45">
      <c r="A4" s="191" t="s">
        <v>1022</v>
      </c>
      <c r="B4" s="180">
        <v>2410</v>
      </c>
      <c r="C4" s="192" t="s">
        <v>881</v>
      </c>
      <c r="D4" s="193">
        <v>400</v>
      </c>
      <c r="E4" s="194"/>
      <c r="F4" s="195"/>
      <c r="G4" s="196"/>
    </row>
    <row r="5" spans="1:7" x14ac:dyDescent="0.45">
      <c r="A5" s="184" t="s">
        <v>1086</v>
      </c>
      <c r="B5" s="185">
        <v>15100</v>
      </c>
      <c r="C5" s="197" t="s">
        <v>880</v>
      </c>
      <c r="D5" s="198">
        <v>600</v>
      </c>
      <c r="E5" s="199"/>
      <c r="F5" s="199"/>
      <c r="G5" s="200"/>
    </row>
    <row r="6" spans="1:7" x14ac:dyDescent="0.45">
      <c r="A6" s="179" t="s">
        <v>1021</v>
      </c>
      <c r="B6" s="180">
        <v>58300</v>
      </c>
      <c r="C6" s="201" t="s">
        <v>1026</v>
      </c>
      <c r="D6" s="202">
        <v>16000</v>
      </c>
      <c r="E6" s="194"/>
      <c r="F6" s="194"/>
      <c r="G6" s="203"/>
    </row>
    <row r="7" spans="1:7" x14ac:dyDescent="0.45">
      <c r="A7" s="184" t="s">
        <v>1028</v>
      </c>
      <c r="B7" s="185">
        <v>6500</v>
      </c>
      <c r="C7" s="197" t="s">
        <v>1090</v>
      </c>
      <c r="D7" s="199">
        <v>100</v>
      </c>
      <c r="E7" s="199"/>
      <c r="F7" s="199"/>
      <c r="G7" s="200"/>
    </row>
    <row r="8" spans="1:7" x14ac:dyDescent="0.45">
      <c r="A8" s="179" t="s">
        <v>1029</v>
      </c>
      <c r="B8" s="180">
        <v>47695</v>
      </c>
      <c r="C8" s="215" t="s">
        <v>943</v>
      </c>
      <c r="D8" s="216">
        <f>SUM(D2:D7)</f>
        <v>45600</v>
      </c>
      <c r="E8" s="194"/>
      <c r="F8" s="194"/>
      <c r="G8" s="203"/>
    </row>
    <row r="9" spans="1:7" x14ac:dyDescent="0.45">
      <c r="A9" s="184" t="s">
        <v>1087</v>
      </c>
      <c r="B9" s="185">
        <v>1000</v>
      </c>
      <c r="C9" s="199"/>
      <c r="D9" s="199"/>
      <c r="E9" s="199"/>
      <c r="F9" s="199"/>
      <c r="G9" s="200"/>
    </row>
    <row r="10" spans="1:7" x14ac:dyDescent="0.45">
      <c r="A10" s="179" t="s">
        <v>1089</v>
      </c>
      <c r="B10" s="180">
        <v>74500</v>
      </c>
      <c r="C10" s="194"/>
      <c r="D10" s="194"/>
      <c r="E10" s="194"/>
      <c r="F10" s="194"/>
      <c r="G10" s="203"/>
    </row>
    <row r="11" spans="1:7" x14ac:dyDescent="0.45">
      <c r="A11" s="212" t="s">
        <v>1106</v>
      </c>
      <c r="B11" s="178" t="s">
        <v>5</v>
      </c>
      <c r="C11" s="194"/>
      <c r="D11" s="194"/>
      <c r="E11" s="194"/>
      <c r="F11" s="194"/>
      <c r="G11" s="203"/>
    </row>
    <row r="12" spans="1:7" x14ac:dyDescent="0.45">
      <c r="A12" s="213" t="s">
        <v>1107</v>
      </c>
      <c r="B12" s="163">
        <v>16500</v>
      </c>
      <c r="C12" s="194"/>
      <c r="D12" s="194"/>
      <c r="E12" s="194"/>
      <c r="F12" s="194"/>
      <c r="G12" s="203"/>
    </row>
    <row r="13" spans="1:7" x14ac:dyDescent="0.45">
      <c r="A13" s="214" t="s">
        <v>1108</v>
      </c>
      <c r="B13" s="190">
        <v>5500</v>
      </c>
      <c r="C13" s="194"/>
      <c r="D13" s="194"/>
      <c r="E13" s="194"/>
      <c r="F13" s="194"/>
      <c r="G13" s="203"/>
    </row>
    <row r="14" spans="1:7" x14ac:dyDescent="0.45">
      <c r="A14" s="204" t="s">
        <v>1098</v>
      </c>
      <c r="B14" s="205">
        <f>SUM(B2:B10)+B12+B13</f>
        <v>237180</v>
      </c>
      <c r="C14" s="199"/>
      <c r="D14" s="199"/>
      <c r="E14" s="199"/>
      <c r="F14" s="199"/>
      <c r="G14" s="200"/>
    </row>
    <row r="15" spans="1:7" x14ac:dyDescent="0.45">
      <c r="A15" s="150" t="s">
        <v>1096</v>
      </c>
      <c r="B15" s="151">
        <v>36.03</v>
      </c>
      <c r="C15" s="151"/>
      <c r="D15" s="151"/>
      <c r="E15" s="151"/>
      <c r="F15" s="151"/>
      <c r="G15" s="206"/>
    </row>
    <row r="18" spans="1:2" x14ac:dyDescent="0.45">
      <c r="A18" s="208" t="s">
        <v>1099</v>
      </c>
      <c r="B18" s="210">
        <v>293181</v>
      </c>
    </row>
    <row r="19" spans="1:2" ht="46.2" x14ac:dyDescent="0.45">
      <c r="A19" s="209" t="s">
        <v>1105</v>
      </c>
      <c r="B19" s="210">
        <v>367610</v>
      </c>
    </row>
    <row r="20" spans="1:2" x14ac:dyDescent="0.45">
      <c r="A20" s="208" t="s">
        <v>1100</v>
      </c>
      <c r="B20" s="207">
        <v>75211</v>
      </c>
    </row>
    <row r="21" spans="1:2" x14ac:dyDescent="0.45">
      <c r="A21" s="208" t="s">
        <v>1101</v>
      </c>
      <c r="B21" s="210">
        <v>20371</v>
      </c>
    </row>
    <row r="22" spans="1:2" x14ac:dyDescent="0.45">
      <c r="A22" s="208" t="s">
        <v>1102</v>
      </c>
      <c r="B22" s="210">
        <v>45600</v>
      </c>
    </row>
    <row r="23" spans="1:2" x14ac:dyDescent="0.45">
      <c r="A23" s="208" t="s">
        <v>1103</v>
      </c>
      <c r="B23" s="211">
        <v>24300</v>
      </c>
    </row>
    <row r="24" spans="1:2" x14ac:dyDescent="0.45">
      <c r="A24" s="208" t="s">
        <v>1104</v>
      </c>
      <c r="B24" s="211">
        <v>237180</v>
      </c>
    </row>
    <row r="25" spans="1:2" x14ac:dyDescent="0.45">
      <c r="A25" s="208" t="s">
        <v>1111</v>
      </c>
      <c r="B25" s="211">
        <f>B20-B21</f>
        <v>54840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747F-0384-471F-AD1A-3D1BE4B55A59}">
  <sheetPr codeName="Sheet7"/>
  <dimension ref="D4:I25"/>
  <sheetViews>
    <sheetView topLeftCell="B9" workbookViewId="0">
      <selection activeCell="H29" sqref="H29"/>
    </sheetView>
  </sheetViews>
  <sheetFormatPr defaultColWidth="8.88671875" defaultRowHeight="23.4" x14ac:dyDescent="0.45"/>
  <cols>
    <col min="1" max="3" width="8.88671875" style="1"/>
    <col min="4" max="4" width="46.6640625" style="1" bestFit="1" customWidth="1"/>
    <col min="5" max="5" width="24.88671875" style="1" bestFit="1" customWidth="1"/>
    <col min="6" max="6" width="16.77734375" style="1" bestFit="1" customWidth="1"/>
    <col min="7" max="7" width="4.33203125" style="1" customWidth="1"/>
    <col min="8" max="8" width="30.77734375" style="1" bestFit="1" customWidth="1"/>
    <col min="9" max="9" width="18.5546875" style="1" bestFit="1" customWidth="1"/>
    <col min="10" max="16384" width="8.88671875" style="1"/>
  </cols>
  <sheetData>
    <row r="4" spans="4:9" x14ac:dyDescent="0.45">
      <c r="D4" s="241" t="s">
        <v>1094</v>
      </c>
      <c r="E4" s="241" t="s">
        <v>1095</v>
      </c>
      <c r="H4" s="152" t="s">
        <v>814</v>
      </c>
      <c r="I4" s="56" t="s">
        <v>815</v>
      </c>
    </row>
    <row r="5" spans="4:9" x14ac:dyDescent="0.45">
      <c r="D5" s="242" t="s">
        <v>1260</v>
      </c>
      <c r="E5" s="243">
        <v>8016</v>
      </c>
      <c r="H5" s="154" t="s">
        <v>878</v>
      </c>
      <c r="I5" s="155">
        <v>400</v>
      </c>
    </row>
    <row r="6" spans="4:9" x14ac:dyDescent="0.45">
      <c r="D6" s="244" t="s">
        <v>1275</v>
      </c>
      <c r="E6" s="245" t="s">
        <v>1293</v>
      </c>
      <c r="H6" s="150" t="s">
        <v>880</v>
      </c>
      <c r="I6" s="167">
        <v>600</v>
      </c>
    </row>
    <row r="7" spans="4:9" x14ac:dyDescent="0.45">
      <c r="D7" s="244" t="s">
        <v>1277</v>
      </c>
      <c r="E7" s="245" t="s">
        <v>1294</v>
      </c>
      <c r="H7" s="166" t="s">
        <v>1026</v>
      </c>
      <c r="I7" s="167">
        <v>6000</v>
      </c>
    </row>
    <row r="8" spans="4:9" x14ac:dyDescent="0.45">
      <c r="D8" s="244" t="s">
        <v>1277</v>
      </c>
      <c r="E8" s="245">
        <v>5308</v>
      </c>
      <c r="H8" s="150" t="s">
        <v>1090</v>
      </c>
      <c r="I8" s="151">
        <v>100</v>
      </c>
    </row>
    <row r="9" spans="4:9" x14ac:dyDescent="0.45">
      <c r="D9" s="244" t="s">
        <v>1292</v>
      </c>
      <c r="E9" s="245">
        <v>37700</v>
      </c>
      <c r="H9" s="150" t="s">
        <v>1161</v>
      </c>
      <c r="I9" s="151">
        <v>600</v>
      </c>
    </row>
    <row r="10" spans="4:9" x14ac:dyDescent="0.45">
      <c r="D10" s="110" t="s">
        <v>827</v>
      </c>
      <c r="E10" s="111" t="s">
        <v>1</v>
      </c>
      <c r="F10" s="110" t="s">
        <v>5</v>
      </c>
      <c r="G10" s="247"/>
      <c r="H10" s="150" t="s">
        <v>1267</v>
      </c>
      <c r="I10" s="151">
        <v>300</v>
      </c>
    </row>
    <row r="11" spans="4:9" x14ac:dyDescent="0.45">
      <c r="D11" s="149" t="s">
        <v>1273</v>
      </c>
      <c r="E11" s="129">
        <v>6.93</v>
      </c>
      <c r="F11" s="130">
        <v>38200</v>
      </c>
      <c r="G11" s="248"/>
      <c r="H11" s="150" t="s">
        <v>1268</v>
      </c>
      <c r="I11" s="151">
        <v>6850</v>
      </c>
    </row>
    <row r="12" spans="4:9" x14ac:dyDescent="0.45">
      <c r="D12" s="151" t="s">
        <v>1213</v>
      </c>
      <c r="E12" s="129">
        <v>40.03</v>
      </c>
      <c r="F12" s="130">
        <f>224000+34100</f>
        <v>258100</v>
      </c>
      <c r="G12" s="248"/>
      <c r="H12" s="150" t="s">
        <v>1269</v>
      </c>
      <c r="I12" s="151">
        <v>10500</v>
      </c>
    </row>
    <row r="13" spans="4:9" x14ac:dyDescent="0.45">
      <c r="D13" s="153" t="s">
        <v>1263</v>
      </c>
      <c r="E13" s="129">
        <v>24.46</v>
      </c>
      <c r="F13" s="130">
        <v>137000</v>
      </c>
      <c r="G13" s="248"/>
      <c r="H13" s="150" t="s">
        <v>1295</v>
      </c>
      <c r="I13" s="151">
        <v>2200</v>
      </c>
    </row>
    <row r="14" spans="4:9" x14ac:dyDescent="0.45">
      <c r="H14" s="171" t="s">
        <v>1272</v>
      </c>
      <c r="I14" s="151">
        <v>5900</v>
      </c>
    </row>
    <row r="15" spans="4:9" x14ac:dyDescent="0.45">
      <c r="H15" s="150" t="s">
        <v>1296</v>
      </c>
      <c r="I15" s="151">
        <v>2000</v>
      </c>
    </row>
    <row r="16" spans="4:9" ht="28.8" x14ac:dyDescent="0.45">
      <c r="D16" s="246" t="s">
        <v>1328</v>
      </c>
      <c r="E16"/>
      <c r="H16" s="1" t="s">
        <v>1098</v>
      </c>
      <c r="I16" s="249">
        <f>SUM(I5:I15)</f>
        <v>35450</v>
      </c>
    </row>
    <row r="17" spans="4:9" ht="27" x14ac:dyDescent="0.45">
      <c r="D17" s="252" t="s">
        <v>1099</v>
      </c>
      <c r="E17" s="251">
        <v>292302.62</v>
      </c>
    </row>
    <row r="18" spans="4:9" ht="27" x14ac:dyDescent="0.45">
      <c r="D18" s="253" t="s">
        <v>1297</v>
      </c>
      <c r="E18" s="320">
        <v>388560</v>
      </c>
    </row>
    <row r="19" spans="4:9" ht="27" x14ac:dyDescent="0.45">
      <c r="D19" s="253" t="s">
        <v>1298</v>
      </c>
      <c r="E19" s="320"/>
    </row>
    <row r="20" spans="4:9" ht="27" x14ac:dyDescent="0.45">
      <c r="D20" s="252" t="s">
        <v>1100</v>
      </c>
      <c r="E20" s="254">
        <v>91533.07</v>
      </c>
    </row>
    <row r="21" spans="4:9" ht="27" x14ac:dyDescent="0.45">
      <c r="D21" s="252" t="s">
        <v>1101</v>
      </c>
      <c r="E21" s="251">
        <v>19750</v>
      </c>
    </row>
    <row r="22" spans="4:9" ht="27" x14ac:dyDescent="0.45">
      <c r="D22" s="252" t="s">
        <v>1102</v>
      </c>
      <c r="E22" s="250">
        <v>35450</v>
      </c>
      <c r="H22" s="1" t="s">
        <v>1300</v>
      </c>
      <c r="I22" s="1" t="s">
        <v>1301</v>
      </c>
    </row>
    <row r="23" spans="4:9" ht="27" x14ac:dyDescent="0.45">
      <c r="D23" s="252" t="s">
        <v>1103</v>
      </c>
      <c r="E23" s="251">
        <v>33800</v>
      </c>
    </row>
    <row r="24" spans="4:9" ht="27" x14ac:dyDescent="0.45">
      <c r="D24" s="252" t="s">
        <v>1104</v>
      </c>
      <c r="E24" s="255">
        <f>SUM(E5+E8+E9+F11+F12+F13)</f>
        <v>484324</v>
      </c>
    </row>
    <row r="25" spans="4:9" ht="27" x14ac:dyDescent="0.45">
      <c r="D25" s="252" t="s">
        <v>1299</v>
      </c>
      <c r="E25" s="251">
        <f>E20-E21</f>
        <v>71783.070000000007</v>
      </c>
    </row>
  </sheetData>
  <mergeCells count="1">
    <mergeCell ref="E18:E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BD02-4827-4C16-B731-A2280116FD8B}">
  <sheetPr codeName="Sheet8"/>
  <dimension ref="D3:I30"/>
  <sheetViews>
    <sheetView topLeftCell="A10" workbookViewId="0">
      <selection activeCell="I18" sqref="H16:I25"/>
    </sheetView>
  </sheetViews>
  <sheetFormatPr defaultRowHeight="23.4" x14ac:dyDescent="0.45"/>
  <cols>
    <col min="1" max="3" width="8.88671875" style="1"/>
    <col min="4" max="4" width="40.6640625" style="1" bestFit="1" customWidth="1"/>
    <col min="5" max="5" width="21.88671875" style="1" bestFit="1" customWidth="1"/>
    <col min="6" max="6" width="16.77734375" style="1" bestFit="1" customWidth="1"/>
    <col min="7" max="7" width="4" style="1" customWidth="1"/>
    <col min="8" max="8" width="31.6640625" style="1" bestFit="1" customWidth="1"/>
    <col min="9" max="9" width="28" style="1" bestFit="1" customWidth="1"/>
    <col min="10" max="16384" width="8.88671875" style="1"/>
  </cols>
  <sheetData>
    <row r="3" spans="4:9" x14ac:dyDescent="0.45">
      <c r="D3" s="264" t="s">
        <v>715</v>
      </c>
      <c r="E3" s="264" t="s">
        <v>716</v>
      </c>
      <c r="H3" s="152" t="s">
        <v>814</v>
      </c>
      <c r="I3" s="56" t="s">
        <v>815</v>
      </c>
    </row>
    <row r="4" spans="4:9" x14ac:dyDescent="0.45">
      <c r="D4" s="129" t="s">
        <v>1323</v>
      </c>
      <c r="E4" s="130">
        <v>1040</v>
      </c>
      <c r="H4" s="1" t="s">
        <v>1477</v>
      </c>
      <c r="I4" s="137">
        <v>600</v>
      </c>
    </row>
    <row r="5" spans="4:9" x14ac:dyDescent="0.45">
      <c r="D5" s="129" t="s">
        <v>1455</v>
      </c>
      <c r="E5" s="130">
        <v>3000</v>
      </c>
      <c r="H5" s="1" t="s">
        <v>1090</v>
      </c>
      <c r="I5" s="137">
        <v>100</v>
      </c>
    </row>
    <row r="6" spans="4:9" x14ac:dyDescent="0.45">
      <c r="D6" s="129" t="s">
        <v>1457</v>
      </c>
      <c r="E6" s="130">
        <v>26000</v>
      </c>
      <c r="H6" s="1" t="s">
        <v>1161</v>
      </c>
      <c r="I6" s="137">
        <v>600</v>
      </c>
    </row>
    <row r="7" spans="4:9" x14ac:dyDescent="0.45">
      <c r="D7" s="129" t="s">
        <v>1460</v>
      </c>
      <c r="E7" s="130">
        <v>163770</v>
      </c>
      <c r="H7" s="1" t="s">
        <v>1478</v>
      </c>
      <c r="I7" s="137">
        <v>300</v>
      </c>
    </row>
    <row r="8" spans="4:9" x14ac:dyDescent="0.45">
      <c r="D8" s="129" t="s">
        <v>1461</v>
      </c>
      <c r="E8" s="130">
        <v>6970</v>
      </c>
      <c r="H8" s="1" t="s">
        <v>1479</v>
      </c>
      <c r="I8" s="137">
        <v>5900</v>
      </c>
    </row>
    <row r="9" spans="4:9" x14ac:dyDescent="0.45">
      <c r="D9" s="129" t="s">
        <v>1462</v>
      </c>
      <c r="E9" s="130">
        <v>169130</v>
      </c>
      <c r="H9" s="1" t="s">
        <v>1480</v>
      </c>
      <c r="I9" s="137">
        <v>1000</v>
      </c>
    </row>
    <row r="10" spans="4:9" x14ac:dyDescent="0.45">
      <c r="D10" s="129" t="s">
        <v>1459</v>
      </c>
      <c r="E10" s="130">
        <v>21280</v>
      </c>
      <c r="H10" s="1" t="s">
        <v>1481</v>
      </c>
      <c r="I10" s="137">
        <v>20000</v>
      </c>
    </row>
    <row r="11" spans="4:9" x14ac:dyDescent="0.45">
      <c r="D11" s="129" t="s">
        <v>1463</v>
      </c>
      <c r="E11" s="130">
        <v>600</v>
      </c>
      <c r="H11" s="1" t="s">
        <v>1482</v>
      </c>
      <c r="I11" s="137">
        <v>4900</v>
      </c>
    </row>
    <row r="12" spans="4:9" x14ac:dyDescent="0.45">
      <c r="H12" s="1" t="s">
        <v>1483</v>
      </c>
      <c r="I12" s="137">
        <v>400</v>
      </c>
    </row>
    <row r="13" spans="4:9" x14ac:dyDescent="0.45">
      <c r="H13" s="1" t="s">
        <v>1484</v>
      </c>
      <c r="I13" s="137">
        <v>12600</v>
      </c>
    </row>
    <row r="14" spans="4:9" x14ac:dyDescent="0.45">
      <c r="H14" s="265" t="s">
        <v>1098</v>
      </c>
      <c r="I14" s="266">
        <f>SUM(I4:I13)</f>
        <v>46400</v>
      </c>
    </row>
    <row r="16" spans="4:9" ht="28.8" x14ac:dyDescent="0.45">
      <c r="D16" s="110" t="s">
        <v>827</v>
      </c>
      <c r="E16" s="111" t="s">
        <v>1</v>
      </c>
      <c r="F16" s="110" t="s">
        <v>5</v>
      </c>
      <c r="H16" s="322" t="s">
        <v>1490</v>
      </c>
      <c r="I16" s="322"/>
    </row>
    <row r="17" spans="4:9" ht="27" x14ac:dyDescent="0.45">
      <c r="D17" s="149" t="s">
        <v>1319</v>
      </c>
      <c r="E17" s="129">
        <v>2.09</v>
      </c>
      <c r="F17" s="130">
        <v>12000</v>
      </c>
      <c r="H17" s="267" t="s">
        <v>1099</v>
      </c>
      <c r="I17" s="271">
        <v>328935</v>
      </c>
    </row>
    <row r="18" spans="4:9" ht="54" x14ac:dyDescent="0.45">
      <c r="D18" s="151" t="s">
        <v>1320</v>
      </c>
      <c r="E18" s="129">
        <v>4</v>
      </c>
      <c r="F18" s="130">
        <v>17800</v>
      </c>
      <c r="H18" s="268" t="s">
        <v>1297</v>
      </c>
      <c r="I18" s="321">
        <v>407600</v>
      </c>
    </row>
    <row r="19" spans="4:9" ht="27" x14ac:dyDescent="0.45">
      <c r="D19" s="149" t="s">
        <v>1322</v>
      </c>
      <c r="E19" s="129">
        <v>10</v>
      </c>
      <c r="F19" s="130">
        <v>56000</v>
      </c>
      <c r="H19" s="269" t="s">
        <v>1298</v>
      </c>
      <c r="I19" s="321"/>
    </row>
    <row r="20" spans="4:9" ht="27" x14ac:dyDescent="0.45">
      <c r="D20" s="151" t="s">
        <v>1365</v>
      </c>
      <c r="E20" s="129">
        <v>0.99</v>
      </c>
      <c r="F20" s="130">
        <v>5000</v>
      </c>
      <c r="H20" s="270" t="s">
        <v>1100</v>
      </c>
      <c r="I20" s="272">
        <v>87522</v>
      </c>
    </row>
    <row r="21" spans="4:9" ht="27" x14ac:dyDescent="0.45">
      <c r="D21" s="149" t="s">
        <v>1458</v>
      </c>
      <c r="E21" s="129">
        <v>2</v>
      </c>
      <c r="F21" s="130">
        <v>10600</v>
      </c>
      <c r="H21" s="252" t="s">
        <v>1101</v>
      </c>
      <c r="I21" s="271">
        <v>29215</v>
      </c>
    </row>
    <row r="22" spans="4:9" ht="27" x14ac:dyDescent="0.45">
      <c r="D22" s="151" t="s">
        <v>1372</v>
      </c>
      <c r="E22" s="129">
        <v>150.69999999999999</v>
      </c>
      <c r="F22" s="130">
        <v>8700</v>
      </c>
      <c r="H22" s="252" t="s">
        <v>1102</v>
      </c>
      <c r="I22" s="273">
        <v>46400</v>
      </c>
    </row>
    <row r="23" spans="4:9" ht="27" x14ac:dyDescent="0.45">
      <c r="D23" s="149" t="s">
        <v>1464</v>
      </c>
      <c r="E23" s="129">
        <v>7.99</v>
      </c>
      <c r="F23" s="130">
        <v>54000</v>
      </c>
      <c r="H23" s="252" t="s">
        <v>1103</v>
      </c>
      <c r="I23" s="271">
        <v>43250</v>
      </c>
    </row>
    <row r="24" spans="4:9" ht="27" x14ac:dyDescent="0.45">
      <c r="D24" s="151" t="s">
        <v>1465</v>
      </c>
      <c r="E24" s="129">
        <v>8.09</v>
      </c>
      <c r="F24" s="130">
        <v>55000</v>
      </c>
      <c r="H24" s="252" t="s">
        <v>1104</v>
      </c>
      <c r="I24" s="271">
        <f>E4+E5+E6+E8+E10+E11</f>
        <v>58890</v>
      </c>
    </row>
    <row r="25" spans="4:9" ht="27" x14ac:dyDescent="0.45">
      <c r="D25" s="149" t="s">
        <v>1377</v>
      </c>
      <c r="E25" s="129">
        <v>8.1</v>
      </c>
      <c r="F25" s="130">
        <v>132000</v>
      </c>
      <c r="H25" s="252" t="s">
        <v>1299</v>
      </c>
      <c r="I25" s="271">
        <f>I20-I21</f>
        <v>58307</v>
      </c>
    </row>
    <row r="26" spans="4:9" x14ac:dyDescent="0.45">
      <c r="D26" s="151" t="s">
        <v>1377</v>
      </c>
      <c r="E26" s="159">
        <v>23.98</v>
      </c>
      <c r="F26" s="160">
        <v>136100</v>
      </c>
    </row>
    <row r="27" spans="4:9" x14ac:dyDescent="0.45">
      <c r="D27" s="149" t="s">
        <v>1466</v>
      </c>
      <c r="E27" s="159">
        <v>2.0299999999999998</v>
      </c>
      <c r="F27" s="160">
        <v>11900</v>
      </c>
    </row>
    <row r="30" spans="4:9" x14ac:dyDescent="0.45">
      <c r="D30" s="1" t="s">
        <v>1300</v>
      </c>
      <c r="E30" s="1" t="s">
        <v>1301</v>
      </c>
    </row>
  </sheetData>
  <mergeCells count="2">
    <mergeCell ref="I18:I19"/>
    <mergeCell ref="H16:I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599B-56A7-45F2-AA06-B999BC09CA61}">
  <sheetPr codeName="Sheet9"/>
  <dimension ref="D4:E13"/>
  <sheetViews>
    <sheetView workbookViewId="0">
      <selection activeCell="Q5" sqref="Q5"/>
    </sheetView>
  </sheetViews>
  <sheetFormatPr defaultRowHeight="23.4" x14ac:dyDescent="0.45"/>
  <cols>
    <col min="1" max="3" width="8.88671875" style="1"/>
    <col min="4" max="4" width="25.6640625" style="1" bestFit="1" customWidth="1"/>
    <col min="5" max="5" width="30.6640625" style="1" customWidth="1"/>
    <col min="6" max="16384" width="8.88671875" style="1"/>
  </cols>
  <sheetData>
    <row r="4" spans="4:5" ht="28.8" x14ac:dyDescent="0.45">
      <c r="D4" s="322" t="s">
        <v>1575</v>
      </c>
      <c r="E4" s="322"/>
    </row>
    <row r="5" spans="4:5" ht="27" x14ac:dyDescent="0.5">
      <c r="D5" s="267" t="s">
        <v>1099</v>
      </c>
      <c r="E5" s="282">
        <v>159601.38136140001</v>
      </c>
    </row>
    <row r="6" spans="4:5" ht="54" x14ac:dyDescent="0.45">
      <c r="D6" s="268" t="s">
        <v>1297</v>
      </c>
      <c r="E6" s="323">
        <v>214699</v>
      </c>
    </row>
    <row r="7" spans="4:5" ht="27" x14ac:dyDescent="0.45">
      <c r="D7" s="269" t="s">
        <v>1298</v>
      </c>
      <c r="E7" s="323"/>
    </row>
    <row r="8" spans="4:5" ht="27" x14ac:dyDescent="0.5">
      <c r="D8" s="270" t="s">
        <v>1100</v>
      </c>
      <c r="E8" s="279">
        <v>45778.549542599991</v>
      </c>
    </row>
    <row r="9" spans="4:5" ht="27" x14ac:dyDescent="0.45">
      <c r="D9" s="252" t="s">
        <v>1101</v>
      </c>
      <c r="E9" s="280">
        <v>19001</v>
      </c>
    </row>
    <row r="10" spans="4:5" ht="27" x14ac:dyDescent="0.5">
      <c r="D10" s="252" t="s">
        <v>1102</v>
      </c>
      <c r="E10" s="281">
        <v>25450</v>
      </c>
    </row>
    <row r="11" spans="4:5" ht="27" x14ac:dyDescent="0.45">
      <c r="D11" s="252" t="s">
        <v>1103</v>
      </c>
      <c r="E11" s="280">
        <v>50250</v>
      </c>
    </row>
    <row r="12" spans="4:5" ht="27" x14ac:dyDescent="0.45">
      <c r="D12" s="252" t="s">
        <v>1104</v>
      </c>
      <c r="E12" s="280">
        <v>33410</v>
      </c>
    </row>
    <row r="13" spans="4:5" ht="27" x14ac:dyDescent="0.45">
      <c r="D13" s="252" t="s">
        <v>1299</v>
      </c>
      <c r="E13" s="280">
        <f>E8-E9</f>
        <v>26777.549542599991</v>
      </c>
    </row>
  </sheetData>
  <mergeCells count="2">
    <mergeCell ref="D4:E4"/>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ALL-DATA</vt:lpstr>
      <vt:lpstr>DAILY DATA</vt:lpstr>
      <vt:lpstr>PIVOT-TABLE</vt:lpstr>
      <vt:lpstr>RTGS</vt:lpstr>
      <vt:lpstr>RTGS PIVOT-TABLE</vt:lpstr>
      <vt:lpstr>SEP-OCT</vt:lpstr>
      <vt:lpstr>OTC-NOV</vt:lpstr>
      <vt:lpstr>NOV-DEC</vt:lpstr>
      <vt:lpstr>DEC-JAN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2025-04-19T07:31:14Z</dcterms:modified>
</cp:coreProperties>
</file>